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Objects="none" codeName="ThisWorkbook"/>
  <mc:AlternateContent xmlns:mc="http://schemas.openxmlformats.org/markup-compatibility/2006">
    <mc:Choice Requires="x15">
      <x15ac:absPath xmlns:x15ac="http://schemas.microsoft.com/office/spreadsheetml/2010/11/ac" url="https://mqoutlook-my.sharepoint.com/personal/kris_esturas_mq_edu_au/Documents/Documents/2025/00 Plankton Work/2026/Plankton_Experimental_May2026/Data/"/>
    </mc:Choice>
  </mc:AlternateContent>
  <xr:revisionPtr revIDLastSave="42" documentId="13_ncr:1_{825D1B7D-BA34-4805-BBB5-CF6996D082FD}" xr6:coauthVersionLast="47" xr6:coauthVersionMax="47" xr10:uidLastSave="{87886EE2-0ECE-4709-B0E0-1D6CD7C29925}"/>
  <bookViews>
    <workbookView xWindow="-110" yWindow="-110" windowWidth="25820" windowHeight="15500" tabRatio="602" xr2:uid="{BB2ECCB6-A0AE-4555-B9BD-3BEF8B8E31E9}"/>
  </bookViews>
  <sheets>
    <sheet name="Database" sheetId="1" r:id="rId1"/>
    <sheet name="References" sheetId="2" r:id="rId2"/>
    <sheet name="Headers" sheetId="4" r:id="rId3"/>
    <sheet name="Categories" sheetId="6" r:id="rId4"/>
    <sheet name="Notes" sheetId="3" r:id="rId5"/>
    <sheet name="Useful Links" sheetId="5" r:id="rId6"/>
  </sheets>
  <definedNames>
    <definedName name="_xlnm._FilterDatabase" localSheetId="0" hidden="1">Database!$A$1:$BC$4409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4141" i="1" l="1"/>
  <c r="AC4141" i="1"/>
  <c r="AE4137" i="1"/>
  <c r="AC4137" i="1"/>
  <c r="AE4140" i="1"/>
  <c r="AE4139" i="1"/>
  <c r="AC4139" i="1"/>
  <c r="AQ3435" i="1" l="1"/>
  <c r="AQ3433" i="1"/>
  <c r="AO3435" i="1"/>
  <c r="AO3433" i="1"/>
  <c r="AQ3254" i="1"/>
  <c r="AQ3251" i="1"/>
  <c r="AO3251" i="1"/>
  <c r="AW3830" i="1" s="1"/>
  <c r="AO3254" i="1"/>
  <c r="AQ3252" i="1"/>
  <c r="AQ3253" i="1"/>
  <c r="AO3252" i="1"/>
  <c r="AO3253" i="1"/>
  <c r="AQ3250" i="1"/>
  <c r="AQ3249" i="1"/>
  <c r="AO3250" i="1"/>
  <c r="AO3249" i="1"/>
  <c r="AW3396" i="1"/>
  <c r="AW3405" i="1"/>
  <c r="AX3405" i="1"/>
  <c r="AX3404" i="1"/>
  <c r="AX3406" i="1"/>
  <c r="AX3407" i="1"/>
  <c r="AX3408" i="1"/>
  <c r="AX3415" i="1"/>
  <c r="AX3416" i="1"/>
  <c r="AX3412" i="1"/>
  <c r="AX3409" i="1"/>
  <c r="AX3410" i="1"/>
  <c r="AX3411" i="1"/>
  <c r="AX3417" i="1"/>
  <c r="AX3413" i="1"/>
  <c r="AX3414" i="1"/>
  <c r="AW3418" i="1"/>
  <c r="AX3418" i="1"/>
  <c r="AW3419" i="1"/>
  <c r="AX3419" i="1"/>
  <c r="AW3421" i="1"/>
  <c r="AX3421" i="1"/>
  <c r="AW3420" i="1"/>
  <c r="AX3420" i="1"/>
  <c r="AW3427" i="1"/>
  <c r="AX3427" i="1"/>
  <c r="AW3423" i="1"/>
  <c r="AX3423" i="1"/>
  <c r="AW3431" i="1"/>
  <c r="AX3431" i="1"/>
  <c r="AW3430" i="1"/>
  <c r="AX3430" i="1"/>
  <c r="AW3432" i="1"/>
  <c r="AX3432" i="1"/>
  <c r="AW3422" i="1"/>
  <c r="AX3422" i="1"/>
  <c r="AW3424" i="1"/>
  <c r="AX3424" i="1"/>
  <c r="AW3425" i="1"/>
  <c r="AX3425" i="1"/>
  <c r="AW3426" i="1"/>
  <c r="AX3426" i="1"/>
  <c r="AW3429" i="1"/>
  <c r="AX3429" i="1"/>
  <c r="AW3428" i="1"/>
  <c r="AX3428" i="1"/>
  <c r="AW3433" i="1"/>
  <c r="AX3433" i="1"/>
  <c r="AW3435" i="1"/>
  <c r="AX3435" i="1"/>
  <c r="AW3436" i="1"/>
  <c r="AX3436" i="1"/>
  <c r="AW3434" i="1"/>
  <c r="AX3434" i="1"/>
  <c r="AW3439" i="1"/>
  <c r="AX3439" i="1"/>
  <c r="AW3443" i="1"/>
  <c r="AX3443" i="1"/>
  <c r="AW3444" i="1"/>
  <c r="AX3444" i="1"/>
  <c r="AW3441" i="1"/>
  <c r="AX3441" i="1"/>
  <c r="AW3440" i="1"/>
  <c r="AX3440" i="1"/>
  <c r="AW3442" i="1"/>
  <c r="AX3442" i="1"/>
  <c r="AW3437" i="1"/>
  <c r="AX3437" i="1"/>
  <c r="AW3438" i="1"/>
  <c r="AX3438" i="1"/>
  <c r="AW3448" i="1"/>
  <c r="AX3448" i="1"/>
  <c r="AW3445" i="1"/>
  <c r="AX3445" i="1"/>
  <c r="AW3447" i="1"/>
  <c r="AX3447" i="1"/>
  <c r="AW3446" i="1"/>
  <c r="AX3446" i="1"/>
  <c r="AW3449" i="1"/>
  <c r="AX3449" i="1"/>
  <c r="AW3450" i="1"/>
  <c r="AX3450" i="1"/>
  <c r="AW3451" i="1"/>
  <c r="AX3451" i="1"/>
  <c r="AW3452" i="1"/>
  <c r="AX3452" i="1"/>
  <c r="AW3453" i="1"/>
  <c r="AX3453" i="1"/>
  <c r="AW3455" i="1"/>
  <c r="AX3455" i="1"/>
  <c r="AW3454" i="1"/>
  <c r="AX3454" i="1"/>
  <c r="AW3458" i="1"/>
  <c r="AX3458" i="1"/>
  <c r="AW3459" i="1"/>
  <c r="AX3459" i="1"/>
  <c r="AW3456" i="1"/>
  <c r="AX3456" i="1"/>
  <c r="AW3457" i="1"/>
  <c r="AX3457" i="1"/>
  <c r="AW3462" i="1"/>
  <c r="AX3462" i="1"/>
  <c r="AW3461" i="1"/>
  <c r="AX3461" i="1"/>
  <c r="AW3460" i="1"/>
  <c r="AX3460" i="1"/>
  <c r="AW3463" i="1"/>
  <c r="AX3463" i="1"/>
  <c r="AW3466" i="1"/>
  <c r="AX3466" i="1"/>
  <c r="AW3464" i="1"/>
  <c r="AX3464" i="1"/>
  <c r="AW3465" i="1"/>
  <c r="AX3465" i="1"/>
  <c r="AW3468" i="1"/>
  <c r="AX3468" i="1"/>
  <c r="AW3467" i="1"/>
  <c r="AX3467" i="1"/>
  <c r="AW3471" i="1"/>
  <c r="AX3471" i="1"/>
  <c r="AW3470" i="1"/>
  <c r="AX3470" i="1"/>
  <c r="AW3469" i="1"/>
  <c r="AX3469" i="1"/>
  <c r="AW3472" i="1"/>
  <c r="AX3472" i="1"/>
  <c r="AW3473" i="1"/>
  <c r="AX3473" i="1"/>
  <c r="AX3474" i="1"/>
  <c r="AX3476" i="1"/>
  <c r="AW3475" i="1"/>
  <c r="AX3475" i="1"/>
  <c r="AW3477" i="1"/>
  <c r="AX3477" i="1"/>
  <c r="AW3481" i="1"/>
  <c r="AX3481" i="1"/>
  <c r="AW3480" i="1"/>
  <c r="AX3480" i="1"/>
  <c r="AW3482" i="1"/>
  <c r="AX3482" i="1"/>
  <c r="AW3479" i="1"/>
  <c r="AX3479" i="1"/>
  <c r="AW3478" i="1"/>
  <c r="AX3478" i="1"/>
  <c r="AW3483" i="1"/>
  <c r="AX3483" i="1"/>
  <c r="AW3484" i="1"/>
  <c r="AX3484" i="1"/>
  <c r="AW3486" i="1"/>
  <c r="AX3486" i="1"/>
  <c r="AW3485" i="1"/>
  <c r="AX3485" i="1"/>
  <c r="AW3488" i="1"/>
  <c r="AX3488" i="1"/>
  <c r="AX3487" i="1"/>
  <c r="AX3489" i="1"/>
  <c r="AX3490" i="1"/>
  <c r="AX3491" i="1"/>
  <c r="AX3492" i="1"/>
  <c r="AX3493" i="1"/>
  <c r="AW3494" i="1"/>
  <c r="AX3494" i="1"/>
  <c r="AW3495" i="1"/>
  <c r="AX3495" i="1"/>
  <c r="AW3499" i="1"/>
  <c r="AX3499" i="1"/>
  <c r="AW3497" i="1"/>
  <c r="AX3497" i="1"/>
  <c r="AW3496" i="1"/>
  <c r="AX3496" i="1"/>
  <c r="AW3498" i="1"/>
  <c r="AX3498" i="1"/>
  <c r="AW3502" i="1"/>
  <c r="AX3502" i="1"/>
  <c r="AW3503" i="1"/>
  <c r="AX3503" i="1"/>
  <c r="AW3500" i="1"/>
  <c r="AX3500" i="1"/>
  <c r="AW3501" i="1"/>
  <c r="AX3501" i="1"/>
  <c r="AW3510" i="1"/>
  <c r="AX3510" i="1"/>
  <c r="AW3513" i="1"/>
  <c r="AX3513" i="1"/>
  <c r="AX3514" i="1"/>
  <c r="AX3511" i="1"/>
  <c r="AX3512" i="1"/>
  <c r="AX3515" i="1"/>
  <c r="AX3509" i="1"/>
  <c r="AX3507" i="1"/>
  <c r="AX3508" i="1"/>
  <c r="AX3506" i="1"/>
  <c r="AX3504" i="1"/>
  <c r="AX3505" i="1"/>
  <c r="AX3521" i="1"/>
  <c r="AX3520" i="1"/>
  <c r="AX3516" i="1"/>
  <c r="AX3517" i="1"/>
  <c r="AX3518" i="1"/>
  <c r="AX3519" i="1"/>
  <c r="AX3522" i="1"/>
  <c r="AX3523" i="1"/>
  <c r="AX3529" i="1"/>
  <c r="AX3528" i="1"/>
  <c r="AX3525" i="1"/>
  <c r="AX3524" i="1"/>
  <c r="AX3527" i="1"/>
  <c r="AX3526" i="1"/>
  <c r="AX3530" i="1"/>
  <c r="AX3531" i="1"/>
  <c r="AX3533" i="1"/>
  <c r="AX3532" i="1"/>
  <c r="AX3559" i="1"/>
  <c r="AX3560" i="1"/>
  <c r="AX3534" i="1"/>
  <c r="AX3538" i="1"/>
  <c r="AX3536" i="1"/>
  <c r="AX3550" i="1"/>
  <c r="AX3548" i="1"/>
  <c r="AX3546" i="1"/>
  <c r="AX3535" i="1"/>
  <c r="AX3539" i="1"/>
  <c r="AX3537" i="1"/>
  <c r="AX3557" i="1"/>
  <c r="AX3551" i="1"/>
  <c r="AX3552" i="1"/>
  <c r="AX3540" i="1"/>
  <c r="AX3541" i="1"/>
  <c r="AX3542" i="1"/>
  <c r="AX3543" i="1"/>
  <c r="AX3544" i="1"/>
  <c r="AX3545" i="1"/>
  <c r="AX3555" i="1"/>
  <c r="AX3564" i="1"/>
  <c r="AX3563" i="1"/>
  <c r="AX3553" i="1"/>
  <c r="AX3549" i="1"/>
  <c r="AX3554" i="1"/>
  <c r="AX3561" i="1"/>
  <c r="AX3562" i="1"/>
  <c r="AX3565" i="1"/>
  <c r="AX3556" i="1"/>
  <c r="AX3547" i="1"/>
  <c r="AX3558" i="1"/>
  <c r="AX3566" i="1"/>
  <c r="AX3567" i="1"/>
  <c r="AX3569" i="1"/>
  <c r="AX3571" i="1"/>
  <c r="AX3570" i="1"/>
  <c r="AX3568" i="1"/>
  <c r="AX3589" i="1"/>
  <c r="AX3579" i="1"/>
  <c r="AX3584" i="1"/>
  <c r="AX3590" i="1"/>
  <c r="AX3580" i="1"/>
  <c r="AX3588" i="1"/>
  <c r="AX3585" i="1"/>
  <c r="AX3577" i="1"/>
  <c r="AX3593" i="1"/>
  <c r="AX3582" i="1"/>
  <c r="AX3587" i="1"/>
  <c r="AX3595" i="1"/>
  <c r="AX3586" i="1"/>
  <c r="AX3594" i="1"/>
  <c r="AX3581" i="1"/>
  <c r="AX3583" i="1"/>
  <c r="AX3573" i="1"/>
  <c r="AW3574" i="1"/>
  <c r="AX3574" i="1"/>
  <c r="AW3572" i="1"/>
  <c r="AX3572" i="1"/>
  <c r="AW3575" i="1"/>
  <c r="AX3575" i="1"/>
  <c r="AW3592" i="1"/>
  <c r="AX3592" i="1"/>
  <c r="AW3576" i="1"/>
  <c r="AX3576" i="1"/>
  <c r="AW3578" i="1"/>
  <c r="AX3578" i="1"/>
  <c r="AW3591" i="1"/>
  <c r="AX3591" i="1"/>
  <c r="AW3597" i="1"/>
  <c r="AX3597" i="1"/>
  <c r="AW3596" i="1"/>
  <c r="AX3596" i="1"/>
  <c r="AW3600" i="1"/>
  <c r="AX3600" i="1"/>
  <c r="AW3602" i="1"/>
  <c r="AX3602" i="1"/>
  <c r="AW3598" i="1"/>
  <c r="AX3598" i="1"/>
  <c r="AW3599" i="1"/>
  <c r="AX3599" i="1"/>
  <c r="AW3603" i="1"/>
  <c r="AX3603" i="1"/>
  <c r="AW3601" i="1"/>
  <c r="AX3601" i="1"/>
  <c r="AW3606" i="1"/>
  <c r="AX3606" i="1"/>
  <c r="AW3607" i="1"/>
  <c r="AX3607" i="1"/>
  <c r="AW3608" i="1"/>
  <c r="AX3608" i="1"/>
  <c r="AW3609" i="1"/>
  <c r="AX3609" i="1"/>
  <c r="AW3605" i="1"/>
  <c r="AX3605" i="1"/>
  <c r="AW3604" i="1"/>
  <c r="AX3604" i="1"/>
  <c r="AW3612" i="1"/>
  <c r="AX3612" i="1"/>
  <c r="AW3617" i="1"/>
  <c r="AX3617" i="1"/>
  <c r="AW3639" i="1"/>
  <c r="AX3639" i="1"/>
  <c r="AW3624" i="1"/>
  <c r="AX3624" i="1"/>
  <c r="AW3625" i="1"/>
  <c r="AX3625" i="1"/>
  <c r="AW3613" i="1"/>
  <c r="AX3613" i="1"/>
  <c r="AW3633" i="1"/>
  <c r="AX3633" i="1"/>
  <c r="AW3626" i="1"/>
  <c r="AX3626" i="1"/>
  <c r="AW3618" i="1"/>
  <c r="AX3618" i="1"/>
  <c r="AW3634" i="1"/>
  <c r="AX3634" i="1"/>
  <c r="AW3635" i="1"/>
  <c r="AX3635" i="1"/>
  <c r="AW3619" i="1"/>
  <c r="AX3619" i="1"/>
  <c r="AW3636" i="1"/>
  <c r="AX3636" i="1"/>
  <c r="AW3641" i="1"/>
  <c r="AX3641" i="1"/>
  <c r="AW3614" i="1"/>
  <c r="AX3614" i="1"/>
  <c r="AW3620" i="1"/>
  <c r="AX3620" i="1"/>
  <c r="AW3610" i="1"/>
  <c r="AX3610" i="1"/>
  <c r="AW3627" i="1"/>
  <c r="AX3627" i="1"/>
  <c r="AW3615" i="1"/>
  <c r="AX3615" i="1"/>
  <c r="AW3640" i="1"/>
  <c r="AX3640" i="1"/>
  <c r="AW3642" i="1"/>
  <c r="AX3642" i="1"/>
  <c r="AW3611" i="1"/>
  <c r="AX3611" i="1"/>
  <c r="AW3623" i="1"/>
  <c r="AX3623" i="1"/>
  <c r="AW3630" i="1"/>
  <c r="AX3630" i="1"/>
  <c r="AW3616" i="1"/>
  <c r="AX3616" i="1"/>
  <c r="AW3631" i="1"/>
  <c r="AX3631" i="1"/>
  <c r="AW3628" i="1"/>
  <c r="AX3628" i="1"/>
  <c r="AW3622" i="1"/>
  <c r="AX3622" i="1"/>
  <c r="AW3632" i="1"/>
  <c r="AX3632" i="1"/>
  <c r="AW3638" i="1"/>
  <c r="AX3638" i="1"/>
  <c r="AW3621" i="1"/>
  <c r="AX3621" i="1"/>
  <c r="AW3629" i="1"/>
  <c r="AX3629" i="1"/>
  <c r="AW3637" i="1"/>
  <c r="AX3637" i="1"/>
  <c r="AW3646" i="1"/>
  <c r="AX3646" i="1"/>
  <c r="AW3645" i="1"/>
  <c r="AX3645" i="1"/>
  <c r="AW3643" i="1"/>
  <c r="AX3643" i="1"/>
  <c r="AW3644" i="1"/>
  <c r="AX3644" i="1"/>
  <c r="AW3655" i="1"/>
  <c r="AX3655" i="1"/>
  <c r="AW3650" i="1"/>
  <c r="AX3650" i="1"/>
  <c r="AW3652" i="1"/>
  <c r="AX3652" i="1"/>
  <c r="AW3654" i="1"/>
  <c r="AX3654" i="1"/>
  <c r="AW3651" i="1"/>
  <c r="AX3651" i="1"/>
  <c r="AW3653" i="1"/>
  <c r="AX3653" i="1"/>
  <c r="AW3656" i="1"/>
  <c r="AX3656" i="1"/>
  <c r="AW3647" i="1"/>
  <c r="AX3647" i="1"/>
  <c r="AW3648" i="1"/>
  <c r="AX3648" i="1"/>
  <c r="AW3649" i="1"/>
  <c r="AX3649" i="1"/>
  <c r="AW3657" i="1"/>
  <c r="AX3657" i="1"/>
  <c r="AW3658" i="1"/>
  <c r="AX3658" i="1"/>
  <c r="AW3666" i="1"/>
  <c r="AX3666" i="1"/>
  <c r="AW3663" i="1"/>
  <c r="AX3663" i="1"/>
  <c r="AW3664" i="1"/>
  <c r="AX3664" i="1"/>
  <c r="AW3667" i="1"/>
  <c r="AX3667" i="1"/>
  <c r="AW3665" i="1"/>
  <c r="AX3665" i="1"/>
  <c r="AW3659" i="1"/>
  <c r="AX3659" i="1"/>
  <c r="AW3660" i="1"/>
  <c r="AX3660" i="1"/>
  <c r="AW3661" i="1"/>
  <c r="AX3661" i="1"/>
  <c r="AW3662" i="1"/>
  <c r="AX3662" i="1"/>
  <c r="AW3668" i="1"/>
  <c r="AX3668" i="1"/>
  <c r="AW3669" i="1"/>
  <c r="AX3669" i="1"/>
  <c r="AW3670" i="1"/>
  <c r="AX3670" i="1"/>
  <c r="AW3671" i="1"/>
  <c r="AX3671" i="1"/>
  <c r="AW3672" i="1"/>
  <c r="AX3672" i="1"/>
  <c r="AW3674" i="1"/>
  <c r="AX3674" i="1"/>
  <c r="AW3673" i="1"/>
  <c r="AX3673" i="1"/>
  <c r="AW3677" i="1"/>
  <c r="AX3677" i="1"/>
  <c r="AW3676" i="1"/>
  <c r="AX3676" i="1"/>
  <c r="AW3679" i="1"/>
  <c r="AX3679" i="1"/>
  <c r="AW3675" i="1"/>
  <c r="AX3675" i="1"/>
  <c r="AW3678" i="1"/>
  <c r="AX3678" i="1"/>
  <c r="AW3681" i="1"/>
  <c r="AX3681" i="1"/>
  <c r="AW3680" i="1"/>
  <c r="AX3680" i="1"/>
  <c r="AW3696" i="1"/>
  <c r="AX3696" i="1"/>
  <c r="AW3687" i="1"/>
  <c r="AX3687" i="1"/>
  <c r="AW3684" i="1"/>
  <c r="AX3684" i="1"/>
  <c r="AW3693" i="1"/>
  <c r="AX3693" i="1"/>
  <c r="AW3695" i="1"/>
  <c r="AX3695" i="1"/>
  <c r="AW3683" i="1"/>
  <c r="AX3683" i="1"/>
  <c r="AW3682" i="1"/>
  <c r="AX3682" i="1"/>
  <c r="AW3689" i="1"/>
  <c r="AX3689" i="1"/>
  <c r="AW3688" i="1"/>
  <c r="AX3688" i="1"/>
  <c r="AW3686" i="1"/>
  <c r="AX3686" i="1"/>
  <c r="AW3685" i="1"/>
  <c r="AX3685" i="1"/>
  <c r="AW3691" i="1"/>
  <c r="AX3691" i="1"/>
  <c r="AW3690" i="1"/>
  <c r="AX3690" i="1"/>
  <c r="AW3694" i="1"/>
  <c r="AX3694" i="1"/>
  <c r="AW3692" i="1"/>
  <c r="AX3692" i="1"/>
  <c r="AW3700" i="1"/>
  <c r="AX3700" i="1"/>
  <c r="AW3699" i="1"/>
  <c r="AX3699" i="1"/>
  <c r="AW3698" i="1"/>
  <c r="AX3698" i="1"/>
  <c r="AW3701" i="1"/>
  <c r="AX3701" i="1"/>
  <c r="AW3697" i="1"/>
  <c r="AX3697" i="1"/>
  <c r="AX3702" i="1"/>
  <c r="AX3703" i="1"/>
  <c r="AW3704" i="1"/>
  <c r="AX3704" i="1"/>
  <c r="AW3705" i="1"/>
  <c r="AX3705" i="1"/>
  <c r="AW3708" i="1"/>
  <c r="AX3708" i="1"/>
  <c r="AW3706" i="1"/>
  <c r="AX3706" i="1"/>
  <c r="AW3707" i="1"/>
  <c r="AX3707" i="1"/>
  <c r="AW3712" i="1"/>
  <c r="AX3712" i="1"/>
  <c r="AW3711" i="1"/>
  <c r="AX3711" i="1"/>
  <c r="AW3716" i="1"/>
  <c r="AX3716" i="1"/>
  <c r="AW3713" i="1"/>
  <c r="AX3713" i="1"/>
  <c r="AW3715" i="1"/>
  <c r="AX3715" i="1"/>
  <c r="AW3714" i="1"/>
  <c r="AX3714" i="1"/>
  <c r="AW3709" i="1"/>
  <c r="AX3709" i="1"/>
  <c r="AW3710" i="1"/>
  <c r="AX3710" i="1"/>
  <c r="AW3717" i="1"/>
  <c r="AX3717" i="1"/>
  <c r="AW3718" i="1"/>
  <c r="AX3718" i="1"/>
  <c r="AW3719" i="1"/>
  <c r="AX3719" i="1"/>
  <c r="AW3720" i="1"/>
  <c r="AX3720" i="1"/>
  <c r="AW3723" i="1"/>
  <c r="AX3723" i="1"/>
  <c r="AW3727" i="1"/>
  <c r="AX3727" i="1"/>
  <c r="AW3724" i="1"/>
  <c r="AX3724" i="1"/>
  <c r="AW3725" i="1"/>
  <c r="AX3725" i="1"/>
  <c r="AW3721" i="1"/>
  <c r="AX3721" i="1"/>
  <c r="AW3722" i="1"/>
  <c r="AX3722" i="1"/>
  <c r="AW3728" i="1"/>
  <c r="AX3728" i="1"/>
  <c r="AW3726" i="1"/>
  <c r="AX3726" i="1"/>
  <c r="AW3730" i="1"/>
  <c r="AX3730" i="1"/>
  <c r="AW3737" i="1"/>
  <c r="AX3737" i="1"/>
  <c r="AW3732" i="1"/>
  <c r="AX3732" i="1"/>
  <c r="AW3731" i="1"/>
  <c r="AX3731" i="1"/>
  <c r="AW3733" i="1"/>
  <c r="AX3733" i="1"/>
  <c r="AW3729" i="1"/>
  <c r="AX3729" i="1"/>
  <c r="AW3735" i="1"/>
  <c r="AX3735" i="1"/>
  <c r="AX3734" i="1"/>
  <c r="AX3736" i="1"/>
  <c r="AX3738" i="1"/>
  <c r="AX3751" i="1"/>
  <c r="AW3747" i="1"/>
  <c r="AX3747" i="1"/>
  <c r="AW3752" i="1"/>
  <c r="AX3752" i="1"/>
  <c r="AW3740" i="1"/>
  <c r="AX3740" i="1"/>
  <c r="AW3743" i="1"/>
  <c r="AX3743" i="1"/>
  <c r="AW3757" i="1"/>
  <c r="AX3757" i="1"/>
  <c r="AW3756" i="1"/>
  <c r="AX3756" i="1"/>
  <c r="AW3754" i="1"/>
  <c r="AX3754" i="1"/>
  <c r="AW3755" i="1"/>
  <c r="AX3755" i="1"/>
  <c r="AW3753" i="1"/>
  <c r="AX3753" i="1"/>
  <c r="AW3739" i="1"/>
  <c r="AX3739" i="1"/>
  <c r="AW3746" i="1"/>
  <c r="AX3746" i="1"/>
  <c r="AW3748" i="1"/>
  <c r="AX3748" i="1"/>
  <c r="AW3750" i="1"/>
  <c r="AX3750" i="1"/>
  <c r="AW3749" i="1"/>
  <c r="AX3749" i="1"/>
  <c r="AW3742" i="1"/>
  <c r="AX3742" i="1"/>
  <c r="AX3741" i="1"/>
  <c r="AW3744" i="1"/>
  <c r="AX3744" i="1"/>
  <c r="AW3745" i="1"/>
  <c r="AX3745" i="1"/>
  <c r="AW3761" i="1"/>
  <c r="AX3761" i="1"/>
  <c r="AW3762" i="1"/>
  <c r="AX3762" i="1"/>
  <c r="AW3758" i="1"/>
  <c r="AX3758" i="1"/>
  <c r="AW3759" i="1"/>
  <c r="AX3759" i="1"/>
  <c r="AW3763" i="1"/>
  <c r="AX3763" i="1"/>
  <c r="AW3760" i="1"/>
  <c r="AX3760" i="1"/>
  <c r="AW3764" i="1"/>
  <c r="AX3764" i="1"/>
  <c r="AW3766" i="1"/>
  <c r="AX3766" i="1"/>
  <c r="AW3765" i="1"/>
  <c r="AX3765" i="1"/>
  <c r="AW3767" i="1"/>
  <c r="AX3767" i="1"/>
  <c r="AW3769" i="1"/>
  <c r="AX3769" i="1"/>
  <c r="AW3768" i="1"/>
  <c r="AX3768" i="1"/>
  <c r="AW3775" i="1"/>
  <c r="AX3775" i="1"/>
  <c r="AW3774" i="1"/>
  <c r="AX3774" i="1"/>
  <c r="AW3771" i="1"/>
  <c r="AX3771" i="1"/>
  <c r="AW3772" i="1"/>
  <c r="AX3772" i="1"/>
  <c r="AW3777" i="1"/>
  <c r="AX3777" i="1"/>
  <c r="AW3776" i="1"/>
  <c r="AX3776" i="1"/>
  <c r="AW3770" i="1"/>
  <c r="AX3770" i="1"/>
  <c r="AW3773" i="1"/>
  <c r="AX3773" i="1"/>
  <c r="AW3778" i="1"/>
  <c r="AX3778" i="1"/>
  <c r="AW3779" i="1"/>
  <c r="AX3779" i="1"/>
  <c r="AW3782" i="1"/>
  <c r="AX3782" i="1"/>
  <c r="AW3780" i="1"/>
  <c r="AX3780" i="1"/>
  <c r="AW3783" i="1"/>
  <c r="AX3783" i="1"/>
  <c r="AW3784" i="1"/>
  <c r="AX3784" i="1"/>
  <c r="AW3781" i="1"/>
  <c r="AX3781" i="1"/>
  <c r="AW3812" i="1"/>
  <c r="AX3812" i="1"/>
  <c r="AX3809" i="1"/>
  <c r="AX3785" i="1"/>
  <c r="AX3788" i="1"/>
  <c r="AW3789" i="1"/>
  <c r="AX3789" i="1"/>
  <c r="AW3796" i="1"/>
  <c r="AX3796" i="1"/>
  <c r="AW3791" i="1"/>
  <c r="AX3791" i="1"/>
  <c r="AW3810" i="1"/>
  <c r="AX3810" i="1"/>
  <c r="AW3802" i="1"/>
  <c r="AX3802" i="1"/>
  <c r="AX3806" i="1"/>
  <c r="AX3816" i="1"/>
  <c r="AX3818" i="1"/>
  <c r="AX3815" i="1"/>
  <c r="AW3817" i="1"/>
  <c r="AX3817" i="1"/>
  <c r="AW3814" i="1"/>
  <c r="AX3814" i="1"/>
  <c r="AW3813" i="1"/>
  <c r="AX3813" i="1"/>
  <c r="AX3805" i="1"/>
  <c r="AX3808" i="1"/>
  <c r="AX3799" i="1"/>
  <c r="AW3798" i="1"/>
  <c r="AX3798" i="1"/>
  <c r="AW3801" i="1"/>
  <c r="AX3801" i="1"/>
  <c r="AW3803" i="1"/>
  <c r="AX3803" i="1"/>
  <c r="AX3795" i="1"/>
  <c r="AX3794" i="1"/>
  <c r="AX3797" i="1"/>
  <c r="AX3793" i="1"/>
  <c r="AX3787" i="1"/>
  <c r="AX3786" i="1"/>
  <c r="AX3792" i="1"/>
  <c r="AX3790" i="1"/>
  <c r="AW3807" i="1"/>
  <c r="AX3807" i="1"/>
  <c r="AW3804" i="1"/>
  <c r="AX3804" i="1"/>
  <c r="AW3811" i="1"/>
  <c r="AX3811" i="1"/>
  <c r="AW3800" i="1"/>
  <c r="AX3800" i="1"/>
  <c r="AW3840" i="1"/>
  <c r="AX3840" i="1"/>
  <c r="AW3845" i="1"/>
  <c r="AX3845" i="1"/>
  <c r="AX3828" i="1"/>
  <c r="AX3826" i="1"/>
  <c r="AW3841" i="1"/>
  <c r="AX3841" i="1"/>
  <c r="AW3831" i="1"/>
  <c r="AX3831" i="1"/>
  <c r="AW3832" i="1"/>
  <c r="AX3832" i="1"/>
  <c r="AX3823" i="1"/>
  <c r="AW3846" i="1"/>
  <c r="AX3846" i="1"/>
  <c r="AW3847" i="1"/>
  <c r="AX3847" i="1"/>
  <c r="AW3834" i="1"/>
  <c r="AX3834" i="1"/>
  <c r="AW3827" i="1"/>
  <c r="AX3827" i="1"/>
  <c r="AW3842" i="1"/>
  <c r="AX3842" i="1"/>
  <c r="AW3835" i="1"/>
  <c r="AX3835" i="1"/>
  <c r="AX3824" i="1"/>
  <c r="AX3829" i="1"/>
  <c r="AX3822" i="1"/>
  <c r="AW3838" i="1"/>
  <c r="AX3838" i="1"/>
  <c r="AX3837" i="1"/>
  <c r="AX3830" i="1"/>
  <c r="AW3843" i="1"/>
  <c r="AX3843" i="1"/>
  <c r="AW3819" i="1"/>
  <c r="AX3819" i="1"/>
  <c r="AX3820" i="1"/>
  <c r="AX3833" i="1"/>
  <c r="AW3836" i="1"/>
  <c r="AX3836" i="1"/>
  <c r="AW3825" i="1"/>
  <c r="AX3825" i="1"/>
  <c r="AW3844" i="1"/>
  <c r="AX3844" i="1"/>
  <c r="AW3821" i="1"/>
  <c r="AX3821" i="1"/>
  <c r="AW3848" i="1"/>
  <c r="AX3848" i="1"/>
  <c r="AW3839" i="1"/>
  <c r="AX3839" i="1"/>
  <c r="AW3849" i="1"/>
  <c r="AX3849" i="1"/>
  <c r="AW3850" i="1"/>
  <c r="AX3850" i="1"/>
  <c r="AW3851" i="1"/>
  <c r="AX3851" i="1"/>
  <c r="AW3852" i="1"/>
  <c r="AX3852" i="1"/>
  <c r="AW3854" i="1"/>
  <c r="AX3854" i="1"/>
  <c r="AW3853" i="1"/>
  <c r="AX3853" i="1"/>
  <c r="AW3856" i="1"/>
  <c r="AX3856" i="1"/>
  <c r="AW3855" i="1"/>
  <c r="AX3855" i="1"/>
  <c r="AW3858" i="1"/>
  <c r="AX3858" i="1"/>
  <c r="AW3859" i="1"/>
  <c r="AX3859" i="1"/>
  <c r="AW3857" i="1"/>
  <c r="AX3857" i="1"/>
  <c r="AW3880" i="1"/>
  <c r="AX3880" i="1"/>
  <c r="AW3881" i="1"/>
  <c r="AX3881" i="1"/>
  <c r="AW3890" i="1"/>
  <c r="AX3890" i="1"/>
  <c r="AW3891" i="1"/>
  <c r="AX3891" i="1"/>
  <c r="AW3885" i="1"/>
  <c r="AX3885" i="1"/>
  <c r="AW3887" i="1"/>
  <c r="AX3887" i="1"/>
  <c r="AW3900" i="1"/>
  <c r="AX3900" i="1"/>
  <c r="AW3901" i="1"/>
  <c r="AX3901" i="1"/>
  <c r="AW3893" i="1"/>
  <c r="AX3893" i="1"/>
  <c r="AW3898" i="1"/>
  <c r="AX3898" i="1"/>
  <c r="AW3899" i="1"/>
  <c r="AX3899" i="1"/>
  <c r="AW3874" i="1"/>
  <c r="AX3874" i="1"/>
  <c r="AW3870" i="1"/>
  <c r="AX3870" i="1"/>
  <c r="AX3869" i="1"/>
  <c r="AX3871" i="1"/>
  <c r="AX3862" i="1"/>
  <c r="AX3867" i="1"/>
  <c r="AX3868" i="1"/>
  <c r="AX3875" i="1"/>
  <c r="AX3876" i="1"/>
  <c r="AX3863" i="1"/>
  <c r="AX3864" i="1"/>
  <c r="AX3865" i="1"/>
  <c r="AX3878" i="1"/>
  <c r="AX3872" i="1"/>
  <c r="AX3866" i="1"/>
  <c r="AX3873" i="1"/>
  <c r="AX3861" i="1"/>
  <c r="AX3877" i="1"/>
  <c r="AX3902" i="1"/>
  <c r="AX3888" i="1"/>
  <c r="AX3892" i="1"/>
  <c r="AX3896" i="1"/>
  <c r="AX3889" i="1"/>
  <c r="AX3894" i="1"/>
  <c r="AX3895" i="1"/>
  <c r="AX3897" i="1"/>
  <c r="AX3879" i="1"/>
  <c r="AX3886" i="1"/>
  <c r="AX3883" i="1"/>
  <c r="AX3884" i="1"/>
  <c r="AX3882" i="1"/>
  <c r="AX3860" i="1"/>
  <c r="AX3906" i="1"/>
  <c r="AX3910" i="1"/>
  <c r="AX3913" i="1"/>
  <c r="AX3907" i="1"/>
  <c r="AX3909" i="1"/>
  <c r="AX3911" i="1"/>
  <c r="AW3912" i="1"/>
  <c r="AX3912" i="1"/>
  <c r="AW3908" i="1"/>
  <c r="AX3908" i="1"/>
  <c r="AW3905" i="1"/>
  <c r="AX3905" i="1"/>
  <c r="AW3903" i="1"/>
  <c r="AX3903" i="1"/>
  <c r="AW3904" i="1"/>
  <c r="AX3904" i="1"/>
  <c r="AW3915" i="1"/>
  <c r="AX3915" i="1"/>
  <c r="AW3914" i="1"/>
  <c r="AX3914" i="1"/>
  <c r="AW3916" i="1"/>
  <c r="AX3916" i="1"/>
  <c r="AW3917" i="1"/>
  <c r="AX3917" i="1"/>
  <c r="AW3918" i="1"/>
  <c r="AX3918" i="1"/>
  <c r="AX3920" i="1"/>
  <c r="AX3919" i="1"/>
  <c r="AX3921" i="1"/>
  <c r="AX3922" i="1"/>
  <c r="AX3925" i="1"/>
  <c r="AX3924" i="1"/>
  <c r="AX3923" i="1"/>
  <c r="AX3927" i="1"/>
  <c r="AX3926" i="1"/>
  <c r="AX3928" i="1"/>
  <c r="AX3929" i="1"/>
  <c r="AX3934" i="1"/>
  <c r="AX3935" i="1"/>
  <c r="AX3936" i="1"/>
  <c r="AX3930" i="1"/>
  <c r="AX3933" i="1"/>
  <c r="AW3938" i="1"/>
  <c r="AX3938" i="1"/>
  <c r="AW3937" i="1"/>
  <c r="AX3937" i="1"/>
  <c r="AW3931" i="1"/>
  <c r="AX3931" i="1"/>
  <c r="AW3932" i="1"/>
  <c r="AX3932" i="1"/>
  <c r="AW3942" i="1"/>
  <c r="AX3942" i="1"/>
  <c r="AW3944" i="1"/>
  <c r="AX3944" i="1"/>
  <c r="AW3940" i="1"/>
  <c r="AX3940" i="1"/>
  <c r="AW3943" i="1"/>
  <c r="AX3943" i="1"/>
  <c r="AW3941" i="1"/>
  <c r="AX3941" i="1"/>
  <c r="AW3946" i="1"/>
  <c r="AX3946" i="1"/>
  <c r="AW3948" i="1"/>
  <c r="AX3948" i="1"/>
  <c r="AW3947" i="1"/>
  <c r="AX3947" i="1"/>
  <c r="AW3939" i="1"/>
  <c r="AX3939" i="1"/>
  <c r="AW3945" i="1"/>
  <c r="AX3945" i="1"/>
  <c r="AW3949" i="1"/>
  <c r="AX3949" i="1"/>
  <c r="AW3951" i="1"/>
  <c r="AX3951" i="1"/>
  <c r="AW3950" i="1"/>
  <c r="AX3950" i="1"/>
  <c r="AW3952" i="1"/>
  <c r="AX3952" i="1"/>
  <c r="AW3956" i="1"/>
  <c r="AX3956" i="1"/>
  <c r="AW3954" i="1"/>
  <c r="AX3954" i="1"/>
  <c r="AX3955" i="1"/>
  <c r="AX3953" i="1"/>
  <c r="AX3960" i="1"/>
  <c r="AX3959" i="1"/>
  <c r="AX3957" i="1"/>
  <c r="AX3958" i="1"/>
  <c r="AX3961" i="1"/>
  <c r="AX3963" i="1"/>
  <c r="AX3962" i="1"/>
  <c r="AX3965" i="1"/>
  <c r="AX3964" i="1"/>
  <c r="AX3967" i="1"/>
  <c r="AX3966" i="1"/>
  <c r="AX3984" i="1"/>
  <c r="AX3985" i="1"/>
  <c r="AX3979" i="1"/>
  <c r="AX3977" i="1"/>
  <c r="AX3969" i="1"/>
  <c r="AX3978" i="1"/>
  <c r="AX3973" i="1"/>
  <c r="AX3970" i="1"/>
  <c r="AX3971" i="1"/>
  <c r="AW3968" i="1"/>
  <c r="AX3968" i="1"/>
  <c r="AW3974" i="1"/>
  <c r="AX3974" i="1"/>
  <c r="AW3972" i="1"/>
  <c r="AX3972" i="1"/>
  <c r="AW3976" i="1"/>
  <c r="AX3976" i="1"/>
  <c r="AW3975" i="1"/>
  <c r="AX3975" i="1"/>
  <c r="AW3983" i="1"/>
  <c r="AX3983" i="1"/>
  <c r="AW3980" i="1"/>
  <c r="AX3980" i="1"/>
  <c r="AW3981" i="1"/>
  <c r="AX3981" i="1"/>
  <c r="AW3982" i="1"/>
  <c r="AX3982" i="1"/>
  <c r="AW3986" i="1"/>
  <c r="AX3986" i="1"/>
  <c r="AW3993" i="1"/>
  <c r="AX3993" i="1"/>
  <c r="AW3994" i="1"/>
  <c r="AX3994" i="1"/>
  <c r="AW3996" i="1"/>
  <c r="AX3996" i="1"/>
  <c r="AW3991" i="1"/>
  <c r="AX3991" i="1"/>
  <c r="AW3992" i="1"/>
  <c r="AX3992" i="1"/>
  <c r="AW3995" i="1"/>
  <c r="AX3995" i="1"/>
  <c r="AW3987" i="1"/>
  <c r="AX3987" i="1"/>
  <c r="AW3988" i="1"/>
  <c r="AX3988" i="1"/>
  <c r="AW3990" i="1"/>
  <c r="AX3990" i="1"/>
  <c r="AW3989" i="1"/>
  <c r="AX3989" i="1"/>
  <c r="AW3998" i="1"/>
  <c r="AX3998" i="1"/>
  <c r="AW4000" i="1"/>
  <c r="AX4000" i="1"/>
  <c r="AW3997" i="1"/>
  <c r="AX3997" i="1"/>
  <c r="AW4001" i="1"/>
  <c r="AX4001" i="1"/>
  <c r="AW3999" i="1"/>
  <c r="AX3999" i="1"/>
  <c r="AW4004" i="1"/>
  <c r="AX4004" i="1"/>
  <c r="AW4006" i="1"/>
  <c r="AX4006" i="1"/>
  <c r="AW4003" i="1"/>
  <c r="AX4003" i="1"/>
  <c r="AW4005" i="1"/>
  <c r="AX4005" i="1"/>
  <c r="AW4002" i="1"/>
  <c r="AX4002" i="1"/>
  <c r="AW4007" i="1"/>
  <c r="AX4007" i="1"/>
  <c r="AW4008" i="1"/>
  <c r="AX4008" i="1"/>
  <c r="AW4010" i="1"/>
  <c r="AX4010" i="1"/>
  <c r="AW4009" i="1"/>
  <c r="AX4009" i="1"/>
  <c r="AW4013" i="1"/>
  <c r="AX4013" i="1"/>
  <c r="AW4011" i="1"/>
  <c r="AX4011" i="1"/>
  <c r="AW4012" i="1"/>
  <c r="AX4012" i="1"/>
  <c r="AW4014" i="1"/>
  <c r="AX4014" i="1"/>
  <c r="AW4018" i="1"/>
  <c r="AX4018" i="1"/>
  <c r="AW4019" i="1"/>
  <c r="AX4019" i="1"/>
  <c r="AW4015" i="1"/>
  <c r="AX4015" i="1"/>
  <c r="AW4016" i="1"/>
  <c r="AX4016" i="1"/>
  <c r="AW4017" i="1"/>
  <c r="AX4017" i="1"/>
  <c r="AW4021" i="1"/>
  <c r="AX4021" i="1"/>
  <c r="AW4022" i="1"/>
  <c r="AX4022" i="1"/>
  <c r="AW4020" i="1"/>
  <c r="AX4020" i="1"/>
  <c r="AW4026" i="1"/>
  <c r="AX4026" i="1"/>
  <c r="AW4025" i="1"/>
  <c r="AX4025" i="1"/>
  <c r="AW4024" i="1"/>
  <c r="AX4024" i="1"/>
  <c r="AW4023" i="1"/>
  <c r="AX4023" i="1"/>
  <c r="AW4033" i="1"/>
  <c r="AX4033" i="1"/>
  <c r="AW4029" i="1"/>
  <c r="AX4029" i="1"/>
  <c r="AW4035" i="1"/>
  <c r="AX4035" i="1"/>
  <c r="AW4036" i="1"/>
  <c r="AX4036" i="1"/>
  <c r="AW4030" i="1"/>
  <c r="AX4030" i="1"/>
  <c r="AW4034" i="1"/>
  <c r="AX4034" i="1"/>
  <c r="AW4032" i="1"/>
  <c r="AX4032" i="1"/>
  <c r="AW4031" i="1"/>
  <c r="AX4031" i="1"/>
  <c r="AW4027" i="1"/>
  <c r="AX4027" i="1"/>
  <c r="AW4028" i="1"/>
  <c r="AX4028" i="1"/>
  <c r="AW4038" i="1"/>
  <c r="AX4038" i="1"/>
  <c r="AW4037" i="1"/>
  <c r="AX4037" i="1"/>
  <c r="AW4039" i="1"/>
  <c r="AX4039" i="1"/>
  <c r="AW4042" i="1"/>
  <c r="AX4042" i="1"/>
  <c r="AW4040" i="1"/>
  <c r="AX4040" i="1"/>
  <c r="AW4043" i="1"/>
  <c r="AX4043" i="1"/>
  <c r="AW4041" i="1"/>
  <c r="AX4041" i="1"/>
  <c r="AW4044" i="1"/>
  <c r="AX4044" i="1"/>
  <c r="AX4046" i="1"/>
  <c r="AX4052" i="1"/>
  <c r="AX4047" i="1"/>
  <c r="AX4050" i="1"/>
  <c r="AX4049" i="1"/>
  <c r="AX4048" i="1"/>
  <c r="AX4051" i="1"/>
  <c r="AX4045" i="1"/>
  <c r="AW4059" i="1"/>
  <c r="AX4059" i="1"/>
  <c r="AW4060" i="1"/>
  <c r="AX4060" i="1"/>
  <c r="AX4055" i="1"/>
  <c r="AX4053" i="1"/>
  <c r="AW4054" i="1"/>
  <c r="AX4054" i="1"/>
  <c r="AW4056" i="1"/>
  <c r="AX4056" i="1"/>
  <c r="AW4062" i="1"/>
  <c r="AX4062" i="1"/>
  <c r="AW4057" i="1"/>
  <c r="AX4057" i="1"/>
  <c r="AW4058" i="1"/>
  <c r="AX4058" i="1"/>
  <c r="AW4061" i="1"/>
  <c r="AX4061" i="1"/>
  <c r="AW4063" i="1"/>
  <c r="AX4063" i="1"/>
  <c r="AW4065" i="1"/>
  <c r="AX4065" i="1"/>
  <c r="AW4064" i="1"/>
  <c r="AX4064" i="1"/>
  <c r="AW4066" i="1"/>
  <c r="AX4066" i="1"/>
  <c r="AW4068" i="1"/>
  <c r="AX4068" i="1"/>
  <c r="AW4067" i="1"/>
  <c r="AX4067" i="1"/>
  <c r="AW4087" i="1"/>
  <c r="AX4087" i="1"/>
  <c r="AW4088" i="1"/>
  <c r="AX4088" i="1"/>
  <c r="AW4084" i="1"/>
  <c r="AX4084" i="1"/>
  <c r="AW4085" i="1"/>
  <c r="AX4085" i="1"/>
  <c r="AW4086" i="1"/>
  <c r="AX4086" i="1"/>
  <c r="AW4083" i="1"/>
  <c r="AX4083" i="1"/>
  <c r="AW4070" i="1"/>
  <c r="AX4070" i="1"/>
  <c r="AW4076" i="1"/>
  <c r="AX4076" i="1"/>
  <c r="AW4075" i="1"/>
  <c r="AX4075" i="1"/>
  <c r="AW4073" i="1"/>
  <c r="AX4073" i="1"/>
  <c r="AW4069" i="1"/>
  <c r="AX4069" i="1"/>
  <c r="AW4082" i="1"/>
  <c r="AX4082" i="1"/>
  <c r="AW4077" i="1"/>
  <c r="AX4077" i="1"/>
  <c r="AW4078" i="1"/>
  <c r="AX4078" i="1"/>
  <c r="AW4081" i="1"/>
  <c r="AX4081" i="1"/>
  <c r="AW4079" i="1"/>
  <c r="AX4079" i="1"/>
  <c r="AW4074" i="1"/>
  <c r="AX4074" i="1"/>
  <c r="AW4080" i="1"/>
  <c r="AX4080" i="1"/>
  <c r="AW4071" i="1"/>
  <c r="AX4071" i="1"/>
  <c r="AW4072" i="1"/>
  <c r="AX4072" i="1"/>
  <c r="AW4094" i="1"/>
  <c r="AX4094" i="1"/>
  <c r="AW4090" i="1"/>
  <c r="AX4090" i="1"/>
  <c r="AW4093" i="1"/>
  <c r="AX4093" i="1"/>
  <c r="AW4091" i="1"/>
  <c r="AX4091" i="1"/>
  <c r="AW4089" i="1"/>
  <c r="AX4089" i="1"/>
  <c r="AW4092" i="1"/>
  <c r="AX4092" i="1"/>
  <c r="AW4098" i="1"/>
  <c r="AX4098" i="1"/>
  <c r="AW4095" i="1"/>
  <c r="AX4095" i="1"/>
  <c r="AW4100" i="1"/>
  <c r="AX4100" i="1"/>
  <c r="AW4106" i="1"/>
  <c r="AX4106" i="1"/>
  <c r="AW4101" i="1"/>
  <c r="AX4101" i="1"/>
  <c r="AW4099" i="1"/>
  <c r="AX4099" i="1"/>
  <c r="AW4097" i="1"/>
  <c r="AX4097" i="1"/>
  <c r="AW4096" i="1"/>
  <c r="AX4096" i="1"/>
  <c r="AW4104" i="1"/>
  <c r="AX4104" i="1"/>
  <c r="AW4105" i="1"/>
  <c r="AX4105" i="1"/>
  <c r="AW4102" i="1"/>
  <c r="AX4102" i="1"/>
  <c r="AW4103" i="1"/>
  <c r="AX4103" i="1"/>
  <c r="AW4108" i="1"/>
  <c r="AX4108" i="1"/>
  <c r="AW4109" i="1"/>
  <c r="AX4109" i="1"/>
  <c r="AW4107" i="1"/>
  <c r="AX4107" i="1"/>
  <c r="AW4111" i="1"/>
  <c r="AX4111" i="1"/>
  <c r="AW4112" i="1"/>
  <c r="AX4112" i="1"/>
  <c r="AW4110" i="1"/>
  <c r="AX4110" i="1"/>
  <c r="AW4113" i="1"/>
  <c r="AX4113" i="1"/>
  <c r="AW4114" i="1"/>
  <c r="AX4114" i="1"/>
  <c r="AW4115" i="1"/>
  <c r="AX4115" i="1"/>
  <c r="AW4129" i="1"/>
  <c r="AX4129" i="1"/>
  <c r="AW4128" i="1"/>
  <c r="AX4128" i="1"/>
  <c r="AW4130" i="1"/>
  <c r="AX4130" i="1"/>
  <c r="AW4131" i="1"/>
  <c r="AX4131" i="1"/>
  <c r="AW4122" i="1"/>
  <c r="AX4122" i="1"/>
  <c r="AW4125" i="1"/>
  <c r="AX4125" i="1"/>
  <c r="AW4118" i="1"/>
  <c r="AX4118" i="1"/>
  <c r="AW4123" i="1"/>
  <c r="AX4123" i="1"/>
  <c r="AW4126" i="1"/>
  <c r="AX4126" i="1"/>
  <c r="AW4119" i="1"/>
  <c r="AX4119" i="1"/>
  <c r="AW4116" i="1"/>
  <c r="AX4116" i="1"/>
  <c r="AW4124" i="1"/>
  <c r="AX4124" i="1"/>
  <c r="AW4120" i="1"/>
  <c r="AX4120" i="1"/>
  <c r="AX4127" i="1"/>
  <c r="AX4117" i="1"/>
  <c r="AX4121" i="1"/>
  <c r="AX4133" i="1"/>
  <c r="AX4135" i="1"/>
  <c r="AX4136" i="1"/>
  <c r="AW4134" i="1"/>
  <c r="AX4134" i="1"/>
  <c r="AW4132" i="1"/>
  <c r="AX4132" i="1"/>
  <c r="AW4139" i="1"/>
  <c r="AX4139" i="1"/>
  <c r="AW4140" i="1"/>
  <c r="AX4140" i="1"/>
  <c r="AW4137" i="1"/>
  <c r="AX4137" i="1"/>
  <c r="AW4138" i="1"/>
  <c r="AX4138" i="1"/>
  <c r="AW4141" i="1"/>
  <c r="AX4141" i="1"/>
  <c r="AW4142" i="1"/>
  <c r="AX4142" i="1"/>
  <c r="AW4144" i="1"/>
  <c r="AX4144" i="1"/>
  <c r="AW4146" i="1"/>
  <c r="AX4146" i="1"/>
  <c r="AW4145" i="1"/>
  <c r="AX4145" i="1"/>
  <c r="AW4143" i="1"/>
  <c r="AX4143" i="1"/>
  <c r="AW4148" i="1"/>
  <c r="AX4148" i="1"/>
  <c r="AW4147" i="1"/>
  <c r="AX4147" i="1"/>
  <c r="AW4152" i="1"/>
  <c r="AX4152" i="1"/>
  <c r="AW4151" i="1"/>
  <c r="AX4151" i="1"/>
  <c r="AW4149" i="1"/>
  <c r="AX4149" i="1"/>
  <c r="AW4150" i="1"/>
  <c r="AX4150" i="1"/>
  <c r="AW4154" i="1"/>
  <c r="AX4154" i="1"/>
  <c r="AW4153" i="1"/>
  <c r="AX4153" i="1"/>
  <c r="AW4157" i="1"/>
  <c r="AX4157" i="1"/>
  <c r="AW4156" i="1"/>
  <c r="AX4156" i="1"/>
  <c r="AW4155" i="1"/>
  <c r="AX4155" i="1"/>
  <c r="AW4158" i="1"/>
  <c r="AX4158" i="1"/>
  <c r="AW4167" i="1"/>
  <c r="AX4167" i="1"/>
  <c r="AW4163" i="1"/>
  <c r="AX4163" i="1"/>
  <c r="AW4160" i="1"/>
  <c r="AX4160" i="1"/>
  <c r="AW4162" i="1"/>
  <c r="AX4162" i="1"/>
  <c r="AW4164" i="1"/>
  <c r="AX4164" i="1"/>
  <c r="AW4161" i="1"/>
  <c r="AX4161" i="1"/>
  <c r="AW4159" i="1"/>
  <c r="AX4159" i="1"/>
  <c r="AW4165" i="1"/>
  <c r="AX4165" i="1"/>
  <c r="AW4166" i="1"/>
  <c r="AX4166" i="1"/>
  <c r="AW4169" i="1"/>
  <c r="AX4169" i="1"/>
  <c r="AW4168" i="1"/>
  <c r="AX4168" i="1"/>
  <c r="AW4170" i="1"/>
  <c r="AX4170" i="1"/>
  <c r="AW4171" i="1"/>
  <c r="AX4171" i="1"/>
  <c r="AW4173" i="1"/>
  <c r="AX4173" i="1"/>
  <c r="AW4172" i="1"/>
  <c r="AX4172" i="1"/>
  <c r="AW4174" i="1"/>
  <c r="AX4174" i="1"/>
  <c r="AW4175" i="1"/>
  <c r="AX4175" i="1"/>
  <c r="AW4176" i="1"/>
  <c r="AX4176" i="1"/>
  <c r="AW4177" i="1"/>
  <c r="AX4177" i="1"/>
  <c r="AW4179" i="1"/>
  <c r="AX4179" i="1"/>
  <c r="AW4178" i="1"/>
  <c r="AX4178" i="1"/>
  <c r="AW4181" i="1"/>
  <c r="AX4181" i="1"/>
  <c r="AW4180" i="1"/>
  <c r="AX4180" i="1"/>
  <c r="AW4182" i="1"/>
  <c r="AX4182" i="1"/>
  <c r="AW4183" i="1"/>
  <c r="AX4183" i="1"/>
  <c r="AW4186" i="1"/>
  <c r="AX4186" i="1"/>
  <c r="AX4187" i="1"/>
  <c r="AX4192" i="1"/>
  <c r="AX4189" i="1"/>
  <c r="AX4188" i="1"/>
  <c r="AX4184" i="1"/>
  <c r="AX4185" i="1"/>
  <c r="AX4190" i="1"/>
  <c r="AX4193" i="1"/>
  <c r="AX4191" i="1"/>
  <c r="AX4194" i="1"/>
  <c r="AX4195" i="1"/>
  <c r="AX4199" i="1"/>
  <c r="AW4201" i="1"/>
  <c r="AX4201" i="1"/>
  <c r="AW4196" i="1"/>
  <c r="AX4196" i="1"/>
  <c r="AW4197" i="1"/>
  <c r="AX4197" i="1"/>
  <c r="AW4198" i="1"/>
  <c r="AX4198" i="1"/>
  <c r="AW4200" i="1"/>
  <c r="AX4200" i="1"/>
  <c r="AW4210" i="1"/>
  <c r="AX4210" i="1"/>
  <c r="AW4208" i="1"/>
  <c r="AX4208" i="1"/>
  <c r="AW4202" i="1"/>
  <c r="AX4202" i="1"/>
  <c r="AX4207" i="1"/>
  <c r="AX4209" i="1"/>
  <c r="AX4205" i="1"/>
  <c r="AX4211" i="1"/>
  <c r="AX4206" i="1"/>
  <c r="AX4203" i="1"/>
  <c r="AW4204" i="1"/>
  <c r="AX4204" i="1"/>
  <c r="AW4218" i="1"/>
  <c r="AX4218" i="1"/>
  <c r="AX4217" i="1"/>
  <c r="AX4216" i="1"/>
  <c r="AX4219" i="1"/>
  <c r="AX4212" i="1"/>
  <c r="AW4213" i="1"/>
  <c r="AX4213" i="1"/>
  <c r="AW4214" i="1"/>
  <c r="AX4214" i="1"/>
  <c r="AW4215" i="1"/>
  <c r="AX4215" i="1"/>
  <c r="AW4222" i="1"/>
  <c r="AX4222" i="1"/>
  <c r="AW4220" i="1"/>
  <c r="AX4220" i="1"/>
  <c r="AW4221" i="1"/>
  <c r="AX4221" i="1"/>
  <c r="AX3403" i="1"/>
  <c r="AW3403" i="1"/>
  <c r="AW3824" i="1" l="1"/>
  <c r="AY3824" i="1" s="1"/>
  <c r="AZ3824" i="1" s="1"/>
  <c r="AW3822" i="1"/>
  <c r="AY3822" i="1" s="1"/>
  <c r="BA3822" i="1" s="1"/>
  <c r="AY3438" i="1"/>
  <c r="AY3424" i="1"/>
  <c r="AW3829" i="1"/>
  <c r="AY3829" i="1" s="1"/>
  <c r="BA3829" i="1" s="1"/>
  <c r="AY4137" i="1"/>
  <c r="AY3772" i="1"/>
  <c r="AW3837" i="1"/>
  <c r="AY3837" i="1" s="1"/>
  <c r="BA3837" i="1" s="1"/>
  <c r="AY4073" i="1"/>
  <c r="AY4175" i="1"/>
  <c r="AZ4175" i="1" s="1"/>
  <c r="AY3714" i="1"/>
  <c r="BA3714" i="1" s="1"/>
  <c r="AY4001" i="1"/>
  <c r="AZ4001" i="1" s="1"/>
  <c r="AY3981" i="1"/>
  <c r="AY3917" i="1"/>
  <c r="AY3851" i="1"/>
  <c r="AY4164" i="1"/>
  <c r="AY4157" i="1"/>
  <c r="AY4148" i="1"/>
  <c r="AZ4148" i="1" s="1"/>
  <c r="AY4172" i="1"/>
  <c r="BA4172" i="1" s="1"/>
  <c r="AY3982" i="1"/>
  <c r="BA3982" i="1" s="1"/>
  <c r="AY3615" i="1"/>
  <c r="AY3639" i="1"/>
  <c r="AY4149" i="1"/>
  <c r="AY3706" i="1"/>
  <c r="AY3914" i="1"/>
  <c r="AY3887" i="1"/>
  <c r="AZ3887" i="1" s="1"/>
  <c r="AY3849" i="1"/>
  <c r="BA3849" i="1" s="1"/>
  <c r="AY3667" i="1"/>
  <c r="AY3403" i="1"/>
  <c r="AY4095" i="1"/>
  <c r="AY4065" i="1"/>
  <c r="AY4041" i="1"/>
  <c r="AY3725" i="1"/>
  <c r="AY3687" i="1"/>
  <c r="BA3687" i="1" s="1"/>
  <c r="AY3452" i="1"/>
  <c r="AZ3452" i="1" s="1"/>
  <c r="AY4078" i="1"/>
  <c r="AZ4078" i="1" s="1"/>
  <c r="AY3711" i="1"/>
  <c r="AZ3711" i="1" s="1"/>
  <c r="AY3750" i="1"/>
  <c r="AZ3750" i="1" s="1"/>
  <c r="AY4201" i="1"/>
  <c r="AY4087" i="1"/>
  <c r="AZ4087" i="1" s="1"/>
  <c r="AY3770" i="1"/>
  <c r="BA3770" i="1" s="1"/>
  <c r="AY4167" i="1"/>
  <c r="BA4167" i="1" s="1"/>
  <c r="AY3609" i="1"/>
  <c r="AZ3609" i="1" s="1"/>
  <c r="AY3608" i="1"/>
  <c r="AY3600" i="1"/>
  <c r="AZ3600" i="1" s="1"/>
  <c r="AY3466" i="1"/>
  <c r="AY4170" i="1"/>
  <c r="AY3699" i="1"/>
  <c r="BA3699" i="1" s="1"/>
  <c r="AY4176" i="1"/>
  <c r="BA4176" i="1" s="1"/>
  <c r="AY3576" i="1"/>
  <c r="BA3576" i="1" s="1"/>
  <c r="AY3798" i="1"/>
  <c r="BA3798" i="1" s="1"/>
  <c r="AY3456" i="1"/>
  <c r="AZ3456" i="1" s="1"/>
  <c r="AY4134" i="1"/>
  <c r="AZ4134" i="1" s="1"/>
  <c r="AY3859" i="1"/>
  <c r="AZ3859" i="1" s="1"/>
  <c r="AY3464" i="1"/>
  <c r="AZ3464" i="1" s="1"/>
  <c r="AY4086" i="1"/>
  <c r="AY4028" i="1"/>
  <c r="AZ4028" i="1" s="1"/>
  <c r="AY3748" i="1"/>
  <c r="AY3470" i="1"/>
  <c r="BA3470" i="1" s="1"/>
  <c r="AY4069" i="1"/>
  <c r="BA4069" i="1" s="1"/>
  <c r="AY4162" i="1"/>
  <c r="BA4162" i="1" s="1"/>
  <c r="AY3654" i="1"/>
  <c r="BA3654" i="1" s="1"/>
  <c r="AY3618" i="1"/>
  <c r="AY3513" i="1"/>
  <c r="AY3439" i="1"/>
  <c r="AZ3439" i="1" s="1"/>
  <c r="AY3723" i="1"/>
  <c r="BA3723" i="1" s="1"/>
  <c r="AY4183" i="1"/>
  <c r="BA4183" i="1" s="1"/>
  <c r="AY3648" i="1"/>
  <c r="BA3648" i="1" s="1"/>
  <c r="AY4012" i="1"/>
  <c r="BA4012" i="1" s="1"/>
  <c r="AY3915" i="1"/>
  <c r="BA3915" i="1" s="1"/>
  <c r="AY3870" i="1"/>
  <c r="AZ3870" i="1" s="1"/>
  <c r="AY3956" i="1"/>
  <c r="AZ3956" i="1" s="1"/>
  <c r="AY4120" i="1"/>
  <c r="AZ4120" i="1" s="1"/>
  <c r="AY4122" i="1"/>
  <c r="AZ4122" i="1" s="1"/>
  <c r="AY3972" i="1"/>
  <c r="BA3972" i="1" s="1"/>
  <c r="AY3952" i="1"/>
  <c r="AZ3952" i="1" s="1"/>
  <c r="AY3946" i="1"/>
  <c r="AZ3946" i="1" s="1"/>
  <c r="AY3937" i="1"/>
  <c r="AZ3937" i="1" s="1"/>
  <c r="AY3463" i="1"/>
  <c r="BA3463" i="1" s="1"/>
  <c r="AY3447" i="1"/>
  <c r="AZ3447" i="1" s="1"/>
  <c r="AY3931" i="1"/>
  <c r="AZ3931" i="1" s="1"/>
  <c r="AY4222" i="1"/>
  <c r="AZ4222" i="1" s="1"/>
  <c r="AY4104" i="1"/>
  <c r="BA4104" i="1" s="1"/>
  <c r="AY4031" i="1"/>
  <c r="AZ4031" i="1" s="1"/>
  <c r="AY4016" i="1"/>
  <c r="BA4016" i="1" s="1"/>
  <c r="AY4009" i="1"/>
  <c r="AZ4009" i="1" s="1"/>
  <c r="AY4004" i="1"/>
  <c r="AZ4004" i="1" s="1"/>
  <c r="AY3986" i="1"/>
  <c r="AY3881" i="1"/>
  <c r="BA3881" i="1" s="1"/>
  <c r="AY3766" i="1"/>
  <c r="BA3766" i="1" s="1"/>
  <c r="AY3874" i="1"/>
  <c r="AZ3874" i="1" s="1"/>
  <c r="AY4160" i="1"/>
  <c r="BA4160" i="1" s="1"/>
  <c r="AY3753" i="1"/>
  <c r="AZ3753" i="1" s="1"/>
  <c r="AY3461" i="1"/>
  <c r="AY3814" i="1"/>
  <c r="AY3801" i="1"/>
  <c r="AZ3801" i="1" s="1"/>
  <c r="AY3674" i="1"/>
  <c r="AZ3674" i="1" s="1"/>
  <c r="AY3603" i="1"/>
  <c r="BA3603" i="1" s="1"/>
  <c r="AY3578" i="1"/>
  <c r="BA3578" i="1" s="1"/>
  <c r="AY3830" i="1"/>
  <c r="BA3830" i="1" s="1"/>
  <c r="AY4025" i="1"/>
  <c r="AZ4025" i="1" s="1"/>
  <c r="AY3657" i="1"/>
  <c r="BA3657" i="1" s="1"/>
  <c r="AY4019" i="1"/>
  <c r="AY4007" i="1"/>
  <c r="BA4007" i="1" s="1"/>
  <c r="AY3992" i="1"/>
  <c r="AZ3992" i="1" s="1"/>
  <c r="AY3784" i="1"/>
  <c r="BA3784" i="1" s="1"/>
  <c r="AY3726" i="1"/>
  <c r="AZ3726" i="1" s="1"/>
  <c r="AY3650" i="1"/>
  <c r="BA3650" i="1" s="1"/>
  <c r="AY4165" i="1"/>
  <c r="AZ4165" i="1" s="1"/>
  <c r="AY3831" i="1"/>
  <c r="AZ3831" i="1" s="1"/>
  <c r="AY3777" i="1"/>
  <c r="AZ3777" i="1" s="1"/>
  <c r="AY3713" i="1"/>
  <c r="AZ3713" i="1" s="1"/>
  <c r="AY3719" i="1"/>
  <c r="BA3719" i="1" s="1"/>
  <c r="AY3436" i="1"/>
  <c r="AZ3436" i="1" s="1"/>
  <c r="AY3422" i="1"/>
  <c r="AZ3422" i="1" s="1"/>
  <c r="AY3419" i="1"/>
  <c r="AZ3419" i="1" s="1"/>
  <c r="AY3718" i="1"/>
  <c r="BA3718" i="1" s="1"/>
  <c r="AY3679" i="1"/>
  <c r="BA3679" i="1" s="1"/>
  <c r="AY3647" i="1"/>
  <c r="AY3625" i="1"/>
  <c r="AZ3625" i="1" s="1"/>
  <c r="AY3995" i="1"/>
  <c r="AZ3995" i="1" s="1"/>
  <c r="AY4208" i="1"/>
  <c r="BA4208" i="1" s="1"/>
  <c r="AY4026" i="1"/>
  <c r="BA4026" i="1" s="1"/>
  <c r="AY3773" i="1"/>
  <c r="AZ3773" i="1" s="1"/>
  <c r="AY4147" i="1"/>
  <c r="BA4147" i="1" s="1"/>
  <c r="AY4114" i="1"/>
  <c r="AZ4114" i="1" s="1"/>
  <c r="AY4090" i="1"/>
  <c r="BA4090" i="1" s="1"/>
  <c r="AY4066" i="1"/>
  <c r="AZ4066" i="1" s="1"/>
  <c r="AY4056" i="1"/>
  <c r="BA4056" i="1" s="1"/>
  <c r="AY4038" i="1"/>
  <c r="BA4038" i="1" s="1"/>
  <c r="AY4000" i="1"/>
  <c r="BA4000" i="1" s="1"/>
  <c r="AY3980" i="1"/>
  <c r="BA3980" i="1" s="1"/>
  <c r="AY3900" i="1"/>
  <c r="AZ3900" i="1" s="1"/>
  <c r="AY3850" i="1"/>
  <c r="BA3850" i="1" s="1"/>
  <c r="AY3776" i="1"/>
  <c r="BA3776" i="1" s="1"/>
  <c r="AY3715" i="1"/>
  <c r="BA3715" i="1" s="1"/>
  <c r="AY3620" i="1"/>
  <c r="BA3620" i="1" s="1"/>
  <c r="AY3453" i="1"/>
  <c r="BA3453" i="1" s="1"/>
  <c r="AY3448" i="1"/>
  <c r="BA3448" i="1" s="1"/>
  <c r="AY3427" i="1"/>
  <c r="BA3427" i="1" s="1"/>
  <c r="AY3672" i="1"/>
  <c r="AZ3672" i="1" s="1"/>
  <c r="AY3420" i="1"/>
  <c r="AY3807" i="1"/>
  <c r="BA3807" i="1" s="1"/>
  <c r="AY4204" i="1"/>
  <c r="AZ4204" i="1" s="1"/>
  <c r="AY4100" i="1"/>
  <c r="BA4100" i="1" s="1"/>
  <c r="AY4011" i="1"/>
  <c r="AZ4011" i="1" s="1"/>
  <c r="AY3819" i="1"/>
  <c r="AZ3819" i="1" s="1"/>
  <c r="AY3749" i="1"/>
  <c r="BA3749" i="1" s="1"/>
  <c r="AY3735" i="1"/>
  <c r="BA3735" i="1" s="1"/>
  <c r="AY3678" i="1"/>
  <c r="BA3678" i="1" s="1"/>
  <c r="AY3671" i="1"/>
  <c r="AZ3671" i="1" s="1"/>
  <c r="AY3649" i="1"/>
  <c r="BA3649" i="1" s="1"/>
  <c r="AY3605" i="1"/>
  <c r="AZ3605" i="1" s="1"/>
  <c r="AY3457" i="1"/>
  <c r="AZ3457" i="1" s="1"/>
  <c r="AY4140" i="1"/>
  <c r="AZ4140" i="1" s="1"/>
  <c r="AY4112" i="1"/>
  <c r="AZ4112" i="1" s="1"/>
  <c r="AY4033" i="1"/>
  <c r="BA4033" i="1" s="1"/>
  <c r="AY4017" i="1"/>
  <c r="AZ4017" i="1" s="1"/>
  <c r="AY4013" i="1"/>
  <c r="AZ4013" i="1" s="1"/>
  <c r="AY3843" i="1"/>
  <c r="AZ3843" i="1" s="1"/>
  <c r="AY3695" i="1"/>
  <c r="BA3695" i="1" s="1"/>
  <c r="AY3641" i="1"/>
  <c r="AZ3641" i="1" s="1"/>
  <c r="AY3437" i="1"/>
  <c r="AZ3437" i="1" s="1"/>
  <c r="AY4071" i="1"/>
  <c r="BA4071" i="1" s="1"/>
  <c r="AY4084" i="1"/>
  <c r="BA4084" i="1" s="1"/>
  <c r="AY4063" i="1"/>
  <c r="AZ4063" i="1" s="1"/>
  <c r="AY3990" i="1"/>
  <c r="AZ3990" i="1" s="1"/>
  <c r="AY3848" i="1"/>
  <c r="AZ3848" i="1" s="1"/>
  <c r="AY3782" i="1"/>
  <c r="BA3782" i="1" s="1"/>
  <c r="AY3771" i="1"/>
  <c r="BA3771" i="1" s="1"/>
  <c r="AY3693" i="1"/>
  <c r="AZ3693" i="1" s="1"/>
  <c r="AY3575" i="1"/>
  <c r="AZ3575" i="1" s="1"/>
  <c r="AY4040" i="1"/>
  <c r="BA4040" i="1" s="1"/>
  <c r="AY3767" i="1"/>
  <c r="AZ3767" i="1" s="1"/>
  <c r="AY3684" i="1"/>
  <c r="BA3684" i="1" s="1"/>
  <c r="AY3676" i="1"/>
  <c r="AZ3676" i="1" s="1"/>
  <c r="AY3449" i="1"/>
  <c r="BA3449" i="1" s="1"/>
  <c r="AY3740" i="1"/>
  <c r="AZ3740" i="1" s="1"/>
  <c r="AY4126" i="1"/>
  <c r="AZ4126" i="1" s="1"/>
  <c r="AY4042" i="1"/>
  <c r="AZ4042" i="1" s="1"/>
  <c r="AY4034" i="1"/>
  <c r="AZ4034" i="1" s="1"/>
  <c r="AY3950" i="1"/>
  <c r="AY3941" i="1"/>
  <c r="AZ3941" i="1" s="1"/>
  <c r="AY3938" i="1"/>
  <c r="AZ3938" i="1" s="1"/>
  <c r="AY3812" i="1"/>
  <c r="AZ3812" i="1" s="1"/>
  <c r="AY3761" i="1"/>
  <c r="BA3761" i="1" s="1"/>
  <c r="AY3739" i="1"/>
  <c r="AZ3739" i="1" s="1"/>
  <c r="AY3732" i="1"/>
  <c r="AY3606" i="1"/>
  <c r="BA3606" i="1" s="1"/>
  <c r="AY3597" i="1"/>
  <c r="AZ3597" i="1" s="1"/>
  <c r="AY3446" i="1"/>
  <c r="BA3446" i="1" s="1"/>
  <c r="AY3696" i="1"/>
  <c r="BA3696" i="1" s="1"/>
  <c r="AY3673" i="1"/>
  <c r="BA3673" i="1" s="1"/>
  <c r="AY3700" i="1"/>
  <c r="AZ3700" i="1" s="1"/>
  <c r="AY3680" i="1"/>
  <c r="AZ3680" i="1" s="1"/>
  <c r="AY3658" i="1"/>
  <c r="BA3658" i="1" s="1"/>
  <c r="AY3616" i="1"/>
  <c r="BA3616" i="1" s="1"/>
  <c r="AY4107" i="1"/>
  <c r="BA4107" i="1" s="1"/>
  <c r="AY4080" i="1"/>
  <c r="BA4080" i="1" s="1"/>
  <c r="AY4054" i="1"/>
  <c r="BA4054" i="1" s="1"/>
  <c r="AY4044" i="1"/>
  <c r="BA4044" i="1" s="1"/>
  <c r="AY4035" i="1"/>
  <c r="AZ4035" i="1" s="1"/>
  <c r="AY4002" i="1"/>
  <c r="AZ4002" i="1" s="1"/>
  <c r="AY3852" i="1"/>
  <c r="BA3852" i="1" s="1"/>
  <c r="AY3844" i="1"/>
  <c r="BA3844" i="1" s="1"/>
  <c r="AY3840" i="1"/>
  <c r="BA3840" i="1" s="1"/>
  <c r="AY3779" i="1"/>
  <c r="AZ3779" i="1" s="1"/>
  <c r="AY3774" i="1"/>
  <c r="AZ3774" i="1" s="1"/>
  <c r="AY3630" i="1"/>
  <c r="AZ3630" i="1" s="1"/>
  <c r="AY3612" i="1"/>
  <c r="BA3612" i="1" s="1"/>
  <c r="AY3497" i="1"/>
  <c r="BA3497" i="1" s="1"/>
  <c r="AY3454" i="1"/>
  <c r="BA3454" i="1" s="1"/>
  <c r="AY3440" i="1"/>
  <c r="AZ3440" i="1" s="1"/>
  <c r="AY3430" i="1"/>
  <c r="BA3430" i="1" s="1"/>
  <c r="AY4210" i="1"/>
  <c r="AZ4210" i="1" s="1"/>
  <c r="AY4109" i="1"/>
  <c r="AZ4109" i="1" s="1"/>
  <c r="AY4089" i="1"/>
  <c r="BA4089" i="1" s="1"/>
  <c r="AY4074" i="1"/>
  <c r="AZ4074" i="1" s="1"/>
  <c r="AY4005" i="1"/>
  <c r="BA4005" i="1" s="1"/>
  <c r="AY3825" i="1"/>
  <c r="BA3825" i="1" s="1"/>
  <c r="AY3800" i="1"/>
  <c r="BA3800" i="1" s="1"/>
  <c r="AY3762" i="1"/>
  <c r="AZ3762" i="1" s="1"/>
  <c r="AY3729" i="1"/>
  <c r="AZ3729" i="1" s="1"/>
  <c r="AY3722" i="1"/>
  <c r="AZ3722" i="1" s="1"/>
  <c r="AY3690" i="1"/>
  <c r="BA3690" i="1" s="1"/>
  <c r="AY3665" i="1"/>
  <c r="BA3665" i="1" s="1"/>
  <c r="AY3621" i="1"/>
  <c r="AZ3621" i="1" s="1"/>
  <c r="AY3604" i="1"/>
  <c r="BA3604" i="1" s="1"/>
  <c r="AY3510" i="1"/>
  <c r="BA3510" i="1" s="1"/>
  <c r="AY3499" i="1"/>
  <c r="AY3455" i="1"/>
  <c r="BA3455" i="1" s="1"/>
  <c r="AY3441" i="1"/>
  <c r="BA3441" i="1" s="1"/>
  <c r="AY4214" i="1"/>
  <c r="AZ4214" i="1" s="1"/>
  <c r="AY4218" i="1"/>
  <c r="BA4218" i="1" s="1"/>
  <c r="AY4161" i="1"/>
  <c r="AZ4161" i="1" s="1"/>
  <c r="AY4152" i="1"/>
  <c r="BA4152" i="1" s="1"/>
  <c r="AY4123" i="1"/>
  <c r="BA4123" i="1" s="1"/>
  <c r="AY4088" i="1"/>
  <c r="AZ4088" i="1" s="1"/>
  <c r="AY3431" i="1"/>
  <c r="BA3431" i="1" s="1"/>
  <c r="AY4220" i="1"/>
  <c r="BA4220" i="1" s="1"/>
  <c r="AY4156" i="1"/>
  <c r="BA4156" i="1" s="1"/>
  <c r="AY4108" i="1"/>
  <c r="AZ4108" i="1" s="1"/>
  <c r="AY4091" i="1"/>
  <c r="AZ4091" i="1" s="1"/>
  <c r="AY4075" i="1"/>
  <c r="AZ4075" i="1" s="1"/>
  <c r="AY3717" i="1"/>
  <c r="BA3717" i="1" s="1"/>
  <c r="AY3697" i="1"/>
  <c r="BA3697" i="1" s="1"/>
  <c r="AY3691" i="1"/>
  <c r="BA3691" i="1" s="1"/>
  <c r="AY3614" i="1"/>
  <c r="AZ3614" i="1" s="1"/>
  <c r="AY3633" i="1"/>
  <c r="AZ3633" i="1" s="1"/>
  <c r="AY3444" i="1"/>
  <c r="BA3444" i="1" s="1"/>
  <c r="AY3428" i="1"/>
  <c r="AZ3428" i="1" s="1"/>
  <c r="AY3598" i="1"/>
  <c r="BA3598" i="1" s="1"/>
  <c r="AY3423" i="1"/>
  <c r="AZ3423" i="1" s="1"/>
  <c r="AY4198" i="1"/>
  <c r="BA4198" i="1" s="1"/>
  <c r="AY4179" i="1"/>
  <c r="AZ4179" i="1" s="1"/>
  <c r="AY4171" i="1"/>
  <c r="BA4171" i="1" s="1"/>
  <c r="AY4103" i="1"/>
  <c r="AZ4103" i="1" s="1"/>
  <c r="AY4093" i="1"/>
  <c r="AZ4093" i="1" s="1"/>
  <c r="AY4081" i="1"/>
  <c r="AZ4081" i="1" s="1"/>
  <c r="AY4076" i="1"/>
  <c r="AZ4076" i="1" s="1"/>
  <c r="AY3769" i="1"/>
  <c r="BA3769" i="1" s="1"/>
  <c r="AY3429" i="1"/>
  <c r="AZ3429" i="1" s="1"/>
  <c r="AY3642" i="1"/>
  <c r="BA3642" i="1" s="1"/>
  <c r="AY3613" i="1"/>
  <c r="BA3613" i="1" s="1"/>
  <c r="AY3500" i="1"/>
  <c r="BA3500" i="1" s="1"/>
  <c r="AY3443" i="1"/>
  <c r="BA3443" i="1" s="1"/>
  <c r="AY3426" i="1"/>
  <c r="BA3426" i="1" s="1"/>
  <c r="AY3640" i="1"/>
  <c r="BA3640" i="1" s="1"/>
  <c r="AY3503" i="1"/>
  <c r="AZ3503" i="1" s="1"/>
  <c r="AY3473" i="1"/>
  <c r="AZ3473" i="1" s="1"/>
  <c r="AY4106" i="1"/>
  <c r="BA4106" i="1" s="1"/>
  <c r="AY3954" i="1"/>
  <c r="AZ3954" i="1" s="1"/>
  <c r="AY3932" i="1"/>
  <c r="AZ3932" i="1" s="1"/>
  <c r="AY4215" i="1"/>
  <c r="BA4215" i="1" s="1"/>
  <c r="AY4197" i="1"/>
  <c r="BA4197" i="1" s="1"/>
  <c r="AY4168" i="1"/>
  <c r="AZ4168" i="1" s="1"/>
  <c r="AY4113" i="1"/>
  <c r="AZ4113" i="1" s="1"/>
  <c r="AY4068" i="1"/>
  <c r="BA4068" i="1" s="1"/>
  <c r="AY4032" i="1"/>
  <c r="BA4032" i="1" s="1"/>
  <c r="AY4010" i="1"/>
  <c r="BA4010" i="1" s="1"/>
  <c r="AY3988" i="1"/>
  <c r="AZ3988" i="1" s="1"/>
  <c r="AY3904" i="1"/>
  <c r="AZ3904" i="1" s="1"/>
  <c r="AY3855" i="1"/>
  <c r="AZ3855" i="1" s="1"/>
  <c r="AY3810" i="1"/>
  <c r="AZ3810" i="1" s="1"/>
  <c r="AY3755" i="1"/>
  <c r="AZ3755" i="1" s="1"/>
  <c r="AY3737" i="1"/>
  <c r="AZ3737" i="1" s="1"/>
  <c r="AY3727" i="1"/>
  <c r="AZ3727" i="1" s="1"/>
  <c r="AY3645" i="1"/>
  <c r="BA3645" i="1" s="1"/>
  <c r="AY3619" i="1"/>
  <c r="AZ3619" i="1" s="1"/>
  <c r="AY3425" i="1"/>
  <c r="BA3425" i="1" s="1"/>
  <c r="AY3572" i="1"/>
  <c r="AZ3572" i="1" s="1"/>
  <c r="AY3502" i="1"/>
  <c r="BA3502" i="1" s="1"/>
  <c r="AY3472" i="1"/>
  <c r="BA3472" i="1" s="1"/>
  <c r="AY4169" i="1"/>
  <c r="BA4169" i="1" s="1"/>
  <c r="AY4154" i="1"/>
  <c r="AZ4154" i="1" s="1"/>
  <c r="AY4124" i="1"/>
  <c r="AZ4124" i="1" s="1"/>
  <c r="AY4131" i="1"/>
  <c r="BA4131" i="1" s="1"/>
  <c r="AY4039" i="1"/>
  <c r="BA4039" i="1" s="1"/>
  <c r="AY3987" i="1"/>
  <c r="BA3987" i="1" s="1"/>
  <c r="AY3856" i="1"/>
  <c r="AZ3856" i="1" s="1"/>
  <c r="AY3791" i="1"/>
  <c r="AZ3791" i="1" s="1"/>
  <c r="AY3763" i="1"/>
  <c r="BA3763" i="1" s="1"/>
  <c r="AY3754" i="1"/>
  <c r="BA3754" i="1" s="1"/>
  <c r="AY3730" i="1"/>
  <c r="BA3730" i="1" s="1"/>
  <c r="AY3661" i="1"/>
  <c r="BA3661" i="1" s="1"/>
  <c r="AY3651" i="1"/>
  <c r="BA3651" i="1" s="1"/>
  <c r="AY3607" i="1"/>
  <c r="AZ3607" i="1" s="1"/>
  <c r="AY3450" i="1"/>
  <c r="BA3450" i="1" s="1"/>
  <c r="AY3498" i="1"/>
  <c r="BA3498" i="1" s="1"/>
  <c r="AY3469" i="1"/>
  <c r="AZ3469" i="1" s="1"/>
  <c r="AY4202" i="1"/>
  <c r="BA4202" i="1" s="1"/>
  <c r="AY4166" i="1"/>
  <c r="BA4166" i="1" s="1"/>
  <c r="AY4146" i="1"/>
  <c r="BA4146" i="1" s="1"/>
  <c r="AY4082" i="1"/>
  <c r="AZ4082" i="1" s="1"/>
  <c r="AY4062" i="1"/>
  <c r="BA4062" i="1" s="1"/>
  <c r="AY4037" i="1"/>
  <c r="AZ4037" i="1" s="1"/>
  <c r="AY3898" i="1"/>
  <c r="AZ3898" i="1" s="1"/>
  <c r="AY3827" i="1"/>
  <c r="AY3796" i="1"/>
  <c r="AZ3796" i="1" s="1"/>
  <c r="AY3759" i="1"/>
  <c r="BA3759" i="1" s="1"/>
  <c r="AY3756" i="1"/>
  <c r="BA3756" i="1" s="1"/>
  <c r="AY3705" i="1"/>
  <c r="BA3705" i="1" s="1"/>
  <c r="AY3692" i="1"/>
  <c r="BA3692" i="1" s="1"/>
  <c r="AY3681" i="1"/>
  <c r="AZ3681" i="1" s="1"/>
  <c r="AY3617" i="1"/>
  <c r="AZ3617" i="1" s="1"/>
  <c r="AY3496" i="1"/>
  <c r="AY3458" i="1"/>
  <c r="AZ3458" i="1" s="1"/>
  <c r="AY4144" i="1"/>
  <c r="BA4144" i="1" s="1"/>
  <c r="AY4132" i="1"/>
  <c r="AZ4132" i="1" s="1"/>
  <c r="AY4119" i="1"/>
  <c r="BA4119" i="1" s="1"/>
  <c r="AY4128" i="1"/>
  <c r="BA4128" i="1" s="1"/>
  <c r="AY4096" i="1"/>
  <c r="BA4096" i="1" s="1"/>
  <c r="AY4098" i="1"/>
  <c r="BA4098" i="1" s="1"/>
  <c r="AY4020" i="1"/>
  <c r="BA4020" i="1" s="1"/>
  <c r="AY3968" i="1"/>
  <c r="AZ3968" i="1" s="1"/>
  <c r="AY3908" i="1"/>
  <c r="AZ3908" i="1" s="1"/>
  <c r="AY3893" i="1"/>
  <c r="AZ3893" i="1" s="1"/>
  <c r="AY3758" i="1"/>
  <c r="AZ3758" i="1" s="1"/>
  <c r="AY3629" i="1"/>
  <c r="BA3629" i="1" s="1"/>
  <c r="AY3601" i="1"/>
  <c r="AZ3601" i="1" s="1"/>
  <c r="AY3432" i="1"/>
  <c r="AZ3432" i="1" s="1"/>
  <c r="AY3683" i="1"/>
  <c r="BA3683" i="1" s="1"/>
  <c r="AY4200" i="1"/>
  <c r="AY4177" i="1"/>
  <c r="AY3918" i="1"/>
  <c r="AY3780" i="1"/>
  <c r="AY4186" i="1"/>
  <c r="AY4143" i="1"/>
  <c r="AY4118" i="1"/>
  <c r="AY4213" i="1"/>
  <c r="AY3997" i="1"/>
  <c r="AY3891" i="1"/>
  <c r="AY4163" i="1"/>
  <c r="AY4196" i="1"/>
  <c r="AY4174" i="1"/>
  <c r="AY4110" i="1"/>
  <c r="AY3842" i="1"/>
  <c r="AY3709" i="1"/>
  <c r="AY3707" i="1"/>
  <c r="AY4105" i="1"/>
  <c r="AY4070" i="1"/>
  <c r="AY4043" i="1"/>
  <c r="AY4181" i="1"/>
  <c r="AY4130" i="1"/>
  <c r="AY3857" i="1"/>
  <c r="AY4097" i="1"/>
  <c r="AY3905" i="1"/>
  <c r="AY3768" i="1"/>
  <c r="AY3765" i="1"/>
  <c r="AY3804" i="1"/>
  <c r="AY3743" i="1"/>
  <c r="AY3701" i="1"/>
  <c r="AY4178" i="1"/>
  <c r="AY4150" i="1"/>
  <c r="AY4145" i="1"/>
  <c r="AY3939" i="1"/>
  <c r="BA3939" i="1" s="1"/>
  <c r="AY3841" i="1"/>
  <c r="AY4158" i="1"/>
  <c r="AY4139" i="1"/>
  <c r="AY4129" i="1"/>
  <c r="AY4058" i="1"/>
  <c r="AY4060" i="1"/>
  <c r="AY4024" i="1"/>
  <c r="AY4006" i="1"/>
  <c r="AY3989" i="1"/>
  <c r="AY3996" i="1"/>
  <c r="AY3983" i="1"/>
  <c r="AY3885" i="1"/>
  <c r="AY3858" i="1"/>
  <c r="AY3847" i="1"/>
  <c r="AY3760" i="1"/>
  <c r="AY3744" i="1"/>
  <c r="AY3752" i="1"/>
  <c r="AY3728" i="1"/>
  <c r="AY3720" i="1"/>
  <c r="AY3686" i="1"/>
  <c r="AY3638" i="1"/>
  <c r="AY3626" i="1"/>
  <c r="AY3445" i="1"/>
  <c r="AY4155" i="1"/>
  <c r="AY4115" i="1"/>
  <c r="AY4072" i="1"/>
  <c r="AY4077" i="1"/>
  <c r="AY4083" i="1"/>
  <c r="AY4057" i="1"/>
  <c r="AY4059" i="1"/>
  <c r="AY4015" i="1"/>
  <c r="AY3994" i="1"/>
  <c r="AY3975" i="1"/>
  <c r="AY3846" i="1"/>
  <c r="AY3845" i="1"/>
  <c r="AY3803" i="1"/>
  <c r="AY3817" i="1"/>
  <c r="AY3781" i="1"/>
  <c r="AY3778" i="1"/>
  <c r="AY3747" i="1"/>
  <c r="AY3733" i="1"/>
  <c r="AY3688" i="1"/>
  <c r="AY3662" i="1"/>
  <c r="AY3663" i="1"/>
  <c r="AY3656" i="1"/>
  <c r="AY3644" i="1"/>
  <c r="AY3611" i="1"/>
  <c r="AY3501" i="1"/>
  <c r="AY3643" i="1"/>
  <c r="AY3632" i="1"/>
  <c r="AY3599" i="1"/>
  <c r="AY4142" i="1"/>
  <c r="AY4125" i="1"/>
  <c r="AY4099" i="1"/>
  <c r="AY4092" i="1"/>
  <c r="AY4030" i="1"/>
  <c r="AY3993" i="1"/>
  <c r="AY3976" i="1"/>
  <c r="AY3899" i="1"/>
  <c r="AY3890" i="1"/>
  <c r="AY3839" i="1"/>
  <c r="AY3742" i="1"/>
  <c r="AY3689" i="1"/>
  <c r="AY3666" i="1"/>
  <c r="AY3653" i="1"/>
  <c r="AY3622" i="1"/>
  <c r="AY4141" i="1"/>
  <c r="AY4101" i="1"/>
  <c r="AY4085" i="1"/>
  <c r="AY4064" i="1"/>
  <c r="AY4036" i="1"/>
  <c r="AY4008" i="1"/>
  <c r="AY3999" i="1"/>
  <c r="AY3494" i="1"/>
  <c r="AY4182" i="1"/>
  <c r="AY4018" i="1"/>
  <c r="AY3853" i="1"/>
  <c r="AY3682" i="1"/>
  <c r="AY4153" i="1"/>
  <c r="AY4138" i="1"/>
  <c r="AY4022" i="1"/>
  <c r="AY4014" i="1"/>
  <c r="AY3903" i="1"/>
  <c r="AY3724" i="1"/>
  <c r="AY3710" i="1"/>
  <c r="AY3712" i="1"/>
  <c r="AY3694" i="1"/>
  <c r="AY4221" i="1"/>
  <c r="AY4180" i="1"/>
  <c r="AY4116" i="1"/>
  <c r="AY4102" i="1"/>
  <c r="AY4079" i="1"/>
  <c r="AY4027" i="1"/>
  <c r="AY4029" i="1"/>
  <c r="AY3974" i="1"/>
  <c r="AY3901" i="1"/>
  <c r="AY3811" i="1"/>
  <c r="AY3757" i="1"/>
  <c r="AY3627" i="1"/>
  <c r="AY3635" i="1"/>
  <c r="AY3471" i="1"/>
  <c r="AY3460" i="1"/>
  <c r="AY3442" i="1"/>
  <c r="AY3675" i="1"/>
  <c r="AY3652" i="1"/>
  <c r="AY3610" i="1"/>
  <c r="AY3634" i="1"/>
  <c r="AY3596" i="1"/>
  <c r="AY3467" i="1"/>
  <c r="AY3670" i="1"/>
  <c r="AY3574" i="1"/>
  <c r="AY4173" i="1"/>
  <c r="AY4159" i="1"/>
  <c r="AY4111" i="1"/>
  <c r="AY4094" i="1"/>
  <c r="AY4067" i="1"/>
  <c r="AY4061" i="1"/>
  <c r="AY4023" i="1"/>
  <c r="AY4003" i="1"/>
  <c r="AY3998" i="1"/>
  <c r="AY3991" i="1"/>
  <c r="AY3916" i="1"/>
  <c r="AY3912" i="1"/>
  <c r="AY3836" i="1"/>
  <c r="AY3838" i="1"/>
  <c r="AY3834" i="1"/>
  <c r="AY3813" i="1"/>
  <c r="AY3802" i="1"/>
  <c r="AY3764" i="1"/>
  <c r="AY3745" i="1"/>
  <c r="AY3746" i="1"/>
  <c r="AY3708" i="1"/>
  <c r="AY3698" i="1"/>
  <c r="AY3685" i="1"/>
  <c r="AY3669" i="1"/>
  <c r="AY3468" i="1"/>
  <c r="AY3462" i="1"/>
  <c r="AY3880" i="1"/>
  <c r="AY3854" i="1"/>
  <c r="AY3821" i="1"/>
  <c r="AY3835" i="1"/>
  <c r="AY3832" i="1"/>
  <c r="AY3789" i="1"/>
  <c r="AY3783" i="1"/>
  <c r="AY3775" i="1"/>
  <c r="AY3731" i="1"/>
  <c r="AY3721" i="1"/>
  <c r="AY3716" i="1"/>
  <c r="AY3704" i="1"/>
  <c r="AY3677" i="1"/>
  <c r="AY3668" i="1"/>
  <c r="AY3664" i="1"/>
  <c r="AY3655" i="1"/>
  <c r="AY3623" i="1"/>
  <c r="AY3591" i="1"/>
  <c r="AY3495" i="1"/>
  <c r="AY3465" i="1"/>
  <c r="AY3434" i="1"/>
  <c r="AY3405" i="1"/>
  <c r="AY3435" i="1"/>
  <c r="AY3433" i="1"/>
  <c r="AY3660" i="1"/>
  <c r="AY3646" i="1"/>
  <c r="AY3628" i="1"/>
  <c r="AY3636" i="1"/>
  <c r="AY3592" i="1"/>
  <c r="AY3659" i="1"/>
  <c r="AY3637" i="1"/>
  <c r="AY3631" i="1"/>
  <c r="AY3624" i="1"/>
  <c r="AY3602" i="1"/>
  <c r="AY3459" i="1"/>
  <c r="AY3451" i="1"/>
  <c r="AY3421" i="1"/>
  <c r="AY3418" i="1"/>
  <c r="AY4151" i="1"/>
  <c r="AY3949" i="1"/>
  <c r="AY3951" i="1"/>
  <c r="AY3945" i="1"/>
  <c r="AY3947" i="1"/>
  <c r="AY3948" i="1"/>
  <c r="AY3943" i="1"/>
  <c r="AY3940" i="1"/>
  <c r="AY3944" i="1"/>
  <c r="AZ3944" i="1" s="1"/>
  <c r="AY3942" i="1"/>
  <c r="AY3484" i="1"/>
  <c r="AY3475" i="1"/>
  <c r="AY3479" i="1"/>
  <c r="AY3488" i="1"/>
  <c r="AY3485" i="1"/>
  <c r="AY3481" i="1"/>
  <c r="AY3486" i="1"/>
  <c r="AY3477" i="1"/>
  <c r="AY3483" i="1"/>
  <c r="AY3478" i="1"/>
  <c r="AY3482" i="1"/>
  <c r="AY3480" i="1"/>
  <c r="AY4021" i="1"/>
  <c r="AQ3860" i="1"/>
  <c r="AQ3665" i="1"/>
  <c r="AQ3667" i="1"/>
  <c r="AO3660" i="1"/>
  <c r="AW4211" i="1" s="1"/>
  <c r="AY4211" i="1" s="1"/>
  <c r="AO3659" i="1"/>
  <c r="AW4205" i="1" s="1"/>
  <c r="AY4205" i="1" s="1"/>
  <c r="AO3665" i="1"/>
  <c r="AO3667" i="1"/>
  <c r="BA4065" i="1" l="1"/>
  <c r="AZ4065" i="1"/>
  <c r="BA4041" i="1"/>
  <c r="AZ4041" i="1"/>
  <c r="BA3725" i="1"/>
  <c r="AZ3725" i="1"/>
  <c r="BA3499" i="1"/>
  <c r="AZ3499" i="1"/>
  <c r="AZ3438" i="1"/>
  <c r="BA3438" i="1"/>
  <c r="BA3424" i="1"/>
  <c r="AZ3424" i="1"/>
  <c r="BA3667" i="1"/>
  <c r="AZ3667" i="1"/>
  <c r="BA3986" i="1"/>
  <c r="AZ3986" i="1"/>
  <c r="BA4137" i="1"/>
  <c r="AZ4137" i="1"/>
  <c r="BA3772" i="1"/>
  <c r="AZ3772" i="1"/>
  <c r="BA3981" i="1"/>
  <c r="AZ3981" i="1"/>
  <c r="AZ3917" i="1"/>
  <c r="BA3917" i="1"/>
  <c r="AZ3851" i="1"/>
  <c r="BA3851" i="1"/>
  <c r="BA4164" i="1"/>
  <c r="AZ4164" i="1"/>
  <c r="AZ4157" i="1"/>
  <c r="BA4157" i="1"/>
  <c r="BA3615" i="1"/>
  <c r="AZ3615" i="1"/>
  <c r="AZ3639" i="1"/>
  <c r="BA3639" i="1"/>
  <c r="AZ4149" i="1"/>
  <c r="BA4149" i="1"/>
  <c r="AZ3706" i="1"/>
  <c r="BA3706" i="1"/>
  <c r="BA3914" i="1"/>
  <c r="AZ3914" i="1"/>
  <c r="BA3403" i="1"/>
  <c r="AZ3403" i="1"/>
  <c r="AZ4095" i="1"/>
  <c r="BA4095" i="1"/>
  <c r="BA4201" i="1"/>
  <c r="AZ4201" i="1"/>
  <c r="AZ4170" i="1"/>
  <c r="BA4170" i="1"/>
  <c r="BA4086" i="1"/>
  <c r="AZ4086" i="1"/>
  <c r="BA3618" i="1"/>
  <c r="AZ3618" i="1"/>
  <c r="BA3513" i="1"/>
  <c r="AZ3513" i="1"/>
  <c r="AZ3950" i="1"/>
  <c r="BA3950" i="1"/>
  <c r="AZ3732" i="1"/>
  <c r="BA3732" i="1"/>
  <c r="BA4073" i="1"/>
  <c r="AZ4073" i="1"/>
  <c r="AZ3608" i="1"/>
  <c r="BA3608" i="1"/>
  <c r="BA3466" i="1"/>
  <c r="AZ3466" i="1"/>
  <c r="BA3420" i="1"/>
  <c r="AZ3420" i="1"/>
  <c r="BA3496" i="1"/>
  <c r="AZ3496" i="1"/>
  <c r="BA3748" i="1"/>
  <c r="AZ3748" i="1"/>
  <c r="AZ3461" i="1"/>
  <c r="BA3461" i="1"/>
  <c r="AZ3814" i="1"/>
  <c r="BA3814" i="1"/>
  <c r="BA4019" i="1"/>
  <c r="AZ4019" i="1"/>
  <c r="AZ3647" i="1"/>
  <c r="BA3647" i="1"/>
  <c r="AZ3827" i="1"/>
  <c r="BA3827" i="1"/>
  <c r="BA3473" i="1"/>
  <c r="BA3597" i="1"/>
  <c r="AZ3782" i="1"/>
  <c r="BA3937" i="1"/>
  <c r="BA3767" i="1"/>
  <c r="AZ4169" i="1"/>
  <c r="BA3777" i="1"/>
  <c r="BA3447" i="1"/>
  <c r="BA3737" i="1"/>
  <c r="AZ4090" i="1"/>
  <c r="BA3952" i="1"/>
  <c r="BA3575" i="1"/>
  <c r="AZ4107" i="1"/>
  <c r="BA3900" i="1"/>
  <c r="BA4120" i="1"/>
  <c r="AZ3642" i="1"/>
  <c r="BA3713" i="1"/>
  <c r="AZ4183" i="1"/>
  <c r="BA3729" i="1"/>
  <c r="BA3625" i="1"/>
  <c r="AZ3770" i="1"/>
  <c r="BA3931" i="1"/>
  <c r="BA4148" i="1"/>
  <c r="BA4066" i="1"/>
  <c r="AZ3881" i="1"/>
  <c r="AZ4007" i="1"/>
  <c r="BA3439" i="1"/>
  <c r="AZ3684" i="1"/>
  <c r="BA3801" i="1"/>
  <c r="AZ3446" i="1"/>
  <c r="BA4028" i="1"/>
  <c r="BA4175" i="1"/>
  <c r="AZ3982" i="1"/>
  <c r="AZ3714" i="1"/>
  <c r="AZ4147" i="1"/>
  <c r="BA3727" i="1"/>
  <c r="AZ3849" i="1"/>
  <c r="AZ3844" i="1"/>
  <c r="BA4001" i="1"/>
  <c r="AZ3606" i="1"/>
  <c r="BA3859" i="1"/>
  <c r="AZ3852" i="1"/>
  <c r="BA3503" i="1"/>
  <c r="AZ3649" i="1"/>
  <c r="AZ4104" i="1"/>
  <c r="BA3605" i="1"/>
  <c r="BA3938" i="1"/>
  <c r="AZ3613" i="1"/>
  <c r="BA4122" i="1"/>
  <c r="AZ4167" i="1"/>
  <c r="AZ3441" i="1"/>
  <c r="AZ4172" i="1"/>
  <c r="BA3992" i="1"/>
  <c r="BA3887" i="1"/>
  <c r="AZ3715" i="1"/>
  <c r="AZ3829" i="1"/>
  <c r="BA3824" i="1"/>
  <c r="BA4204" i="1"/>
  <c r="BA3676" i="1"/>
  <c r="AZ3661" i="1"/>
  <c r="BA3722" i="1"/>
  <c r="BA3630" i="1"/>
  <c r="AZ3576" i="1"/>
  <c r="BA3674" i="1"/>
  <c r="AZ3756" i="1"/>
  <c r="AZ3695" i="1"/>
  <c r="AZ3696" i="1"/>
  <c r="AZ4198" i="1"/>
  <c r="BA3436" i="1"/>
  <c r="BA3672" i="1"/>
  <c r="AZ3449" i="1"/>
  <c r="BA3452" i="1"/>
  <c r="AZ3807" i="1"/>
  <c r="BA3762" i="1"/>
  <c r="AZ4160" i="1"/>
  <c r="BA3932" i="1"/>
  <c r="AZ3448" i="1"/>
  <c r="BA3774" i="1"/>
  <c r="AZ3463" i="1"/>
  <c r="BA4017" i="1"/>
  <c r="AZ3699" i="1"/>
  <c r="BA3755" i="1"/>
  <c r="BA4088" i="1"/>
  <c r="AZ4038" i="1"/>
  <c r="AZ4100" i="1"/>
  <c r="AZ3763" i="1"/>
  <c r="BA3893" i="1"/>
  <c r="AZ3431" i="1"/>
  <c r="BA4013" i="1"/>
  <c r="AZ3798" i="1"/>
  <c r="BA3779" i="1"/>
  <c r="AZ4176" i="1"/>
  <c r="AZ3719" i="1"/>
  <c r="AZ3723" i="1"/>
  <c r="AZ4156" i="1"/>
  <c r="AZ3673" i="1"/>
  <c r="AZ3470" i="1"/>
  <c r="BA3619" i="1"/>
  <c r="BA3843" i="1"/>
  <c r="AZ3784" i="1"/>
  <c r="BA3458" i="1"/>
  <c r="BA4103" i="1"/>
  <c r="BA3968" i="1"/>
  <c r="BA3464" i="1"/>
  <c r="BA4031" i="1"/>
  <c r="AZ4220" i="1"/>
  <c r="AZ3645" i="1"/>
  <c r="BA3954" i="1"/>
  <c r="AZ3578" i="1"/>
  <c r="AZ3620" i="1"/>
  <c r="BA3700" i="1"/>
  <c r="AZ3648" i="1"/>
  <c r="AZ4020" i="1"/>
  <c r="AZ3687" i="1"/>
  <c r="AZ4106" i="1"/>
  <c r="AZ3690" i="1"/>
  <c r="BA3456" i="1"/>
  <c r="AZ4056" i="1"/>
  <c r="BA4078" i="1"/>
  <c r="BA3600" i="1"/>
  <c r="AZ3502" i="1"/>
  <c r="BA4042" i="1"/>
  <c r="AZ3730" i="1"/>
  <c r="AZ4044" i="1"/>
  <c r="AZ3749" i="1"/>
  <c r="AZ3915" i="1"/>
  <c r="AZ3454" i="1"/>
  <c r="BA3956" i="1"/>
  <c r="BA3432" i="1"/>
  <c r="AZ4000" i="1"/>
  <c r="AZ4096" i="1"/>
  <c r="BA4124" i="1"/>
  <c r="BA3711" i="1"/>
  <c r="AZ3598" i="1"/>
  <c r="BA3726" i="1"/>
  <c r="AZ3766" i="1"/>
  <c r="AZ3654" i="1"/>
  <c r="AZ3718" i="1"/>
  <c r="AZ4069" i="1"/>
  <c r="AZ4054" i="1"/>
  <c r="AZ3972" i="1"/>
  <c r="BA3609" i="1"/>
  <c r="BA4087" i="1"/>
  <c r="BA4025" i="1"/>
  <c r="BA4165" i="1"/>
  <c r="AZ3430" i="1"/>
  <c r="BA3740" i="1"/>
  <c r="BA4222" i="1"/>
  <c r="AZ4208" i="1"/>
  <c r="AZ4171" i="1"/>
  <c r="BA3750" i="1"/>
  <c r="AZ3450" i="1"/>
  <c r="BA4076" i="1"/>
  <c r="BA4134" i="1"/>
  <c r="AZ3612" i="1"/>
  <c r="AZ3640" i="1"/>
  <c r="BA3753" i="1"/>
  <c r="BA4112" i="1"/>
  <c r="AZ3629" i="1"/>
  <c r="BA4009" i="1"/>
  <c r="AZ3825" i="1"/>
  <c r="BA3796" i="1"/>
  <c r="BA4179" i="1"/>
  <c r="BA3469" i="1"/>
  <c r="AZ4005" i="1"/>
  <c r="BA3693" i="1"/>
  <c r="BA3791" i="1"/>
  <c r="BA4002" i="1"/>
  <c r="AZ4040" i="1"/>
  <c r="BA4114" i="1"/>
  <c r="BA3946" i="1"/>
  <c r="AZ3987" i="1"/>
  <c r="AZ4123" i="1"/>
  <c r="BA3423" i="1"/>
  <c r="BA3739" i="1"/>
  <c r="BA3898" i="1"/>
  <c r="BA3831" i="1"/>
  <c r="AZ4162" i="1"/>
  <c r="AZ4012" i="1"/>
  <c r="AZ3650" i="1"/>
  <c r="AZ3678" i="1"/>
  <c r="AZ4098" i="1"/>
  <c r="BA4140" i="1"/>
  <c r="BA4074" i="1"/>
  <c r="AZ3444" i="1"/>
  <c r="AZ3830" i="1"/>
  <c r="AZ4119" i="1"/>
  <c r="BA3870" i="1"/>
  <c r="AZ3771" i="1"/>
  <c r="AZ4016" i="1"/>
  <c r="AZ4068" i="1"/>
  <c r="AZ3754" i="1"/>
  <c r="AZ3500" i="1"/>
  <c r="BA3995" i="1"/>
  <c r="BA4063" i="1"/>
  <c r="AZ3759" i="1"/>
  <c r="BA3437" i="1"/>
  <c r="BA4035" i="1"/>
  <c r="AZ3761" i="1"/>
  <c r="AZ3679" i="1"/>
  <c r="AZ3980" i="1"/>
  <c r="AW4209" i="1"/>
  <c r="AY4209" i="1" s="1"/>
  <c r="AZ4131" i="1"/>
  <c r="AZ4146" i="1"/>
  <c r="AZ3665" i="1"/>
  <c r="BA4132" i="1"/>
  <c r="AZ4166" i="1"/>
  <c r="BA3614" i="1"/>
  <c r="AZ3822" i="1"/>
  <c r="BA4214" i="1"/>
  <c r="BA3819" i="1"/>
  <c r="AZ4062" i="1"/>
  <c r="AZ3427" i="1"/>
  <c r="AZ4152" i="1"/>
  <c r="AZ4144" i="1"/>
  <c r="AZ4071" i="1"/>
  <c r="AZ3426" i="1"/>
  <c r="BA3633" i="1"/>
  <c r="BA3874" i="1"/>
  <c r="AZ4128" i="1"/>
  <c r="BA4161" i="1"/>
  <c r="BA3848" i="1"/>
  <c r="AZ4089" i="1"/>
  <c r="BA4082" i="1"/>
  <c r="AZ4084" i="1"/>
  <c r="BA4126" i="1"/>
  <c r="BA3680" i="1"/>
  <c r="BA4075" i="1"/>
  <c r="BA4093" i="1"/>
  <c r="AZ3498" i="1"/>
  <c r="AZ3657" i="1"/>
  <c r="BA3419" i="1"/>
  <c r="BA3428" i="1"/>
  <c r="BA4004" i="1"/>
  <c r="BA3810" i="1"/>
  <c r="BA4081" i="1"/>
  <c r="AZ3603" i="1"/>
  <c r="AZ3425" i="1"/>
  <c r="BA3422" i="1"/>
  <c r="AZ3651" i="1"/>
  <c r="BA3812" i="1"/>
  <c r="BA3908" i="1"/>
  <c r="BA3681" i="1"/>
  <c r="AZ3658" i="1"/>
  <c r="BA3988" i="1"/>
  <c r="AZ4033" i="1"/>
  <c r="AZ3443" i="1"/>
  <c r="AZ3769" i="1"/>
  <c r="BA3440" i="1"/>
  <c r="AZ3850" i="1"/>
  <c r="AZ3735" i="1"/>
  <c r="BA3671" i="1"/>
  <c r="BA3941" i="1"/>
  <c r="AZ3453" i="1"/>
  <c r="AZ3691" i="1"/>
  <c r="BA4210" i="1"/>
  <c r="BA3990" i="1"/>
  <c r="AZ4026" i="1"/>
  <c r="AZ4080" i="1"/>
  <c r="BA3429" i="1"/>
  <c r="AZ3776" i="1"/>
  <c r="AZ4032" i="1"/>
  <c r="BA3641" i="1"/>
  <c r="BA4108" i="1"/>
  <c r="BA4113" i="1"/>
  <c r="BA3601" i="1"/>
  <c r="AZ3455" i="1"/>
  <c r="AZ3837" i="1"/>
  <c r="BA4011" i="1"/>
  <c r="AZ4202" i="1"/>
  <c r="AZ3697" i="1"/>
  <c r="AZ3939" i="1"/>
  <c r="AZ3616" i="1"/>
  <c r="AZ4215" i="1"/>
  <c r="BA4154" i="1"/>
  <c r="AZ3800" i="1"/>
  <c r="BA4034" i="1"/>
  <c r="BA3457" i="1"/>
  <c r="BA3855" i="1"/>
  <c r="AZ3604" i="1"/>
  <c r="BA4168" i="1"/>
  <c r="BA3773" i="1"/>
  <c r="AZ3705" i="1"/>
  <c r="AZ3717" i="1"/>
  <c r="BA4037" i="1"/>
  <c r="AZ3692" i="1"/>
  <c r="AZ3510" i="1"/>
  <c r="AZ4039" i="1"/>
  <c r="BA3904" i="1"/>
  <c r="AZ3840" i="1"/>
  <c r="AZ4218" i="1"/>
  <c r="BA3856" i="1"/>
  <c r="BA4109" i="1"/>
  <c r="AZ4010" i="1"/>
  <c r="BA3621" i="1"/>
  <c r="BA3572" i="1"/>
  <c r="BA4091" i="1"/>
  <c r="AZ3472" i="1"/>
  <c r="BA3758" i="1"/>
  <c r="AZ4197" i="1"/>
  <c r="BA3617" i="1"/>
  <c r="BA3607" i="1"/>
  <c r="AZ3497" i="1"/>
  <c r="AZ3683" i="1"/>
  <c r="BA4211" i="1"/>
  <c r="AZ4211" i="1"/>
  <c r="BA3663" i="1"/>
  <c r="AZ3663" i="1"/>
  <c r="AZ3842" i="1"/>
  <c r="BA3842" i="1"/>
  <c r="BA3479" i="1"/>
  <c r="AZ3479" i="1"/>
  <c r="BA3418" i="1"/>
  <c r="AZ3418" i="1"/>
  <c r="AZ3716" i="1"/>
  <c r="BA3716" i="1"/>
  <c r="BA3462" i="1"/>
  <c r="AZ3462" i="1"/>
  <c r="AZ3746" i="1"/>
  <c r="BA3746" i="1"/>
  <c r="AZ4023" i="1"/>
  <c r="BA4023" i="1"/>
  <c r="AZ4029" i="1"/>
  <c r="BA4029" i="1"/>
  <c r="AZ3853" i="1"/>
  <c r="BA3853" i="1"/>
  <c r="BA3599" i="1"/>
  <c r="AZ3599" i="1"/>
  <c r="AZ3662" i="1"/>
  <c r="BA3662" i="1"/>
  <c r="AZ3858" i="1"/>
  <c r="BA3858" i="1"/>
  <c r="AZ4097" i="1"/>
  <c r="BA4097" i="1"/>
  <c r="AZ3847" i="1"/>
  <c r="BA3847" i="1"/>
  <c r="AZ3721" i="1"/>
  <c r="BA3721" i="1"/>
  <c r="AZ4027" i="1"/>
  <c r="BA4027" i="1"/>
  <c r="BA4036" i="1"/>
  <c r="AZ4036" i="1"/>
  <c r="AZ3632" i="1"/>
  <c r="BA3632" i="1"/>
  <c r="BA3688" i="1"/>
  <c r="AZ3688" i="1"/>
  <c r="BA3445" i="1"/>
  <c r="AZ3445" i="1"/>
  <c r="AZ3885" i="1"/>
  <c r="BA3885" i="1"/>
  <c r="AZ3918" i="1"/>
  <c r="BA3918" i="1"/>
  <c r="BA3421" i="1"/>
  <c r="AZ3421" i="1"/>
  <c r="BA3451" i="1"/>
  <c r="AZ3451" i="1"/>
  <c r="BA4094" i="1"/>
  <c r="AZ4094" i="1"/>
  <c r="BA3467" i="1"/>
  <c r="AZ3467" i="1"/>
  <c r="AZ3627" i="1"/>
  <c r="BA3627" i="1"/>
  <c r="AZ3993" i="1"/>
  <c r="BA3993" i="1"/>
  <c r="BA3747" i="1"/>
  <c r="AZ3747" i="1"/>
  <c r="AZ3975" i="1"/>
  <c r="BA3975" i="1"/>
  <c r="AZ3743" i="1"/>
  <c r="BA3743" i="1"/>
  <c r="AZ3768" i="1"/>
  <c r="BA3768" i="1"/>
  <c r="BA4186" i="1"/>
  <c r="AZ4186" i="1"/>
  <c r="AZ3745" i="1"/>
  <c r="BA3745" i="1"/>
  <c r="AZ3733" i="1"/>
  <c r="BA3733" i="1"/>
  <c r="AZ4079" i="1"/>
  <c r="BA4079" i="1"/>
  <c r="AZ3694" i="1"/>
  <c r="BA3694" i="1"/>
  <c r="BA4014" i="1"/>
  <c r="AZ4014" i="1"/>
  <c r="BA4064" i="1"/>
  <c r="AZ4064" i="1"/>
  <c r="AZ3622" i="1"/>
  <c r="BA3622" i="1"/>
  <c r="BA4030" i="1"/>
  <c r="AZ4030" i="1"/>
  <c r="AZ3994" i="1"/>
  <c r="BA3994" i="1"/>
  <c r="BA3626" i="1"/>
  <c r="AZ3626" i="1"/>
  <c r="BA3433" i="1"/>
  <c r="AZ3433" i="1"/>
  <c r="BA4061" i="1"/>
  <c r="AZ4061" i="1"/>
  <c r="BA3764" i="1"/>
  <c r="AZ3764" i="1"/>
  <c r="AZ3765" i="1"/>
  <c r="BA3765" i="1"/>
  <c r="AZ3802" i="1"/>
  <c r="BA3802" i="1"/>
  <c r="AZ4022" i="1"/>
  <c r="BA4022" i="1"/>
  <c r="AZ4182" i="1"/>
  <c r="BA4182" i="1"/>
  <c r="AZ4085" i="1"/>
  <c r="BA4085" i="1"/>
  <c r="BA3653" i="1"/>
  <c r="AZ3653" i="1"/>
  <c r="BA4092" i="1"/>
  <c r="AZ4092" i="1"/>
  <c r="AZ3778" i="1"/>
  <c r="BA3778" i="1"/>
  <c r="BA4015" i="1"/>
  <c r="AZ4015" i="1"/>
  <c r="AZ3638" i="1"/>
  <c r="BA3638" i="1"/>
  <c r="BA3983" i="1"/>
  <c r="AZ3983" i="1"/>
  <c r="AW4207" i="1"/>
  <c r="AY4207" i="1" s="1"/>
  <c r="BA3459" i="1"/>
  <c r="AZ3459" i="1"/>
  <c r="BA4111" i="1"/>
  <c r="AZ4111" i="1"/>
  <c r="AZ3813" i="1"/>
  <c r="BA3813" i="1"/>
  <c r="AZ3712" i="1"/>
  <c r="BA3712" i="1"/>
  <c r="BA3495" i="1"/>
  <c r="AZ3495" i="1"/>
  <c r="AZ3783" i="1"/>
  <c r="BA3783" i="1"/>
  <c r="BA3834" i="1"/>
  <c r="AZ3834" i="1"/>
  <c r="BA4173" i="1"/>
  <c r="AZ4173" i="1"/>
  <c r="AZ3757" i="1"/>
  <c r="BA3757" i="1"/>
  <c r="BA4116" i="1"/>
  <c r="AZ4116" i="1"/>
  <c r="BA3710" i="1"/>
  <c r="AZ3710" i="1"/>
  <c r="AZ4101" i="1"/>
  <c r="BA4101" i="1"/>
  <c r="AZ3666" i="1"/>
  <c r="BA3666" i="1"/>
  <c r="AZ4099" i="1"/>
  <c r="BA4099" i="1"/>
  <c r="AZ3781" i="1"/>
  <c r="BA3781" i="1"/>
  <c r="AZ3686" i="1"/>
  <c r="BA3686" i="1"/>
  <c r="AZ3996" i="1"/>
  <c r="BA3996" i="1"/>
  <c r="BA4130" i="1"/>
  <c r="AZ4130" i="1"/>
  <c r="AZ4043" i="1"/>
  <c r="BA4043" i="1"/>
  <c r="AZ4003" i="1"/>
  <c r="BA4003" i="1"/>
  <c r="BA3494" i="1"/>
  <c r="AZ3494" i="1"/>
  <c r="BA3635" i="1"/>
  <c r="AZ3635" i="1"/>
  <c r="AZ3643" i="1"/>
  <c r="BA3643" i="1"/>
  <c r="BA3465" i="1"/>
  <c r="AZ3465" i="1"/>
  <c r="BA4159" i="1"/>
  <c r="AZ4159" i="1"/>
  <c r="BA3480" i="1"/>
  <c r="AZ3480" i="1"/>
  <c r="BA3460" i="1"/>
  <c r="AZ3460" i="1"/>
  <c r="BA4180" i="1"/>
  <c r="AZ4180" i="1"/>
  <c r="AZ3724" i="1"/>
  <c r="BA3724" i="1"/>
  <c r="BA3689" i="1"/>
  <c r="AZ3689" i="1"/>
  <c r="BA4125" i="1"/>
  <c r="AZ4125" i="1"/>
  <c r="BA3501" i="1"/>
  <c r="AZ3501" i="1"/>
  <c r="AZ3817" i="1"/>
  <c r="BA3817" i="1"/>
  <c r="AZ3720" i="1"/>
  <c r="BA3720" i="1"/>
  <c r="AZ3989" i="1"/>
  <c r="BA3989" i="1"/>
  <c r="BA4181" i="1"/>
  <c r="AZ4181" i="1"/>
  <c r="AZ4070" i="1"/>
  <c r="BA4070" i="1"/>
  <c r="AZ4177" i="1"/>
  <c r="BA4177" i="1"/>
  <c r="AZ3704" i="1"/>
  <c r="BA3704" i="1"/>
  <c r="AZ3974" i="1"/>
  <c r="BA3974" i="1"/>
  <c r="AZ3775" i="1"/>
  <c r="BA3775" i="1"/>
  <c r="AZ4021" i="1"/>
  <c r="BA4021" i="1"/>
  <c r="BA3789" i="1"/>
  <c r="AZ3789" i="1"/>
  <c r="AZ3838" i="1"/>
  <c r="BA3838" i="1"/>
  <c r="BA3482" i="1"/>
  <c r="AZ3482" i="1"/>
  <c r="AZ3602" i="1"/>
  <c r="BA3602" i="1"/>
  <c r="BA3836" i="1"/>
  <c r="AZ3836" i="1"/>
  <c r="AZ3596" i="1"/>
  <c r="BA3596" i="1"/>
  <c r="BA3471" i="1"/>
  <c r="AZ3471" i="1"/>
  <c r="AZ4221" i="1"/>
  <c r="BA4221" i="1"/>
  <c r="AZ4141" i="1"/>
  <c r="BA4141" i="1"/>
  <c r="BA3742" i="1"/>
  <c r="AZ3742" i="1"/>
  <c r="BA4142" i="1"/>
  <c r="AZ4142" i="1"/>
  <c r="AZ3803" i="1"/>
  <c r="BA3803" i="1"/>
  <c r="AZ4059" i="1"/>
  <c r="BA4059" i="1"/>
  <c r="AZ3728" i="1"/>
  <c r="BA3728" i="1"/>
  <c r="AZ4006" i="1"/>
  <c r="BA4006" i="1"/>
  <c r="AZ4105" i="1"/>
  <c r="BA4105" i="1"/>
  <c r="AZ4200" i="1"/>
  <c r="BA4200" i="1"/>
  <c r="BA3484" i="1"/>
  <c r="AZ3484" i="1"/>
  <c r="BA3405" i="1"/>
  <c r="AZ3405" i="1"/>
  <c r="BA3434" i="1"/>
  <c r="AZ3434" i="1"/>
  <c r="BA4102" i="1"/>
  <c r="AZ4102" i="1"/>
  <c r="BA3478" i="1"/>
  <c r="AZ3478" i="1"/>
  <c r="AZ3624" i="1"/>
  <c r="BA3624" i="1"/>
  <c r="AZ3592" i="1"/>
  <c r="BA3592" i="1"/>
  <c r="AZ3591" i="1"/>
  <c r="BA3591" i="1"/>
  <c r="AZ3832" i="1"/>
  <c r="BA3832" i="1"/>
  <c r="AZ3634" i="1"/>
  <c r="BA3634" i="1"/>
  <c r="AZ4138" i="1"/>
  <c r="BA4138" i="1"/>
  <c r="AZ4057" i="1"/>
  <c r="BA4057" i="1"/>
  <c r="AZ3752" i="1"/>
  <c r="BA3752" i="1"/>
  <c r="BA4024" i="1"/>
  <c r="AZ4024" i="1"/>
  <c r="AZ4110" i="1"/>
  <c r="BA4110" i="1"/>
  <c r="AZ3891" i="1"/>
  <c r="BA3891" i="1"/>
  <c r="BA3488" i="1"/>
  <c r="AZ3488" i="1"/>
  <c r="AZ3442" i="1"/>
  <c r="BA3442" i="1"/>
  <c r="BA4153" i="1"/>
  <c r="AZ4153" i="1"/>
  <c r="BA3628" i="1"/>
  <c r="AZ3628" i="1"/>
  <c r="BA3652" i="1"/>
  <c r="AZ3652" i="1"/>
  <c r="AZ3839" i="1"/>
  <c r="BA3839" i="1"/>
  <c r="BA3846" i="1"/>
  <c r="AZ3846" i="1"/>
  <c r="BA4077" i="1"/>
  <c r="AZ4077" i="1"/>
  <c r="AZ3760" i="1"/>
  <c r="BA3760" i="1"/>
  <c r="AZ4058" i="1"/>
  <c r="BA4058" i="1"/>
  <c r="BA4145" i="1"/>
  <c r="AZ4145" i="1"/>
  <c r="BA3857" i="1"/>
  <c r="AZ3857" i="1"/>
  <c r="BA3707" i="1"/>
  <c r="AZ3707" i="1"/>
  <c r="AZ4196" i="1"/>
  <c r="BA4196" i="1"/>
  <c r="AZ4213" i="1"/>
  <c r="BA4213" i="1"/>
  <c r="BA3475" i="1"/>
  <c r="AZ3475" i="1"/>
  <c r="BA3468" i="1"/>
  <c r="AZ3468" i="1"/>
  <c r="AZ3636" i="1"/>
  <c r="BA3636" i="1"/>
  <c r="AZ3835" i="1"/>
  <c r="BA3835" i="1"/>
  <c r="BA4018" i="1"/>
  <c r="AZ4018" i="1"/>
  <c r="AZ3845" i="1"/>
  <c r="BA3845" i="1"/>
  <c r="BA3744" i="1"/>
  <c r="AZ3744" i="1"/>
  <c r="BA4060" i="1"/>
  <c r="AZ4060" i="1"/>
  <c r="BA3477" i="1"/>
  <c r="AZ3477" i="1"/>
  <c r="BA3637" i="1"/>
  <c r="AZ3637" i="1"/>
  <c r="AZ3655" i="1"/>
  <c r="BA3655" i="1"/>
  <c r="AZ3821" i="1"/>
  <c r="BA3821" i="1"/>
  <c r="AZ3916" i="1"/>
  <c r="BA3916" i="1"/>
  <c r="BA3486" i="1"/>
  <c r="AZ3486" i="1"/>
  <c r="AZ3659" i="1"/>
  <c r="BA3659" i="1"/>
  <c r="AZ3646" i="1"/>
  <c r="BA3646" i="1"/>
  <c r="AZ3664" i="1"/>
  <c r="BA3664" i="1"/>
  <c r="BA3854" i="1"/>
  <c r="AZ3854" i="1"/>
  <c r="AZ3669" i="1"/>
  <c r="BA3669" i="1"/>
  <c r="AZ3675" i="1"/>
  <c r="BA3675" i="1"/>
  <c r="AZ3890" i="1"/>
  <c r="BA3890" i="1"/>
  <c r="AZ3611" i="1"/>
  <c r="BA3611" i="1"/>
  <c r="AZ4072" i="1"/>
  <c r="BA4072" i="1"/>
  <c r="AZ4129" i="1"/>
  <c r="BA4129" i="1"/>
  <c r="BA4150" i="1"/>
  <c r="AZ4150" i="1"/>
  <c r="BA3701" i="1"/>
  <c r="AZ3701" i="1"/>
  <c r="AZ3804" i="1"/>
  <c r="BA3804" i="1"/>
  <c r="AZ3905" i="1"/>
  <c r="BA3905" i="1"/>
  <c r="AZ3709" i="1"/>
  <c r="BA3709" i="1"/>
  <c r="AZ3780" i="1"/>
  <c r="BA3780" i="1"/>
  <c r="BA3708" i="1"/>
  <c r="AZ3708" i="1"/>
  <c r="BA3731" i="1"/>
  <c r="AZ3731" i="1"/>
  <c r="AZ3682" i="1"/>
  <c r="BA3682" i="1"/>
  <c r="BA3483" i="1"/>
  <c r="AZ3483" i="1"/>
  <c r="AZ3631" i="1"/>
  <c r="BA3631" i="1"/>
  <c r="AZ3811" i="1"/>
  <c r="BA3811" i="1"/>
  <c r="AZ3841" i="1"/>
  <c r="BA3841" i="1"/>
  <c r="AZ4174" i="1"/>
  <c r="BA4174" i="1"/>
  <c r="BA3997" i="1"/>
  <c r="AZ3997" i="1"/>
  <c r="BA3660" i="1"/>
  <c r="AZ3660" i="1"/>
  <c r="BA3668" i="1"/>
  <c r="AZ3668" i="1"/>
  <c r="AZ3880" i="1"/>
  <c r="BA3880" i="1"/>
  <c r="BA3685" i="1"/>
  <c r="AZ3685" i="1"/>
  <c r="BA3991" i="1"/>
  <c r="AZ3991" i="1"/>
  <c r="BA3901" i="1"/>
  <c r="AZ3901" i="1"/>
  <c r="BA3999" i="1"/>
  <c r="AZ3999" i="1"/>
  <c r="AZ3899" i="1"/>
  <c r="BA3899" i="1"/>
  <c r="AZ3644" i="1"/>
  <c r="BA3644" i="1"/>
  <c r="AZ4115" i="1"/>
  <c r="BA4115" i="1"/>
  <c r="BA4139" i="1"/>
  <c r="AZ4139" i="1"/>
  <c r="AZ4178" i="1"/>
  <c r="BA4178" i="1"/>
  <c r="BA4163" i="1"/>
  <c r="AZ4163" i="1"/>
  <c r="AZ4118" i="1"/>
  <c r="BA4118" i="1"/>
  <c r="AZ3574" i="1"/>
  <c r="BA3574" i="1"/>
  <c r="BA4205" i="1"/>
  <c r="AZ4205" i="1"/>
  <c r="BA3435" i="1"/>
  <c r="AZ3435" i="1"/>
  <c r="AZ4067" i="1"/>
  <c r="BA4067" i="1"/>
  <c r="AZ3976" i="1"/>
  <c r="BA3976" i="1"/>
  <c r="AZ3623" i="1"/>
  <c r="BA3623" i="1"/>
  <c r="BA3912" i="1"/>
  <c r="AZ3912" i="1"/>
  <c r="BA3610" i="1"/>
  <c r="AZ3610" i="1"/>
  <c r="AZ4083" i="1"/>
  <c r="BA4083" i="1"/>
  <c r="BA3481" i="1"/>
  <c r="AZ3481" i="1"/>
  <c r="BA3485" i="1"/>
  <c r="AZ3485" i="1"/>
  <c r="AZ3677" i="1"/>
  <c r="BA3677" i="1"/>
  <c r="AZ3698" i="1"/>
  <c r="BA3698" i="1"/>
  <c r="AZ3998" i="1"/>
  <c r="BA3998" i="1"/>
  <c r="AZ3670" i="1"/>
  <c r="BA3670" i="1"/>
  <c r="AZ3903" i="1"/>
  <c r="BA3903" i="1"/>
  <c r="AZ4008" i="1"/>
  <c r="BA4008" i="1"/>
  <c r="AZ3656" i="1"/>
  <c r="BA3656" i="1"/>
  <c r="AZ4155" i="1"/>
  <c r="BA4155" i="1"/>
  <c r="AZ4158" i="1"/>
  <c r="BA4158" i="1"/>
  <c r="AZ4143" i="1"/>
  <c r="BA4143" i="1"/>
  <c r="AZ4151" i="1"/>
  <c r="BA4151" i="1"/>
  <c r="AZ3949" i="1"/>
  <c r="BA3949" i="1"/>
  <c r="AZ3951" i="1"/>
  <c r="BA3951" i="1"/>
  <c r="AZ3945" i="1"/>
  <c r="BA3945" i="1"/>
  <c r="AZ3947" i="1"/>
  <c r="BA3947" i="1"/>
  <c r="AZ3948" i="1"/>
  <c r="BA3948" i="1"/>
  <c r="AZ3943" i="1"/>
  <c r="BA3943" i="1"/>
  <c r="AZ3940" i="1"/>
  <c r="BA3940" i="1"/>
  <c r="BA3944" i="1"/>
  <c r="AZ3942" i="1"/>
  <c r="BA3942" i="1"/>
  <c r="AW2297" i="1"/>
  <c r="AX2313" i="1"/>
  <c r="AW2776" i="1"/>
  <c r="AX2776" i="1"/>
  <c r="AW2779" i="1"/>
  <c r="AX2779" i="1"/>
  <c r="AW2780" i="1"/>
  <c r="AX2780" i="1"/>
  <c r="AW2777" i="1"/>
  <c r="AX2777" i="1"/>
  <c r="AW2774" i="1"/>
  <c r="AX2774" i="1"/>
  <c r="AW2766" i="1"/>
  <c r="AX2766" i="1"/>
  <c r="AW2775" i="1"/>
  <c r="AX2775" i="1"/>
  <c r="AW2771" i="1"/>
  <c r="AX2771" i="1"/>
  <c r="AW2768" i="1"/>
  <c r="AX2768" i="1"/>
  <c r="AW2772" i="1"/>
  <c r="AX2772" i="1"/>
  <c r="AW2764" i="1"/>
  <c r="AX2764" i="1"/>
  <c r="AW2769" i="1"/>
  <c r="AX2769" i="1"/>
  <c r="AW2763" i="1"/>
  <c r="AX2763" i="1"/>
  <c r="AW2781" i="1"/>
  <c r="AX2781" i="1"/>
  <c r="AW2783" i="1"/>
  <c r="AX2783" i="1"/>
  <c r="AW2785" i="1"/>
  <c r="AX2785" i="1"/>
  <c r="AW2809" i="1"/>
  <c r="AX2809" i="1"/>
  <c r="AW2801" i="1"/>
  <c r="AX2801" i="1"/>
  <c r="AW2862" i="1"/>
  <c r="AX2862" i="1"/>
  <c r="AW2806" i="1"/>
  <c r="AX2806" i="1"/>
  <c r="AW2833" i="1"/>
  <c r="AX2833" i="1"/>
  <c r="AW2802" i="1"/>
  <c r="AX2802" i="1"/>
  <c r="AW2863" i="1"/>
  <c r="AX2863" i="1"/>
  <c r="AW2803" i="1"/>
  <c r="AX2803" i="1"/>
  <c r="AW2816" i="1"/>
  <c r="AX2816" i="1"/>
  <c r="AW2807" i="1"/>
  <c r="AX2807" i="1"/>
  <c r="AW2813" i="1"/>
  <c r="AX2813" i="1"/>
  <c r="AW2817" i="1"/>
  <c r="AX2817" i="1"/>
  <c r="AW2810" i="1"/>
  <c r="AX2810" i="1"/>
  <c r="AW2812" i="1"/>
  <c r="AX2812" i="1"/>
  <c r="AW2815" i="1"/>
  <c r="AX2815" i="1"/>
  <c r="AW2811" i="1"/>
  <c r="AX2811" i="1"/>
  <c r="AW2814" i="1"/>
  <c r="AX2814" i="1"/>
  <c r="AW2791" i="1"/>
  <c r="AX2791" i="1"/>
  <c r="AW2792" i="1"/>
  <c r="AX2792" i="1"/>
  <c r="AW2786" i="1"/>
  <c r="AX2786" i="1"/>
  <c r="AW2793" i="1"/>
  <c r="AX2793" i="1"/>
  <c r="AW2787" i="1"/>
  <c r="AX2787" i="1"/>
  <c r="AW2788" i="1"/>
  <c r="AX2788" i="1"/>
  <c r="AW2794" i="1"/>
  <c r="AX2794" i="1"/>
  <c r="AW2789" i="1"/>
  <c r="AX2789" i="1"/>
  <c r="AW2790" i="1"/>
  <c r="AX2790" i="1"/>
  <c r="AW2821" i="1"/>
  <c r="AX2821" i="1"/>
  <c r="AW2822" i="1"/>
  <c r="AX2822" i="1"/>
  <c r="AW2823" i="1"/>
  <c r="AX2823" i="1"/>
  <c r="AW2818" i="1"/>
  <c r="AX2818" i="1"/>
  <c r="AW2837" i="1"/>
  <c r="AX2837" i="1"/>
  <c r="AW2824" i="1"/>
  <c r="AX2824" i="1"/>
  <c r="AW2840" i="1"/>
  <c r="AX2840" i="1"/>
  <c r="AW2836" i="1"/>
  <c r="AX2836" i="1"/>
  <c r="AW2825" i="1"/>
  <c r="AX2825" i="1"/>
  <c r="AW2808" i="1"/>
  <c r="AX2808" i="1"/>
  <c r="AW2796" i="1"/>
  <c r="AX2796" i="1"/>
  <c r="AW2797" i="1"/>
  <c r="AX2797" i="1"/>
  <c r="AW2804" i="1"/>
  <c r="AX2804" i="1"/>
  <c r="AW2800" i="1"/>
  <c r="AX2800" i="1"/>
  <c r="AW2798" i="1"/>
  <c r="AX2798" i="1"/>
  <c r="AW2805" i="1"/>
  <c r="AX2805" i="1"/>
  <c r="AW2799" i="1"/>
  <c r="AX2799" i="1"/>
  <c r="AW2795" i="1"/>
  <c r="AX2795" i="1"/>
  <c r="AW2845" i="1"/>
  <c r="AX2845" i="1"/>
  <c r="AW2846" i="1"/>
  <c r="AX2846" i="1"/>
  <c r="AW2847" i="1"/>
  <c r="AX2847" i="1"/>
  <c r="AW2838" i="1"/>
  <c r="AX2838" i="1"/>
  <c r="AW2848" i="1"/>
  <c r="AX2848" i="1"/>
  <c r="AW2849" i="1"/>
  <c r="AX2849" i="1"/>
  <c r="AW2826" i="1"/>
  <c r="AX2826" i="1"/>
  <c r="AW2850" i="1"/>
  <c r="AX2850" i="1"/>
  <c r="AW2851" i="1"/>
  <c r="AX2851" i="1"/>
  <c r="AW2827" i="1"/>
  <c r="AX2827" i="1"/>
  <c r="AW2857" i="1"/>
  <c r="AX2857" i="1"/>
  <c r="AW2842" i="1"/>
  <c r="AX2842" i="1"/>
  <c r="AW2843" i="1"/>
  <c r="AX2843" i="1"/>
  <c r="AW2852" i="1"/>
  <c r="AX2852" i="1"/>
  <c r="AW2839" i="1"/>
  <c r="AX2839" i="1"/>
  <c r="AW2844" i="1"/>
  <c r="AX2844" i="1"/>
  <c r="AW2858" i="1"/>
  <c r="AX2858" i="1"/>
  <c r="AW2841" i="1"/>
  <c r="AX2841" i="1"/>
  <c r="AW2855" i="1"/>
  <c r="AX2855" i="1"/>
  <c r="AW2856" i="1"/>
  <c r="AX2856" i="1"/>
  <c r="AW2859" i="1"/>
  <c r="AX2859" i="1"/>
  <c r="AW2860" i="1"/>
  <c r="AX2860" i="1"/>
  <c r="AW2853" i="1"/>
  <c r="AX2853" i="1"/>
  <c r="AW2854" i="1"/>
  <c r="AX2854" i="1"/>
  <c r="AW2864" i="1"/>
  <c r="AX2864" i="1"/>
  <c r="AW2861" i="1"/>
  <c r="AX2861" i="1"/>
  <c r="AW2865" i="1"/>
  <c r="AX2865" i="1"/>
  <c r="AW2828" i="1"/>
  <c r="AX2828" i="1"/>
  <c r="AW2819" i="1"/>
  <c r="AX2819" i="1"/>
  <c r="AW2820" i="1"/>
  <c r="AX2820" i="1"/>
  <c r="AW2829" i="1"/>
  <c r="AX2829" i="1"/>
  <c r="AW2830" i="1"/>
  <c r="AX2830" i="1"/>
  <c r="AW2834" i="1"/>
  <c r="AX2834" i="1"/>
  <c r="AW2831" i="1"/>
  <c r="AX2831" i="1"/>
  <c r="AW2832" i="1"/>
  <c r="AX2832" i="1"/>
  <c r="AW2835" i="1"/>
  <c r="AX2835" i="1"/>
  <c r="AW2869" i="1"/>
  <c r="AX2869" i="1"/>
  <c r="AW2870" i="1"/>
  <c r="AX2870" i="1"/>
  <c r="AW2867" i="1"/>
  <c r="AX2867" i="1"/>
  <c r="AW2866" i="1"/>
  <c r="AX2866" i="1"/>
  <c r="AW2868" i="1"/>
  <c r="AX2868" i="1"/>
  <c r="AW2871" i="1"/>
  <c r="AX2871" i="1"/>
  <c r="AW2875" i="1"/>
  <c r="AX2875" i="1"/>
  <c r="AW2874" i="1"/>
  <c r="AX2874" i="1"/>
  <c r="AW2872" i="1"/>
  <c r="AX2872" i="1"/>
  <c r="AW2873" i="1"/>
  <c r="AX2873" i="1"/>
  <c r="AW2879" i="1"/>
  <c r="AX2879" i="1"/>
  <c r="AW2878" i="1"/>
  <c r="AX2878" i="1"/>
  <c r="AW2881" i="1"/>
  <c r="AX2881" i="1"/>
  <c r="AW2880" i="1"/>
  <c r="AX2880" i="1"/>
  <c r="AW2877" i="1"/>
  <c r="AX2877" i="1"/>
  <c r="AW2876" i="1"/>
  <c r="AX2876" i="1"/>
  <c r="AW2882" i="1"/>
  <c r="AX2882" i="1"/>
  <c r="AW2883" i="1"/>
  <c r="AX2883" i="1"/>
  <c r="AW2887" i="1"/>
  <c r="AX2887" i="1"/>
  <c r="AW2884" i="1"/>
  <c r="AX2884" i="1"/>
  <c r="AW2885" i="1"/>
  <c r="AX2885" i="1"/>
  <c r="AW2886" i="1"/>
  <c r="AX2886" i="1"/>
  <c r="AW2888" i="1"/>
  <c r="AX2888" i="1"/>
  <c r="AW2889" i="1"/>
  <c r="AX2889" i="1"/>
  <c r="AW2890" i="1"/>
  <c r="AX2890" i="1"/>
  <c r="AW2891" i="1"/>
  <c r="AX2891" i="1"/>
  <c r="AW2894" i="1"/>
  <c r="AX2894" i="1"/>
  <c r="AW2897" i="1"/>
  <c r="AX2897" i="1"/>
  <c r="AW2895" i="1"/>
  <c r="AX2895" i="1"/>
  <c r="AW2896" i="1"/>
  <c r="AX2896" i="1"/>
  <c r="AW2898" i="1"/>
  <c r="AX2898" i="1"/>
  <c r="AW2893" i="1"/>
  <c r="AX2893" i="1"/>
  <c r="AW2892" i="1"/>
  <c r="AX2892" i="1"/>
  <c r="AW2903" i="1"/>
  <c r="AX2903" i="1"/>
  <c r="AW2899" i="1"/>
  <c r="AX2899" i="1"/>
  <c r="AW2902" i="1"/>
  <c r="AX2902" i="1"/>
  <c r="AW2901" i="1"/>
  <c r="AX2901" i="1"/>
  <c r="AW2900" i="1"/>
  <c r="AX2900" i="1"/>
  <c r="AW2906" i="1"/>
  <c r="AX2906" i="1"/>
  <c r="AW2905" i="1"/>
  <c r="AX2905" i="1"/>
  <c r="AW2904" i="1"/>
  <c r="AX2904" i="1"/>
  <c r="AW2909" i="1"/>
  <c r="AX2909" i="1"/>
  <c r="AW2911" i="1"/>
  <c r="AX2911" i="1"/>
  <c r="AW2913" i="1"/>
  <c r="AX2913" i="1"/>
  <c r="AW2908" i="1"/>
  <c r="AX2908" i="1"/>
  <c r="AW2918" i="1"/>
  <c r="AX2918" i="1"/>
  <c r="AW2907" i="1"/>
  <c r="AX2907" i="1"/>
  <c r="AW2917" i="1"/>
  <c r="AX2917" i="1"/>
  <c r="AW2912" i="1"/>
  <c r="AX2912" i="1"/>
  <c r="AW2916" i="1"/>
  <c r="AX2916" i="1"/>
  <c r="AW2910" i="1"/>
  <c r="AX2910" i="1"/>
  <c r="AW2914" i="1"/>
  <c r="AX2914" i="1"/>
  <c r="AW2915" i="1"/>
  <c r="AX2915" i="1"/>
  <c r="AW2923" i="1"/>
  <c r="AX2923" i="1"/>
  <c r="AW2924" i="1"/>
  <c r="AX2924" i="1"/>
  <c r="AW2922" i="1"/>
  <c r="AX2922" i="1"/>
  <c r="AW2926" i="1"/>
  <c r="AX2926" i="1"/>
  <c r="AW2927" i="1"/>
  <c r="AX2927" i="1"/>
  <c r="AW2925" i="1"/>
  <c r="AX2925" i="1"/>
  <c r="AW2306" i="1"/>
  <c r="AX2306" i="1"/>
  <c r="AW2310" i="1"/>
  <c r="AX2310" i="1"/>
  <c r="AW2317" i="1"/>
  <c r="AX2317" i="1"/>
  <c r="AW2319" i="1"/>
  <c r="AX2319" i="1"/>
  <c r="AW2315" i="1"/>
  <c r="AX2315" i="1"/>
  <c r="AW2316" i="1"/>
  <c r="AX2316" i="1"/>
  <c r="AW2311" i="1"/>
  <c r="AX2311" i="1"/>
  <c r="AW2312" i="1"/>
  <c r="AX2312" i="1"/>
  <c r="AW2313" i="1"/>
  <c r="AW2318" i="1"/>
  <c r="AX2318" i="1"/>
  <c r="AW2314" i="1"/>
  <c r="AX2314" i="1"/>
  <c r="AW2309" i="1"/>
  <c r="AX2309" i="1"/>
  <c r="AW2342" i="1"/>
  <c r="AX2342" i="1"/>
  <c r="AW2339" i="1"/>
  <c r="AX2339" i="1"/>
  <c r="AW2333" i="1"/>
  <c r="AX2333" i="1"/>
  <c r="AW2330" i="1"/>
  <c r="AX2330" i="1"/>
  <c r="AW2340" i="1"/>
  <c r="AX2340" i="1"/>
  <c r="AW2341" i="1"/>
  <c r="AX2341" i="1"/>
  <c r="AW2338" i="1"/>
  <c r="AX2338" i="1"/>
  <c r="AW2343" i="1"/>
  <c r="AX2343" i="1"/>
  <c r="AW2335" i="1"/>
  <c r="AX2335" i="1"/>
  <c r="AW2328" i="1"/>
  <c r="AX2328" i="1"/>
  <c r="AW2331" i="1"/>
  <c r="AX2331" i="1"/>
  <c r="AW2329" i="1"/>
  <c r="AX2329" i="1"/>
  <c r="AW2334" i="1"/>
  <c r="AX2334" i="1"/>
  <c r="AW2344" i="1"/>
  <c r="AX2344" i="1"/>
  <c r="AW2325" i="1"/>
  <c r="AX2325" i="1"/>
  <c r="AW2322" i="1"/>
  <c r="AX2322" i="1"/>
  <c r="AW2327" i="1"/>
  <c r="AX2327" i="1"/>
  <c r="AW2332" i="1"/>
  <c r="AX2332" i="1"/>
  <c r="AW2336" i="1"/>
  <c r="AX2336" i="1"/>
  <c r="AW2345" i="1"/>
  <c r="AX2345" i="1"/>
  <c r="AW2337" i="1"/>
  <c r="AX2337" i="1"/>
  <c r="AW2323" i="1"/>
  <c r="AX2323" i="1"/>
  <c r="AW2320" i="1"/>
  <c r="AX2320" i="1"/>
  <c r="AW2324" i="1"/>
  <c r="AX2324" i="1"/>
  <c r="AW2321" i="1"/>
  <c r="AX2321" i="1"/>
  <c r="AW2346" i="1"/>
  <c r="AX2346" i="1"/>
  <c r="AW2326" i="1"/>
  <c r="AX2326" i="1"/>
  <c r="AW2347" i="1"/>
  <c r="AX2347" i="1"/>
  <c r="AW2348" i="1"/>
  <c r="AX2348" i="1"/>
  <c r="AW2353" i="1"/>
  <c r="AX2353" i="1"/>
  <c r="AW2351" i="1"/>
  <c r="AX2351" i="1"/>
  <c r="AW2352" i="1"/>
  <c r="AX2352" i="1"/>
  <c r="AW2349" i="1"/>
  <c r="AX2349" i="1"/>
  <c r="AW2350" i="1"/>
  <c r="AX2350" i="1"/>
  <c r="AW2359" i="1"/>
  <c r="AX2359" i="1"/>
  <c r="AW2354" i="1"/>
  <c r="AX2354" i="1"/>
  <c r="AW2357" i="1"/>
  <c r="AX2357" i="1"/>
  <c r="AW2355" i="1"/>
  <c r="AX2355" i="1"/>
  <c r="AW2356" i="1"/>
  <c r="AX2356" i="1"/>
  <c r="AW2358" i="1"/>
  <c r="AX2358" i="1"/>
  <c r="AW2364" i="1"/>
  <c r="AX2364" i="1"/>
  <c r="AW2365" i="1"/>
  <c r="AX2365" i="1"/>
  <c r="AW2389" i="1"/>
  <c r="AX2389" i="1"/>
  <c r="AW2390" i="1"/>
  <c r="AX2390" i="1"/>
  <c r="AW2373" i="1"/>
  <c r="AX2373" i="1"/>
  <c r="AW2369" i="1"/>
  <c r="AX2369" i="1"/>
  <c r="AW2392" i="1"/>
  <c r="AX2392" i="1"/>
  <c r="AW2363" i="1"/>
  <c r="AX2363" i="1"/>
  <c r="AW2388" i="1"/>
  <c r="AX2388" i="1"/>
  <c r="AW2379" i="1"/>
  <c r="AX2379" i="1"/>
  <c r="AW2384" i="1"/>
  <c r="AX2384" i="1"/>
  <c r="AW2391" i="1"/>
  <c r="AX2391" i="1"/>
  <c r="AW2378" i="1"/>
  <c r="AX2378" i="1"/>
  <c r="AW2381" i="1"/>
  <c r="AX2381" i="1"/>
  <c r="AW2382" i="1"/>
  <c r="AX2382" i="1"/>
  <c r="AW2374" i="1"/>
  <c r="AX2374" i="1"/>
  <c r="AW2383" i="1"/>
  <c r="AX2383" i="1"/>
  <c r="AW2385" i="1"/>
  <c r="AX2385" i="1"/>
  <c r="AW2386" i="1"/>
  <c r="AX2386" i="1"/>
  <c r="AW2380" i="1"/>
  <c r="AX2380" i="1"/>
  <c r="AW2376" i="1"/>
  <c r="AX2376" i="1"/>
  <c r="AW2367" i="1"/>
  <c r="AX2367" i="1"/>
  <c r="AW2370" i="1"/>
  <c r="AX2370" i="1"/>
  <c r="AW2371" i="1"/>
  <c r="AX2371" i="1"/>
  <c r="AW2372" i="1"/>
  <c r="AX2372" i="1"/>
  <c r="AW2366" i="1"/>
  <c r="AX2366" i="1"/>
  <c r="AW2377" i="1"/>
  <c r="AX2377" i="1"/>
  <c r="AW2361" i="1"/>
  <c r="AX2361" i="1"/>
  <c r="AW2360" i="1"/>
  <c r="AX2360" i="1"/>
  <c r="AW2362" i="1"/>
  <c r="AX2362" i="1"/>
  <c r="AW2368" i="1"/>
  <c r="AX2368" i="1"/>
  <c r="AW2387" i="1"/>
  <c r="AX2387" i="1"/>
  <c r="AW2375" i="1"/>
  <c r="AX2375" i="1"/>
  <c r="AW2393" i="1"/>
  <c r="AX2393" i="1"/>
  <c r="AW2394" i="1"/>
  <c r="AX2394" i="1"/>
  <c r="AW2400" i="1"/>
  <c r="AX2400" i="1"/>
  <c r="AW2402" i="1"/>
  <c r="AX2402" i="1"/>
  <c r="AW2398" i="1"/>
  <c r="AX2398" i="1"/>
  <c r="AW2399" i="1"/>
  <c r="AX2399" i="1"/>
  <c r="AW2395" i="1"/>
  <c r="AX2395" i="1"/>
  <c r="AW2401" i="1"/>
  <c r="AX2401" i="1"/>
  <c r="AW2397" i="1"/>
  <c r="AX2397" i="1"/>
  <c r="AW2396" i="1"/>
  <c r="AX2396" i="1"/>
  <c r="AW2412" i="1"/>
  <c r="AX2412" i="1"/>
  <c r="AW2413" i="1"/>
  <c r="AX2413" i="1"/>
  <c r="AW2404" i="1"/>
  <c r="AX2404" i="1"/>
  <c r="AW2403" i="1"/>
  <c r="AX2403" i="1"/>
  <c r="AW2409" i="1"/>
  <c r="AX2409" i="1"/>
  <c r="AW2406" i="1"/>
  <c r="AX2406" i="1"/>
  <c r="AW2407" i="1"/>
  <c r="AX2407" i="1"/>
  <c r="AW2415" i="1"/>
  <c r="AX2415" i="1"/>
  <c r="AW2414" i="1"/>
  <c r="AX2414" i="1"/>
  <c r="AW2411" i="1"/>
  <c r="AX2411" i="1"/>
  <c r="AW2408" i="1"/>
  <c r="AX2408" i="1"/>
  <c r="AW2405" i="1"/>
  <c r="AX2405" i="1"/>
  <c r="AW2410" i="1"/>
  <c r="AX2410" i="1"/>
  <c r="AW2430" i="1"/>
  <c r="AX2430" i="1"/>
  <c r="AW2432" i="1"/>
  <c r="AX2432" i="1"/>
  <c r="AW2419" i="1"/>
  <c r="AX2419" i="1"/>
  <c r="AW2424" i="1"/>
  <c r="AX2424" i="1"/>
  <c r="AW2420" i="1"/>
  <c r="AX2420" i="1"/>
  <c r="AW2421" i="1"/>
  <c r="AX2421" i="1"/>
  <c r="AW2428" i="1"/>
  <c r="AX2428" i="1"/>
  <c r="AW2423" i="1"/>
  <c r="AX2423" i="1"/>
  <c r="AW2425" i="1"/>
  <c r="AX2425" i="1"/>
  <c r="AW2422" i="1"/>
  <c r="AX2422" i="1"/>
  <c r="AW2427" i="1"/>
  <c r="AX2427" i="1"/>
  <c r="AW2426" i="1"/>
  <c r="AX2426" i="1"/>
  <c r="AW2429" i="1"/>
  <c r="AX2429" i="1"/>
  <c r="AW2431" i="1"/>
  <c r="AX2431" i="1"/>
  <c r="AW2433" i="1"/>
  <c r="AX2433" i="1"/>
  <c r="AW2418" i="1"/>
  <c r="AX2418" i="1"/>
  <c r="AW2416" i="1"/>
  <c r="AX2416" i="1"/>
  <c r="AW2417" i="1"/>
  <c r="AX2417" i="1"/>
  <c r="AW2434" i="1"/>
  <c r="AX2434" i="1"/>
  <c r="AW2437" i="1"/>
  <c r="AX2437" i="1"/>
  <c r="AW2438" i="1"/>
  <c r="AX2438" i="1"/>
  <c r="AW2442" i="1"/>
  <c r="AX2442" i="1"/>
  <c r="AW2444" i="1"/>
  <c r="AX2444" i="1"/>
  <c r="AW2440" i="1"/>
  <c r="AX2440" i="1"/>
  <c r="AW2439" i="1"/>
  <c r="AX2439" i="1"/>
  <c r="AW2443" i="1"/>
  <c r="AX2443" i="1"/>
  <c r="AW2441" i="1"/>
  <c r="AX2441" i="1"/>
  <c r="AW2435" i="1"/>
  <c r="AX2435" i="1"/>
  <c r="AW2436" i="1"/>
  <c r="AX2436" i="1"/>
  <c r="AW2446" i="1"/>
  <c r="AX2446" i="1"/>
  <c r="AW2445" i="1"/>
  <c r="AX2445" i="1"/>
  <c r="AW2448" i="1"/>
  <c r="AX2448" i="1"/>
  <c r="AW2447" i="1"/>
  <c r="AX2447" i="1"/>
  <c r="AW2449" i="1"/>
  <c r="AX2449" i="1"/>
  <c r="AW2451" i="1"/>
  <c r="AX2451" i="1"/>
  <c r="AW2450" i="1"/>
  <c r="AX2450" i="1"/>
  <c r="AW2452" i="1"/>
  <c r="AX2452" i="1"/>
  <c r="AW2455" i="1"/>
  <c r="AX2455" i="1"/>
  <c r="AW2453" i="1"/>
  <c r="AX2453" i="1"/>
  <c r="AW2454" i="1"/>
  <c r="AX2454" i="1"/>
  <c r="AW2456" i="1"/>
  <c r="AX2456" i="1"/>
  <c r="AW2457" i="1"/>
  <c r="AX2457" i="1"/>
  <c r="AW2458" i="1"/>
  <c r="AX2458" i="1"/>
  <c r="AW2459" i="1"/>
  <c r="AX2459" i="1"/>
  <c r="AW2460" i="1"/>
  <c r="AX2460" i="1"/>
  <c r="AW2467" i="1"/>
  <c r="AX2467" i="1"/>
  <c r="AW2464" i="1"/>
  <c r="AX2464" i="1"/>
  <c r="AW2461" i="1"/>
  <c r="AX2461" i="1"/>
  <c r="AW2462" i="1"/>
  <c r="AX2462" i="1"/>
  <c r="AW2465" i="1"/>
  <c r="AX2465" i="1"/>
  <c r="AW2468" i="1"/>
  <c r="AX2468" i="1"/>
  <c r="AW2463" i="1"/>
  <c r="AX2463" i="1"/>
  <c r="AW2466" i="1"/>
  <c r="AX2466" i="1"/>
  <c r="AW2469" i="1"/>
  <c r="AX2469" i="1"/>
  <c r="AW2471" i="1"/>
  <c r="AX2471" i="1"/>
  <c r="AW2470" i="1"/>
  <c r="AX2470" i="1"/>
  <c r="AW2472" i="1"/>
  <c r="AX2472" i="1"/>
  <c r="AW2473" i="1"/>
  <c r="AX2473" i="1"/>
  <c r="AW2475" i="1"/>
  <c r="AX2475" i="1"/>
  <c r="AW2474" i="1"/>
  <c r="AX2474" i="1"/>
  <c r="AW2476" i="1"/>
  <c r="AX2476" i="1"/>
  <c r="AW2477" i="1"/>
  <c r="AX2477" i="1"/>
  <c r="AW2478" i="1"/>
  <c r="AX2478" i="1"/>
  <c r="AW2480" i="1"/>
  <c r="AX2480" i="1"/>
  <c r="AW2479" i="1"/>
  <c r="AX2479" i="1"/>
  <c r="AW2482" i="1"/>
  <c r="AX2482" i="1"/>
  <c r="AW2481" i="1"/>
  <c r="AX2481" i="1"/>
  <c r="AW2484" i="1"/>
  <c r="AX2484" i="1"/>
  <c r="AW2485" i="1"/>
  <c r="AX2485" i="1"/>
  <c r="AW2483" i="1"/>
  <c r="AX2483" i="1"/>
  <c r="AW2501" i="1"/>
  <c r="AX2501" i="1"/>
  <c r="AW2500" i="1"/>
  <c r="AX2500" i="1"/>
  <c r="AW2502" i="1"/>
  <c r="AX2502" i="1"/>
  <c r="AW2499" i="1"/>
  <c r="AX2499" i="1"/>
  <c r="AW2490" i="1"/>
  <c r="AX2490" i="1"/>
  <c r="AW2487" i="1"/>
  <c r="AX2487" i="1"/>
  <c r="AW2489" i="1"/>
  <c r="AX2489" i="1"/>
  <c r="AW2491" i="1"/>
  <c r="AX2491" i="1"/>
  <c r="AW2492" i="1"/>
  <c r="AX2492" i="1"/>
  <c r="AW2493" i="1"/>
  <c r="AX2493" i="1"/>
  <c r="AW2486" i="1"/>
  <c r="AX2486" i="1"/>
  <c r="AW2494" i="1"/>
  <c r="AX2494" i="1"/>
  <c r="AW2488" i="1"/>
  <c r="AX2488" i="1"/>
  <c r="AW2495" i="1"/>
  <c r="AX2495" i="1"/>
  <c r="AW2498" i="1"/>
  <c r="AX2498" i="1"/>
  <c r="AW2497" i="1"/>
  <c r="AX2497" i="1"/>
  <c r="AW2496" i="1"/>
  <c r="AX2496" i="1"/>
  <c r="AW2506" i="1"/>
  <c r="AX2506" i="1"/>
  <c r="AW2505" i="1"/>
  <c r="AX2505" i="1"/>
  <c r="AW2503" i="1"/>
  <c r="AX2503" i="1"/>
  <c r="AW2504" i="1"/>
  <c r="AX2504" i="1"/>
  <c r="AW2508" i="1"/>
  <c r="AX2508" i="1"/>
  <c r="AW2507" i="1"/>
  <c r="AX2507" i="1"/>
  <c r="AW2512" i="1"/>
  <c r="AX2512" i="1"/>
  <c r="AW2513" i="1"/>
  <c r="AX2513" i="1"/>
  <c r="AW2511" i="1"/>
  <c r="AX2511" i="1"/>
  <c r="AW2509" i="1"/>
  <c r="AX2509" i="1"/>
  <c r="AW2510" i="1"/>
  <c r="AX2510" i="1"/>
  <c r="AW2521" i="1"/>
  <c r="AX2521" i="1"/>
  <c r="AW2515" i="1"/>
  <c r="AX2515" i="1"/>
  <c r="AW2523" i="1"/>
  <c r="AX2523" i="1"/>
  <c r="AW2522" i="1"/>
  <c r="AX2522" i="1"/>
  <c r="AW2528" i="1"/>
  <c r="AX2528" i="1"/>
  <c r="AW2520" i="1"/>
  <c r="AX2520" i="1"/>
  <c r="AW2518" i="1"/>
  <c r="AX2518" i="1"/>
  <c r="AW2524" i="1"/>
  <c r="AX2524" i="1"/>
  <c r="AW2517" i="1"/>
  <c r="AX2517" i="1"/>
  <c r="AW2514" i="1"/>
  <c r="AX2514" i="1"/>
  <c r="AW2519" i="1"/>
  <c r="AX2519" i="1"/>
  <c r="AW2525" i="1"/>
  <c r="AX2525" i="1"/>
  <c r="AW2516" i="1"/>
  <c r="AX2516" i="1"/>
  <c r="AW2526" i="1"/>
  <c r="AX2526" i="1"/>
  <c r="AW2527" i="1"/>
  <c r="AX2527" i="1"/>
  <c r="AW2529" i="1"/>
  <c r="AX2529" i="1"/>
  <c r="AW2533" i="1"/>
  <c r="AX2533" i="1"/>
  <c r="AW2532" i="1"/>
  <c r="AX2532" i="1"/>
  <c r="AW2534" i="1"/>
  <c r="AX2534" i="1"/>
  <c r="AW2535" i="1"/>
  <c r="AX2535" i="1"/>
  <c r="AW2531" i="1"/>
  <c r="AX2531" i="1"/>
  <c r="AW2530" i="1"/>
  <c r="AX2530" i="1"/>
  <c r="AW2536" i="1"/>
  <c r="AX2536" i="1"/>
  <c r="AW2537" i="1"/>
  <c r="AX2537" i="1"/>
  <c r="AW2538" i="1"/>
  <c r="AX2538" i="1"/>
  <c r="AW2539" i="1"/>
  <c r="AX2539" i="1"/>
  <c r="AW2544" i="1"/>
  <c r="AX2544" i="1"/>
  <c r="AW2545" i="1"/>
  <c r="AX2545" i="1"/>
  <c r="AW2542" i="1"/>
  <c r="AX2542" i="1"/>
  <c r="AW2541" i="1"/>
  <c r="AX2541" i="1"/>
  <c r="AW2540" i="1"/>
  <c r="AX2540" i="1"/>
  <c r="AW2543" i="1"/>
  <c r="AX2543" i="1"/>
  <c r="AW2546" i="1"/>
  <c r="AX2546" i="1"/>
  <c r="AW2547" i="1"/>
  <c r="AX2547" i="1"/>
  <c r="AW2549" i="1"/>
  <c r="AX2549" i="1"/>
  <c r="AW2550" i="1"/>
  <c r="AX2550" i="1"/>
  <c r="AW2548" i="1"/>
  <c r="AX2548" i="1"/>
  <c r="AW2553" i="1"/>
  <c r="AX2553" i="1"/>
  <c r="AW2554" i="1"/>
  <c r="AX2554" i="1"/>
  <c r="AW2551" i="1"/>
  <c r="AX2551" i="1"/>
  <c r="AW2552" i="1"/>
  <c r="AX2552" i="1"/>
  <c r="AW2557" i="1"/>
  <c r="AX2557" i="1"/>
  <c r="AW2558" i="1"/>
  <c r="AX2558" i="1"/>
  <c r="AW2556" i="1"/>
  <c r="AX2556" i="1"/>
  <c r="AW2555" i="1"/>
  <c r="AX2555" i="1"/>
  <c r="AW2560" i="1"/>
  <c r="AX2560" i="1"/>
  <c r="AW2559" i="1"/>
  <c r="AX2559" i="1"/>
  <c r="AW2561" i="1"/>
  <c r="AX2561" i="1"/>
  <c r="AW2564" i="1"/>
  <c r="AX2564" i="1"/>
  <c r="AW2563" i="1"/>
  <c r="AX2563" i="1"/>
  <c r="AW2562" i="1"/>
  <c r="AX2562" i="1"/>
  <c r="AW2565" i="1"/>
  <c r="AX2565" i="1"/>
  <c r="AW2566" i="1"/>
  <c r="AX2566" i="1"/>
  <c r="AW2567" i="1"/>
  <c r="AX2567" i="1"/>
  <c r="AW2569" i="1"/>
  <c r="AX2569" i="1"/>
  <c r="AW2568" i="1"/>
  <c r="AX2568" i="1"/>
  <c r="AW2570" i="1"/>
  <c r="AX2570" i="1"/>
  <c r="AW2572" i="1"/>
  <c r="AX2572" i="1"/>
  <c r="AW2571" i="1"/>
  <c r="AX2571" i="1"/>
  <c r="AW2573" i="1"/>
  <c r="AX2573" i="1"/>
  <c r="AW2574" i="1"/>
  <c r="AX2574" i="1"/>
  <c r="AW2579" i="1"/>
  <c r="AX2579" i="1"/>
  <c r="AW2582" i="1"/>
  <c r="AX2582" i="1"/>
  <c r="AW2575" i="1"/>
  <c r="AX2575" i="1"/>
  <c r="AW2580" i="1"/>
  <c r="AX2580" i="1"/>
  <c r="AW2577" i="1"/>
  <c r="AX2577" i="1"/>
  <c r="AW2578" i="1"/>
  <c r="AX2578" i="1"/>
  <c r="AW2583" i="1"/>
  <c r="AX2583" i="1"/>
  <c r="AW2576" i="1"/>
  <c r="AX2576" i="1"/>
  <c r="AW2581" i="1"/>
  <c r="AX2581" i="1"/>
  <c r="AW2588" i="1"/>
  <c r="AX2588" i="1"/>
  <c r="AW2589" i="1"/>
  <c r="AX2589" i="1"/>
  <c r="AW2586" i="1"/>
  <c r="AX2586" i="1"/>
  <c r="AW2587" i="1"/>
  <c r="AX2587" i="1"/>
  <c r="AW2585" i="1"/>
  <c r="AX2585" i="1"/>
  <c r="AW2584" i="1"/>
  <c r="AX2584" i="1"/>
  <c r="AW2603" i="1"/>
  <c r="AX2603" i="1"/>
  <c r="AW2596" i="1"/>
  <c r="AX2596" i="1"/>
  <c r="AW2593" i="1"/>
  <c r="AX2593" i="1"/>
  <c r="AW2598" i="1"/>
  <c r="AX2598" i="1"/>
  <c r="AW2590" i="1"/>
  <c r="AX2590" i="1"/>
  <c r="AW2594" i="1"/>
  <c r="AX2594" i="1"/>
  <c r="AW2604" i="1"/>
  <c r="AX2604" i="1"/>
  <c r="AW2605" i="1"/>
  <c r="AX2605" i="1"/>
  <c r="AW2606" i="1"/>
  <c r="AX2606" i="1"/>
  <c r="AW2607" i="1"/>
  <c r="AX2607" i="1"/>
  <c r="AW2591" i="1"/>
  <c r="AX2591" i="1"/>
  <c r="AW2592" i="1"/>
  <c r="AX2592" i="1"/>
  <c r="AW2601" i="1"/>
  <c r="AX2601" i="1"/>
  <c r="AW2599" i="1"/>
  <c r="AX2599" i="1"/>
  <c r="AW2595" i="1"/>
  <c r="AX2595" i="1"/>
  <c r="AW2597" i="1"/>
  <c r="AX2597" i="1"/>
  <c r="AW2600" i="1"/>
  <c r="AX2600" i="1"/>
  <c r="AW2602" i="1"/>
  <c r="AX2602" i="1"/>
  <c r="AW2618" i="1"/>
  <c r="AX2618" i="1"/>
  <c r="AW2619" i="1"/>
  <c r="AX2619" i="1"/>
  <c r="AW2620" i="1"/>
  <c r="AX2620" i="1"/>
  <c r="AW2617" i="1"/>
  <c r="AX2617" i="1"/>
  <c r="AW2615" i="1"/>
  <c r="AX2615" i="1"/>
  <c r="AW2616" i="1"/>
  <c r="AX2616" i="1"/>
  <c r="AW2610" i="1"/>
  <c r="AX2610" i="1"/>
  <c r="AW2611" i="1"/>
  <c r="AX2611" i="1"/>
  <c r="AW2614" i="1"/>
  <c r="AX2614" i="1"/>
  <c r="AW2608" i="1"/>
  <c r="AX2608" i="1"/>
  <c r="AW2609" i="1"/>
  <c r="AX2609" i="1"/>
  <c r="AW2612" i="1"/>
  <c r="AX2612" i="1"/>
  <c r="AW2613" i="1"/>
  <c r="AX2613" i="1"/>
  <c r="AW2631" i="1"/>
  <c r="AX2631" i="1"/>
  <c r="AW2632" i="1"/>
  <c r="AX2632" i="1"/>
  <c r="AW2625" i="1"/>
  <c r="AX2625" i="1"/>
  <c r="AW2624" i="1"/>
  <c r="AX2624" i="1"/>
  <c r="AW2621" i="1"/>
  <c r="AX2621" i="1"/>
  <c r="AW2622" i="1"/>
  <c r="AX2622" i="1"/>
  <c r="AW2626" i="1"/>
  <c r="AX2626" i="1"/>
  <c r="AW2623" i="1"/>
  <c r="AX2623" i="1"/>
  <c r="AW2627" i="1"/>
  <c r="AX2627" i="1"/>
  <c r="AW2637" i="1"/>
  <c r="AX2637" i="1"/>
  <c r="AW2635" i="1"/>
  <c r="AX2635" i="1"/>
  <c r="AW2636" i="1"/>
  <c r="AX2636" i="1"/>
  <c r="AW2629" i="1"/>
  <c r="AX2629" i="1"/>
  <c r="AW2638" i="1"/>
  <c r="AX2638" i="1"/>
  <c r="AW2633" i="1"/>
  <c r="AX2633" i="1"/>
  <c r="AW2630" i="1"/>
  <c r="AX2630" i="1"/>
  <c r="AW2628" i="1"/>
  <c r="AX2628" i="1"/>
  <c r="AW2634" i="1"/>
  <c r="AX2634" i="1"/>
  <c r="AW2646" i="1"/>
  <c r="AX2646" i="1"/>
  <c r="AW2648" i="1"/>
  <c r="AX2648" i="1"/>
  <c r="AW2641" i="1"/>
  <c r="AX2641" i="1"/>
  <c r="AW2642" i="1"/>
  <c r="AX2642" i="1"/>
  <c r="AW2649" i="1"/>
  <c r="AX2649" i="1"/>
  <c r="AW2650" i="1"/>
  <c r="AX2650" i="1"/>
  <c r="AW2640" i="1"/>
  <c r="AX2640" i="1"/>
  <c r="AW2639" i="1"/>
  <c r="AX2639" i="1"/>
  <c r="AW2645" i="1"/>
  <c r="AX2645" i="1"/>
  <c r="AW2647" i="1"/>
  <c r="AX2647" i="1"/>
  <c r="AW2644" i="1"/>
  <c r="AX2644" i="1"/>
  <c r="AW2643" i="1"/>
  <c r="AX2643" i="1"/>
  <c r="AW2653" i="1"/>
  <c r="AX2653" i="1"/>
  <c r="AW2652" i="1"/>
  <c r="AX2652" i="1"/>
  <c r="AW2651" i="1"/>
  <c r="AX2651" i="1"/>
  <c r="AW2658" i="1"/>
  <c r="AX2658" i="1"/>
  <c r="AW2657" i="1"/>
  <c r="AX2657" i="1"/>
  <c r="AW2655" i="1"/>
  <c r="AX2655" i="1"/>
  <c r="AW2654" i="1"/>
  <c r="AX2654" i="1"/>
  <c r="AW2656" i="1"/>
  <c r="AX2656" i="1"/>
  <c r="AW2659" i="1"/>
  <c r="AX2659" i="1"/>
  <c r="AW2660" i="1"/>
  <c r="AX2660" i="1"/>
  <c r="AW2661" i="1"/>
  <c r="AX2661" i="1"/>
  <c r="AW2662" i="1"/>
  <c r="AX2662" i="1"/>
  <c r="AW2664" i="1"/>
  <c r="AX2664" i="1"/>
  <c r="AW2663" i="1"/>
  <c r="AX2663" i="1"/>
  <c r="AW2666" i="1"/>
  <c r="AX2666" i="1"/>
  <c r="AW2665" i="1"/>
  <c r="AX2665" i="1"/>
  <c r="AW2670" i="1"/>
  <c r="AX2670" i="1"/>
  <c r="AW2673" i="1"/>
  <c r="AX2673" i="1"/>
  <c r="AW2680" i="1"/>
  <c r="AX2680" i="1"/>
  <c r="AW2679" i="1"/>
  <c r="AX2679" i="1"/>
  <c r="AW2676" i="1"/>
  <c r="AX2676" i="1"/>
  <c r="AW2678" i="1"/>
  <c r="AX2678" i="1"/>
  <c r="AW2667" i="1"/>
  <c r="AX2667" i="1"/>
  <c r="AW2677" i="1"/>
  <c r="AX2677" i="1"/>
  <c r="AW2674" i="1"/>
  <c r="AX2674" i="1"/>
  <c r="AW2671" i="1"/>
  <c r="AX2671" i="1"/>
  <c r="AW2672" i="1"/>
  <c r="AX2672" i="1"/>
  <c r="AW2675" i="1"/>
  <c r="AX2675" i="1"/>
  <c r="AW2668" i="1"/>
  <c r="AX2668" i="1"/>
  <c r="AW2669" i="1"/>
  <c r="AX2669" i="1"/>
  <c r="AW2683" i="1"/>
  <c r="AX2683" i="1"/>
  <c r="AW2681" i="1"/>
  <c r="AX2681" i="1"/>
  <c r="AW2682" i="1"/>
  <c r="AX2682" i="1"/>
  <c r="AW2684" i="1"/>
  <c r="AX2684" i="1"/>
  <c r="AW2686" i="1"/>
  <c r="AX2686" i="1"/>
  <c r="AW2685" i="1"/>
  <c r="AX2685" i="1"/>
  <c r="AW2687" i="1"/>
  <c r="AX2687" i="1"/>
  <c r="AW2691" i="1"/>
  <c r="AX2691" i="1"/>
  <c r="AW2688" i="1"/>
  <c r="AX2688" i="1"/>
  <c r="AW2692" i="1"/>
  <c r="AX2692" i="1"/>
  <c r="AW2689" i="1"/>
  <c r="AX2689" i="1"/>
  <c r="AW2693" i="1"/>
  <c r="AX2693" i="1"/>
  <c r="AW2690" i="1"/>
  <c r="AX2690" i="1"/>
  <c r="AW2694" i="1"/>
  <c r="AX2694" i="1"/>
  <c r="AW2698" i="1"/>
  <c r="AX2698" i="1"/>
  <c r="AW2695" i="1"/>
  <c r="AX2695" i="1"/>
  <c r="AW2700" i="1"/>
  <c r="AX2700" i="1"/>
  <c r="AW2696" i="1"/>
  <c r="AX2696" i="1"/>
  <c r="AW2697" i="1"/>
  <c r="AX2697" i="1"/>
  <c r="AW2714" i="1"/>
  <c r="AX2714" i="1"/>
  <c r="AW2704" i="1"/>
  <c r="AX2704" i="1"/>
  <c r="AW2710" i="1"/>
  <c r="AX2710" i="1"/>
  <c r="AW2715" i="1"/>
  <c r="AX2715" i="1"/>
  <c r="AW2703" i="1"/>
  <c r="AX2703" i="1"/>
  <c r="AW2708" i="1"/>
  <c r="AX2708" i="1"/>
  <c r="AW2712" i="1"/>
  <c r="AX2712" i="1"/>
  <c r="AW2699" i="1"/>
  <c r="AX2699" i="1"/>
  <c r="AW2709" i="1"/>
  <c r="AX2709" i="1"/>
  <c r="AW2713" i="1"/>
  <c r="AX2713" i="1"/>
  <c r="AW2701" i="1"/>
  <c r="AX2701" i="1"/>
  <c r="AW2702" i="1"/>
  <c r="AX2702" i="1"/>
  <c r="AW2705" i="1"/>
  <c r="AX2705" i="1"/>
  <c r="AW2711" i="1"/>
  <c r="AX2711" i="1"/>
  <c r="AW2706" i="1"/>
  <c r="AX2706" i="1"/>
  <c r="AW2707" i="1"/>
  <c r="AX2707" i="1"/>
  <c r="AW2716" i="1"/>
  <c r="AX2716" i="1"/>
  <c r="AW2717" i="1"/>
  <c r="AX2717" i="1"/>
  <c r="AW2718" i="1"/>
  <c r="AX2718" i="1"/>
  <c r="AW2719" i="1"/>
  <c r="AX2719" i="1"/>
  <c r="AW2720" i="1"/>
  <c r="AX2720" i="1"/>
  <c r="AW2723" i="1"/>
  <c r="AX2723" i="1"/>
  <c r="AW2724" i="1"/>
  <c r="AX2724" i="1"/>
  <c r="AW2725" i="1"/>
  <c r="AX2725" i="1"/>
  <c r="AW2726" i="1"/>
  <c r="AX2726" i="1"/>
  <c r="AW2721" i="1"/>
  <c r="AX2721" i="1"/>
  <c r="AW2722" i="1"/>
  <c r="AX2722" i="1"/>
  <c r="AW2727" i="1"/>
  <c r="AX2727" i="1"/>
  <c r="AW2728" i="1"/>
  <c r="AX2728" i="1"/>
  <c r="AW2733" i="1"/>
  <c r="AX2733" i="1"/>
  <c r="AW2730" i="1"/>
  <c r="AX2730" i="1"/>
  <c r="AW2736" i="1"/>
  <c r="AX2736" i="1"/>
  <c r="AW2735" i="1"/>
  <c r="AX2735" i="1"/>
  <c r="AW2734" i="1"/>
  <c r="AX2734" i="1"/>
  <c r="AW2732" i="1"/>
  <c r="AX2732" i="1"/>
  <c r="AW2729" i="1"/>
  <c r="AX2729" i="1"/>
  <c r="AW2731" i="1"/>
  <c r="AX2731" i="1"/>
  <c r="AW2737" i="1"/>
  <c r="AX2737" i="1"/>
  <c r="AW2738" i="1"/>
  <c r="AX2738" i="1"/>
  <c r="AW2740" i="1"/>
  <c r="AX2740" i="1"/>
  <c r="AW2739" i="1"/>
  <c r="AX2739" i="1"/>
  <c r="AW2743" i="1"/>
  <c r="AX2743" i="1"/>
  <c r="AW2744" i="1"/>
  <c r="AX2744" i="1"/>
  <c r="AW2741" i="1"/>
  <c r="AX2741" i="1"/>
  <c r="AW2742" i="1"/>
  <c r="AX2742" i="1"/>
  <c r="AW2745" i="1"/>
  <c r="AX2745" i="1"/>
  <c r="AW2747" i="1"/>
  <c r="AX2747" i="1"/>
  <c r="AW2746" i="1"/>
  <c r="AX2746" i="1"/>
  <c r="AW2748" i="1"/>
  <c r="AX2748" i="1"/>
  <c r="AW2749" i="1"/>
  <c r="AX2749" i="1"/>
  <c r="AW2751" i="1"/>
  <c r="AX2751" i="1"/>
  <c r="AW2752" i="1"/>
  <c r="AX2752" i="1"/>
  <c r="AW2750" i="1"/>
  <c r="AX2750" i="1"/>
  <c r="AW2753" i="1"/>
  <c r="AX2753" i="1"/>
  <c r="AW2754" i="1"/>
  <c r="AX2754" i="1"/>
  <c r="AW2756" i="1"/>
  <c r="AX2756" i="1"/>
  <c r="AW2757" i="1"/>
  <c r="AX2757" i="1"/>
  <c r="AW2755" i="1"/>
  <c r="AX2755" i="1"/>
  <c r="AW2758" i="1"/>
  <c r="AX2758" i="1"/>
  <c r="AW2759" i="1"/>
  <c r="AX2759" i="1"/>
  <c r="AW2760" i="1"/>
  <c r="AX2760" i="1"/>
  <c r="AW2762" i="1"/>
  <c r="AX2762" i="1"/>
  <c r="AW2761" i="1"/>
  <c r="AX2761" i="1"/>
  <c r="AW2782" i="1"/>
  <c r="AX2782" i="1"/>
  <c r="AW2784" i="1"/>
  <c r="AX2784" i="1"/>
  <c r="AW2767" i="1"/>
  <c r="AX2767" i="1"/>
  <c r="AW2765" i="1"/>
  <c r="AX2765" i="1"/>
  <c r="AW2773" i="1"/>
  <c r="AX2773" i="1"/>
  <c r="AW2770" i="1"/>
  <c r="AX2770" i="1"/>
  <c r="AW2778" i="1"/>
  <c r="AX2778" i="1"/>
  <c r="AX2304" i="1"/>
  <c r="AW2304" i="1"/>
  <c r="AX2299" i="1"/>
  <c r="AW2299" i="1"/>
  <c r="AX2296" i="1"/>
  <c r="AW2296" i="1"/>
  <c r="AX2294" i="1"/>
  <c r="AW2294" i="1"/>
  <c r="AX2295" i="1"/>
  <c r="AW2295" i="1"/>
  <c r="AX2290" i="1"/>
  <c r="AW2290" i="1"/>
  <c r="AX2291" i="1"/>
  <c r="AW2291" i="1"/>
  <c r="AX2289" i="1"/>
  <c r="AW2289" i="1"/>
  <c r="AX2301" i="1"/>
  <c r="AW2301" i="1"/>
  <c r="AX2300" i="1"/>
  <c r="AW2300" i="1"/>
  <c r="AX2305" i="1"/>
  <c r="AW2305" i="1"/>
  <c r="AX2293" i="1"/>
  <c r="AW2293" i="1"/>
  <c r="AX2292" i="1"/>
  <c r="AW2292" i="1"/>
  <c r="AX2298" i="1"/>
  <c r="AW2298" i="1"/>
  <c r="AX2297" i="1"/>
  <c r="AX2303" i="1"/>
  <c r="AW2303" i="1"/>
  <c r="AX2302" i="1"/>
  <c r="AW2302" i="1"/>
  <c r="AX2308" i="1"/>
  <c r="AW2308" i="1"/>
  <c r="AX2307" i="1"/>
  <c r="AW2307" i="1"/>
  <c r="AX2287" i="1"/>
  <c r="AX2288" i="1"/>
  <c r="AX2286" i="1"/>
  <c r="AX2284" i="1"/>
  <c r="AX2285" i="1"/>
  <c r="AX2282" i="1"/>
  <c r="AX2283" i="1"/>
  <c r="AX2279" i="1"/>
  <c r="AX2281" i="1"/>
  <c r="AX2280" i="1"/>
  <c r="AX2274" i="1"/>
  <c r="AX2273" i="1"/>
  <c r="AX2276" i="1"/>
  <c r="AX2278" i="1"/>
  <c r="AX2275" i="1"/>
  <c r="AX2277" i="1"/>
  <c r="AX2271" i="1"/>
  <c r="AX2268" i="1"/>
  <c r="AX2263" i="1"/>
  <c r="AX2266" i="1"/>
  <c r="AX2272" i="1"/>
  <c r="AX2267" i="1"/>
  <c r="AX2265" i="1"/>
  <c r="AX2270" i="1"/>
  <c r="AW2270" i="1"/>
  <c r="AX2269" i="1"/>
  <c r="AX2264" i="1"/>
  <c r="AX2261" i="1"/>
  <c r="AX2257" i="1"/>
  <c r="AX2252" i="1"/>
  <c r="AW2252" i="1"/>
  <c r="AX2251" i="1"/>
  <c r="AW2251" i="1"/>
  <c r="AX2255" i="1"/>
  <c r="AW2255" i="1"/>
  <c r="AX2262" i="1"/>
  <c r="AW2262" i="1"/>
  <c r="AX2256" i="1"/>
  <c r="AW2256" i="1"/>
  <c r="AX2260" i="1"/>
  <c r="AW2260" i="1"/>
  <c r="AX2254" i="1"/>
  <c r="AW2254" i="1"/>
  <c r="AX2258" i="1"/>
  <c r="AW2258" i="1"/>
  <c r="AX2250" i="1"/>
  <c r="AW2250" i="1"/>
  <c r="AX2253" i="1"/>
  <c r="AW2253" i="1"/>
  <c r="AX2259" i="1"/>
  <c r="AW2259" i="1"/>
  <c r="AX2247" i="1"/>
  <c r="AW2247" i="1"/>
  <c r="AX2249" i="1"/>
  <c r="AW2249" i="1"/>
  <c r="AX2246" i="1"/>
  <c r="AW2246" i="1"/>
  <c r="AX2248" i="1"/>
  <c r="AW2248" i="1"/>
  <c r="AX2243" i="1"/>
  <c r="AW2243" i="1"/>
  <c r="AX2242" i="1"/>
  <c r="AW2242" i="1"/>
  <c r="AX2235" i="1"/>
  <c r="AW2235" i="1"/>
  <c r="AX2234" i="1"/>
  <c r="AW2234" i="1"/>
  <c r="AX2245" i="1"/>
  <c r="AW2245" i="1"/>
  <c r="AX2244" i="1"/>
  <c r="AW2244" i="1"/>
  <c r="AX2237" i="1"/>
  <c r="AW2237" i="1"/>
  <c r="AX2238" i="1"/>
  <c r="AW2238" i="1"/>
  <c r="AX2240" i="1"/>
  <c r="AW2240" i="1"/>
  <c r="AX2239" i="1"/>
  <c r="AW2239" i="1"/>
  <c r="AX2241" i="1"/>
  <c r="AW2241" i="1"/>
  <c r="AX2236" i="1"/>
  <c r="AW2236" i="1"/>
  <c r="AX2230" i="1"/>
  <c r="AW2230" i="1"/>
  <c r="AX2231" i="1"/>
  <c r="AW2231" i="1"/>
  <c r="AX2226" i="1"/>
  <c r="AW2226" i="1"/>
  <c r="AX2229" i="1"/>
  <c r="AW2229" i="1"/>
  <c r="AX2233" i="1"/>
  <c r="AW2233" i="1"/>
  <c r="AX2232" i="1"/>
  <c r="AW2232" i="1"/>
  <c r="AX2227" i="1"/>
  <c r="AW2227" i="1"/>
  <c r="AX2225" i="1"/>
  <c r="AW2225" i="1"/>
  <c r="AX2219" i="1"/>
  <c r="AW2219" i="1"/>
  <c r="AX2218" i="1"/>
  <c r="AW2218" i="1"/>
  <c r="AX2222" i="1"/>
  <c r="AW2222" i="1"/>
  <c r="AX2221" i="1"/>
  <c r="AW2221" i="1"/>
  <c r="AX2217" i="1"/>
  <c r="AW2217" i="1"/>
  <c r="AX2216" i="1"/>
  <c r="AW2216" i="1"/>
  <c r="AX2214" i="1"/>
  <c r="AW2214" i="1"/>
  <c r="AX2215" i="1"/>
  <c r="AW2215" i="1"/>
  <c r="AX2223" i="1"/>
  <c r="AW2223" i="1"/>
  <c r="AX2224" i="1"/>
  <c r="AW2224" i="1"/>
  <c r="AX2220" i="1"/>
  <c r="AW2220" i="1"/>
  <c r="AX2228" i="1"/>
  <c r="AW2228" i="1"/>
  <c r="AX2213" i="1"/>
  <c r="AW2213" i="1"/>
  <c r="AX2212" i="1"/>
  <c r="AW2212" i="1"/>
  <c r="AX2210" i="1"/>
  <c r="AW2210" i="1"/>
  <c r="AX2211" i="1"/>
  <c r="AW2211" i="1"/>
  <c r="AX2208" i="1"/>
  <c r="AW2208" i="1"/>
  <c r="AX2209" i="1"/>
  <c r="AW2209" i="1"/>
  <c r="AX2204" i="1"/>
  <c r="AW2204" i="1"/>
  <c r="AX2203" i="1"/>
  <c r="AW2203" i="1"/>
  <c r="AX2207" i="1"/>
  <c r="AW2207" i="1"/>
  <c r="AX2205" i="1"/>
  <c r="AW2205" i="1"/>
  <c r="AX2206" i="1"/>
  <c r="AW2206" i="1"/>
  <c r="AX2202" i="1"/>
  <c r="AW2202" i="1"/>
  <c r="AX2201" i="1"/>
  <c r="AW2201" i="1"/>
  <c r="AX2194" i="1"/>
  <c r="AW2194" i="1"/>
  <c r="AX2200" i="1"/>
  <c r="AW2200" i="1"/>
  <c r="AX2198" i="1"/>
  <c r="AW2198" i="1"/>
  <c r="AX2196" i="1"/>
  <c r="AW2196" i="1"/>
  <c r="AX2197" i="1"/>
  <c r="AW2197" i="1"/>
  <c r="AX2195" i="1"/>
  <c r="AW2195" i="1"/>
  <c r="AX2199" i="1"/>
  <c r="AW2199" i="1"/>
  <c r="AX2193" i="1"/>
  <c r="AW2193" i="1"/>
  <c r="AX2192" i="1"/>
  <c r="AW2192" i="1"/>
  <c r="AX2190" i="1"/>
  <c r="AW2190" i="1"/>
  <c r="AX2191" i="1"/>
  <c r="AW2191" i="1"/>
  <c r="AX2187" i="1"/>
  <c r="AW2187" i="1"/>
  <c r="AX2186" i="1"/>
  <c r="AW2186" i="1"/>
  <c r="AX2189" i="1"/>
  <c r="AW2189" i="1"/>
  <c r="AX2188" i="1"/>
  <c r="AW2188" i="1"/>
  <c r="AX2185" i="1"/>
  <c r="AW2185" i="1"/>
  <c r="AX2182" i="1"/>
  <c r="AW2182" i="1"/>
  <c r="AX2183" i="1"/>
  <c r="AW2183" i="1"/>
  <c r="AX2184" i="1"/>
  <c r="AW2184" i="1"/>
  <c r="AX2181" i="1"/>
  <c r="AW2181" i="1"/>
  <c r="AX2180" i="1"/>
  <c r="AW2180" i="1"/>
  <c r="AX1129" i="1"/>
  <c r="AW1129" i="1"/>
  <c r="AX1128" i="1"/>
  <c r="AW1128" i="1"/>
  <c r="AX1127" i="1"/>
  <c r="AW1127" i="1"/>
  <c r="AX1126" i="1"/>
  <c r="AW1126" i="1"/>
  <c r="AX1125" i="1"/>
  <c r="AW1125" i="1"/>
  <c r="AX1124" i="1"/>
  <c r="AW1124" i="1"/>
  <c r="AX1123" i="1"/>
  <c r="AW1123" i="1"/>
  <c r="AX1122" i="1"/>
  <c r="AW1122" i="1"/>
  <c r="AX1121" i="1"/>
  <c r="AW1121" i="1"/>
  <c r="AX1120" i="1"/>
  <c r="AW1120" i="1"/>
  <c r="AX1119" i="1"/>
  <c r="AW1119" i="1"/>
  <c r="AX1118" i="1"/>
  <c r="AW1118" i="1"/>
  <c r="AX1117" i="1"/>
  <c r="AW1117" i="1"/>
  <c r="AX1116" i="1"/>
  <c r="AW1116" i="1"/>
  <c r="AX1115" i="1"/>
  <c r="AW1115" i="1"/>
  <c r="AX1114" i="1"/>
  <c r="AW1114" i="1"/>
  <c r="AX1113" i="1"/>
  <c r="AW1113" i="1"/>
  <c r="AX1112" i="1"/>
  <c r="AW1112" i="1"/>
  <c r="AX1111" i="1"/>
  <c r="AW1111" i="1"/>
  <c r="AX1110" i="1"/>
  <c r="AW1110" i="1"/>
  <c r="AX1109" i="1"/>
  <c r="AW1109" i="1"/>
  <c r="AX1108" i="1"/>
  <c r="AW1108" i="1"/>
  <c r="AX1107" i="1"/>
  <c r="AW1107" i="1"/>
  <c r="AX1106" i="1"/>
  <c r="AW1106" i="1"/>
  <c r="AX1105" i="1"/>
  <c r="AW1105" i="1"/>
  <c r="AX1104" i="1"/>
  <c r="AW1104" i="1"/>
  <c r="AX1103" i="1"/>
  <c r="AW1103" i="1"/>
  <c r="AX1102" i="1"/>
  <c r="AW1102" i="1"/>
  <c r="AX1101" i="1"/>
  <c r="AW1101" i="1"/>
  <c r="AX1100" i="1"/>
  <c r="AW1100" i="1"/>
  <c r="AX1099" i="1"/>
  <c r="AW1099" i="1"/>
  <c r="AX1098" i="1"/>
  <c r="AW1098" i="1"/>
  <c r="AX1097" i="1"/>
  <c r="AW1097" i="1"/>
  <c r="AX1096" i="1"/>
  <c r="AW1096" i="1"/>
  <c r="AX1095" i="1"/>
  <c r="AW1095" i="1"/>
  <c r="AX1094" i="1"/>
  <c r="AW1094" i="1"/>
  <c r="AX1093" i="1"/>
  <c r="AW1093" i="1"/>
  <c r="AX1092" i="1"/>
  <c r="AW1092" i="1"/>
  <c r="AX1091" i="1"/>
  <c r="AW1091" i="1"/>
  <c r="AX1090" i="1"/>
  <c r="AW1090" i="1"/>
  <c r="AX1089" i="1"/>
  <c r="AW1089" i="1"/>
  <c r="AX1088" i="1"/>
  <c r="AW1088" i="1"/>
  <c r="AX1087" i="1"/>
  <c r="AW1087" i="1"/>
  <c r="AX1086" i="1"/>
  <c r="AW1086" i="1"/>
  <c r="AX1085" i="1"/>
  <c r="AW1085" i="1"/>
  <c r="AX1084" i="1"/>
  <c r="AW1084" i="1"/>
  <c r="AX1083" i="1"/>
  <c r="AW1083" i="1"/>
  <c r="AX1082" i="1"/>
  <c r="AW1082" i="1"/>
  <c r="AX1081" i="1"/>
  <c r="AW1081" i="1"/>
  <c r="AX1080" i="1"/>
  <c r="AW1080" i="1"/>
  <c r="AX1079" i="1"/>
  <c r="AW1079" i="1"/>
  <c r="AX1078" i="1"/>
  <c r="AW1078" i="1"/>
  <c r="AX1077" i="1"/>
  <c r="AW1077" i="1"/>
  <c r="AX1076" i="1"/>
  <c r="AW1076" i="1"/>
  <c r="AX1075" i="1"/>
  <c r="AW1075" i="1"/>
  <c r="AX1074" i="1"/>
  <c r="AW1074" i="1"/>
  <c r="AX1073" i="1"/>
  <c r="AW1073" i="1"/>
  <c r="AX1072" i="1"/>
  <c r="AW1072" i="1"/>
  <c r="AX1071" i="1"/>
  <c r="AW1071" i="1"/>
  <c r="AX1070" i="1"/>
  <c r="AW1070" i="1"/>
  <c r="AX1069" i="1"/>
  <c r="AW1069" i="1"/>
  <c r="AX1068" i="1"/>
  <c r="AW1068" i="1"/>
  <c r="AX1067" i="1"/>
  <c r="AW1067" i="1"/>
  <c r="AX1066" i="1"/>
  <c r="AW1066" i="1"/>
  <c r="AX1065" i="1"/>
  <c r="AW1065" i="1"/>
  <c r="AX1064" i="1"/>
  <c r="AW1064" i="1"/>
  <c r="AX1063" i="1"/>
  <c r="AW1063" i="1"/>
  <c r="AX1062" i="1"/>
  <c r="AW1062" i="1"/>
  <c r="AX1061" i="1"/>
  <c r="AW1061" i="1"/>
  <c r="AX1060" i="1"/>
  <c r="AW1060" i="1"/>
  <c r="AX1059" i="1"/>
  <c r="AW1059" i="1"/>
  <c r="AX1058" i="1"/>
  <c r="AW1058" i="1"/>
  <c r="AX1057" i="1"/>
  <c r="AW1057" i="1"/>
  <c r="AX1056" i="1"/>
  <c r="AW1056" i="1"/>
  <c r="AX1055" i="1"/>
  <c r="AW1055" i="1"/>
  <c r="AX1054" i="1"/>
  <c r="AW1054" i="1"/>
  <c r="AX1053" i="1"/>
  <c r="AW1053" i="1"/>
  <c r="AX1052" i="1"/>
  <c r="AW1052" i="1"/>
  <c r="AX1051" i="1"/>
  <c r="AW1051" i="1"/>
  <c r="AX1050" i="1"/>
  <c r="AW1050" i="1"/>
  <c r="AX1049" i="1"/>
  <c r="AW1049" i="1"/>
  <c r="AX1048" i="1"/>
  <c r="AW1048" i="1"/>
  <c r="AX1047" i="1"/>
  <c r="AW1047" i="1"/>
  <c r="AX1046" i="1"/>
  <c r="AW1046" i="1"/>
  <c r="AX1045" i="1"/>
  <c r="AW1045" i="1"/>
  <c r="AX1044" i="1"/>
  <c r="AW1044" i="1"/>
  <c r="AX1043" i="1"/>
  <c r="AW1043" i="1"/>
  <c r="AX1042" i="1"/>
  <c r="AW1042" i="1"/>
  <c r="AX1041" i="1"/>
  <c r="AW1041" i="1"/>
  <c r="AX1040" i="1"/>
  <c r="AW1040" i="1"/>
  <c r="AX1039" i="1"/>
  <c r="AW1039" i="1"/>
  <c r="AX1038" i="1"/>
  <c r="AW1038" i="1"/>
  <c r="AX1037" i="1"/>
  <c r="AW1037" i="1"/>
  <c r="AX1036" i="1"/>
  <c r="AW1036" i="1"/>
  <c r="AX1035" i="1"/>
  <c r="AW1035" i="1"/>
  <c r="AX1034" i="1"/>
  <c r="AW1034" i="1"/>
  <c r="AX1033" i="1"/>
  <c r="AW1033" i="1"/>
  <c r="AX1032" i="1"/>
  <c r="AW1032" i="1"/>
  <c r="AX1031" i="1"/>
  <c r="AW1031" i="1"/>
  <c r="AX1030" i="1"/>
  <c r="AW1030" i="1"/>
  <c r="AX1029" i="1"/>
  <c r="AW1029" i="1"/>
  <c r="AX1028" i="1"/>
  <c r="AW1028" i="1"/>
  <c r="AX1027" i="1"/>
  <c r="AW1027" i="1"/>
  <c r="AX1026" i="1"/>
  <c r="AW1026" i="1"/>
  <c r="AX1025" i="1"/>
  <c r="AW1025" i="1"/>
  <c r="AX1024" i="1"/>
  <c r="AW1024" i="1"/>
  <c r="AX1023" i="1"/>
  <c r="AW1023" i="1"/>
  <c r="AX1022" i="1"/>
  <c r="AW1022" i="1"/>
  <c r="AX1021" i="1"/>
  <c r="AW1021" i="1"/>
  <c r="AX1020" i="1"/>
  <c r="AW1020" i="1"/>
  <c r="AX1019" i="1"/>
  <c r="AW1019" i="1"/>
  <c r="AX1018" i="1"/>
  <c r="AW1018" i="1"/>
  <c r="AX1017" i="1"/>
  <c r="AW1017" i="1"/>
  <c r="AX1016" i="1"/>
  <c r="AW1016" i="1"/>
  <c r="AX1015" i="1"/>
  <c r="AW1015" i="1"/>
  <c r="AX1014" i="1"/>
  <c r="AW1014" i="1"/>
  <c r="AX1013" i="1"/>
  <c r="AW1013" i="1"/>
  <c r="AX1012" i="1"/>
  <c r="AW1012" i="1"/>
  <c r="AX1011" i="1"/>
  <c r="AW1011" i="1"/>
  <c r="AX1010" i="1"/>
  <c r="AW1010" i="1"/>
  <c r="AX1009" i="1"/>
  <c r="AW1009" i="1"/>
  <c r="AX1008" i="1"/>
  <c r="AW1008" i="1"/>
  <c r="AX1007" i="1"/>
  <c r="AW1007" i="1"/>
  <c r="AX1006" i="1"/>
  <c r="AW1006" i="1"/>
  <c r="AX1005" i="1"/>
  <c r="AW1005" i="1"/>
  <c r="AX1004" i="1"/>
  <c r="AW1004" i="1"/>
  <c r="AX1003" i="1"/>
  <c r="AW1003" i="1"/>
  <c r="AX1002" i="1"/>
  <c r="AW1002" i="1"/>
  <c r="AX1001" i="1"/>
  <c r="AW1001" i="1"/>
  <c r="AX1000" i="1"/>
  <c r="AW1000" i="1"/>
  <c r="AX999" i="1"/>
  <c r="AW999" i="1"/>
  <c r="AX998" i="1"/>
  <c r="AW998" i="1"/>
  <c r="AX997" i="1"/>
  <c r="AW997" i="1"/>
  <c r="AX996" i="1"/>
  <c r="AW996" i="1"/>
  <c r="AX995" i="1"/>
  <c r="AW995" i="1"/>
  <c r="AX994" i="1"/>
  <c r="AW994" i="1"/>
  <c r="AX993" i="1"/>
  <c r="AW993" i="1"/>
  <c r="AX992" i="1"/>
  <c r="AW992" i="1"/>
  <c r="AX991" i="1"/>
  <c r="AW991" i="1"/>
  <c r="AX990" i="1"/>
  <c r="AW990" i="1"/>
  <c r="AX989" i="1"/>
  <c r="AW989" i="1"/>
  <c r="AX988" i="1"/>
  <c r="AW988" i="1"/>
  <c r="AX987" i="1"/>
  <c r="AW987" i="1"/>
  <c r="AX986" i="1"/>
  <c r="AW986" i="1"/>
  <c r="AX985" i="1"/>
  <c r="AW985" i="1"/>
  <c r="AX984" i="1"/>
  <c r="AW984" i="1"/>
  <c r="AX983" i="1"/>
  <c r="AW983" i="1"/>
  <c r="AX982" i="1"/>
  <c r="AW982" i="1"/>
  <c r="AX981" i="1"/>
  <c r="AW981" i="1"/>
  <c r="AX980" i="1"/>
  <c r="AW980" i="1"/>
  <c r="AX979" i="1"/>
  <c r="AW979" i="1"/>
  <c r="AX978" i="1"/>
  <c r="AW978" i="1"/>
  <c r="AX977" i="1"/>
  <c r="AW977" i="1"/>
  <c r="AX976" i="1"/>
  <c r="AW976" i="1"/>
  <c r="AX975" i="1"/>
  <c r="AW975" i="1"/>
  <c r="AX974" i="1"/>
  <c r="AW974" i="1"/>
  <c r="AX973" i="1"/>
  <c r="AW973" i="1"/>
  <c r="AX972" i="1"/>
  <c r="AW972" i="1"/>
  <c r="AX971" i="1"/>
  <c r="AW971" i="1"/>
  <c r="AX970" i="1"/>
  <c r="AW970" i="1"/>
  <c r="AX969" i="1"/>
  <c r="AW969" i="1"/>
  <c r="AX968" i="1"/>
  <c r="AW968" i="1"/>
  <c r="AX967" i="1"/>
  <c r="AW967" i="1"/>
  <c r="AX966" i="1"/>
  <c r="AW966" i="1"/>
  <c r="AX965" i="1"/>
  <c r="AW965" i="1"/>
  <c r="AX964" i="1"/>
  <c r="AW964" i="1"/>
  <c r="AX963" i="1"/>
  <c r="AW963" i="1"/>
  <c r="AX962" i="1"/>
  <c r="AW962" i="1"/>
  <c r="AX961" i="1"/>
  <c r="AW961" i="1"/>
  <c r="AX960" i="1"/>
  <c r="AW960" i="1"/>
  <c r="AX959" i="1"/>
  <c r="AW959" i="1"/>
  <c r="AX958" i="1"/>
  <c r="AW958" i="1"/>
  <c r="AX957" i="1"/>
  <c r="AW957" i="1"/>
  <c r="AX956" i="1"/>
  <c r="AW956" i="1"/>
  <c r="AX955" i="1"/>
  <c r="AW955" i="1"/>
  <c r="AX954" i="1"/>
  <c r="AW954" i="1"/>
  <c r="AX953" i="1"/>
  <c r="AW953" i="1"/>
  <c r="AX952" i="1"/>
  <c r="AW952" i="1"/>
  <c r="AX951" i="1"/>
  <c r="AW951" i="1"/>
  <c r="AX950" i="1"/>
  <c r="AW950" i="1"/>
  <c r="AX949" i="1"/>
  <c r="AW949" i="1"/>
  <c r="AX948" i="1"/>
  <c r="AW948" i="1"/>
  <c r="AX947" i="1"/>
  <c r="AW947" i="1"/>
  <c r="AX946" i="1"/>
  <c r="AW946" i="1"/>
  <c r="AX945" i="1"/>
  <c r="AW945" i="1"/>
  <c r="AX944" i="1"/>
  <c r="AW944" i="1"/>
  <c r="AX943" i="1"/>
  <c r="AW943" i="1"/>
  <c r="AX942" i="1"/>
  <c r="AW942" i="1"/>
  <c r="AX941" i="1"/>
  <c r="AW941" i="1"/>
  <c r="AX940" i="1"/>
  <c r="AW940" i="1"/>
  <c r="AX939" i="1"/>
  <c r="AW939" i="1"/>
  <c r="AX938" i="1"/>
  <c r="AW938" i="1"/>
  <c r="AX937" i="1"/>
  <c r="AW937" i="1"/>
  <c r="AX936" i="1"/>
  <c r="AW936" i="1"/>
  <c r="AX935" i="1"/>
  <c r="AW935" i="1"/>
  <c r="AX934" i="1"/>
  <c r="AW934" i="1"/>
  <c r="AX933" i="1"/>
  <c r="AW933" i="1"/>
  <c r="AX932" i="1"/>
  <c r="AW932" i="1"/>
  <c r="AX931" i="1"/>
  <c r="AW931" i="1"/>
  <c r="AX930" i="1"/>
  <c r="AW930" i="1"/>
  <c r="AX929" i="1"/>
  <c r="AW929" i="1"/>
  <c r="AX928" i="1"/>
  <c r="AW928" i="1"/>
  <c r="AX927" i="1"/>
  <c r="AW927" i="1"/>
  <c r="AX926" i="1"/>
  <c r="AW926" i="1"/>
  <c r="AX925" i="1"/>
  <c r="AW925" i="1"/>
  <c r="AX924" i="1"/>
  <c r="AW924" i="1"/>
  <c r="AX923" i="1"/>
  <c r="AW923" i="1"/>
  <c r="AX922" i="1"/>
  <c r="AW922" i="1"/>
  <c r="AX921" i="1"/>
  <c r="AW921" i="1"/>
  <c r="AX920" i="1"/>
  <c r="AW920" i="1"/>
  <c r="AX919" i="1"/>
  <c r="AW919" i="1"/>
  <c r="AX918" i="1"/>
  <c r="AW918" i="1"/>
  <c r="AX917" i="1"/>
  <c r="AW917" i="1"/>
  <c r="AX916" i="1"/>
  <c r="AW916" i="1"/>
  <c r="AX915" i="1"/>
  <c r="AW915" i="1"/>
  <c r="AX914" i="1"/>
  <c r="AW914" i="1"/>
  <c r="AX913" i="1"/>
  <c r="AW913" i="1"/>
  <c r="AX912" i="1"/>
  <c r="AW912" i="1"/>
  <c r="AX911" i="1"/>
  <c r="AW911" i="1"/>
  <c r="AX910" i="1"/>
  <c r="AW910" i="1"/>
  <c r="AX909" i="1"/>
  <c r="AW909" i="1"/>
  <c r="AX908" i="1"/>
  <c r="AW908" i="1"/>
  <c r="AX907" i="1"/>
  <c r="AW907" i="1"/>
  <c r="AX906" i="1"/>
  <c r="AW906" i="1"/>
  <c r="AX905" i="1"/>
  <c r="AW905" i="1"/>
  <c r="AX904" i="1"/>
  <c r="AW904" i="1"/>
  <c r="AX903" i="1"/>
  <c r="AW903" i="1"/>
  <c r="AX902" i="1"/>
  <c r="AW902" i="1"/>
  <c r="AX901" i="1"/>
  <c r="AW901" i="1"/>
  <c r="AX900" i="1"/>
  <c r="AW900" i="1"/>
  <c r="AX899" i="1"/>
  <c r="AW899" i="1"/>
  <c r="AX898" i="1"/>
  <c r="AW898" i="1"/>
  <c r="AX897" i="1"/>
  <c r="AW897" i="1"/>
  <c r="AX896" i="1"/>
  <c r="AW896" i="1"/>
  <c r="AX895" i="1"/>
  <c r="AW895" i="1"/>
  <c r="AX894" i="1"/>
  <c r="AW894" i="1"/>
  <c r="AX893" i="1"/>
  <c r="AW893" i="1"/>
  <c r="AX892" i="1"/>
  <c r="AW892" i="1"/>
  <c r="AX891" i="1"/>
  <c r="AW891" i="1"/>
  <c r="AX890" i="1"/>
  <c r="AW890" i="1"/>
  <c r="AX889" i="1"/>
  <c r="AW889" i="1"/>
  <c r="AX888" i="1"/>
  <c r="AW888" i="1"/>
  <c r="AX887" i="1"/>
  <c r="AW887" i="1"/>
  <c r="AX886" i="1"/>
  <c r="AW886" i="1"/>
  <c r="AX885" i="1"/>
  <c r="AW885" i="1"/>
  <c r="AX884" i="1"/>
  <c r="AW884" i="1"/>
  <c r="AX883" i="1"/>
  <c r="AW883" i="1"/>
  <c r="AX882" i="1"/>
  <c r="AW882" i="1"/>
  <c r="AX881" i="1"/>
  <c r="AW881" i="1"/>
  <c r="AX880" i="1"/>
  <c r="AW880" i="1"/>
  <c r="AX879" i="1"/>
  <c r="AW879" i="1"/>
  <c r="AX878" i="1"/>
  <c r="AW878" i="1"/>
  <c r="AX877" i="1"/>
  <c r="AW877" i="1"/>
  <c r="AX876" i="1"/>
  <c r="AW876" i="1"/>
  <c r="AX875" i="1"/>
  <c r="AW875" i="1"/>
  <c r="AX874" i="1"/>
  <c r="AW874" i="1"/>
  <c r="AX873" i="1"/>
  <c r="AW873" i="1"/>
  <c r="AX872" i="1"/>
  <c r="AW872" i="1"/>
  <c r="AX871" i="1"/>
  <c r="AW871" i="1"/>
  <c r="AX870" i="1"/>
  <c r="AW870" i="1"/>
  <c r="AX869" i="1"/>
  <c r="AW869" i="1"/>
  <c r="AX868" i="1"/>
  <c r="AW868" i="1"/>
  <c r="AX867" i="1"/>
  <c r="AW867" i="1"/>
  <c r="AX866" i="1"/>
  <c r="AW866" i="1"/>
  <c r="AX865" i="1"/>
  <c r="AW865" i="1"/>
  <c r="AX864" i="1"/>
  <c r="AW864" i="1"/>
  <c r="AX863" i="1"/>
  <c r="AW863" i="1"/>
  <c r="AX862" i="1"/>
  <c r="AW862" i="1"/>
  <c r="AX861" i="1"/>
  <c r="AW861" i="1"/>
  <c r="AX860" i="1"/>
  <c r="AW860" i="1"/>
  <c r="AX859" i="1"/>
  <c r="AW859" i="1"/>
  <c r="AX858" i="1"/>
  <c r="AW858" i="1"/>
  <c r="AX857" i="1"/>
  <c r="AW857" i="1"/>
  <c r="AX856" i="1"/>
  <c r="AW856" i="1"/>
  <c r="AX855" i="1"/>
  <c r="AW855" i="1"/>
  <c r="AX854" i="1"/>
  <c r="AW854" i="1"/>
  <c r="AX853" i="1"/>
  <c r="AW853" i="1"/>
  <c r="AX852" i="1"/>
  <c r="AW852" i="1"/>
  <c r="AX851" i="1"/>
  <c r="AW851" i="1"/>
  <c r="AX850" i="1"/>
  <c r="AW850" i="1"/>
  <c r="AX849" i="1"/>
  <c r="AW849" i="1"/>
  <c r="AX848" i="1"/>
  <c r="AW848" i="1"/>
  <c r="AX847" i="1"/>
  <c r="AW847" i="1"/>
  <c r="AX846" i="1"/>
  <c r="AW846" i="1"/>
  <c r="AX845" i="1"/>
  <c r="AW845" i="1"/>
  <c r="AX844" i="1"/>
  <c r="AW844" i="1"/>
  <c r="AX843" i="1"/>
  <c r="AW843" i="1"/>
  <c r="AX842" i="1"/>
  <c r="AW842" i="1"/>
  <c r="AX841" i="1"/>
  <c r="AW841" i="1"/>
  <c r="AX840" i="1"/>
  <c r="AW840" i="1"/>
  <c r="AX839" i="1"/>
  <c r="AW839" i="1"/>
  <c r="AX838" i="1"/>
  <c r="AW838" i="1"/>
  <c r="AX837" i="1"/>
  <c r="AW837" i="1"/>
  <c r="AX836" i="1"/>
  <c r="AW836" i="1"/>
  <c r="AX835" i="1"/>
  <c r="AW835" i="1"/>
  <c r="AX834" i="1"/>
  <c r="AW834" i="1"/>
  <c r="AX833" i="1"/>
  <c r="AW833" i="1"/>
  <c r="AX832" i="1"/>
  <c r="AW832" i="1"/>
  <c r="AX831" i="1"/>
  <c r="AW831" i="1"/>
  <c r="AX830" i="1"/>
  <c r="AW830" i="1"/>
  <c r="AX829" i="1"/>
  <c r="AW829" i="1"/>
  <c r="AX828" i="1"/>
  <c r="AW828" i="1"/>
  <c r="AX827" i="1"/>
  <c r="AW827" i="1"/>
  <c r="AX826" i="1"/>
  <c r="AW826" i="1"/>
  <c r="AX825" i="1"/>
  <c r="AW825" i="1"/>
  <c r="AX824" i="1"/>
  <c r="AW824" i="1"/>
  <c r="AX823" i="1"/>
  <c r="AW823" i="1"/>
  <c r="AX822" i="1"/>
  <c r="AW822" i="1"/>
  <c r="AX821" i="1"/>
  <c r="AW821" i="1"/>
  <c r="AX820" i="1"/>
  <c r="AW820" i="1"/>
  <c r="AX819" i="1"/>
  <c r="AW819" i="1"/>
  <c r="AX818" i="1"/>
  <c r="AW818" i="1"/>
  <c r="AX817" i="1"/>
  <c r="AW817" i="1"/>
  <c r="AX816" i="1"/>
  <c r="AW816" i="1"/>
  <c r="AX815" i="1"/>
  <c r="AW815" i="1"/>
  <c r="AX814" i="1"/>
  <c r="AW814" i="1"/>
  <c r="AX813" i="1"/>
  <c r="AW813" i="1"/>
  <c r="AX812" i="1"/>
  <c r="AW812" i="1"/>
  <c r="AX811" i="1"/>
  <c r="AW811" i="1"/>
  <c r="AX810" i="1"/>
  <c r="AW810" i="1"/>
  <c r="AX809" i="1"/>
  <c r="AW809" i="1"/>
  <c r="AX808" i="1"/>
  <c r="AW808" i="1"/>
  <c r="AX807" i="1"/>
  <c r="AW807" i="1"/>
  <c r="AX806" i="1"/>
  <c r="AW806" i="1"/>
  <c r="AX805" i="1"/>
  <c r="AW805" i="1"/>
  <c r="AX804" i="1"/>
  <c r="AW804" i="1"/>
  <c r="AX803" i="1"/>
  <c r="AW803" i="1"/>
  <c r="AX802" i="1"/>
  <c r="AW802" i="1"/>
  <c r="AX801" i="1"/>
  <c r="AW801" i="1"/>
  <c r="AX800" i="1"/>
  <c r="AW800" i="1"/>
  <c r="AX799" i="1"/>
  <c r="AW799" i="1"/>
  <c r="AX798" i="1"/>
  <c r="AW798" i="1"/>
  <c r="AX797" i="1"/>
  <c r="AW797" i="1"/>
  <c r="AX796" i="1"/>
  <c r="AW796" i="1"/>
  <c r="AX795" i="1"/>
  <c r="AW795" i="1"/>
  <c r="AX794" i="1"/>
  <c r="AW794" i="1"/>
  <c r="AX793" i="1"/>
  <c r="AW793" i="1"/>
  <c r="AX792" i="1"/>
  <c r="AW792" i="1"/>
  <c r="AX791" i="1"/>
  <c r="AW791" i="1"/>
  <c r="AX790" i="1"/>
  <c r="AW790" i="1"/>
  <c r="AX789" i="1"/>
  <c r="AW789" i="1"/>
  <c r="AX788" i="1"/>
  <c r="AW788" i="1"/>
  <c r="AX787" i="1"/>
  <c r="AW787" i="1"/>
  <c r="AX786" i="1"/>
  <c r="AW786" i="1"/>
  <c r="AX785" i="1"/>
  <c r="AW785" i="1"/>
  <c r="AX784" i="1"/>
  <c r="AW784" i="1"/>
  <c r="AX783" i="1"/>
  <c r="AW783" i="1"/>
  <c r="AX782" i="1"/>
  <c r="AW782" i="1"/>
  <c r="AX781" i="1"/>
  <c r="AW781" i="1"/>
  <c r="AX780" i="1"/>
  <c r="AW780" i="1"/>
  <c r="AX779" i="1"/>
  <c r="AW779" i="1"/>
  <c r="AX778" i="1"/>
  <c r="AW778" i="1"/>
  <c r="AX777" i="1"/>
  <c r="AW777" i="1"/>
  <c r="AX776" i="1"/>
  <c r="AW776" i="1"/>
  <c r="AX775" i="1"/>
  <c r="AW775" i="1"/>
  <c r="AX774" i="1"/>
  <c r="AW774" i="1"/>
  <c r="AX773" i="1"/>
  <c r="AW773" i="1"/>
  <c r="AX772" i="1"/>
  <c r="AW772" i="1"/>
  <c r="AX771" i="1"/>
  <c r="AW771" i="1"/>
  <c r="AX770" i="1"/>
  <c r="AW770" i="1"/>
  <c r="AX769" i="1"/>
  <c r="AW769" i="1"/>
  <c r="AX768" i="1"/>
  <c r="AW768" i="1"/>
  <c r="AX767" i="1"/>
  <c r="AW767" i="1"/>
  <c r="AX766" i="1"/>
  <c r="AW766" i="1"/>
  <c r="AX765" i="1"/>
  <c r="AW765" i="1"/>
  <c r="AX764" i="1"/>
  <c r="AW764" i="1"/>
  <c r="AX763" i="1"/>
  <c r="AW763" i="1"/>
  <c r="AX762" i="1"/>
  <c r="AW762" i="1"/>
  <c r="AX761" i="1"/>
  <c r="AW761" i="1"/>
  <c r="AX760" i="1"/>
  <c r="AW760" i="1"/>
  <c r="AX759" i="1"/>
  <c r="AW759" i="1"/>
  <c r="AX758" i="1"/>
  <c r="AW758" i="1"/>
  <c r="AX757" i="1"/>
  <c r="AW757" i="1"/>
  <c r="AX756" i="1"/>
  <c r="AW756" i="1"/>
  <c r="AX755" i="1"/>
  <c r="AW755" i="1"/>
  <c r="AX754" i="1"/>
  <c r="AW754" i="1"/>
  <c r="AX753" i="1"/>
  <c r="AW753" i="1"/>
  <c r="AX752" i="1"/>
  <c r="AW752" i="1"/>
  <c r="AX751" i="1"/>
  <c r="AW751" i="1"/>
  <c r="AX750" i="1"/>
  <c r="AW750" i="1"/>
  <c r="AX749" i="1"/>
  <c r="AW749" i="1"/>
  <c r="AX748" i="1"/>
  <c r="AW748" i="1"/>
  <c r="AX747" i="1"/>
  <c r="AW747" i="1"/>
  <c r="AX746" i="1"/>
  <c r="AW746" i="1"/>
  <c r="AX745" i="1"/>
  <c r="AW745" i="1"/>
  <c r="AX744" i="1"/>
  <c r="AW744" i="1"/>
  <c r="AX743" i="1"/>
  <c r="AW743" i="1"/>
  <c r="AX742" i="1"/>
  <c r="AW742" i="1"/>
  <c r="AX741" i="1"/>
  <c r="AW741" i="1"/>
  <c r="AX740" i="1"/>
  <c r="AW740" i="1"/>
  <c r="AX739" i="1"/>
  <c r="AW739" i="1"/>
  <c r="AX738" i="1"/>
  <c r="AW738" i="1"/>
  <c r="AX737" i="1"/>
  <c r="AW737" i="1"/>
  <c r="AX736" i="1"/>
  <c r="AW736" i="1"/>
  <c r="AX735" i="1"/>
  <c r="AW735" i="1"/>
  <c r="AX734" i="1"/>
  <c r="AW734" i="1"/>
  <c r="AX733" i="1"/>
  <c r="AW733" i="1"/>
  <c r="AX732" i="1"/>
  <c r="AW732" i="1"/>
  <c r="AX731" i="1"/>
  <c r="AW731" i="1"/>
  <c r="AX730" i="1"/>
  <c r="AW730" i="1"/>
  <c r="AX729" i="1"/>
  <c r="AW729" i="1"/>
  <c r="AX728" i="1"/>
  <c r="AW728" i="1"/>
  <c r="AX727" i="1"/>
  <c r="AW727" i="1"/>
  <c r="AX726" i="1"/>
  <c r="AW726" i="1"/>
  <c r="AX725" i="1"/>
  <c r="AW725" i="1"/>
  <c r="AX724" i="1"/>
  <c r="AW724" i="1"/>
  <c r="AX723" i="1"/>
  <c r="AW723" i="1"/>
  <c r="AX722" i="1"/>
  <c r="AW722" i="1"/>
  <c r="AX721" i="1"/>
  <c r="AW721" i="1"/>
  <c r="AX720" i="1"/>
  <c r="AW720" i="1"/>
  <c r="AX719" i="1"/>
  <c r="AW719" i="1"/>
  <c r="AX718" i="1"/>
  <c r="AW718" i="1"/>
  <c r="AX717" i="1"/>
  <c r="AW717" i="1"/>
  <c r="AX716" i="1"/>
  <c r="AW716" i="1"/>
  <c r="AX715" i="1"/>
  <c r="AW715" i="1"/>
  <c r="AX714" i="1"/>
  <c r="AW714" i="1"/>
  <c r="AX713" i="1"/>
  <c r="AW713" i="1"/>
  <c r="AX712" i="1"/>
  <c r="AW712" i="1"/>
  <c r="AX711" i="1"/>
  <c r="AW711" i="1"/>
  <c r="AX710" i="1"/>
  <c r="AW710" i="1"/>
  <c r="AX709" i="1"/>
  <c r="AW709" i="1"/>
  <c r="AX708" i="1"/>
  <c r="AW708" i="1"/>
  <c r="AX707" i="1"/>
  <c r="AW707" i="1"/>
  <c r="AX706" i="1"/>
  <c r="AW706" i="1"/>
  <c r="AX705" i="1"/>
  <c r="AW705" i="1"/>
  <c r="AX704" i="1"/>
  <c r="AW704" i="1"/>
  <c r="AX703" i="1"/>
  <c r="AW703" i="1"/>
  <c r="AX702" i="1"/>
  <c r="AW702" i="1"/>
  <c r="AX701" i="1"/>
  <c r="AW701" i="1"/>
  <c r="AX700" i="1"/>
  <c r="AW700" i="1"/>
  <c r="AX699" i="1"/>
  <c r="AW699" i="1"/>
  <c r="AX698" i="1"/>
  <c r="AW698" i="1"/>
  <c r="AX697" i="1"/>
  <c r="AW697" i="1"/>
  <c r="AX696" i="1"/>
  <c r="AW696" i="1"/>
  <c r="AX695" i="1"/>
  <c r="AW695" i="1"/>
  <c r="AX694" i="1"/>
  <c r="AW694" i="1"/>
  <c r="AX693" i="1"/>
  <c r="AW693" i="1"/>
  <c r="AX692" i="1"/>
  <c r="AW692" i="1"/>
  <c r="AX691" i="1"/>
  <c r="AW691" i="1"/>
  <c r="AX690" i="1"/>
  <c r="AW690" i="1"/>
  <c r="AX689" i="1"/>
  <c r="AW689" i="1"/>
  <c r="AX688" i="1"/>
  <c r="AW688" i="1"/>
  <c r="AX687" i="1"/>
  <c r="AW687" i="1"/>
  <c r="AX686" i="1"/>
  <c r="AW686" i="1"/>
  <c r="AX685" i="1"/>
  <c r="AW685" i="1"/>
  <c r="AX684" i="1"/>
  <c r="AW684" i="1"/>
  <c r="AX683" i="1"/>
  <c r="AW683" i="1"/>
  <c r="AX682" i="1"/>
  <c r="AW682" i="1"/>
  <c r="AX681" i="1"/>
  <c r="AW681" i="1"/>
  <c r="AX680" i="1"/>
  <c r="AW680" i="1"/>
  <c r="AX679" i="1"/>
  <c r="AW679" i="1"/>
  <c r="AX678" i="1"/>
  <c r="AW678" i="1"/>
  <c r="AX677" i="1"/>
  <c r="AW677" i="1"/>
  <c r="AX676" i="1"/>
  <c r="AW676" i="1"/>
  <c r="AX675" i="1"/>
  <c r="AW675" i="1"/>
  <c r="AX674" i="1"/>
  <c r="AW674" i="1"/>
  <c r="AX673" i="1"/>
  <c r="AW673" i="1"/>
  <c r="AX672" i="1"/>
  <c r="AW672" i="1"/>
  <c r="AX671" i="1"/>
  <c r="AW671" i="1"/>
  <c r="AX670" i="1"/>
  <c r="AW670" i="1"/>
  <c r="AX669" i="1"/>
  <c r="AW669" i="1"/>
  <c r="AX668" i="1"/>
  <c r="AW668" i="1"/>
  <c r="AX667" i="1"/>
  <c r="AW667" i="1"/>
  <c r="AX666" i="1"/>
  <c r="AW666" i="1"/>
  <c r="AX665" i="1"/>
  <c r="AW665" i="1"/>
  <c r="AX664" i="1"/>
  <c r="AW664" i="1"/>
  <c r="AX663" i="1"/>
  <c r="AW663" i="1"/>
  <c r="AX662" i="1"/>
  <c r="AW662" i="1"/>
  <c r="AX661" i="1"/>
  <c r="AW661" i="1"/>
  <c r="AX660" i="1"/>
  <c r="AW660" i="1"/>
  <c r="AX659" i="1"/>
  <c r="AW659" i="1"/>
  <c r="AX658" i="1"/>
  <c r="AW658" i="1"/>
  <c r="AX657" i="1"/>
  <c r="AW657" i="1"/>
  <c r="AX656" i="1"/>
  <c r="AW656" i="1"/>
  <c r="AX655" i="1"/>
  <c r="AW655" i="1"/>
  <c r="AX654" i="1"/>
  <c r="AW654" i="1"/>
  <c r="AX653" i="1"/>
  <c r="AW653" i="1"/>
  <c r="AX652" i="1"/>
  <c r="AW652" i="1"/>
  <c r="AX651" i="1"/>
  <c r="AW651" i="1"/>
  <c r="AX650" i="1"/>
  <c r="AW650" i="1"/>
  <c r="AX649" i="1"/>
  <c r="AW649" i="1"/>
  <c r="AX648" i="1"/>
  <c r="AW648" i="1"/>
  <c r="AX647" i="1"/>
  <c r="AW647" i="1"/>
  <c r="AX646" i="1"/>
  <c r="AW646" i="1"/>
  <c r="AX645" i="1"/>
  <c r="AW645" i="1"/>
  <c r="AX644" i="1"/>
  <c r="AW644" i="1"/>
  <c r="AX643" i="1"/>
  <c r="AW643" i="1"/>
  <c r="AX642" i="1"/>
  <c r="AW642" i="1"/>
  <c r="AX641" i="1"/>
  <c r="AW641" i="1"/>
  <c r="AX640" i="1"/>
  <c r="AW640" i="1"/>
  <c r="AX639" i="1"/>
  <c r="AW639" i="1"/>
  <c r="AX638" i="1"/>
  <c r="AW638" i="1"/>
  <c r="AX637" i="1"/>
  <c r="AW637" i="1"/>
  <c r="AX636" i="1"/>
  <c r="AW636" i="1"/>
  <c r="AX635" i="1"/>
  <c r="AW635" i="1"/>
  <c r="AX634" i="1"/>
  <c r="AW634" i="1"/>
  <c r="AX633" i="1"/>
  <c r="AW633" i="1"/>
  <c r="AX632" i="1"/>
  <c r="AW632" i="1"/>
  <c r="AX631" i="1"/>
  <c r="AW631" i="1"/>
  <c r="AX630" i="1"/>
  <c r="AW630" i="1"/>
  <c r="AX629" i="1"/>
  <c r="AW629" i="1"/>
  <c r="AX628" i="1"/>
  <c r="AW628" i="1"/>
  <c r="AX627" i="1"/>
  <c r="AW627" i="1"/>
  <c r="AX626" i="1"/>
  <c r="AW626" i="1"/>
  <c r="AX625" i="1"/>
  <c r="AW625" i="1"/>
  <c r="AX624" i="1"/>
  <c r="AW624" i="1"/>
  <c r="AX623" i="1"/>
  <c r="AW623" i="1"/>
  <c r="AX622" i="1"/>
  <c r="AW622" i="1"/>
  <c r="AX621" i="1"/>
  <c r="AW621" i="1"/>
  <c r="AX620" i="1"/>
  <c r="AW620" i="1"/>
  <c r="AX619" i="1"/>
  <c r="AW619" i="1"/>
  <c r="AX618" i="1"/>
  <c r="AW618" i="1"/>
  <c r="AX617" i="1"/>
  <c r="AW617" i="1"/>
  <c r="AX616" i="1"/>
  <c r="AW616" i="1"/>
  <c r="AX615" i="1"/>
  <c r="AW615" i="1"/>
  <c r="AX614" i="1"/>
  <c r="AW614" i="1"/>
  <c r="AX613" i="1"/>
  <c r="AW613" i="1"/>
  <c r="AX612" i="1"/>
  <c r="AW612" i="1"/>
  <c r="AX611" i="1"/>
  <c r="AW611" i="1"/>
  <c r="AX610" i="1"/>
  <c r="AW610" i="1"/>
  <c r="AX609" i="1"/>
  <c r="AW609" i="1"/>
  <c r="AX608" i="1"/>
  <c r="AW608" i="1"/>
  <c r="AX607" i="1"/>
  <c r="AW607" i="1"/>
  <c r="AX606" i="1"/>
  <c r="AW606" i="1"/>
  <c r="AX605" i="1"/>
  <c r="AW605" i="1"/>
  <c r="AX604" i="1"/>
  <c r="AW604" i="1"/>
  <c r="AX603" i="1"/>
  <c r="AW603" i="1"/>
  <c r="AX602" i="1"/>
  <c r="AW602" i="1"/>
  <c r="AX601" i="1"/>
  <c r="AW601" i="1"/>
  <c r="AX600" i="1"/>
  <c r="AW600" i="1"/>
  <c r="AX599" i="1"/>
  <c r="AW599" i="1"/>
  <c r="AX598" i="1"/>
  <c r="AW598" i="1"/>
  <c r="AX597" i="1"/>
  <c r="AW597" i="1"/>
  <c r="AX596" i="1"/>
  <c r="AW596" i="1"/>
  <c r="AX595" i="1"/>
  <c r="AW595" i="1"/>
  <c r="AX594" i="1"/>
  <c r="AW594" i="1"/>
  <c r="AX593" i="1"/>
  <c r="AW593" i="1"/>
  <c r="AX592" i="1"/>
  <c r="AW592" i="1"/>
  <c r="AX591" i="1"/>
  <c r="AW591" i="1"/>
  <c r="AX590" i="1"/>
  <c r="AW590" i="1"/>
  <c r="AX589" i="1"/>
  <c r="AW589" i="1"/>
  <c r="AX588" i="1"/>
  <c r="AW588" i="1"/>
  <c r="AX587" i="1"/>
  <c r="AW587" i="1"/>
  <c r="AX586" i="1"/>
  <c r="AW586" i="1"/>
  <c r="AX585" i="1"/>
  <c r="AW585" i="1"/>
  <c r="AX584" i="1"/>
  <c r="AW584" i="1"/>
  <c r="AX583" i="1"/>
  <c r="AW583" i="1"/>
  <c r="AX582" i="1"/>
  <c r="AW582" i="1"/>
  <c r="AX581" i="1"/>
  <c r="AW581" i="1"/>
  <c r="AX580" i="1"/>
  <c r="AW580" i="1"/>
  <c r="AX579" i="1"/>
  <c r="AW579" i="1"/>
  <c r="AX578" i="1"/>
  <c r="AW578" i="1"/>
  <c r="AX577" i="1"/>
  <c r="AW577" i="1"/>
  <c r="AX576" i="1"/>
  <c r="AW576" i="1"/>
  <c r="AX575" i="1"/>
  <c r="AW575" i="1"/>
  <c r="AX574" i="1"/>
  <c r="AW574" i="1"/>
  <c r="AX573" i="1"/>
  <c r="AW573" i="1"/>
  <c r="AX572" i="1"/>
  <c r="AW572" i="1"/>
  <c r="AX571" i="1"/>
  <c r="AW571" i="1"/>
  <c r="AX570" i="1"/>
  <c r="AW570" i="1"/>
  <c r="AX569" i="1"/>
  <c r="AW569" i="1"/>
  <c r="AX568" i="1"/>
  <c r="AW568" i="1"/>
  <c r="AX567" i="1"/>
  <c r="AW567" i="1"/>
  <c r="AX566" i="1"/>
  <c r="AW566" i="1"/>
  <c r="AX565" i="1"/>
  <c r="AW565" i="1"/>
  <c r="AX564" i="1"/>
  <c r="AW564" i="1"/>
  <c r="AX563" i="1"/>
  <c r="AW563" i="1"/>
  <c r="AX562" i="1"/>
  <c r="AW562" i="1"/>
  <c r="AX561" i="1"/>
  <c r="AW561" i="1"/>
  <c r="AX560" i="1"/>
  <c r="AW560" i="1"/>
  <c r="AX559" i="1"/>
  <c r="AW559" i="1"/>
  <c r="AX558" i="1"/>
  <c r="AW558" i="1"/>
  <c r="AX557" i="1"/>
  <c r="AW557" i="1"/>
  <c r="AX556" i="1"/>
  <c r="AW556" i="1"/>
  <c r="AX555" i="1"/>
  <c r="AW555" i="1"/>
  <c r="AX554" i="1"/>
  <c r="AW554" i="1"/>
  <c r="AX553" i="1"/>
  <c r="AW553" i="1"/>
  <c r="AX552" i="1"/>
  <c r="AW552" i="1"/>
  <c r="AX551" i="1"/>
  <c r="AW551" i="1"/>
  <c r="AX550" i="1"/>
  <c r="AW550" i="1"/>
  <c r="AX549" i="1"/>
  <c r="AW549" i="1"/>
  <c r="AX548" i="1"/>
  <c r="AW548" i="1"/>
  <c r="AX547" i="1"/>
  <c r="AW547" i="1"/>
  <c r="AX546" i="1"/>
  <c r="AW546" i="1"/>
  <c r="AX545" i="1"/>
  <c r="AW545" i="1"/>
  <c r="AX544" i="1"/>
  <c r="AW544" i="1"/>
  <c r="AX543" i="1"/>
  <c r="AW543" i="1"/>
  <c r="AX542" i="1"/>
  <c r="AW542" i="1"/>
  <c r="AX541" i="1"/>
  <c r="AW541" i="1"/>
  <c r="AX540" i="1"/>
  <c r="AW540" i="1"/>
  <c r="AX539" i="1"/>
  <c r="AW539" i="1"/>
  <c r="AX538" i="1"/>
  <c r="AW538" i="1"/>
  <c r="AX537" i="1"/>
  <c r="AW537" i="1"/>
  <c r="AX536" i="1"/>
  <c r="AW536" i="1"/>
  <c r="AX535" i="1"/>
  <c r="AW535" i="1"/>
  <c r="AX534" i="1"/>
  <c r="AW534" i="1"/>
  <c r="AX533" i="1"/>
  <c r="AW533" i="1"/>
  <c r="AX532" i="1"/>
  <c r="AW532" i="1"/>
  <c r="AX531" i="1"/>
  <c r="AW531" i="1"/>
  <c r="AX530" i="1"/>
  <c r="AW530" i="1"/>
  <c r="AX529" i="1"/>
  <c r="AW529" i="1"/>
  <c r="AX528" i="1"/>
  <c r="AW528" i="1"/>
  <c r="AX527" i="1"/>
  <c r="AW527" i="1"/>
  <c r="AX526" i="1"/>
  <c r="AW526" i="1"/>
  <c r="AX525" i="1"/>
  <c r="AW525" i="1"/>
  <c r="AX524" i="1"/>
  <c r="AW524" i="1"/>
  <c r="AX523" i="1"/>
  <c r="AW523" i="1"/>
  <c r="AX522" i="1"/>
  <c r="AW522" i="1"/>
  <c r="AX521" i="1"/>
  <c r="AW521" i="1"/>
  <c r="AX520" i="1"/>
  <c r="AW520" i="1"/>
  <c r="AX519" i="1"/>
  <c r="AW519" i="1"/>
  <c r="AX518" i="1"/>
  <c r="AW518" i="1"/>
  <c r="AX517" i="1"/>
  <c r="AW517" i="1"/>
  <c r="AX516" i="1"/>
  <c r="AW516" i="1"/>
  <c r="AX515" i="1"/>
  <c r="AW515" i="1"/>
  <c r="AX514" i="1"/>
  <c r="AW514" i="1"/>
  <c r="AX513" i="1"/>
  <c r="AW513" i="1"/>
  <c r="AX512" i="1"/>
  <c r="AW512" i="1"/>
  <c r="AX511" i="1"/>
  <c r="AW511" i="1"/>
  <c r="AX510" i="1"/>
  <c r="AW510" i="1"/>
  <c r="AX509" i="1"/>
  <c r="AW509" i="1"/>
  <c r="AX508" i="1"/>
  <c r="AW508" i="1"/>
  <c r="AX507" i="1"/>
  <c r="AW507" i="1"/>
  <c r="AX506" i="1"/>
  <c r="AW506" i="1"/>
  <c r="AX505" i="1"/>
  <c r="AW505" i="1"/>
  <c r="AX504" i="1"/>
  <c r="AW504" i="1"/>
  <c r="AX503" i="1"/>
  <c r="AW503" i="1"/>
  <c r="AX502" i="1"/>
  <c r="AW502" i="1"/>
  <c r="AX501" i="1"/>
  <c r="AW501" i="1"/>
  <c r="AX500" i="1"/>
  <c r="AW500" i="1"/>
  <c r="AX499" i="1"/>
  <c r="AW499" i="1"/>
  <c r="AX498" i="1"/>
  <c r="AW498" i="1"/>
  <c r="AX497" i="1"/>
  <c r="AW497" i="1"/>
  <c r="AX496" i="1"/>
  <c r="AW496" i="1"/>
  <c r="AX495" i="1"/>
  <c r="AW495" i="1"/>
  <c r="AX494" i="1"/>
  <c r="AW494" i="1"/>
  <c r="AX493" i="1"/>
  <c r="AW493" i="1"/>
  <c r="AX492" i="1"/>
  <c r="AW492" i="1"/>
  <c r="AX491" i="1"/>
  <c r="AW491" i="1"/>
  <c r="AX490" i="1"/>
  <c r="AW490" i="1"/>
  <c r="AX489" i="1"/>
  <c r="AW489" i="1"/>
  <c r="AX488" i="1"/>
  <c r="AW488" i="1"/>
  <c r="AX487" i="1"/>
  <c r="AW487" i="1"/>
  <c r="AX486" i="1"/>
  <c r="AW486" i="1"/>
  <c r="AX485" i="1"/>
  <c r="AW485" i="1"/>
  <c r="AX484" i="1"/>
  <c r="AW484" i="1"/>
  <c r="AX483" i="1"/>
  <c r="AW483" i="1"/>
  <c r="AX482" i="1"/>
  <c r="AW482" i="1"/>
  <c r="AX481" i="1"/>
  <c r="AW481" i="1"/>
  <c r="AX480" i="1"/>
  <c r="AW480" i="1"/>
  <c r="AX479" i="1"/>
  <c r="AW479" i="1"/>
  <c r="AX478" i="1"/>
  <c r="AW478" i="1"/>
  <c r="AX477" i="1"/>
  <c r="AW477" i="1"/>
  <c r="AX476" i="1"/>
  <c r="AW476" i="1"/>
  <c r="AX475" i="1"/>
  <c r="AW475" i="1"/>
  <c r="AX474" i="1"/>
  <c r="AW474" i="1"/>
  <c r="AX473" i="1"/>
  <c r="AW473" i="1"/>
  <c r="AX472" i="1"/>
  <c r="AW472" i="1"/>
  <c r="AX471" i="1"/>
  <c r="AW471" i="1"/>
  <c r="AX470" i="1"/>
  <c r="AW470" i="1"/>
  <c r="AX469" i="1"/>
  <c r="AW469" i="1"/>
  <c r="AX468" i="1"/>
  <c r="AW468" i="1"/>
  <c r="AX467" i="1"/>
  <c r="AW467" i="1"/>
  <c r="AX466" i="1"/>
  <c r="AW466" i="1"/>
  <c r="AX465" i="1"/>
  <c r="AW465" i="1"/>
  <c r="AX464" i="1"/>
  <c r="AW464" i="1"/>
  <c r="AX463" i="1"/>
  <c r="AW463" i="1"/>
  <c r="AX462" i="1"/>
  <c r="AW462" i="1"/>
  <c r="AX461" i="1"/>
  <c r="AW461" i="1"/>
  <c r="AX460" i="1"/>
  <c r="AW460" i="1"/>
  <c r="AX459" i="1"/>
  <c r="AW459" i="1"/>
  <c r="AX458" i="1"/>
  <c r="AW458" i="1"/>
  <c r="AX457" i="1"/>
  <c r="AW457" i="1"/>
  <c r="AX456" i="1"/>
  <c r="AW456" i="1"/>
  <c r="AX455" i="1"/>
  <c r="AW455" i="1"/>
  <c r="AX454" i="1"/>
  <c r="AW454" i="1"/>
  <c r="AX453" i="1"/>
  <c r="AW453" i="1"/>
  <c r="AX452" i="1"/>
  <c r="AW452" i="1"/>
  <c r="AX451" i="1"/>
  <c r="AW451" i="1"/>
  <c r="AX450" i="1"/>
  <c r="AW450" i="1"/>
  <c r="AX449" i="1"/>
  <c r="AW449" i="1"/>
  <c r="AX448" i="1"/>
  <c r="AW448" i="1"/>
  <c r="AX447" i="1"/>
  <c r="AW447" i="1"/>
  <c r="AX446" i="1"/>
  <c r="AW446" i="1"/>
  <c r="AX445" i="1"/>
  <c r="AW445" i="1"/>
  <c r="AX444" i="1"/>
  <c r="AW444" i="1"/>
  <c r="AX443" i="1"/>
  <c r="AW443" i="1"/>
  <c r="AX442" i="1"/>
  <c r="AW442" i="1"/>
  <c r="AX441" i="1"/>
  <c r="AW441" i="1"/>
  <c r="AX440" i="1"/>
  <c r="AW440" i="1"/>
  <c r="AX439" i="1"/>
  <c r="AW439" i="1"/>
  <c r="AX438" i="1"/>
  <c r="AW438" i="1"/>
  <c r="AX437" i="1"/>
  <c r="AW437" i="1"/>
  <c r="AX436" i="1"/>
  <c r="AW436" i="1"/>
  <c r="AX435" i="1"/>
  <c r="AW435" i="1"/>
  <c r="AX434" i="1"/>
  <c r="AW434" i="1"/>
  <c r="AX433" i="1"/>
  <c r="AW433" i="1"/>
  <c r="AX432" i="1"/>
  <c r="AW432" i="1"/>
  <c r="AX431" i="1"/>
  <c r="AW431" i="1"/>
  <c r="AX430" i="1"/>
  <c r="AW430" i="1"/>
  <c r="AX429" i="1"/>
  <c r="AW429" i="1"/>
  <c r="AX428" i="1"/>
  <c r="AW428" i="1"/>
  <c r="AX427" i="1"/>
  <c r="AW427" i="1"/>
  <c r="AX426" i="1"/>
  <c r="AW426" i="1"/>
  <c r="AX425" i="1"/>
  <c r="AW425" i="1"/>
  <c r="AX424" i="1"/>
  <c r="AW424" i="1"/>
  <c r="AX423" i="1"/>
  <c r="AW423" i="1"/>
  <c r="AX422" i="1"/>
  <c r="AW422" i="1"/>
  <c r="AX421" i="1"/>
  <c r="AW421" i="1"/>
  <c r="AX420" i="1"/>
  <c r="AW420" i="1"/>
  <c r="AX419" i="1"/>
  <c r="AW419" i="1"/>
  <c r="AX418" i="1"/>
  <c r="AW418" i="1"/>
  <c r="AX417" i="1"/>
  <c r="AW417" i="1"/>
  <c r="AX416" i="1"/>
  <c r="AW416" i="1"/>
  <c r="AX415" i="1"/>
  <c r="AW415" i="1"/>
  <c r="AX414" i="1"/>
  <c r="AW414" i="1"/>
  <c r="AX413" i="1"/>
  <c r="AW413" i="1"/>
  <c r="AX412" i="1"/>
  <c r="AW412" i="1"/>
  <c r="AX411" i="1"/>
  <c r="AW411" i="1"/>
  <c r="AX410" i="1"/>
  <c r="AW410" i="1"/>
  <c r="AX409" i="1"/>
  <c r="AW409" i="1"/>
  <c r="AX408" i="1"/>
  <c r="AW408" i="1"/>
  <c r="AX407" i="1"/>
  <c r="AW407" i="1"/>
  <c r="AX406" i="1"/>
  <c r="AW406" i="1"/>
  <c r="AX405" i="1"/>
  <c r="AW405" i="1"/>
  <c r="AX404" i="1"/>
  <c r="AW404" i="1"/>
  <c r="AX403" i="1"/>
  <c r="AW403" i="1"/>
  <c r="AX402" i="1"/>
  <c r="AW402" i="1"/>
  <c r="AX401" i="1"/>
  <c r="AW401" i="1"/>
  <c r="AX400" i="1"/>
  <c r="AW400" i="1"/>
  <c r="AX399" i="1"/>
  <c r="AW399" i="1"/>
  <c r="AX398" i="1"/>
  <c r="AW398" i="1"/>
  <c r="AX397" i="1"/>
  <c r="AW397" i="1"/>
  <c r="AX396" i="1"/>
  <c r="AW396" i="1"/>
  <c r="AX395" i="1"/>
  <c r="AW395" i="1"/>
  <c r="AX394" i="1"/>
  <c r="AW394" i="1"/>
  <c r="AX393" i="1"/>
  <c r="AW393" i="1"/>
  <c r="AX392" i="1"/>
  <c r="AW392" i="1"/>
  <c r="AX391" i="1"/>
  <c r="AW391" i="1"/>
  <c r="AX390" i="1"/>
  <c r="AW390" i="1"/>
  <c r="AX389" i="1"/>
  <c r="AW389" i="1"/>
  <c r="AX388" i="1"/>
  <c r="AW388" i="1"/>
  <c r="AX387" i="1"/>
  <c r="AW387" i="1"/>
  <c r="AX386" i="1"/>
  <c r="AW386" i="1"/>
  <c r="AX385" i="1"/>
  <c r="AW385" i="1"/>
  <c r="AX384" i="1"/>
  <c r="AW384" i="1"/>
  <c r="AX383" i="1"/>
  <c r="AW383" i="1"/>
  <c r="AX382" i="1"/>
  <c r="AW382" i="1"/>
  <c r="AX381" i="1"/>
  <c r="AW381" i="1"/>
  <c r="AX380" i="1"/>
  <c r="AW380" i="1"/>
  <c r="AX379" i="1"/>
  <c r="AW379" i="1"/>
  <c r="AX378" i="1"/>
  <c r="AW378" i="1"/>
  <c r="AX377" i="1"/>
  <c r="AW377" i="1"/>
  <c r="AX376" i="1"/>
  <c r="AW376" i="1"/>
  <c r="AX375" i="1"/>
  <c r="AW375" i="1"/>
  <c r="AX374" i="1"/>
  <c r="AW374" i="1"/>
  <c r="AX373" i="1"/>
  <c r="AW373" i="1"/>
  <c r="AX372" i="1"/>
  <c r="AW372" i="1"/>
  <c r="AX371" i="1"/>
  <c r="AW371" i="1"/>
  <c r="AX370" i="1"/>
  <c r="AW370" i="1"/>
  <c r="AX369" i="1"/>
  <c r="AW369" i="1"/>
  <c r="AX368" i="1"/>
  <c r="AW368" i="1"/>
  <c r="AX367" i="1"/>
  <c r="AW367" i="1"/>
  <c r="AX366" i="1"/>
  <c r="AW366" i="1"/>
  <c r="AX365" i="1"/>
  <c r="AW365" i="1"/>
  <c r="AX364" i="1"/>
  <c r="AW364" i="1"/>
  <c r="AX363" i="1"/>
  <c r="AW363" i="1"/>
  <c r="AX362" i="1"/>
  <c r="AW362" i="1"/>
  <c r="AX361" i="1"/>
  <c r="AW361" i="1"/>
  <c r="AX360" i="1"/>
  <c r="AW360" i="1"/>
  <c r="AX359" i="1"/>
  <c r="AW359" i="1"/>
  <c r="AX358" i="1"/>
  <c r="AW358" i="1"/>
  <c r="AX357" i="1"/>
  <c r="AW357" i="1"/>
  <c r="AX356" i="1"/>
  <c r="AW356" i="1"/>
  <c r="AX355" i="1"/>
  <c r="AW355" i="1"/>
  <c r="AX354" i="1"/>
  <c r="AW354" i="1"/>
  <c r="AX353" i="1"/>
  <c r="AW353" i="1"/>
  <c r="AX352" i="1"/>
  <c r="AW352" i="1"/>
  <c r="AX351" i="1"/>
  <c r="AW351" i="1"/>
  <c r="AX350" i="1"/>
  <c r="AW350" i="1"/>
  <c r="AX349" i="1"/>
  <c r="AW349" i="1"/>
  <c r="AX348" i="1"/>
  <c r="AW348" i="1"/>
  <c r="AX347" i="1"/>
  <c r="AW347" i="1"/>
  <c r="AX346" i="1"/>
  <c r="AW346" i="1"/>
  <c r="AX345" i="1"/>
  <c r="AW345" i="1"/>
  <c r="AX344" i="1"/>
  <c r="AW344" i="1"/>
  <c r="AX343" i="1"/>
  <c r="AW343" i="1"/>
  <c r="AX342" i="1"/>
  <c r="AW342" i="1"/>
  <c r="AX341" i="1"/>
  <c r="AW341" i="1"/>
  <c r="AX340" i="1"/>
  <c r="AW340" i="1"/>
  <c r="AX339" i="1"/>
  <c r="AW339" i="1"/>
  <c r="AX338" i="1"/>
  <c r="AW338" i="1"/>
  <c r="AX337" i="1"/>
  <c r="AW337" i="1"/>
  <c r="AX336" i="1"/>
  <c r="AW336" i="1"/>
  <c r="AX335" i="1"/>
  <c r="AW335" i="1"/>
  <c r="AX334" i="1"/>
  <c r="AW334" i="1"/>
  <c r="AX333" i="1"/>
  <c r="AW333" i="1"/>
  <c r="AX332" i="1"/>
  <c r="AW332" i="1"/>
  <c r="AX331" i="1"/>
  <c r="AW331" i="1"/>
  <c r="AX330" i="1"/>
  <c r="AW330" i="1"/>
  <c r="AX329" i="1"/>
  <c r="AW329" i="1"/>
  <c r="AX328" i="1"/>
  <c r="AW328" i="1"/>
  <c r="AX327" i="1"/>
  <c r="AW327" i="1"/>
  <c r="AX326" i="1"/>
  <c r="AW326" i="1"/>
  <c r="AX325" i="1"/>
  <c r="AW325" i="1"/>
  <c r="AX324" i="1"/>
  <c r="AW324" i="1"/>
  <c r="AX323" i="1"/>
  <c r="AW323" i="1"/>
  <c r="AX322" i="1"/>
  <c r="AW322" i="1"/>
  <c r="AX321" i="1"/>
  <c r="AW321" i="1"/>
  <c r="AX320" i="1"/>
  <c r="AW320" i="1"/>
  <c r="AX319" i="1"/>
  <c r="AW319" i="1"/>
  <c r="AX318" i="1"/>
  <c r="AW318" i="1"/>
  <c r="AX317" i="1"/>
  <c r="AW317" i="1"/>
  <c r="AX316" i="1"/>
  <c r="AW316" i="1"/>
  <c r="AX315" i="1"/>
  <c r="AW315" i="1"/>
  <c r="AX314" i="1"/>
  <c r="AW314" i="1"/>
  <c r="AX313" i="1"/>
  <c r="AW313" i="1"/>
  <c r="AX312" i="1"/>
  <c r="AW312" i="1"/>
  <c r="AX311" i="1"/>
  <c r="AW311" i="1"/>
  <c r="AX310" i="1"/>
  <c r="AW310" i="1"/>
  <c r="AX309" i="1"/>
  <c r="AW309" i="1"/>
  <c r="AX308" i="1"/>
  <c r="AW308" i="1"/>
  <c r="AX307" i="1"/>
  <c r="AW307" i="1"/>
  <c r="AX306" i="1"/>
  <c r="AW306" i="1"/>
  <c r="AX305" i="1"/>
  <c r="AW305" i="1"/>
  <c r="AX304" i="1"/>
  <c r="AW304" i="1"/>
  <c r="AX303" i="1"/>
  <c r="AW303" i="1"/>
  <c r="AX302" i="1"/>
  <c r="AW302" i="1"/>
  <c r="AX301" i="1"/>
  <c r="AW301" i="1"/>
  <c r="AX300" i="1"/>
  <c r="AW300" i="1"/>
  <c r="AX299" i="1"/>
  <c r="AW299" i="1"/>
  <c r="AX298" i="1"/>
  <c r="AW298" i="1"/>
  <c r="AX297" i="1"/>
  <c r="AW297" i="1"/>
  <c r="AX296" i="1"/>
  <c r="AW296" i="1"/>
  <c r="AX295" i="1"/>
  <c r="AW295" i="1"/>
  <c r="AX294" i="1"/>
  <c r="AW294" i="1"/>
  <c r="AX293" i="1"/>
  <c r="AW293" i="1"/>
  <c r="AX292" i="1"/>
  <c r="AW292" i="1"/>
  <c r="AX291" i="1"/>
  <c r="AW291" i="1"/>
  <c r="AX290" i="1"/>
  <c r="AW290" i="1"/>
  <c r="AX289" i="1"/>
  <c r="AW289" i="1"/>
  <c r="AX288" i="1"/>
  <c r="AW288" i="1"/>
  <c r="AX287" i="1"/>
  <c r="AW287" i="1"/>
  <c r="AX286" i="1"/>
  <c r="AW286" i="1"/>
  <c r="AX285" i="1"/>
  <c r="AW285" i="1"/>
  <c r="AX284" i="1"/>
  <c r="AW284" i="1"/>
  <c r="AX283" i="1"/>
  <c r="AW283" i="1"/>
  <c r="AX282" i="1"/>
  <c r="AW282" i="1"/>
  <c r="AX281" i="1"/>
  <c r="AW281" i="1"/>
  <c r="AX280" i="1"/>
  <c r="AW280" i="1"/>
  <c r="AX279" i="1"/>
  <c r="AW279" i="1"/>
  <c r="AX278" i="1"/>
  <c r="AW278" i="1"/>
  <c r="AX277" i="1"/>
  <c r="AW277" i="1"/>
  <c r="AX276" i="1"/>
  <c r="AW276" i="1"/>
  <c r="AX275" i="1"/>
  <c r="AW275" i="1"/>
  <c r="AX274" i="1"/>
  <c r="AW274" i="1"/>
  <c r="AX273" i="1"/>
  <c r="AW273" i="1"/>
  <c r="AX272" i="1"/>
  <c r="AW272" i="1"/>
  <c r="AX271" i="1"/>
  <c r="AW271" i="1"/>
  <c r="AX270" i="1"/>
  <c r="AW270" i="1"/>
  <c r="AX269" i="1"/>
  <c r="AW269" i="1"/>
  <c r="AX268" i="1"/>
  <c r="AW268" i="1"/>
  <c r="AX267" i="1"/>
  <c r="AW267" i="1"/>
  <c r="AX266" i="1"/>
  <c r="AW266" i="1"/>
  <c r="AX265" i="1"/>
  <c r="AW265" i="1"/>
  <c r="AX264" i="1"/>
  <c r="AW264" i="1"/>
  <c r="AX263" i="1"/>
  <c r="AW263" i="1"/>
  <c r="AX262" i="1"/>
  <c r="AW262" i="1"/>
  <c r="AX261" i="1"/>
  <c r="AW261" i="1"/>
  <c r="AX260" i="1"/>
  <c r="AW260" i="1"/>
  <c r="AX259" i="1"/>
  <c r="AW259" i="1"/>
  <c r="AX258" i="1"/>
  <c r="AW258" i="1"/>
  <c r="AX257" i="1"/>
  <c r="AW257" i="1"/>
  <c r="AX256" i="1"/>
  <c r="AW256" i="1"/>
  <c r="AX255" i="1"/>
  <c r="AW255" i="1"/>
  <c r="AX254" i="1"/>
  <c r="AW254" i="1"/>
  <c r="AX253" i="1"/>
  <c r="AW253" i="1"/>
  <c r="AX252" i="1"/>
  <c r="AW252" i="1"/>
  <c r="AX251" i="1"/>
  <c r="AW251" i="1"/>
  <c r="AX250" i="1"/>
  <c r="AW250" i="1"/>
  <c r="AX249" i="1"/>
  <c r="AW249" i="1"/>
  <c r="AX248" i="1"/>
  <c r="AW248" i="1"/>
  <c r="AX247" i="1"/>
  <c r="AW247" i="1"/>
  <c r="AX246" i="1"/>
  <c r="AW246" i="1"/>
  <c r="AX245" i="1"/>
  <c r="AW245" i="1"/>
  <c r="AX244" i="1"/>
  <c r="AW244" i="1"/>
  <c r="AX243" i="1"/>
  <c r="AW243" i="1"/>
  <c r="AX242" i="1"/>
  <c r="AW242" i="1"/>
  <c r="AX241" i="1"/>
  <c r="AW241" i="1"/>
  <c r="AX240" i="1"/>
  <c r="AW240" i="1"/>
  <c r="AX239" i="1"/>
  <c r="AW239" i="1"/>
  <c r="AX238" i="1"/>
  <c r="AW238" i="1"/>
  <c r="AX237" i="1"/>
  <c r="AW237" i="1"/>
  <c r="AX236" i="1"/>
  <c r="AW236" i="1"/>
  <c r="AX235" i="1"/>
  <c r="AW235" i="1"/>
  <c r="AX234" i="1"/>
  <c r="AW234" i="1"/>
  <c r="AX233" i="1"/>
  <c r="AW233" i="1"/>
  <c r="AX232" i="1"/>
  <c r="AW232" i="1"/>
  <c r="AX231" i="1"/>
  <c r="AW231" i="1"/>
  <c r="AX230" i="1"/>
  <c r="AW230" i="1"/>
  <c r="AX229" i="1"/>
  <c r="AW229" i="1"/>
  <c r="AX228" i="1"/>
  <c r="AW228" i="1"/>
  <c r="AX227" i="1"/>
  <c r="AW227" i="1"/>
  <c r="AX226" i="1"/>
  <c r="AW226" i="1"/>
  <c r="AX225" i="1"/>
  <c r="AW225" i="1"/>
  <c r="AX224" i="1"/>
  <c r="AW224" i="1"/>
  <c r="AX223" i="1"/>
  <c r="AW223" i="1"/>
  <c r="AX222" i="1"/>
  <c r="AW222" i="1"/>
  <c r="AX221" i="1"/>
  <c r="AW221" i="1"/>
  <c r="AX220" i="1"/>
  <c r="AW220" i="1"/>
  <c r="AX219" i="1"/>
  <c r="AW219" i="1"/>
  <c r="AX218" i="1"/>
  <c r="AW218" i="1"/>
  <c r="AX217" i="1"/>
  <c r="AW217" i="1"/>
  <c r="AX216" i="1"/>
  <c r="AW216" i="1"/>
  <c r="AX215" i="1"/>
  <c r="AW215" i="1"/>
  <c r="AX214" i="1"/>
  <c r="AW214" i="1"/>
  <c r="AX213" i="1"/>
  <c r="AW213" i="1"/>
  <c r="AX212" i="1"/>
  <c r="AW212" i="1"/>
  <c r="AX211" i="1"/>
  <c r="AW211" i="1"/>
  <c r="AX210" i="1"/>
  <c r="AW210" i="1"/>
  <c r="AX209" i="1"/>
  <c r="AW209" i="1"/>
  <c r="AX208" i="1"/>
  <c r="AW208" i="1"/>
  <c r="AX207" i="1"/>
  <c r="AW207" i="1"/>
  <c r="AX206" i="1"/>
  <c r="AW206" i="1"/>
  <c r="AX205" i="1"/>
  <c r="AW205" i="1"/>
  <c r="AX204" i="1"/>
  <c r="AW204" i="1"/>
  <c r="AX203" i="1"/>
  <c r="AW203" i="1"/>
  <c r="AX202" i="1"/>
  <c r="AW202" i="1"/>
  <c r="AX201" i="1"/>
  <c r="AW201" i="1"/>
  <c r="AX200" i="1"/>
  <c r="AW200" i="1"/>
  <c r="AX199" i="1"/>
  <c r="AW199" i="1"/>
  <c r="AX198" i="1"/>
  <c r="AW198" i="1"/>
  <c r="AX197" i="1"/>
  <c r="AW197" i="1"/>
  <c r="AX196" i="1"/>
  <c r="AW196" i="1"/>
  <c r="AX195" i="1"/>
  <c r="AW195" i="1"/>
  <c r="AX194" i="1"/>
  <c r="AW194" i="1"/>
  <c r="AX193" i="1"/>
  <c r="AW193" i="1"/>
  <c r="AX192" i="1"/>
  <c r="AW192" i="1"/>
  <c r="AX191" i="1"/>
  <c r="AW191" i="1"/>
  <c r="AX190" i="1"/>
  <c r="AW190" i="1"/>
  <c r="AX189" i="1"/>
  <c r="AW189" i="1"/>
  <c r="AX188" i="1"/>
  <c r="AW188" i="1"/>
  <c r="AX187" i="1"/>
  <c r="AW187" i="1"/>
  <c r="AX186" i="1"/>
  <c r="AW186" i="1"/>
  <c r="AX185" i="1"/>
  <c r="AW185" i="1"/>
  <c r="AX184" i="1"/>
  <c r="AW184" i="1"/>
  <c r="AX183" i="1"/>
  <c r="AW183" i="1"/>
  <c r="AX182" i="1"/>
  <c r="AW182" i="1"/>
  <c r="AX181" i="1"/>
  <c r="AW181" i="1"/>
  <c r="AX180" i="1"/>
  <c r="AW180" i="1"/>
  <c r="AX179" i="1"/>
  <c r="AW179" i="1"/>
  <c r="AX178" i="1"/>
  <c r="AW178" i="1"/>
  <c r="AX177" i="1"/>
  <c r="AW177" i="1"/>
  <c r="AX176" i="1"/>
  <c r="AW176" i="1"/>
  <c r="AX175" i="1"/>
  <c r="AW175" i="1"/>
  <c r="AX174" i="1"/>
  <c r="AW174" i="1"/>
  <c r="AX173" i="1"/>
  <c r="AW173" i="1"/>
  <c r="AX172" i="1"/>
  <c r="AW172" i="1"/>
  <c r="AX171" i="1"/>
  <c r="AW171" i="1"/>
  <c r="AX170" i="1"/>
  <c r="AW170" i="1"/>
  <c r="AX169" i="1"/>
  <c r="AW169" i="1"/>
  <c r="AX168" i="1"/>
  <c r="AW168" i="1"/>
  <c r="AX167" i="1"/>
  <c r="AW167" i="1"/>
  <c r="AX166" i="1"/>
  <c r="AW166" i="1"/>
  <c r="AX165" i="1"/>
  <c r="AW165" i="1"/>
  <c r="AX164" i="1"/>
  <c r="AW164" i="1"/>
  <c r="AX163" i="1"/>
  <c r="AW163" i="1"/>
  <c r="AX162" i="1"/>
  <c r="AW162" i="1"/>
  <c r="AX161" i="1"/>
  <c r="AW161" i="1"/>
  <c r="AX160" i="1"/>
  <c r="AW160" i="1"/>
  <c r="AX159" i="1"/>
  <c r="AW159" i="1"/>
  <c r="AX158" i="1"/>
  <c r="AW158" i="1"/>
  <c r="AX157" i="1"/>
  <c r="AW157" i="1"/>
  <c r="AX156" i="1"/>
  <c r="AW156" i="1"/>
  <c r="AX155" i="1"/>
  <c r="AW155" i="1"/>
  <c r="AX154" i="1"/>
  <c r="AW154" i="1"/>
  <c r="AX153" i="1"/>
  <c r="AW153" i="1"/>
  <c r="AX152" i="1"/>
  <c r="AW152" i="1"/>
  <c r="AX151" i="1"/>
  <c r="AW151" i="1"/>
  <c r="AX150" i="1"/>
  <c r="AW150" i="1"/>
  <c r="AX149" i="1"/>
  <c r="AW149" i="1"/>
  <c r="AX148" i="1"/>
  <c r="AW148" i="1"/>
  <c r="AX147" i="1"/>
  <c r="AW147" i="1"/>
  <c r="AX146" i="1"/>
  <c r="AW146" i="1"/>
  <c r="AX145" i="1"/>
  <c r="AW145" i="1"/>
  <c r="AX144" i="1"/>
  <c r="AW144" i="1"/>
  <c r="AX143" i="1"/>
  <c r="AW143" i="1"/>
  <c r="AX142" i="1"/>
  <c r="AW142" i="1"/>
  <c r="AX141" i="1"/>
  <c r="AW141" i="1"/>
  <c r="AX140" i="1"/>
  <c r="AW140" i="1"/>
  <c r="AX139" i="1"/>
  <c r="AW139" i="1"/>
  <c r="AX138" i="1"/>
  <c r="AW138" i="1"/>
  <c r="AX137" i="1"/>
  <c r="AW137" i="1"/>
  <c r="AX136" i="1"/>
  <c r="AW136" i="1"/>
  <c r="AX135" i="1"/>
  <c r="AW135" i="1"/>
  <c r="AX134" i="1"/>
  <c r="AW134" i="1"/>
  <c r="AX133" i="1"/>
  <c r="AW133" i="1"/>
  <c r="AX132" i="1"/>
  <c r="AW132" i="1"/>
  <c r="AX131" i="1"/>
  <c r="AW131" i="1"/>
  <c r="AX130" i="1"/>
  <c r="AW130" i="1"/>
  <c r="AX129" i="1"/>
  <c r="AW129" i="1"/>
  <c r="AX128" i="1"/>
  <c r="AW128" i="1"/>
  <c r="AX127" i="1"/>
  <c r="AW127" i="1"/>
  <c r="AX126" i="1"/>
  <c r="AW126" i="1"/>
  <c r="AX125" i="1"/>
  <c r="AW125" i="1"/>
  <c r="AX124" i="1"/>
  <c r="AW124" i="1"/>
  <c r="AX123" i="1"/>
  <c r="AW123" i="1"/>
  <c r="AX122" i="1"/>
  <c r="AW122" i="1"/>
  <c r="AX121" i="1"/>
  <c r="AW121" i="1"/>
  <c r="AX120" i="1"/>
  <c r="AW120" i="1"/>
  <c r="AX119" i="1"/>
  <c r="AW119" i="1"/>
  <c r="AX118" i="1"/>
  <c r="AW118" i="1"/>
  <c r="AX117" i="1"/>
  <c r="AW117" i="1"/>
  <c r="AX116" i="1"/>
  <c r="AW116" i="1"/>
  <c r="AX115" i="1"/>
  <c r="AW115" i="1"/>
  <c r="AX114" i="1"/>
  <c r="AW114" i="1"/>
  <c r="AX113" i="1"/>
  <c r="AW113" i="1"/>
  <c r="AX112" i="1"/>
  <c r="AW112" i="1"/>
  <c r="AX111" i="1"/>
  <c r="AW111" i="1"/>
  <c r="AX110" i="1"/>
  <c r="AW110" i="1"/>
  <c r="AX109" i="1"/>
  <c r="AW109" i="1"/>
  <c r="AX108" i="1"/>
  <c r="AW108" i="1"/>
  <c r="AX107" i="1"/>
  <c r="AW107" i="1"/>
  <c r="AX106" i="1"/>
  <c r="AW106" i="1"/>
  <c r="AX105" i="1"/>
  <c r="AW105" i="1"/>
  <c r="AX104" i="1"/>
  <c r="AW104" i="1"/>
  <c r="AX103" i="1"/>
  <c r="AW103" i="1"/>
  <c r="AX102" i="1"/>
  <c r="AW102" i="1"/>
  <c r="AX101" i="1"/>
  <c r="AW101" i="1"/>
  <c r="AX100" i="1"/>
  <c r="AW100" i="1"/>
  <c r="AX99" i="1"/>
  <c r="AW99" i="1"/>
  <c r="AX98" i="1"/>
  <c r="AW98" i="1"/>
  <c r="AX97" i="1"/>
  <c r="AW97" i="1"/>
  <c r="AX96" i="1"/>
  <c r="AW96" i="1"/>
  <c r="AX95" i="1"/>
  <c r="AW95" i="1"/>
  <c r="AX94" i="1"/>
  <c r="AW94" i="1"/>
  <c r="AX93" i="1"/>
  <c r="AW93" i="1"/>
  <c r="AX92" i="1"/>
  <c r="AW92" i="1"/>
  <c r="AX91" i="1"/>
  <c r="AW91" i="1"/>
  <c r="AX90" i="1"/>
  <c r="AW90" i="1"/>
  <c r="AX89" i="1"/>
  <c r="AW89" i="1"/>
  <c r="AX88" i="1"/>
  <c r="AW88" i="1"/>
  <c r="AX87" i="1"/>
  <c r="AW87" i="1"/>
  <c r="AX86" i="1"/>
  <c r="AW86" i="1"/>
  <c r="AX85" i="1"/>
  <c r="AW85" i="1"/>
  <c r="AX84" i="1"/>
  <c r="AW84" i="1"/>
  <c r="AX83" i="1"/>
  <c r="AW83" i="1"/>
  <c r="AX82" i="1"/>
  <c r="AW82" i="1"/>
  <c r="AX81" i="1"/>
  <c r="AW81" i="1"/>
  <c r="AX80" i="1"/>
  <c r="AW80" i="1"/>
  <c r="AX79" i="1"/>
  <c r="AW79" i="1"/>
  <c r="AX78" i="1"/>
  <c r="AW78" i="1"/>
  <c r="AX77" i="1"/>
  <c r="AW77" i="1"/>
  <c r="AX76" i="1"/>
  <c r="AW76" i="1"/>
  <c r="AX75" i="1"/>
  <c r="AW75" i="1"/>
  <c r="AX74" i="1"/>
  <c r="AW74" i="1"/>
  <c r="AX73" i="1"/>
  <c r="AW73" i="1"/>
  <c r="AX72" i="1"/>
  <c r="AW72" i="1"/>
  <c r="AX71" i="1"/>
  <c r="AW71" i="1"/>
  <c r="AX70" i="1"/>
  <c r="AW70" i="1"/>
  <c r="AX69" i="1"/>
  <c r="AW69" i="1"/>
  <c r="AX68" i="1"/>
  <c r="AW68" i="1"/>
  <c r="AX67" i="1"/>
  <c r="AW67" i="1"/>
  <c r="AX66" i="1"/>
  <c r="AW66" i="1"/>
  <c r="AX65" i="1"/>
  <c r="AW65" i="1"/>
  <c r="AX64" i="1"/>
  <c r="AW64" i="1"/>
  <c r="AX63" i="1"/>
  <c r="AW63" i="1"/>
  <c r="AX62" i="1"/>
  <c r="AW62" i="1"/>
  <c r="AX61" i="1"/>
  <c r="AW61" i="1"/>
  <c r="AX60" i="1"/>
  <c r="AW60" i="1"/>
  <c r="AX59" i="1"/>
  <c r="AW59" i="1"/>
  <c r="AX58" i="1"/>
  <c r="AW58" i="1"/>
  <c r="AX57" i="1"/>
  <c r="AW57" i="1"/>
  <c r="AX56" i="1"/>
  <c r="AW56" i="1"/>
  <c r="AX55" i="1"/>
  <c r="AW55" i="1"/>
  <c r="AX54" i="1"/>
  <c r="AW54" i="1"/>
  <c r="AX53" i="1"/>
  <c r="AW53" i="1"/>
  <c r="AX52" i="1"/>
  <c r="AW52" i="1"/>
  <c r="AX51" i="1"/>
  <c r="AW51" i="1"/>
  <c r="AX50" i="1"/>
  <c r="AW50" i="1"/>
  <c r="AX49" i="1"/>
  <c r="AW49" i="1"/>
  <c r="AX48" i="1"/>
  <c r="AW48" i="1"/>
  <c r="AX47" i="1"/>
  <c r="AW47" i="1"/>
  <c r="AX46" i="1"/>
  <c r="AW46" i="1"/>
  <c r="AX45" i="1"/>
  <c r="AW45" i="1"/>
  <c r="AX44" i="1"/>
  <c r="AW44" i="1"/>
  <c r="AX43" i="1"/>
  <c r="AW43" i="1"/>
  <c r="AX42" i="1"/>
  <c r="AW42" i="1"/>
  <c r="AX41" i="1"/>
  <c r="AW41" i="1"/>
  <c r="AX40" i="1"/>
  <c r="AW40" i="1"/>
  <c r="AX39" i="1"/>
  <c r="AW39" i="1"/>
  <c r="AX38" i="1"/>
  <c r="AW38" i="1"/>
  <c r="AX37" i="1"/>
  <c r="AW37" i="1"/>
  <c r="AX36" i="1"/>
  <c r="AW36" i="1"/>
  <c r="AX35" i="1"/>
  <c r="AW35" i="1"/>
  <c r="AX34" i="1"/>
  <c r="AW34" i="1"/>
  <c r="AX33" i="1"/>
  <c r="AW33" i="1"/>
  <c r="AX32" i="1"/>
  <c r="AW32" i="1"/>
  <c r="AX31" i="1"/>
  <c r="AW31" i="1"/>
  <c r="AX30" i="1"/>
  <c r="AW30" i="1"/>
  <c r="AX29" i="1"/>
  <c r="AW29" i="1"/>
  <c r="AX28" i="1"/>
  <c r="AW28" i="1"/>
  <c r="AX27" i="1"/>
  <c r="AW27" i="1"/>
  <c r="AX26" i="1"/>
  <c r="AW26" i="1"/>
  <c r="AX25" i="1"/>
  <c r="AW25" i="1"/>
  <c r="AX24" i="1"/>
  <c r="AW24" i="1"/>
  <c r="AX23" i="1"/>
  <c r="AW23" i="1"/>
  <c r="AX22" i="1"/>
  <c r="AW22" i="1"/>
  <c r="AX21" i="1"/>
  <c r="AW21" i="1"/>
  <c r="AX20" i="1"/>
  <c r="AW20" i="1"/>
  <c r="AX19" i="1"/>
  <c r="AW19" i="1"/>
  <c r="AX18" i="1"/>
  <c r="AW18" i="1"/>
  <c r="AX17" i="1"/>
  <c r="AW17" i="1"/>
  <c r="AX16" i="1"/>
  <c r="AW16" i="1"/>
  <c r="AX15" i="1"/>
  <c r="AW15" i="1"/>
  <c r="AX14" i="1"/>
  <c r="AW14" i="1"/>
  <c r="AX13" i="1"/>
  <c r="AW13" i="1"/>
  <c r="AX12" i="1"/>
  <c r="AW12" i="1"/>
  <c r="AX11" i="1"/>
  <c r="AW11" i="1"/>
  <c r="AX10" i="1"/>
  <c r="AW10" i="1"/>
  <c r="AX9" i="1"/>
  <c r="AW9" i="1"/>
  <c r="AX8" i="1"/>
  <c r="AW8" i="1"/>
  <c r="AX7" i="1"/>
  <c r="AW7" i="1"/>
  <c r="AX6" i="1"/>
  <c r="AW6" i="1"/>
  <c r="AX5" i="1"/>
  <c r="AW5" i="1"/>
  <c r="AX4" i="1"/>
  <c r="AW4" i="1"/>
  <c r="AX3" i="1"/>
  <c r="AW3" i="1"/>
  <c r="AX2" i="1"/>
  <c r="AW2" i="1"/>
  <c r="AX2020" i="1"/>
  <c r="AW2020" i="1"/>
  <c r="AX2019" i="1"/>
  <c r="AW2019" i="1"/>
  <c r="AX2018" i="1"/>
  <c r="AW2018" i="1"/>
  <c r="AX2017" i="1"/>
  <c r="AW2017" i="1"/>
  <c r="AX2016" i="1"/>
  <c r="AW2016" i="1"/>
  <c r="AX2015" i="1"/>
  <c r="AW2015" i="1"/>
  <c r="AX2014" i="1"/>
  <c r="AW2014" i="1"/>
  <c r="AX2013" i="1"/>
  <c r="AW2013" i="1"/>
  <c r="AX2012" i="1"/>
  <c r="AW2012" i="1"/>
  <c r="AX2011" i="1"/>
  <c r="AW2011" i="1"/>
  <c r="AX2010" i="1"/>
  <c r="AW2010" i="1"/>
  <c r="AX2009" i="1"/>
  <c r="AW2009" i="1"/>
  <c r="AX2008" i="1"/>
  <c r="AW2008" i="1"/>
  <c r="AX2007" i="1"/>
  <c r="AW2007" i="1"/>
  <c r="AX2006" i="1"/>
  <c r="AW2006" i="1"/>
  <c r="AX2005" i="1"/>
  <c r="AW2005" i="1"/>
  <c r="AX2004" i="1"/>
  <c r="AW2004" i="1"/>
  <c r="AX2003" i="1"/>
  <c r="AW2003" i="1"/>
  <c r="AX2002" i="1"/>
  <c r="AW2002" i="1"/>
  <c r="AX2001" i="1"/>
  <c r="AW2001" i="1"/>
  <c r="AX2000" i="1"/>
  <c r="AW2000" i="1"/>
  <c r="AX1999" i="1"/>
  <c r="AW1999" i="1"/>
  <c r="AX1998" i="1"/>
  <c r="AW1998" i="1"/>
  <c r="AX1997" i="1"/>
  <c r="AW1997" i="1"/>
  <c r="AX1996" i="1"/>
  <c r="AW1996" i="1"/>
  <c r="AX1995" i="1"/>
  <c r="AW1995" i="1"/>
  <c r="AX1994" i="1"/>
  <c r="AW1994" i="1"/>
  <c r="AX1993" i="1"/>
  <c r="AW1993" i="1"/>
  <c r="AX1992" i="1"/>
  <c r="AW1992" i="1"/>
  <c r="AX1441" i="1"/>
  <c r="AW1441" i="1"/>
  <c r="AX1440" i="1"/>
  <c r="AW1440" i="1"/>
  <c r="AX1439" i="1"/>
  <c r="AW1439" i="1"/>
  <c r="AX1438" i="1"/>
  <c r="AW1438" i="1"/>
  <c r="AX1437" i="1"/>
  <c r="AW1437" i="1"/>
  <c r="AX1436" i="1"/>
  <c r="AW1436" i="1"/>
  <c r="AX1435" i="1"/>
  <c r="AW1435" i="1"/>
  <c r="AX1434" i="1"/>
  <c r="AW1434" i="1"/>
  <c r="AX1433" i="1"/>
  <c r="AW1433" i="1"/>
  <c r="AX1432" i="1"/>
  <c r="AW1432" i="1"/>
  <c r="AX1431" i="1"/>
  <c r="AW1431" i="1"/>
  <c r="AX1430" i="1"/>
  <c r="AW1430" i="1"/>
  <c r="AX1429" i="1"/>
  <c r="AW1429" i="1"/>
  <c r="AX1428" i="1"/>
  <c r="AW1428" i="1"/>
  <c r="AX1427" i="1"/>
  <c r="AW1427" i="1"/>
  <c r="AX1426" i="1"/>
  <c r="AW1426" i="1"/>
  <c r="AX1425" i="1"/>
  <c r="AW1425" i="1"/>
  <c r="AX1424" i="1"/>
  <c r="AW1424" i="1"/>
  <c r="AX1423" i="1"/>
  <c r="AW1423" i="1"/>
  <c r="AX1422" i="1"/>
  <c r="AW1422" i="1"/>
  <c r="AX1421" i="1"/>
  <c r="AW1421" i="1"/>
  <c r="AX1420" i="1"/>
  <c r="AW1420" i="1"/>
  <c r="AX1419" i="1"/>
  <c r="AW1419" i="1"/>
  <c r="AX1418" i="1"/>
  <c r="AW1418" i="1"/>
  <c r="AX1417" i="1"/>
  <c r="AW1417" i="1"/>
  <c r="AX1416" i="1"/>
  <c r="AW1416" i="1"/>
  <c r="AX1415" i="1"/>
  <c r="AW1415" i="1"/>
  <c r="AX1414" i="1"/>
  <c r="AW1414" i="1"/>
  <c r="AX1413" i="1"/>
  <c r="AW1413" i="1"/>
  <c r="AX1412" i="1"/>
  <c r="AW1412" i="1"/>
  <c r="AX1411" i="1"/>
  <c r="AW1411" i="1"/>
  <c r="AX1410" i="1"/>
  <c r="AW1410" i="1"/>
  <c r="AX1409" i="1"/>
  <c r="AW1409" i="1"/>
  <c r="AX1408" i="1"/>
  <c r="AW1408" i="1"/>
  <c r="AX1407" i="1"/>
  <c r="AW1407" i="1"/>
  <c r="AX1406" i="1"/>
  <c r="AW1406" i="1"/>
  <c r="AX1405" i="1"/>
  <c r="AW1405" i="1"/>
  <c r="AX1404" i="1"/>
  <c r="AW1404" i="1"/>
  <c r="AX1403" i="1"/>
  <c r="AW1403" i="1"/>
  <c r="AX1402" i="1"/>
  <c r="AW1402" i="1"/>
  <c r="AX1401" i="1"/>
  <c r="AW1401" i="1"/>
  <c r="AX1400" i="1"/>
  <c r="AW1400" i="1"/>
  <c r="AX1399" i="1"/>
  <c r="AW1399" i="1"/>
  <c r="AX1398" i="1"/>
  <c r="AW1398" i="1"/>
  <c r="AX1397" i="1"/>
  <c r="AW1397" i="1"/>
  <c r="AX1396" i="1"/>
  <c r="AW1396" i="1"/>
  <c r="AX1395" i="1"/>
  <c r="AW1395" i="1"/>
  <c r="AX1394" i="1"/>
  <c r="AW1394" i="1"/>
  <c r="AX1393" i="1"/>
  <c r="AW1393" i="1"/>
  <c r="AX1392" i="1"/>
  <c r="AW1392" i="1"/>
  <c r="AX1391" i="1"/>
  <c r="AW1391" i="1"/>
  <c r="AX1390" i="1"/>
  <c r="AW1390" i="1"/>
  <c r="AX1389" i="1"/>
  <c r="AW1389" i="1"/>
  <c r="AX1388" i="1"/>
  <c r="AW1388" i="1"/>
  <c r="AX1387" i="1"/>
  <c r="AW1387" i="1"/>
  <c r="AX1386" i="1"/>
  <c r="AW1386" i="1"/>
  <c r="AX1385" i="1"/>
  <c r="AW1385" i="1"/>
  <c r="AX1384" i="1"/>
  <c r="AW1384" i="1"/>
  <c r="AX1383" i="1"/>
  <c r="AW1383" i="1"/>
  <c r="AX1382" i="1"/>
  <c r="AW1382" i="1"/>
  <c r="AX1381" i="1"/>
  <c r="AW1381" i="1"/>
  <c r="AX1380" i="1"/>
  <c r="AW1380" i="1"/>
  <c r="AX1379" i="1"/>
  <c r="AW1379" i="1"/>
  <c r="AX1378" i="1"/>
  <c r="AW1378" i="1"/>
  <c r="AX1377" i="1"/>
  <c r="AW1377" i="1"/>
  <c r="AX1376" i="1"/>
  <c r="AW1376" i="1"/>
  <c r="AX1375" i="1"/>
  <c r="AW1375" i="1"/>
  <c r="AX1374" i="1"/>
  <c r="AW1374" i="1"/>
  <c r="AX1373" i="1"/>
  <c r="AW1373" i="1"/>
  <c r="AX1372" i="1"/>
  <c r="AW1372" i="1"/>
  <c r="AX1371" i="1"/>
  <c r="AW1371" i="1"/>
  <c r="AX1370" i="1"/>
  <c r="AW1370" i="1"/>
  <c r="AX1369" i="1"/>
  <c r="AW1369" i="1"/>
  <c r="AX1368" i="1"/>
  <c r="AW1368" i="1"/>
  <c r="AX1367" i="1"/>
  <c r="AW1367" i="1"/>
  <c r="AX1366" i="1"/>
  <c r="AW1366" i="1"/>
  <c r="AX1365" i="1"/>
  <c r="AW1365" i="1"/>
  <c r="AX1364" i="1"/>
  <c r="AW1364" i="1"/>
  <c r="AX1363" i="1"/>
  <c r="AW1363" i="1"/>
  <c r="AX1362" i="1"/>
  <c r="AW1362" i="1"/>
  <c r="AX1361" i="1"/>
  <c r="AW1361" i="1"/>
  <c r="AX1360" i="1"/>
  <c r="AW1360" i="1"/>
  <c r="AX1359" i="1"/>
  <c r="AW1359" i="1"/>
  <c r="AX1358" i="1"/>
  <c r="AW1358" i="1"/>
  <c r="AX1357" i="1"/>
  <c r="AW1357" i="1"/>
  <c r="AX1356" i="1"/>
  <c r="AW1356" i="1"/>
  <c r="AX1355" i="1"/>
  <c r="AW1355" i="1"/>
  <c r="AX1354" i="1"/>
  <c r="AW1354" i="1"/>
  <c r="AX1353" i="1"/>
  <c r="AW1353" i="1"/>
  <c r="AX1352" i="1"/>
  <c r="AW1352" i="1"/>
  <c r="AX1351" i="1"/>
  <c r="AW1351" i="1"/>
  <c r="AX1350" i="1"/>
  <c r="AW1350" i="1"/>
  <c r="AX1349" i="1"/>
  <c r="AW1349" i="1"/>
  <c r="AX1348" i="1"/>
  <c r="AW1348" i="1"/>
  <c r="AX1347" i="1"/>
  <c r="AW1347" i="1"/>
  <c r="AX1346" i="1"/>
  <c r="AW1346" i="1"/>
  <c r="AX1345" i="1"/>
  <c r="AW1345" i="1"/>
  <c r="AX1344" i="1"/>
  <c r="AW1344" i="1"/>
  <c r="AX1343" i="1"/>
  <c r="AW1343" i="1"/>
  <c r="AX1342" i="1"/>
  <c r="AW1342" i="1"/>
  <c r="AX1341" i="1"/>
  <c r="AW1341" i="1"/>
  <c r="AX1340" i="1"/>
  <c r="AW1340" i="1"/>
  <c r="AX1339" i="1"/>
  <c r="AW1339" i="1"/>
  <c r="AX1338" i="1"/>
  <c r="AW1338" i="1"/>
  <c r="AX1337" i="1"/>
  <c r="AW1337" i="1"/>
  <c r="AX1336" i="1"/>
  <c r="AW1336" i="1"/>
  <c r="AX1335" i="1"/>
  <c r="AW1335" i="1"/>
  <c r="AX1334" i="1"/>
  <c r="AW1334" i="1"/>
  <c r="AX1333" i="1"/>
  <c r="AW1333" i="1"/>
  <c r="AX1332" i="1"/>
  <c r="AW1332" i="1"/>
  <c r="AX1331" i="1"/>
  <c r="AW1331" i="1"/>
  <c r="AX1330" i="1"/>
  <c r="AW1330" i="1"/>
  <c r="AX1329" i="1"/>
  <c r="AW1329" i="1"/>
  <c r="AX1328" i="1"/>
  <c r="AW1328" i="1"/>
  <c r="AX1327" i="1"/>
  <c r="AW1327" i="1"/>
  <c r="AX1326" i="1"/>
  <c r="AW1326" i="1"/>
  <c r="AX1325" i="1"/>
  <c r="AW1325" i="1"/>
  <c r="AX1324" i="1"/>
  <c r="AW1324" i="1"/>
  <c r="AX1323" i="1"/>
  <c r="AW1323" i="1"/>
  <c r="AX1322" i="1"/>
  <c r="AW1322" i="1"/>
  <c r="AX1321" i="1"/>
  <c r="AW1321" i="1"/>
  <c r="AX1320" i="1"/>
  <c r="AW1320" i="1"/>
  <c r="AX1319" i="1"/>
  <c r="AW1319" i="1"/>
  <c r="AX1318" i="1"/>
  <c r="AW1318" i="1"/>
  <c r="AX1317" i="1"/>
  <c r="AW1317" i="1"/>
  <c r="AX1316" i="1"/>
  <c r="AW1316" i="1"/>
  <c r="AX1315" i="1"/>
  <c r="AW1315" i="1"/>
  <c r="AX1314" i="1"/>
  <c r="AW1314" i="1"/>
  <c r="AX1313" i="1"/>
  <c r="AW1313" i="1"/>
  <c r="AX1312" i="1"/>
  <c r="AW1312" i="1"/>
  <c r="AX1311" i="1"/>
  <c r="AW1311" i="1"/>
  <c r="AX1310" i="1"/>
  <c r="AW1310" i="1"/>
  <c r="AX1309" i="1"/>
  <c r="AW1309" i="1"/>
  <c r="AX1308" i="1"/>
  <c r="AW1308" i="1"/>
  <c r="AX1307" i="1"/>
  <c r="AW1307" i="1"/>
  <c r="AX1306" i="1"/>
  <c r="AW1306" i="1"/>
  <c r="AX1305" i="1"/>
  <c r="AW1305" i="1"/>
  <c r="AX1304" i="1"/>
  <c r="AW1304" i="1"/>
  <c r="AX1303" i="1"/>
  <c r="AW1303" i="1"/>
  <c r="AX1302" i="1"/>
  <c r="AW1302" i="1"/>
  <c r="AX1301" i="1"/>
  <c r="AW1301" i="1"/>
  <c r="AX1300" i="1"/>
  <c r="AW1300" i="1"/>
  <c r="AX1299" i="1"/>
  <c r="AW1299" i="1"/>
  <c r="AX1298" i="1"/>
  <c r="AW1298" i="1"/>
  <c r="AX1297" i="1"/>
  <c r="AW1297" i="1"/>
  <c r="AX1296" i="1"/>
  <c r="AW1296" i="1"/>
  <c r="AX1295" i="1"/>
  <c r="AW1295" i="1"/>
  <c r="AX1294" i="1"/>
  <c r="AW1294" i="1"/>
  <c r="AX1293" i="1"/>
  <c r="AW1293" i="1"/>
  <c r="AX1292" i="1"/>
  <c r="AW1292" i="1"/>
  <c r="AX1291" i="1"/>
  <c r="AW1291" i="1"/>
  <c r="AX1290" i="1"/>
  <c r="AW1290" i="1"/>
  <c r="AX1289" i="1"/>
  <c r="AW1289" i="1"/>
  <c r="AX1288" i="1"/>
  <c r="AW1288" i="1"/>
  <c r="AX1287" i="1"/>
  <c r="AW1287" i="1"/>
  <c r="AX1286" i="1"/>
  <c r="AW1286" i="1"/>
  <c r="AX1285" i="1"/>
  <c r="AW1285" i="1"/>
  <c r="AX1284" i="1"/>
  <c r="AW1284" i="1"/>
  <c r="AX1283" i="1"/>
  <c r="AW1283" i="1"/>
  <c r="AX1282" i="1"/>
  <c r="AW1282" i="1"/>
  <c r="AX1281" i="1"/>
  <c r="AW1281" i="1"/>
  <c r="AX1280" i="1"/>
  <c r="AW1280" i="1"/>
  <c r="AX1279" i="1"/>
  <c r="AW1279" i="1"/>
  <c r="AX1278" i="1"/>
  <c r="AW1278" i="1"/>
  <c r="AX1277" i="1"/>
  <c r="AW1277" i="1"/>
  <c r="AX1276" i="1"/>
  <c r="AW1276" i="1"/>
  <c r="AX1275" i="1"/>
  <c r="AW1275" i="1"/>
  <c r="AX1274" i="1"/>
  <c r="AW1274" i="1"/>
  <c r="AX1273" i="1"/>
  <c r="AW1273" i="1"/>
  <c r="AX1272" i="1"/>
  <c r="AW1272" i="1"/>
  <c r="AX1271" i="1"/>
  <c r="AW1271" i="1"/>
  <c r="AX1270" i="1"/>
  <c r="AW1270" i="1"/>
  <c r="AX1269" i="1"/>
  <c r="AW1269" i="1"/>
  <c r="AX1268" i="1"/>
  <c r="AW1268" i="1"/>
  <c r="AX1267" i="1"/>
  <c r="AW1267" i="1"/>
  <c r="AX1266" i="1"/>
  <c r="AW1266" i="1"/>
  <c r="AX1265" i="1"/>
  <c r="AW1265" i="1"/>
  <c r="AX1264" i="1"/>
  <c r="AW1264" i="1"/>
  <c r="AX1263" i="1"/>
  <c r="AW1263" i="1"/>
  <c r="AX1262" i="1"/>
  <c r="AW1262" i="1"/>
  <c r="AX1261" i="1"/>
  <c r="AW1261" i="1"/>
  <c r="AX1260" i="1"/>
  <c r="AW1260" i="1"/>
  <c r="AX1259" i="1"/>
  <c r="AW1259" i="1"/>
  <c r="AX1258" i="1"/>
  <c r="AW1258" i="1"/>
  <c r="AX1257" i="1"/>
  <c r="AW1257" i="1"/>
  <c r="AX1256" i="1"/>
  <c r="AW1256" i="1"/>
  <c r="AX1255" i="1"/>
  <c r="AW1255" i="1"/>
  <c r="AX1254" i="1"/>
  <c r="AW1254" i="1"/>
  <c r="AX1253" i="1"/>
  <c r="AW1253" i="1"/>
  <c r="AX1252" i="1"/>
  <c r="AW1252" i="1"/>
  <c r="AX1251" i="1"/>
  <c r="AW1251" i="1"/>
  <c r="AX1250" i="1"/>
  <c r="AW1250" i="1"/>
  <c r="AX1249" i="1"/>
  <c r="AW1249" i="1"/>
  <c r="AX1248" i="1"/>
  <c r="AW1248" i="1"/>
  <c r="AX1247" i="1"/>
  <c r="AW1247" i="1"/>
  <c r="AX1246" i="1"/>
  <c r="AW1246" i="1"/>
  <c r="AX1245" i="1"/>
  <c r="AW1245" i="1"/>
  <c r="AX1244" i="1"/>
  <c r="AW1244" i="1"/>
  <c r="AX1243" i="1"/>
  <c r="AW1243" i="1"/>
  <c r="AX1242" i="1"/>
  <c r="AW1242" i="1"/>
  <c r="AX1241" i="1"/>
  <c r="AW1241" i="1"/>
  <c r="AX1240" i="1"/>
  <c r="AW1240" i="1"/>
  <c r="AX1239" i="1"/>
  <c r="AW1239" i="1"/>
  <c r="AX1238" i="1"/>
  <c r="AW1238" i="1"/>
  <c r="AX1237" i="1"/>
  <c r="AW1237" i="1"/>
  <c r="AX1236" i="1"/>
  <c r="AW1236" i="1"/>
  <c r="AX1235" i="1"/>
  <c r="AW1235" i="1"/>
  <c r="AX1234" i="1"/>
  <c r="AW1234" i="1"/>
  <c r="AX1233" i="1"/>
  <c r="AW1233" i="1"/>
  <c r="AX1232" i="1"/>
  <c r="AW1232" i="1"/>
  <c r="AX1231" i="1"/>
  <c r="AW1231" i="1"/>
  <c r="AX1230" i="1"/>
  <c r="AW1230" i="1"/>
  <c r="AX1229" i="1"/>
  <c r="AW1229" i="1"/>
  <c r="AX1228" i="1"/>
  <c r="AW1228" i="1"/>
  <c r="AX1227" i="1"/>
  <c r="AW1227" i="1"/>
  <c r="AX1226" i="1"/>
  <c r="AW1226" i="1"/>
  <c r="AX1225" i="1"/>
  <c r="AW1225" i="1"/>
  <c r="AX1224" i="1"/>
  <c r="AW1224" i="1"/>
  <c r="AX1223" i="1"/>
  <c r="AW1223" i="1"/>
  <c r="AX1222" i="1"/>
  <c r="AW1222" i="1"/>
  <c r="AX1221" i="1"/>
  <c r="AW1221" i="1"/>
  <c r="AX1220" i="1"/>
  <c r="AW1220" i="1"/>
  <c r="AX1219" i="1"/>
  <c r="AW1219" i="1"/>
  <c r="AX1218" i="1"/>
  <c r="AW1218" i="1"/>
  <c r="AX1217" i="1"/>
  <c r="AW1217" i="1"/>
  <c r="AX1216" i="1"/>
  <c r="AW1216" i="1"/>
  <c r="AX1215" i="1"/>
  <c r="AW1215" i="1"/>
  <c r="AX1214" i="1"/>
  <c r="AW1214" i="1"/>
  <c r="AX1213" i="1"/>
  <c r="AW1213" i="1"/>
  <c r="AX1212" i="1"/>
  <c r="AW1212" i="1"/>
  <c r="AX1211" i="1"/>
  <c r="AW1211" i="1"/>
  <c r="AX1210" i="1"/>
  <c r="AW1210" i="1"/>
  <c r="AX1209" i="1"/>
  <c r="AW1209" i="1"/>
  <c r="AX1208" i="1"/>
  <c r="AW1208" i="1"/>
  <c r="AX1207" i="1"/>
  <c r="AW1207" i="1"/>
  <c r="AX1206" i="1"/>
  <c r="AW1206" i="1"/>
  <c r="AX1205" i="1"/>
  <c r="AW1205" i="1"/>
  <c r="AX1204" i="1"/>
  <c r="AW1204" i="1"/>
  <c r="AX1203" i="1"/>
  <c r="AW1203" i="1"/>
  <c r="AX1202" i="1"/>
  <c r="AW1202" i="1"/>
  <c r="AX1201" i="1"/>
  <c r="AW1201" i="1"/>
  <c r="AX1200" i="1"/>
  <c r="AW1200" i="1"/>
  <c r="AX1199" i="1"/>
  <c r="AW1199" i="1"/>
  <c r="AX1198" i="1"/>
  <c r="AW1198" i="1"/>
  <c r="AX1197" i="1"/>
  <c r="AW1197" i="1"/>
  <c r="AX1196" i="1"/>
  <c r="AW1196" i="1"/>
  <c r="AX1195" i="1"/>
  <c r="AW1195" i="1"/>
  <c r="AX1194" i="1"/>
  <c r="AW1194" i="1"/>
  <c r="AX1193" i="1"/>
  <c r="AW1193" i="1"/>
  <c r="AX1192" i="1"/>
  <c r="AW1192" i="1"/>
  <c r="AX1191" i="1"/>
  <c r="AW1191" i="1"/>
  <c r="AX1190" i="1"/>
  <c r="AW1190" i="1"/>
  <c r="AX1189" i="1"/>
  <c r="AW1189" i="1"/>
  <c r="AX1188" i="1"/>
  <c r="AW1188" i="1"/>
  <c r="AX1187" i="1"/>
  <c r="AW1187" i="1"/>
  <c r="AX1186" i="1"/>
  <c r="AW1186" i="1"/>
  <c r="AX1185" i="1"/>
  <c r="AW1185" i="1"/>
  <c r="AX1184" i="1"/>
  <c r="AW1184" i="1"/>
  <c r="AX1183" i="1"/>
  <c r="AW1183" i="1"/>
  <c r="AX1182" i="1"/>
  <c r="AW1182" i="1"/>
  <c r="AX1181" i="1"/>
  <c r="AW1181" i="1"/>
  <c r="AX1180" i="1"/>
  <c r="AW1180" i="1"/>
  <c r="AX1179" i="1"/>
  <c r="AW1179" i="1"/>
  <c r="AX1178" i="1"/>
  <c r="AW1178" i="1"/>
  <c r="AX1177" i="1"/>
  <c r="AW1177" i="1"/>
  <c r="AX1176" i="1"/>
  <c r="AW1176" i="1"/>
  <c r="AX1175" i="1"/>
  <c r="AW1175" i="1"/>
  <c r="AX1174" i="1"/>
  <c r="AW1174" i="1"/>
  <c r="AX1173" i="1"/>
  <c r="AW1173" i="1"/>
  <c r="AX1172" i="1"/>
  <c r="AW1172" i="1"/>
  <c r="AX1171" i="1"/>
  <c r="AW1171" i="1"/>
  <c r="AX1170" i="1"/>
  <c r="AW1170" i="1"/>
  <c r="AX1169" i="1"/>
  <c r="AW1169" i="1"/>
  <c r="AX1168" i="1"/>
  <c r="AW1168" i="1"/>
  <c r="AX1167" i="1"/>
  <c r="AW1167" i="1"/>
  <c r="AX1166" i="1"/>
  <c r="AW1166" i="1"/>
  <c r="AX1165" i="1"/>
  <c r="AW1165" i="1"/>
  <c r="AX1164" i="1"/>
  <c r="AW1164" i="1"/>
  <c r="AX1163" i="1"/>
  <c r="AW1163" i="1"/>
  <c r="AX1162" i="1"/>
  <c r="AW1162" i="1"/>
  <c r="AX1161" i="1"/>
  <c r="AW1161" i="1"/>
  <c r="AX1160" i="1"/>
  <c r="AW1160" i="1"/>
  <c r="AX1159" i="1"/>
  <c r="AW1159" i="1"/>
  <c r="AX1158" i="1"/>
  <c r="AW1158" i="1"/>
  <c r="AX1157" i="1"/>
  <c r="AW1157" i="1"/>
  <c r="AX1156" i="1"/>
  <c r="AW1156" i="1"/>
  <c r="AX1155" i="1"/>
  <c r="AW1155" i="1"/>
  <c r="AX1154" i="1"/>
  <c r="AW1154" i="1"/>
  <c r="AX1153" i="1"/>
  <c r="AW1153" i="1"/>
  <c r="AX1152" i="1"/>
  <c r="AW1152" i="1"/>
  <c r="AX1151" i="1"/>
  <c r="AW1151" i="1"/>
  <c r="AX1150" i="1"/>
  <c r="AW1150" i="1"/>
  <c r="AX1149" i="1"/>
  <c r="AW1149" i="1"/>
  <c r="AX1148" i="1"/>
  <c r="AW1148" i="1"/>
  <c r="AX1147" i="1"/>
  <c r="AW1147" i="1"/>
  <c r="AX1146" i="1"/>
  <c r="AW1146" i="1"/>
  <c r="AX1145" i="1"/>
  <c r="AW1145" i="1"/>
  <c r="AX1144" i="1"/>
  <c r="AW1144" i="1"/>
  <c r="AX1143" i="1"/>
  <c r="AW1143" i="1"/>
  <c r="AX1142" i="1"/>
  <c r="AW1142" i="1"/>
  <c r="AX1141" i="1"/>
  <c r="AW1141" i="1"/>
  <c r="AX1140" i="1"/>
  <c r="AW1140" i="1"/>
  <c r="AX1139" i="1"/>
  <c r="AW1139" i="1"/>
  <c r="AX1138" i="1"/>
  <c r="AW1138" i="1"/>
  <c r="AX1137" i="1"/>
  <c r="AW1137" i="1"/>
  <c r="AX1136" i="1"/>
  <c r="AW1136" i="1"/>
  <c r="AX1135" i="1"/>
  <c r="AW1135" i="1"/>
  <c r="AX1134" i="1"/>
  <c r="AW1134" i="1"/>
  <c r="AX1133" i="1"/>
  <c r="AW1133" i="1"/>
  <c r="AX1132" i="1"/>
  <c r="AW1132" i="1"/>
  <c r="AX1131" i="1"/>
  <c r="AW1131" i="1"/>
  <c r="AX1130" i="1"/>
  <c r="AW1130" i="1"/>
  <c r="AX2048" i="1"/>
  <c r="AW2048" i="1"/>
  <c r="AX2047" i="1"/>
  <c r="AW2047" i="1"/>
  <c r="AX2046" i="1"/>
  <c r="AW2046" i="1"/>
  <c r="AX2045" i="1"/>
  <c r="AW2045" i="1"/>
  <c r="AX2044" i="1"/>
  <c r="AW2044" i="1"/>
  <c r="AX2043" i="1"/>
  <c r="AW2043" i="1"/>
  <c r="AX2042" i="1"/>
  <c r="AW2042" i="1"/>
  <c r="AX2041" i="1"/>
  <c r="AW2041" i="1"/>
  <c r="AX2040" i="1"/>
  <c r="AW2040" i="1"/>
  <c r="AX2039" i="1"/>
  <c r="AW2039" i="1"/>
  <c r="AX2038" i="1"/>
  <c r="AW2038" i="1"/>
  <c r="AX2037" i="1"/>
  <c r="AW2037" i="1"/>
  <c r="AX2036" i="1"/>
  <c r="AW2036" i="1"/>
  <c r="AX2035" i="1"/>
  <c r="AW2035" i="1"/>
  <c r="AX2034" i="1"/>
  <c r="AW2034" i="1"/>
  <c r="AX2033" i="1"/>
  <c r="AW2033" i="1"/>
  <c r="AX2032" i="1"/>
  <c r="AW2032" i="1"/>
  <c r="AX2031" i="1"/>
  <c r="AW2031" i="1"/>
  <c r="AX2030" i="1"/>
  <c r="AW2030" i="1"/>
  <c r="AX2029" i="1"/>
  <c r="AW2029" i="1"/>
  <c r="AX2028" i="1"/>
  <c r="AW2028" i="1"/>
  <c r="AX2027" i="1"/>
  <c r="AW2027" i="1"/>
  <c r="AX2026" i="1"/>
  <c r="AW2026" i="1"/>
  <c r="AX2025" i="1"/>
  <c r="AW2025" i="1"/>
  <c r="AX2024" i="1"/>
  <c r="AW2024" i="1"/>
  <c r="AX2023" i="1"/>
  <c r="AW2023" i="1"/>
  <c r="AX2022" i="1"/>
  <c r="AW2022" i="1"/>
  <c r="AX2021" i="1"/>
  <c r="AW2021" i="1"/>
  <c r="AX4383" i="1"/>
  <c r="AW4383" i="1"/>
  <c r="AX4382" i="1"/>
  <c r="AW4382" i="1"/>
  <c r="AX4381" i="1"/>
  <c r="AW4381" i="1"/>
  <c r="AX4380" i="1"/>
  <c r="AW4380" i="1"/>
  <c r="AX4379" i="1"/>
  <c r="AW4379" i="1"/>
  <c r="AX4378" i="1"/>
  <c r="AW4378" i="1"/>
  <c r="AX4377" i="1"/>
  <c r="AW4377" i="1"/>
  <c r="AX4376" i="1"/>
  <c r="AW4376" i="1"/>
  <c r="AX4375" i="1"/>
  <c r="AW4375" i="1"/>
  <c r="AX4374" i="1"/>
  <c r="AW4374" i="1"/>
  <c r="AX4373" i="1"/>
  <c r="AW4373" i="1"/>
  <c r="AX4372" i="1"/>
  <c r="AW4372" i="1"/>
  <c r="AX4371" i="1"/>
  <c r="AW4371" i="1"/>
  <c r="AX4370" i="1"/>
  <c r="AW4370" i="1"/>
  <c r="AX4369" i="1"/>
  <c r="AW4369" i="1"/>
  <c r="AX4368" i="1"/>
  <c r="AW4368" i="1"/>
  <c r="AX4367" i="1"/>
  <c r="AW4367" i="1"/>
  <c r="AX4366" i="1"/>
  <c r="AW4366" i="1"/>
  <c r="AX4365" i="1"/>
  <c r="AW4365" i="1"/>
  <c r="AX4364" i="1"/>
  <c r="AW4364" i="1"/>
  <c r="AX4363" i="1"/>
  <c r="AW4363" i="1"/>
  <c r="AX4362" i="1"/>
  <c r="AW4362" i="1"/>
  <c r="AX4361" i="1"/>
  <c r="AW4361" i="1"/>
  <c r="AX4360" i="1"/>
  <c r="AW4360" i="1"/>
  <c r="AX4358" i="1"/>
  <c r="AW4358" i="1"/>
  <c r="AX4357" i="1"/>
  <c r="AW4357" i="1"/>
  <c r="AX4356" i="1"/>
  <c r="AW4356" i="1"/>
  <c r="AX4355" i="1"/>
  <c r="AW4355" i="1"/>
  <c r="AX4353" i="1"/>
  <c r="AW4353" i="1"/>
  <c r="AX4352" i="1"/>
  <c r="AW4352" i="1"/>
  <c r="AX4351" i="1"/>
  <c r="AW4351" i="1"/>
  <c r="AX4350" i="1"/>
  <c r="AW4350" i="1"/>
  <c r="AX4349" i="1"/>
  <c r="AW4349" i="1"/>
  <c r="AX4347" i="1"/>
  <c r="AW4347" i="1"/>
  <c r="AX4346" i="1"/>
  <c r="AW4346" i="1"/>
  <c r="AX4345" i="1"/>
  <c r="AW4345" i="1"/>
  <c r="AX4344" i="1"/>
  <c r="AW4344" i="1"/>
  <c r="AX4342" i="1"/>
  <c r="AW4342" i="1"/>
  <c r="AX4341" i="1"/>
  <c r="AW4341" i="1"/>
  <c r="AX4340" i="1"/>
  <c r="AW4340" i="1"/>
  <c r="AX4339" i="1"/>
  <c r="AW4339" i="1"/>
  <c r="AX4337" i="1"/>
  <c r="AW4337" i="1"/>
  <c r="AX4336" i="1"/>
  <c r="AW4336" i="1"/>
  <c r="AX4335" i="1"/>
  <c r="AW4335" i="1"/>
  <c r="AX4334" i="1"/>
  <c r="AX4332" i="1"/>
  <c r="AW4332" i="1"/>
  <c r="AX4331" i="1"/>
  <c r="AW4331" i="1"/>
  <c r="AX4330" i="1"/>
  <c r="AW4330" i="1"/>
  <c r="AX4329" i="1"/>
  <c r="AW4329" i="1"/>
  <c r="AX4327" i="1"/>
  <c r="AW4327" i="1"/>
  <c r="AX4326" i="1"/>
  <c r="AW4326" i="1"/>
  <c r="AX4325" i="1"/>
  <c r="AW4325" i="1"/>
  <c r="AX4324" i="1"/>
  <c r="AW4324" i="1"/>
  <c r="AX4323" i="1"/>
  <c r="AW4323" i="1"/>
  <c r="AX4322" i="1"/>
  <c r="AW4322" i="1"/>
  <c r="AX4321" i="1"/>
  <c r="AW4321" i="1"/>
  <c r="AX4320" i="1"/>
  <c r="AW4320" i="1"/>
  <c r="AX4319" i="1"/>
  <c r="AW4319" i="1"/>
  <c r="AX4318" i="1"/>
  <c r="AW4318" i="1"/>
  <c r="AX4317" i="1"/>
  <c r="AW4317" i="1"/>
  <c r="AX4316" i="1"/>
  <c r="AW4316" i="1"/>
  <c r="AX4315" i="1"/>
  <c r="AW4315" i="1"/>
  <c r="AX4314" i="1"/>
  <c r="AW4314" i="1"/>
  <c r="AX4313" i="1"/>
  <c r="AW4313" i="1"/>
  <c r="AX4312" i="1"/>
  <c r="AW4312" i="1"/>
  <c r="AX4311" i="1"/>
  <c r="AW4311" i="1"/>
  <c r="AX4310" i="1"/>
  <c r="AW4310" i="1"/>
  <c r="AX4309" i="1"/>
  <c r="AW4309" i="1"/>
  <c r="AX4308" i="1"/>
  <c r="AW4308" i="1"/>
  <c r="AX4307" i="1"/>
  <c r="AW4307" i="1"/>
  <c r="AX4306" i="1"/>
  <c r="AW4306" i="1"/>
  <c r="AX4305" i="1"/>
  <c r="AW4305" i="1"/>
  <c r="AX4304" i="1"/>
  <c r="AW4304" i="1"/>
  <c r="AX4303" i="1"/>
  <c r="AW4303" i="1"/>
  <c r="AX4302" i="1"/>
  <c r="AW4302" i="1"/>
  <c r="AX4301" i="1"/>
  <c r="AW4301" i="1"/>
  <c r="AX4300" i="1"/>
  <c r="AW4300" i="1"/>
  <c r="AX4299" i="1"/>
  <c r="AW4299" i="1"/>
  <c r="AX4298" i="1"/>
  <c r="AW4298" i="1"/>
  <c r="AX4297" i="1"/>
  <c r="AW4297" i="1"/>
  <c r="AX4296" i="1"/>
  <c r="AW4296" i="1"/>
  <c r="AX4295" i="1"/>
  <c r="AW4295" i="1"/>
  <c r="AX4294" i="1"/>
  <c r="AW4294" i="1"/>
  <c r="AX4293" i="1"/>
  <c r="AW4293" i="1"/>
  <c r="AX4292" i="1"/>
  <c r="AW4292" i="1"/>
  <c r="AX4291" i="1"/>
  <c r="AW4291" i="1"/>
  <c r="AX4290" i="1"/>
  <c r="AW4290" i="1"/>
  <c r="AX4289" i="1"/>
  <c r="AW4289" i="1"/>
  <c r="AX4288" i="1"/>
  <c r="AW4288" i="1"/>
  <c r="AX4287" i="1"/>
  <c r="AW4287" i="1"/>
  <c r="AX4286" i="1"/>
  <c r="AW4286" i="1"/>
  <c r="AX4285" i="1"/>
  <c r="AW4285" i="1"/>
  <c r="AX4284" i="1"/>
  <c r="AW4284" i="1"/>
  <c r="AX4283" i="1"/>
  <c r="AW4283" i="1"/>
  <c r="AX4282" i="1"/>
  <c r="AW4282" i="1"/>
  <c r="AX4281" i="1"/>
  <c r="AW4281" i="1"/>
  <c r="AX4280" i="1"/>
  <c r="AW4280" i="1"/>
  <c r="AX4279" i="1"/>
  <c r="AW4279" i="1"/>
  <c r="AX4278" i="1"/>
  <c r="AW4278" i="1"/>
  <c r="AX4277" i="1"/>
  <c r="AW4277" i="1"/>
  <c r="AX4276" i="1"/>
  <c r="AW4276" i="1"/>
  <c r="AX4275" i="1"/>
  <c r="AW4275" i="1"/>
  <c r="AX4274" i="1"/>
  <c r="AW4274" i="1"/>
  <c r="AX4273" i="1"/>
  <c r="AW4273" i="1"/>
  <c r="AX4272" i="1"/>
  <c r="AW4272" i="1"/>
  <c r="AX4271" i="1"/>
  <c r="AW4271" i="1"/>
  <c r="AX4270" i="1"/>
  <c r="AW4270" i="1"/>
  <c r="AX4269" i="1"/>
  <c r="AW4269" i="1"/>
  <c r="AX4268" i="1"/>
  <c r="AW4268" i="1"/>
  <c r="AX4267" i="1"/>
  <c r="AW4267" i="1"/>
  <c r="AX4266" i="1"/>
  <c r="AW4266" i="1"/>
  <c r="AX4265" i="1"/>
  <c r="AW4265" i="1"/>
  <c r="AX4264" i="1"/>
  <c r="AW4264" i="1"/>
  <c r="AX4263" i="1"/>
  <c r="AW4263" i="1"/>
  <c r="AX4262" i="1"/>
  <c r="AW4262" i="1"/>
  <c r="AX4261" i="1"/>
  <c r="AW4261" i="1"/>
  <c r="AX4260" i="1"/>
  <c r="AW4260" i="1"/>
  <c r="AX4259" i="1"/>
  <c r="AW4259" i="1"/>
  <c r="AX4258" i="1"/>
  <c r="AW4258" i="1"/>
  <c r="AX4257" i="1"/>
  <c r="AW4257" i="1"/>
  <c r="AX4256" i="1"/>
  <c r="AW4256" i="1"/>
  <c r="AX4255" i="1"/>
  <c r="AW4255" i="1"/>
  <c r="AX4254" i="1"/>
  <c r="AW4254" i="1"/>
  <c r="AX4253" i="1"/>
  <c r="AW4253" i="1"/>
  <c r="AX4252" i="1"/>
  <c r="AW4252" i="1"/>
  <c r="AX4251" i="1"/>
  <c r="AW4251" i="1"/>
  <c r="AX4250" i="1"/>
  <c r="AW4250" i="1"/>
  <c r="AX4249" i="1"/>
  <c r="AW4249" i="1"/>
  <c r="AX4248" i="1"/>
  <c r="AW4248" i="1"/>
  <c r="AX4247" i="1"/>
  <c r="AW4247" i="1"/>
  <c r="AX4246" i="1"/>
  <c r="AW4246" i="1"/>
  <c r="AX4245" i="1"/>
  <c r="AW4245" i="1"/>
  <c r="AX4244" i="1"/>
  <c r="AW4244" i="1"/>
  <c r="AX4243" i="1"/>
  <c r="AW4243" i="1"/>
  <c r="AX4242" i="1"/>
  <c r="AW4242" i="1"/>
  <c r="AX4241" i="1"/>
  <c r="AW4241" i="1"/>
  <c r="AX4240" i="1"/>
  <c r="AW4240" i="1"/>
  <c r="AX4239" i="1"/>
  <c r="AW4239" i="1"/>
  <c r="AX4238" i="1"/>
  <c r="AW4238" i="1"/>
  <c r="AX4237" i="1"/>
  <c r="AW4237" i="1"/>
  <c r="AX4236" i="1"/>
  <c r="AW4236" i="1"/>
  <c r="AX4235" i="1"/>
  <c r="AW4235" i="1"/>
  <c r="AX4234" i="1"/>
  <c r="AW4234" i="1"/>
  <c r="AX4233" i="1"/>
  <c r="AW4233" i="1"/>
  <c r="AX4232" i="1"/>
  <c r="AW4232" i="1"/>
  <c r="AX4231" i="1"/>
  <c r="AW4231" i="1"/>
  <c r="AX4230" i="1"/>
  <c r="AW4230" i="1"/>
  <c r="AX4229" i="1"/>
  <c r="AW4229" i="1"/>
  <c r="AX4228" i="1"/>
  <c r="AW4228" i="1"/>
  <c r="AX4227" i="1"/>
  <c r="AW4227" i="1"/>
  <c r="AX4226" i="1"/>
  <c r="AW4226" i="1"/>
  <c r="AX4225" i="1"/>
  <c r="AW4225" i="1"/>
  <c r="AX4224" i="1"/>
  <c r="AW4224" i="1"/>
  <c r="AX4223" i="1"/>
  <c r="AW4223" i="1"/>
  <c r="AX4404" i="1"/>
  <c r="AW4404" i="1"/>
  <c r="AX4403" i="1"/>
  <c r="AW4403" i="1"/>
  <c r="AX4398" i="1"/>
  <c r="AW4398" i="1"/>
  <c r="AX4397" i="1"/>
  <c r="AW4397" i="1"/>
  <c r="AX1525" i="1"/>
  <c r="AW1525" i="1"/>
  <c r="AX1524" i="1"/>
  <c r="AW1524" i="1"/>
  <c r="AX1523" i="1"/>
  <c r="AW1523" i="1"/>
  <c r="AX1522" i="1"/>
  <c r="AW1522" i="1"/>
  <c r="AX1521" i="1"/>
  <c r="AW1521" i="1"/>
  <c r="AX1520" i="1"/>
  <c r="AW1520" i="1"/>
  <c r="AX1519" i="1"/>
  <c r="AW1519" i="1"/>
  <c r="AX1518" i="1"/>
  <c r="AW1518" i="1"/>
  <c r="AX1517" i="1"/>
  <c r="AW1517" i="1"/>
  <c r="AX1516" i="1"/>
  <c r="AW1516" i="1"/>
  <c r="AX1515" i="1"/>
  <c r="AW1515" i="1"/>
  <c r="AX1514" i="1"/>
  <c r="AW1514" i="1"/>
  <c r="AX1513" i="1"/>
  <c r="AW1513" i="1"/>
  <c r="AX1512" i="1"/>
  <c r="AW1512" i="1"/>
  <c r="AX1511" i="1"/>
  <c r="AW1511" i="1"/>
  <c r="AX1510" i="1"/>
  <c r="AW1510" i="1"/>
  <c r="AX1509" i="1"/>
  <c r="AW1509" i="1"/>
  <c r="AX1508" i="1"/>
  <c r="AW1508" i="1"/>
  <c r="AX1507" i="1"/>
  <c r="AW1507" i="1"/>
  <c r="AX1506" i="1"/>
  <c r="AW1506" i="1"/>
  <c r="AX1505" i="1"/>
  <c r="AW1505" i="1"/>
  <c r="AX1504" i="1"/>
  <c r="AW1504" i="1"/>
  <c r="AX1503" i="1"/>
  <c r="AW1503" i="1"/>
  <c r="AX1502" i="1"/>
  <c r="AW1502" i="1"/>
  <c r="AX1501" i="1"/>
  <c r="AW1501" i="1"/>
  <c r="AX1500" i="1"/>
  <c r="AW1500" i="1"/>
  <c r="AX1499" i="1"/>
  <c r="AW1499" i="1"/>
  <c r="AX1498" i="1"/>
  <c r="AW1498" i="1"/>
  <c r="AX1497" i="1"/>
  <c r="AW1497" i="1"/>
  <c r="AX1496" i="1"/>
  <c r="AW1496" i="1"/>
  <c r="AX1495" i="1"/>
  <c r="AW1495" i="1"/>
  <c r="AX1494" i="1"/>
  <c r="AW1494" i="1"/>
  <c r="AX1493" i="1"/>
  <c r="AW1493" i="1"/>
  <c r="AX1492" i="1"/>
  <c r="AW1492" i="1"/>
  <c r="AX1491" i="1"/>
  <c r="AW1491" i="1"/>
  <c r="AX1490" i="1"/>
  <c r="AW1490" i="1"/>
  <c r="AX1489" i="1"/>
  <c r="AW1489" i="1"/>
  <c r="AX1488" i="1"/>
  <c r="AW1488" i="1"/>
  <c r="AX1487" i="1"/>
  <c r="AW1487" i="1"/>
  <c r="AX1486" i="1"/>
  <c r="AW1486" i="1"/>
  <c r="AX1485" i="1"/>
  <c r="AW1485" i="1"/>
  <c r="AX1484" i="1"/>
  <c r="AW1484" i="1"/>
  <c r="AX1483" i="1"/>
  <c r="AW1483" i="1"/>
  <c r="AX1482" i="1"/>
  <c r="AW1482" i="1"/>
  <c r="AX1481" i="1"/>
  <c r="AW1481" i="1"/>
  <c r="AX1480" i="1"/>
  <c r="AW1480" i="1"/>
  <c r="AX1479" i="1"/>
  <c r="AW1479" i="1"/>
  <c r="AX1478" i="1"/>
  <c r="AW1478" i="1"/>
  <c r="AX1477" i="1"/>
  <c r="AW1477" i="1"/>
  <c r="AX1476" i="1"/>
  <c r="AW1476" i="1"/>
  <c r="AX1475" i="1"/>
  <c r="AW1475" i="1"/>
  <c r="AX1474" i="1"/>
  <c r="AW1474" i="1"/>
  <c r="AX1473" i="1"/>
  <c r="AW1473" i="1"/>
  <c r="AX1472" i="1"/>
  <c r="AW1472" i="1"/>
  <c r="AX1471" i="1"/>
  <c r="AW1471" i="1"/>
  <c r="AX1470" i="1"/>
  <c r="AW1470" i="1"/>
  <c r="AX1469" i="1"/>
  <c r="AW1469" i="1"/>
  <c r="AX1468" i="1"/>
  <c r="AW1468" i="1"/>
  <c r="AX1467" i="1"/>
  <c r="AW1467" i="1"/>
  <c r="AX1466" i="1"/>
  <c r="AW1466" i="1"/>
  <c r="AX1465" i="1"/>
  <c r="AW1465" i="1"/>
  <c r="AX1464" i="1"/>
  <c r="AW1464" i="1"/>
  <c r="AX1463" i="1"/>
  <c r="AW1463" i="1"/>
  <c r="AX1462" i="1"/>
  <c r="AW1462" i="1"/>
  <c r="AX1461" i="1"/>
  <c r="AW1461" i="1"/>
  <c r="AX1460" i="1"/>
  <c r="AW1460" i="1"/>
  <c r="AX1459" i="1"/>
  <c r="AW1459" i="1"/>
  <c r="AX1458" i="1"/>
  <c r="AW1458" i="1"/>
  <c r="AX1457" i="1"/>
  <c r="AW1457" i="1"/>
  <c r="AX1456" i="1"/>
  <c r="AW1456" i="1"/>
  <c r="AX1455" i="1"/>
  <c r="AW1455" i="1"/>
  <c r="AX1454" i="1"/>
  <c r="AW1454" i="1"/>
  <c r="AX1453" i="1"/>
  <c r="AW1453" i="1"/>
  <c r="AX1452" i="1"/>
  <c r="AW1452" i="1"/>
  <c r="AX1451" i="1"/>
  <c r="AW1451" i="1"/>
  <c r="AX1450" i="1"/>
  <c r="AW1450" i="1"/>
  <c r="AX1449" i="1"/>
  <c r="AW1449" i="1"/>
  <c r="AX1448" i="1"/>
  <c r="AW1448" i="1"/>
  <c r="AX1447" i="1"/>
  <c r="AW1447" i="1"/>
  <c r="AX1446" i="1"/>
  <c r="AW1446" i="1"/>
  <c r="AX1445" i="1"/>
  <c r="AW1445" i="1"/>
  <c r="AX1444" i="1"/>
  <c r="AW1444" i="1"/>
  <c r="AX1443" i="1"/>
  <c r="AW1443" i="1"/>
  <c r="AX1442" i="1"/>
  <c r="AW1442" i="1"/>
  <c r="AX2090" i="1"/>
  <c r="AW2090" i="1"/>
  <c r="AX2089" i="1"/>
  <c r="AW2089" i="1"/>
  <c r="AX2088" i="1"/>
  <c r="AW2088" i="1"/>
  <c r="AX2087" i="1"/>
  <c r="AW2087" i="1"/>
  <c r="AX2086" i="1"/>
  <c r="AW2086" i="1"/>
  <c r="AX2085" i="1"/>
  <c r="AW2085" i="1"/>
  <c r="AX2084" i="1"/>
  <c r="AW2084" i="1"/>
  <c r="AX2083" i="1"/>
  <c r="AW2083" i="1"/>
  <c r="AX2082" i="1"/>
  <c r="AW2082" i="1"/>
  <c r="AX2081" i="1"/>
  <c r="AW2081" i="1"/>
  <c r="AX2080" i="1"/>
  <c r="AW2080" i="1"/>
  <c r="AX2079" i="1"/>
  <c r="AW2079" i="1"/>
  <c r="AX2078" i="1"/>
  <c r="AW2078" i="1"/>
  <c r="AX2077" i="1"/>
  <c r="AW2077" i="1"/>
  <c r="AX2076" i="1"/>
  <c r="AW2076" i="1"/>
  <c r="AX2075" i="1"/>
  <c r="AW2075" i="1"/>
  <c r="AX2074" i="1"/>
  <c r="AW2074" i="1"/>
  <c r="AX2073" i="1"/>
  <c r="AW2073" i="1"/>
  <c r="AX2072" i="1"/>
  <c r="AW2072" i="1"/>
  <c r="AX2071" i="1"/>
  <c r="AW2071" i="1"/>
  <c r="AX2070" i="1"/>
  <c r="AW2070" i="1"/>
  <c r="AX2069" i="1"/>
  <c r="AW2069" i="1"/>
  <c r="AX2068" i="1"/>
  <c r="AW2068" i="1"/>
  <c r="AX2067" i="1"/>
  <c r="AW2067" i="1"/>
  <c r="AX2066" i="1"/>
  <c r="AW2066" i="1"/>
  <c r="AX2065" i="1"/>
  <c r="AW2065" i="1"/>
  <c r="AX2064" i="1"/>
  <c r="AW2064" i="1"/>
  <c r="AX2063" i="1"/>
  <c r="AW2063" i="1"/>
  <c r="AX2062" i="1"/>
  <c r="AW2062" i="1"/>
  <c r="AX2059" i="1"/>
  <c r="AW2059" i="1"/>
  <c r="AX2057" i="1"/>
  <c r="AW2057" i="1"/>
  <c r="AX2054" i="1"/>
  <c r="AW2054" i="1"/>
  <c r="AX2051" i="1"/>
  <c r="AW2051" i="1"/>
  <c r="AX2049" i="1"/>
  <c r="AW2049" i="1"/>
  <c r="AX1588" i="1"/>
  <c r="AW1588" i="1"/>
  <c r="AX1587" i="1"/>
  <c r="AW1587" i="1"/>
  <c r="AX1586" i="1"/>
  <c r="AW1586" i="1"/>
  <c r="AX1585" i="1"/>
  <c r="AW1585" i="1"/>
  <c r="AX1584" i="1"/>
  <c r="AW1584" i="1"/>
  <c r="AX1583" i="1"/>
  <c r="AW1583" i="1"/>
  <c r="AX1582" i="1"/>
  <c r="AW1582" i="1"/>
  <c r="AX1581" i="1"/>
  <c r="AW1581" i="1"/>
  <c r="AX1580" i="1"/>
  <c r="AW1580" i="1"/>
  <c r="AX1579" i="1"/>
  <c r="AW1579" i="1"/>
  <c r="AX1578" i="1"/>
  <c r="AW1578" i="1"/>
  <c r="AX1577" i="1"/>
  <c r="AW1577" i="1"/>
  <c r="AX1576" i="1"/>
  <c r="AW1576" i="1"/>
  <c r="AX1575" i="1"/>
  <c r="AW1575" i="1"/>
  <c r="AX1574" i="1"/>
  <c r="AW1574" i="1"/>
  <c r="AX1573" i="1"/>
  <c r="AW1573" i="1"/>
  <c r="AX1572" i="1"/>
  <c r="AW1572" i="1"/>
  <c r="AX1571" i="1"/>
  <c r="AW1571" i="1"/>
  <c r="AX1570" i="1"/>
  <c r="AW1570" i="1"/>
  <c r="AX1569" i="1"/>
  <c r="AW1569" i="1"/>
  <c r="AX1568" i="1"/>
  <c r="AW1568" i="1"/>
  <c r="AX1567" i="1"/>
  <c r="AW1567" i="1"/>
  <c r="AX1566" i="1"/>
  <c r="AW1566" i="1"/>
  <c r="AX1565" i="1"/>
  <c r="AW1565" i="1"/>
  <c r="AX1564" i="1"/>
  <c r="AW1564" i="1"/>
  <c r="AX1563" i="1"/>
  <c r="AW1563" i="1"/>
  <c r="AX1562" i="1"/>
  <c r="AW1562" i="1"/>
  <c r="AX1561" i="1"/>
  <c r="AW1561" i="1"/>
  <c r="AX1560" i="1"/>
  <c r="AW1560" i="1"/>
  <c r="AX1559" i="1"/>
  <c r="AW1559" i="1"/>
  <c r="AX1558" i="1"/>
  <c r="AW1558" i="1"/>
  <c r="AX1557" i="1"/>
  <c r="AW1557" i="1"/>
  <c r="AX1556" i="1"/>
  <c r="AW1556" i="1"/>
  <c r="AX1555" i="1"/>
  <c r="AW1555" i="1"/>
  <c r="AX1554" i="1"/>
  <c r="AW1554" i="1"/>
  <c r="AX1553" i="1"/>
  <c r="AW1553" i="1"/>
  <c r="AX1552" i="1"/>
  <c r="AW1552" i="1"/>
  <c r="AX1551" i="1"/>
  <c r="AW1551" i="1"/>
  <c r="AX1550" i="1"/>
  <c r="AW1550" i="1"/>
  <c r="AX1549" i="1"/>
  <c r="AW1549" i="1"/>
  <c r="AX1548" i="1"/>
  <c r="AW1548" i="1"/>
  <c r="AX1547" i="1"/>
  <c r="AW1547" i="1"/>
  <c r="AX1546" i="1"/>
  <c r="AW1546" i="1"/>
  <c r="AX1545" i="1"/>
  <c r="AW1545" i="1"/>
  <c r="AX1544" i="1"/>
  <c r="AW1544" i="1"/>
  <c r="AX1543" i="1"/>
  <c r="AW1543" i="1"/>
  <c r="AX1542" i="1"/>
  <c r="AW1542" i="1"/>
  <c r="AX1541" i="1"/>
  <c r="AW1541" i="1"/>
  <c r="AX1540" i="1"/>
  <c r="AW1540" i="1"/>
  <c r="AX1539" i="1"/>
  <c r="AW1539" i="1"/>
  <c r="AX1538" i="1"/>
  <c r="AW1538" i="1"/>
  <c r="AX1537" i="1"/>
  <c r="AW1537" i="1"/>
  <c r="AX1536" i="1"/>
  <c r="AW1536" i="1"/>
  <c r="AX1535" i="1"/>
  <c r="AW1535" i="1"/>
  <c r="AX1534" i="1"/>
  <c r="AW1534" i="1"/>
  <c r="AX1533" i="1"/>
  <c r="AW1533" i="1"/>
  <c r="AX1532" i="1"/>
  <c r="AW1532" i="1"/>
  <c r="AX2157" i="1"/>
  <c r="AW2157" i="1"/>
  <c r="AX2156" i="1"/>
  <c r="AW2156" i="1"/>
  <c r="AX2155" i="1"/>
  <c r="AW2155" i="1"/>
  <c r="AX2154" i="1"/>
  <c r="AW2154" i="1"/>
  <c r="AX2153" i="1"/>
  <c r="AW2153" i="1"/>
  <c r="AX2152" i="1"/>
  <c r="AW2152" i="1"/>
  <c r="AX2151" i="1"/>
  <c r="AW2151" i="1"/>
  <c r="AX2150" i="1"/>
  <c r="AW2150" i="1"/>
  <c r="AX2175" i="1"/>
  <c r="AW2175" i="1"/>
  <c r="AX2174" i="1"/>
  <c r="AW2174" i="1"/>
  <c r="AX2096" i="1"/>
  <c r="AW2096" i="1"/>
  <c r="AX2113" i="1"/>
  <c r="AW2113" i="1"/>
  <c r="AX2112" i="1"/>
  <c r="AW2112" i="1"/>
  <c r="AX2111" i="1"/>
  <c r="AW2111" i="1"/>
  <c r="AX2110" i="1"/>
  <c r="AW2110" i="1"/>
  <c r="AX2109" i="1"/>
  <c r="AW2109" i="1"/>
  <c r="AX2108" i="1"/>
  <c r="AW2108" i="1"/>
  <c r="AX2107" i="1"/>
  <c r="AW2107" i="1"/>
  <c r="AX2106" i="1"/>
  <c r="AW2106" i="1"/>
  <c r="AX2105" i="1"/>
  <c r="AW2105" i="1"/>
  <c r="AX2104" i="1"/>
  <c r="AW2104" i="1"/>
  <c r="AX2103" i="1"/>
  <c r="AW2103" i="1"/>
  <c r="AX2102" i="1"/>
  <c r="AW2102" i="1"/>
  <c r="AX2101" i="1"/>
  <c r="AW2101" i="1"/>
  <c r="AX2100" i="1"/>
  <c r="AW2100" i="1"/>
  <c r="AX2099" i="1"/>
  <c r="AW2099" i="1"/>
  <c r="AX2098" i="1"/>
  <c r="AW2098" i="1"/>
  <c r="AX2097" i="1"/>
  <c r="AW2097" i="1"/>
  <c r="AX2095" i="1"/>
  <c r="AW2095" i="1"/>
  <c r="AX2094" i="1"/>
  <c r="AW2094" i="1"/>
  <c r="AX2093" i="1"/>
  <c r="AW2093" i="1"/>
  <c r="AX2092" i="1"/>
  <c r="AW2092" i="1"/>
  <c r="AX2091" i="1"/>
  <c r="AW2091" i="1"/>
  <c r="AX2149" i="1"/>
  <c r="AW2149" i="1"/>
  <c r="AX2148" i="1"/>
  <c r="AW2148" i="1"/>
  <c r="AX2147" i="1"/>
  <c r="AW2147" i="1"/>
  <c r="AX2146" i="1"/>
  <c r="AW2146" i="1"/>
  <c r="AX2145" i="1"/>
  <c r="AW2145" i="1"/>
  <c r="AX2144" i="1"/>
  <c r="AW2144" i="1"/>
  <c r="AX2143" i="1"/>
  <c r="AW2143" i="1"/>
  <c r="AX2142" i="1"/>
  <c r="AW2142" i="1"/>
  <c r="AX2133" i="1"/>
  <c r="AW2133" i="1"/>
  <c r="AX2132" i="1"/>
  <c r="AW2132" i="1"/>
  <c r="AX2131" i="1"/>
  <c r="AW2131" i="1"/>
  <c r="AX2130" i="1"/>
  <c r="AW2130" i="1"/>
  <c r="AX2129" i="1"/>
  <c r="AW2129" i="1"/>
  <c r="AX2128" i="1"/>
  <c r="AW2128" i="1"/>
  <c r="AX2127" i="1"/>
  <c r="AW2127" i="1"/>
  <c r="AX2126" i="1"/>
  <c r="AW2126" i="1"/>
  <c r="AX2125" i="1"/>
  <c r="AW2125" i="1"/>
  <c r="AX2124" i="1"/>
  <c r="AW2124" i="1"/>
  <c r="AX2123" i="1"/>
  <c r="AW2123" i="1"/>
  <c r="AX2122" i="1"/>
  <c r="AW2122" i="1"/>
  <c r="AX2121" i="1"/>
  <c r="AW2121" i="1"/>
  <c r="AX2120" i="1"/>
  <c r="AW2120" i="1"/>
  <c r="AX2119" i="1"/>
  <c r="AW2119" i="1"/>
  <c r="AX2118" i="1"/>
  <c r="AW2118" i="1"/>
  <c r="AX2117" i="1"/>
  <c r="AW2117" i="1"/>
  <c r="AX2116" i="1"/>
  <c r="AW2116" i="1"/>
  <c r="AX2141" i="1"/>
  <c r="AW2141" i="1"/>
  <c r="AX2140" i="1"/>
  <c r="AW2140" i="1"/>
  <c r="AX2139" i="1"/>
  <c r="AW2139" i="1"/>
  <c r="AX2138" i="1"/>
  <c r="AW2138" i="1"/>
  <c r="AX2137" i="1"/>
  <c r="AW2137" i="1"/>
  <c r="AX2136" i="1"/>
  <c r="AW2136" i="1"/>
  <c r="AX2135" i="1"/>
  <c r="AW2135" i="1"/>
  <c r="AX2134" i="1"/>
  <c r="AW2134" i="1"/>
  <c r="AX2179" i="1"/>
  <c r="AW2179" i="1"/>
  <c r="AX2178" i="1"/>
  <c r="AW2178" i="1"/>
  <c r="AX2177" i="1"/>
  <c r="AW2177" i="1"/>
  <c r="AX2176" i="1"/>
  <c r="AW2176" i="1"/>
  <c r="AX2171" i="1"/>
  <c r="AW2171" i="1"/>
  <c r="AX2170" i="1"/>
  <c r="AW2170" i="1"/>
  <c r="AX2169" i="1"/>
  <c r="AW2169" i="1"/>
  <c r="AX2168" i="1"/>
  <c r="AW2168" i="1"/>
  <c r="AX2167" i="1"/>
  <c r="AW2167" i="1"/>
  <c r="AX2166" i="1"/>
  <c r="AW2166" i="1"/>
  <c r="AX2165" i="1"/>
  <c r="AW2165" i="1"/>
  <c r="AX2164" i="1"/>
  <c r="AW2164" i="1"/>
  <c r="AX2163" i="1"/>
  <c r="AW2163" i="1"/>
  <c r="AX2162" i="1"/>
  <c r="AW2162" i="1"/>
  <c r="AX2161" i="1"/>
  <c r="AW2161" i="1"/>
  <c r="AX2160" i="1"/>
  <c r="AW2160" i="1"/>
  <c r="AX2159" i="1"/>
  <c r="AW2159" i="1"/>
  <c r="AX2158" i="1"/>
  <c r="AW2158" i="1"/>
  <c r="AX2173" i="1"/>
  <c r="AW2173" i="1"/>
  <c r="AX2172" i="1"/>
  <c r="AW2172" i="1"/>
  <c r="AX2115" i="1"/>
  <c r="AW2115" i="1"/>
  <c r="AX2114" i="1"/>
  <c r="AW2114" i="1"/>
  <c r="AX1991" i="1"/>
  <c r="AW1991" i="1"/>
  <c r="AX1990" i="1"/>
  <c r="AW1990" i="1"/>
  <c r="AX1981" i="1"/>
  <c r="AW1981" i="1"/>
  <c r="AX1980" i="1"/>
  <c r="AW1980" i="1"/>
  <c r="AX1979" i="1"/>
  <c r="AW1979" i="1"/>
  <c r="AX1978" i="1"/>
  <c r="AW1978" i="1"/>
  <c r="AX1977" i="1"/>
  <c r="AW1977" i="1"/>
  <c r="AX1976" i="1"/>
  <c r="AW1976" i="1"/>
  <c r="AX1975" i="1"/>
  <c r="AW1975" i="1"/>
  <c r="AX1974" i="1"/>
  <c r="AW1974" i="1"/>
  <c r="AX1973" i="1"/>
  <c r="AW1973" i="1"/>
  <c r="AX1972" i="1"/>
  <c r="AW1972" i="1"/>
  <c r="AX1971" i="1"/>
  <c r="AW1971" i="1"/>
  <c r="AX1970" i="1"/>
  <c r="AW1970" i="1"/>
  <c r="AX1969" i="1"/>
  <c r="AW1969" i="1"/>
  <c r="AX1968" i="1"/>
  <c r="AW1968" i="1"/>
  <c r="AX1967" i="1"/>
  <c r="AW1967" i="1"/>
  <c r="AX1966" i="1"/>
  <c r="AW1966" i="1"/>
  <c r="AX1965" i="1"/>
  <c r="AW1965" i="1"/>
  <c r="AX1964" i="1"/>
  <c r="AW1964" i="1"/>
  <c r="AX1963" i="1"/>
  <c r="AW1963" i="1"/>
  <c r="AX1962" i="1"/>
  <c r="AW1962" i="1"/>
  <c r="AX1961" i="1"/>
  <c r="AW1961" i="1"/>
  <c r="AX1960" i="1"/>
  <c r="AW1960" i="1"/>
  <c r="AX1959" i="1"/>
  <c r="AW1959" i="1"/>
  <c r="AX1958" i="1"/>
  <c r="AW1958" i="1"/>
  <c r="AX1957" i="1"/>
  <c r="AW1957" i="1"/>
  <c r="AX1956" i="1"/>
  <c r="AW1956" i="1"/>
  <c r="AX1955" i="1"/>
  <c r="AW1955" i="1"/>
  <c r="AX1954" i="1"/>
  <c r="AW1954" i="1"/>
  <c r="AX1953" i="1"/>
  <c r="AW1953" i="1"/>
  <c r="AX1952" i="1"/>
  <c r="AW1952" i="1"/>
  <c r="AX1951" i="1"/>
  <c r="AW1951" i="1"/>
  <c r="AX1950" i="1"/>
  <c r="AW1950" i="1"/>
  <c r="AX1949" i="1"/>
  <c r="AW1949" i="1"/>
  <c r="AX1948" i="1"/>
  <c r="AW1948" i="1"/>
  <c r="AX1947" i="1"/>
  <c r="AW1947" i="1"/>
  <c r="AX1946" i="1"/>
  <c r="AW1946" i="1"/>
  <c r="AX1945" i="1"/>
  <c r="AW1945" i="1"/>
  <c r="AX1944" i="1"/>
  <c r="AW1944" i="1"/>
  <c r="AX1943" i="1"/>
  <c r="AW1943" i="1"/>
  <c r="AX1942" i="1"/>
  <c r="AW1942" i="1"/>
  <c r="AX1941" i="1"/>
  <c r="AW1941" i="1"/>
  <c r="AX1940" i="1"/>
  <c r="AW1940" i="1"/>
  <c r="AX1939" i="1"/>
  <c r="AW1939" i="1"/>
  <c r="AX1938" i="1"/>
  <c r="AW1938" i="1"/>
  <c r="AX1937" i="1"/>
  <c r="AW1937" i="1"/>
  <c r="AX1936" i="1"/>
  <c r="AW1936" i="1"/>
  <c r="AX1935" i="1"/>
  <c r="AW1935" i="1"/>
  <c r="AX1934" i="1"/>
  <c r="AW1934" i="1"/>
  <c r="AX1933" i="1"/>
  <c r="AW1933" i="1"/>
  <c r="AX1932" i="1"/>
  <c r="AW1932" i="1"/>
  <c r="AX1931" i="1"/>
  <c r="AW1931" i="1"/>
  <c r="AX1930" i="1"/>
  <c r="AW1930" i="1"/>
  <c r="AX1929" i="1"/>
  <c r="AW1929" i="1"/>
  <c r="AX1928" i="1"/>
  <c r="AW1928" i="1"/>
  <c r="AX1927" i="1"/>
  <c r="AW1927" i="1"/>
  <c r="AX1926" i="1"/>
  <c r="AW1926" i="1"/>
  <c r="AX1925" i="1"/>
  <c r="AW1925" i="1"/>
  <c r="AX1924" i="1"/>
  <c r="AW1924" i="1"/>
  <c r="AX1923" i="1"/>
  <c r="AW1923" i="1"/>
  <c r="AX1922" i="1"/>
  <c r="AW1922" i="1"/>
  <c r="AX1921" i="1"/>
  <c r="AW1921" i="1"/>
  <c r="AX1920" i="1"/>
  <c r="AW1920" i="1"/>
  <c r="AX1919" i="1"/>
  <c r="AW1919" i="1"/>
  <c r="AX1918" i="1"/>
  <c r="AW1918" i="1"/>
  <c r="AX1917" i="1"/>
  <c r="AW1917" i="1"/>
  <c r="AX1916" i="1"/>
  <c r="AW1916" i="1"/>
  <c r="AX1915" i="1"/>
  <c r="AW1915" i="1"/>
  <c r="AX1914" i="1"/>
  <c r="AW1914" i="1"/>
  <c r="AX1913" i="1"/>
  <c r="AW1913" i="1"/>
  <c r="AX1912" i="1"/>
  <c r="AW1912" i="1"/>
  <c r="AX1911" i="1"/>
  <c r="AW1911" i="1"/>
  <c r="AX1910" i="1"/>
  <c r="AW1910" i="1"/>
  <c r="AX1909" i="1"/>
  <c r="AW1909" i="1"/>
  <c r="AX1908" i="1"/>
  <c r="AW1908" i="1"/>
  <c r="AX1907" i="1"/>
  <c r="AW1907" i="1"/>
  <c r="AX1906" i="1"/>
  <c r="AW1906" i="1"/>
  <c r="AX1905" i="1"/>
  <c r="AW1905" i="1"/>
  <c r="AX1904" i="1"/>
  <c r="AW1904" i="1"/>
  <c r="AX1903" i="1"/>
  <c r="AW1903" i="1"/>
  <c r="AX1902" i="1"/>
  <c r="AW1902" i="1"/>
  <c r="AX1901" i="1"/>
  <c r="AW1901" i="1"/>
  <c r="AX1900" i="1"/>
  <c r="AW1900" i="1"/>
  <c r="AX1899" i="1"/>
  <c r="AW1899" i="1"/>
  <c r="AX1898" i="1"/>
  <c r="AW1898" i="1"/>
  <c r="AX1897" i="1"/>
  <c r="AW1897" i="1"/>
  <c r="AX1896" i="1"/>
  <c r="AW1896" i="1"/>
  <c r="AX1895" i="1"/>
  <c r="AW1895" i="1"/>
  <c r="AX1894" i="1"/>
  <c r="AW1894" i="1"/>
  <c r="AX1893" i="1"/>
  <c r="AW1893" i="1"/>
  <c r="AX1892" i="1"/>
  <c r="AW1892" i="1"/>
  <c r="AX1891" i="1"/>
  <c r="AW1891" i="1"/>
  <c r="AX1890" i="1"/>
  <c r="AW1890" i="1"/>
  <c r="AX1889" i="1"/>
  <c r="AW1889" i="1"/>
  <c r="AX1888" i="1"/>
  <c r="AW1888" i="1"/>
  <c r="AX1887" i="1"/>
  <c r="AW1887" i="1"/>
  <c r="AX1874" i="1"/>
  <c r="AW1874" i="1"/>
  <c r="AX1873" i="1"/>
  <c r="AW1873" i="1"/>
  <c r="AX1872" i="1"/>
  <c r="AW1872" i="1"/>
  <c r="AX1871" i="1"/>
  <c r="AW1871" i="1"/>
  <c r="AX1870" i="1"/>
  <c r="AW1870" i="1"/>
  <c r="AX1869" i="1"/>
  <c r="AW1869" i="1"/>
  <c r="AX1868" i="1"/>
  <c r="AW1868" i="1"/>
  <c r="AX1867" i="1"/>
  <c r="AW1867" i="1"/>
  <c r="AX1866" i="1"/>
  <c r="AW1866" i="1"/>
  <c r="AX1865" i="1"/>
  <c r="AW1865" i="1"/>
  <c r="AX1864" i="1"/>
  <c r="AW1864" i="1"/>
  <c r="AX1863" i="1"/>
  <c r="AW1863" i="1"/>
  <c r="AX1862" i="1"/>
  <c r="AW1862" i="1"/>
  <c r="AX1861" i="1"/>
  <c r="AW1861" i="1"/>
  <c r="AX1860" i="1"/>
  <c r="AW1860" i="1"/>
  <c r="AX1859" i="1"/>
  <c r="AW1859" i="1"/>
  <c r="AX1858" i="1"/>
  <c r="AW1858" i="1"/>
  <c r="AX1857" i="1"/>
  <c r="AW1857" i="1"/>
  <c r="AX1856" i="1"/>
  <c r="AW1856" i="1"/>
  <c r="AX1855" i="1"/>
  <c r="AW1855" i="1"/>
  <c r="AX1854" i="1"/>
  <c r="AW1854" i="1"/>
  <c r="AX1853" i="1"/>
  <c r="AW1853" i="1"/>
  <c r="AX1852" i="1"/>
  <c r="AW1852" i="1"/>
  <c r="AX1851" i="1"/>
  <c r="AW1851" i="1"/>
  <c r="AX1850" i="1"/>
  <c r="AW1850" i="1"/>
  <c r="AX1849" i="1"/>
  <c r="AW1849" i="1"/>
  <c r="AX1848" i="1"/>
  <c r="AW1848" i="1"/>
  <c r="AX1847" i="1"/>
  <c r="AW1847" i="1"/>
  <c r="AX1834" i="1"/>
  <c r="AW1834" i="1"/>
  <c r="AX1833" i="1"/>
  <c r="AW1833" i="1"/>
  <c r="AX1832" i="1"/>
  <c r="AW1832" i="1"/>
  <c r="AX1831" i="1"/>
  <c r="AW1831" i="1"/>
  <c r="AX1830" i="1"/>
  <c r="AW1830" i="1"/>
  <c r="AX1829" i="1"/>
  <c r="AW1829" i="1"/>
  <c r="AX1828" i="1"/>
  <c r="AW1828" i="1"/>
  <c r="AX1827" i="1"/>
  <c r="AW1827" i="1"/>
  <c r="AX1826" i="1"/>
  <c r="AW1826" i="1"/>
  <c r="AX1825" i="1"/>
  <c r="AW1825" i="1"/>
  <c r="AX1824" i="1"/>
  <c r="AW1824" i="1"/>
  <c r="AX1823" i="1"/>
  <c r="AW1823" i="1"/>
  <c r="AX1822" i="1"/>
  <c r="AW1822" i="1"/>
  <c r="AX1821" i="1"/>
  <c r="AW1821" i="1"/>
  <c r="AX1820" i="1"/>
  <c r="AW1820" i="1"/>
  <c r="AX1819" i="1"/>
  <c r="AW1819" i="1"/>
  <c r="AX1818" i="1"/>
  <c r="AW1818" i="1"/>
  <c r="AX1817" i="1"/>
  <c r="AW1817" i="1"/>
  <c r="AX1816" i="1"/>
  <c r="AW1816" i="1"/>
  <c r="AX1815" i="1"/>
  <c r="AW1815" i="1"/>
  <c r="AX1814" i="1"/>
  <c r="AW1814" i="1"/>
  <c r="AX1813" i="1"/>
  <c r="AW1813" i="1"/>
  <c r="AX1812" i="1"/>
  <c r="AW1812" i="1"/>
  <c r="AX1811" i="1"/>
  <c r="AW1811" i="1"/>
  <c r="AX1807" i="1"/>
  <c r="AW1807" i="1"/>
  <c r="AX1806" i="1"/>
  <c r="AW1806" i="1"/>
  <c r="AX1805" i="1"/>
  <c r="AW1805" i="1"/>
  <c r="AX1804" i="1"/>
  <c r="AW1804" i="1"/>
  <c r="AX1803" i="1"/>
  <c r="AW1803" i="1"/>
  <c r="AX1802" i="1"/>
  <c r="AW1802" i="1"/>
  <c r="AX1801" i="1"/>
  <c r="AW1801" i="1"/>
  <c r="AX1800" i="1"/>
  <c r="AW1800" i="1"/>
  <c r="AX1799" i="1"/>
  <c r="AW1799" i="1"/>
  <c r="AX1798" i="1"/>
  <c r="AW1798" i="1"/>
  <c r="AX1797" i="1"/>
  <c r="AW1797" i="1"/>
  <c r="AX1796" i="1"/>
  <c r="AW1796" i="1"/>
  <c r="AX1795" i="1"/>
  <c r="AW1795" i="1"/>
  <c r="AX1794" i="1"/>
  <c r="AW1794" i="1"/>
  <c r="AX1793" i="1"/>
  <c r="AW1793" i="1"/>
  <c r="AX1792" i="1"/>
  <c r="AW1792" i="1"/>
  <c r="AX1791" i="1"/>
  <c r="AW1791" i="1"/>
  <c r="AX1790" i="1"/>
  <c r="AW1790" i="1"/>
  <c r="AX1789" i="1"/>
  <c r="AW1789" i="1"/>
  <c r="AX1788" i="1"/>
  <c r="AW1788" i="1"/>
  <c r="AX1787" i="1"/>
  <c r="AW1787" i="1"/>
  <c r="AX1786" i="1"/>
  <c r="AW1786" i="1"/>
  <c r="AX1785" i="1"/>
  <c r="AW1785" i="1"/>
  <c r="AX1784" i="1"/>
  <c r="AW1784" i="1"/>
  <c r="AX1783" i="1"/>
  <c r="AW1783" i="1"/>
  <c r="AX1782" i="1"/>
  <c r="AW1782" i="1"/>
  <c r="AX1781" i="1"/>
  <c r="AW1781" i="1"/>
  <c r="AX1780" i="1"/>
  <c r="AW1780" i="1"/>
  <c r="AX1779" i="1"/>
  <c r="AW1779" i="1"/>
  <c r="AX1778" i="1"/>
  <c r="AW1778" i="1"/>
  <c r="AX1777" i="1"/>
  <c r="AW1777" i="1"/>
  <c r="AX1776" i="1"/>
  <c r="AW1776" i="1"/>
  <c r="AX1775" i="1"/>
  <c r="AW1775" i="1"/>
  <c r="AX1774" i="1"/>
  <c r="AW1774" i="1"/>
  <c r="AX1773" i="1"/>
  <c r="AW1773" i="1"/>
  <c r="AX1772" i="1"/>
  <c r="AW1772" i="1"/>
  <c r="AX1771" i="1"/>
  <c r="AW1771" i="1"/>
  <c r="AX1770" i="1"/>
  <c r="AW1770" i="1"/>
  <c r="AX1769" i="1"/>
  <c r="AW1769" i="1"/>
  <c r="AX1768" i="1"/>
  <c r="AW1768" i="1"/>
  <c r="AX1767" i="1"/>
  <c r="AW1767" i="1"/>
  <c r="AX1766" i="1"/>
  <c r="AW1766" i="1"/>
  <c r="AX1765" i="1"/>
  <c r="AW1765" i="1"/>
  <c r="AX1764" i="1"/>
  <c r="AW1764" i="1"/>
  <c r="AX1763" i="1"/>
  <c r="AW1763" i="1"/>
  <c r="AX1762" i="1"/>
  <c r="AW1762" i="1"/>
  <c r="AX1761" i="1"/>
  <c r="AW1761" i="1"/>
  <c r="AX1760" i="1"/>
  <c r="AW1760" i="1"/>
  <c r="AX1759" i="1"/>
  <c r="AW1759" i="1"/>
  <c r="AX1758" i="1"/>
  <c r="AW1758" i="1"/>
  <c r="AX1757" i="1"/>
  <c r="AW1757" i="1"/>
  <c r="AX1756" i="1"/>
  <c r="AW1756" i="1"/>
  <c r="AX1755" i="1"/>
  <c r="AW1755" i="1"/>
  <c r="AX1754" i="1"/>
  <c r="AW1754" i="1"/>
  <c r="AX1753" i="1"/>
  <c r="AW1753" i="1"/>
  <c r="AX1752" i="1"/>
  <c r="AW1752" i="1"/>
  <c r="AX1751" i="1"/>
  <c r="AW1751" i="1"/>
  <c r="AX1750" i="1"/>
  <c r="AW1750" i="1"/>
  <c r="AX1749" i="1"/>
  <c r="AW1749" i="1"/>
  <c r="AX1748" i="1"/>
  <c r="AW1748" i="1"/>
  <c r="AX1747" i="1"/>
  <c r="AW1747" i="1"/>
  <c r="AX1746" i="1"/>
  <c r="AW1746" i="1"/>
  <c r="AX1745" i="1"/>
  <c r="AW1745" i="1"/>
  <c r="AX1744" i="1"/>
  <c r="AW1744" i="1"/>
  <c r="AX1743" i="1"/>
  <c r="AW1743" i="1"/>
  <c r="AX1742" i="1"/>
  <c r="AW1742" i="1"/>
  <c r="AX1741" i="1"/>
  <c r="AW1741" i="1"/>
  <c r="AX1740" i="1"/>
  <c r="AW1740" i="1"/>
  <c r="AX1739" i="1"/>
  <c r="AW1739" i="1"/>
  <c r="AX1738" i="1"/>
  <c r="AW1738" i="1"/>
  <c r="AX1737" i="1"/>
  <c r="AW1737" i="1"/>
  <c r="AX1736" i="1"/>
  <c r="AW1736" i="1"/>
  <c r="AX1735" i="1"/>
  <c r="AW1735" i="1"/>
  <c r="AX1734" i="1"/>
  <c r="AW1734" i="1"/>
  <c r="AX1733" i="1"/>
  <c r="AW1733" i="1"/>
  <c r="AX1732" i="1"/>
  <c r="AW1732" i="1"/>
  <c r="AX1731" i="1"/>
  <c r="AW1731" i="1"/>
  <c r="AX1730" i="1"/>
  <c r="AW1730" i="1"/>
  <c r="AX1729" i="1"/>
  <c r="AW1729" i="1"/>
  <c r="AX1728" i="1"/>
  <c r="AW1728" i="1"/>
  <c r="AX1727" i="1"/>
  <c r="AW1727" i="1"/>
  <c r="AX1726" i="1"/>
  <c r="AW1726" i="1"/>
  <c r="AX1725" i="1"/>
  <c r="AW1725" i="1"/>
  <c r="AX1724" i="1"/>
  <c r="AW1724" i="1"/>
  <c r="AX1723" i="1"/>
  <c r="AW1723" i="1"/>
  <c r="AX1722" i="1"/>
  <c r="AW1722" i="1"/>
  <c r="AX1721" i="1"/>
  <c r="AW1721" i="1"/>
  <c r="AX1720" i="1"/>
  <c r="AW1720" i="1"/>
  <c r="AX1719" i="1"/>
  <c r="AW1719" i="1"/>
  <c r="AX1718" i="1"/>
  <c r="AW1718" i="1"/>
  <c r="AX1717" i="1"/>
  <c r="AW1717" i="1"/>
  <c r="AX1716" i="1"/>
  <c r="AW1716" i="1"/>
  <c r="AX1715" i="1"/>
  <c r="AW1715" i="1"/>
  <c r="AX1714" i="1"/>
  <c r="AW1714" i="1"/>
  <c r="AX1713" i="1"/>
  <c r="AW1713" i="1"/>
  <c r="AX1712" i="1"/>
  <c r="AW1712" i="1"/>
  <c r="AX1711" i="1"/>
  <c r="AW1711" i="1"/>
  <c r="AX1710" i="1"/>
  <c r="AW1710" i="1"/>
  <c r="AX1709" i="1"/>
  <c r="AW1709" i="1"/>
  <c r="AX1708" i="1"/>
  <c r="AW1708" i="1"/>
  <c r="AX1707" i="1"/>
  <c r="AW1707" i="1"/>
  <c r="AX1706" i="1"/>
  <c r="AW1706" i="1"/>
  <c r="AX1705" i="1"/>
  <c r="AW1705" i="1"/>
  <c r="AX1704" i="1"/>
  <c r="AW1704" i="1"/>
  <c r="AX1703" i="1"/>
  <c r="AW1703" i="1"/>
  <c r="AX1702" i="1"/>
  <c r="AW1702" i="1"/>
  <c r="AX1701" i="1"/>
  <c r="AW1701" i="1"/>
  <c r="AX1700" i="1"/>
  <c r="AW1700" i="1"/>
  <c r="AX1699" i="1"/>
  <c r="AW1699" i="1"/>
  <c r="AX1698" i="1"/>
  <c r="AW1698" i="1"/>
  <c r="AX1697" i="1"/>
  <c r="AW1697" i="1"/>
  <c r="AX1696" i="1"/>
  <c r="AW1696" i="1"/>
  <c r="AX1695" i="1"/>
  <c r="AW1695" i="1"/>
  <c r="AX1694" i="1"/>
  <c r="AW1694" i="1"/>
  <c r="AX1693" i="1"/>
  <c r="AW1693" i="1"/>
  <c r="AX1692" i="1"/>
  <c r="AW1692" i="1"/>
  <c r="AX1691" i="1"/>
  <c r="AW1691" i="1"/>
  <c r="AX1690" i="1"/>
  <c r="AW1690" i="1"/>
  <c r="AX1689" i="1"/>
  <c r="AW1689" i="1"/>
  <c r="AX1688" i="1"/>
  <c r="AW1688" i="1"/>
  <c r="AX1687" i="1"/>
  <c r="AW1687" i="1"/>
  <c r="AX1686" i="1"/>
  <c r="AW1686" i="1"/>
  <c r="AX1685" i="1"/>
  <c r="AW1685" i="1"/>
  <c r="AX1684" i="1"/>
  <c r="AW1684" i="1"/>
  <c r="AX1683" i="1"/>
  <c r="AW1683" i="1"/>
  <c r="AX1682" i="1"/>
  <c r="AW1682" i="1"/>
  <c r="AX1681" i="1"/>
  <c r="AW1681" i="1"/>
  <c r="AX1680" i="1"/>
  <c r="AW1680" i="1"/>
  <c r="AX1679" i="1"/>
  <c r="AW1679" i="1"/>
  <c r="AX1678" i="1"/>
  <c r="AW1678" i="1"/>
  <c r="AX1677" i="1"/>
  <c r="AW1677" i="1"/>
  <c r="AX1676" i="1"/>
  <c r="AW1676" i="1"/>
  <c r="AX1675" i="1"/>
  <c r="AW1675" i="1"/>
  <c r="AX1674" i="1"/>
  <c r="AW1674" i="1"/>
  <c r="AX1673" i="1"/>
  <c r="AW1673" i="1"/>
  <c r="AX1672" i="1"/>
  <c r="AW1672" i="1"/>
  <c r="AX1671" i="1"/>
  <c r="AW1671" i="1"/>
  <c r="AX1670" i="1"/>
  <c r="AW1670" i="1"/>
  <c r="AX1669" i="1"/>
  <c r="AW1669" i="1"/>
  <c r="AX1668" i="1"/>
  <c r="AW1668" i="1"/>
  <c r="AX1667" i="1"/>
  <c r="AW1667" i="1"/>
  <c r="AX1666" i="1"/>
  <c r="AW1666" i="1"/>
  <c r="AX1665" i="1"/>
  <c r="AW1665" i="1"/>
  <c r="AX1664" i="1"/>
  <c r="AW1664" i="1"/>
  <c r="AX1663" i="1"/>
  <c r="AW1663" i="1"/>
  <c r="AX1662" i="1"/>
  <c r="AW1662" i="1"/>
  <c r="AX1661" i="1"/>
  <c r="AW1661" i="1"/>
  <c r="AX1660" i="1"/>
  <c r="AW1660" i="1"/>
  <c r="AX1659" i="1"/>
  <c r="AW1659" i="1"/>
  <c r="AX1658" i="1"/>
  <c r="AW1658" i="1"/>
  <c r="AX1657" i="1"/>
  <c r="AW1657" i="1"/>
  <c r="AX1656" i="1"/>
  <c r="AW1656" i="1"/>
  <c r="AX1655" i="1"/>
  <c r="AW1655" i="1"/>
  <c r="AX1654" i="1"/>
  <c r="AW1654" i="1"/>
  <c r="AX1653" i="1"/>
  <c r="AW1653" i="1"/>
  <c r="AX1652" i="1"/>
  <c r="AW1652" i="1"/>
  <c r="AX1651" i="1"/>
  <c r="AW1651" i="1"/>
  <c r="AX1650" i="1"/>
  <c r="AW1650" i="1"/>
  <c r="AX1649" i="1"/>
  <c r="AW1649" i="1"/>
  <c r="AX1648" i="1"/>
  <c r="AW1648" i="1"/>
  <c r="AX1647" i="1"/>
  <c r="AW1647" i="1"/>
  <c r="AX1646" i="1"/>
  <c r="AW1646" i="1"/>
  <c r="AX1645" i="1"/>
  <c r="AW1645" i="1"/>
  <c r="AX1644" i="1"/>
  <c r="AW1644" i="1"/>
  <c r="AX1643" i="1"/>
  <c r="AW1643" i="1"/>
  <c r="AX1642" i="1"/>
  <c r="AW1642" i="1"/>
  <c r="AX1641" i="1"/>
  <c r="AW1641" i="1"/>
  <c r="AX1640" i="1"/>
  <c r="AW1640" i="1"/>
  <c r="AX1639" i="1"/>
  <c r="AW1639" i="1"/>
  <c r="AX1638" i="1"/>
  <c r="AW1638" i="1"/>
  <c r="AX1637" i="1"/>
  <c r="AW1637" i="1"/>
  <c r="AX1636" i="1"/>
  <c r="AW1636" i="1"/>
  <c r="AX1635" i="1"/>
  <c r="AW1635" i="1"/>
  <c r="AX1634" i="1"/>
  <c r="AW1634" i="1"/>
  <c r="AX1633" i="1"/>
  <c r="AW1633" i="1"/>
  <c r="AX1632" i="1"/>
  <c r="AW1632" i="1"/>
  <c r="AX1631" i="1"/>
  <c r="AW1631" i="1"/>
  <c r="AX1630" i="1"/>
  <c r="AW1630" i="1"/>
  <c r="AX1629" i="1"/>
  <c r="AW1629" i="1"/>
  <c r="AX1628" i="1"/>
  <c r="AW1628" i="1"/>
  <c r="AX1627" i="1"/>
  <c r="AW1627" i="1"/>
  <c r="AX1626" i="1"/>
  <c r="AW1626" i="1"/>
  <c r="AX1625" i="1"/>
  <c r="AW1625" i="1"/>
  <c r="AX1624" i="1"/>
  <c r="AW1624" i="1"/>
  <c r="AX1623" i="1"/>
  <c r="AW1623" i="1"/>
  <c r="AX1622" i="1"/>
  <c r="AW1622" i="1"/>
  <c r="AX1621" i="1"/>
  <c r="AW1621" i="1"/>
  <c r="AX1620" i="1"/>
  <c r="AW1620" i="1"/>
  <c r="AX1619" i="1"/>
  <c r="AW1619" i="1"/>
  <c r="AX1618" i="1"/>
  <c r="AW1618" i="1"/>
  <c r="AX1617" i="1"/>
  <c r="AW1617" i="1"/>
  <c r="AX1616" i="1"/>
  <c r="AW1616" i="1"/>
  <c r="AX1615" i="1"/>
  <c r="AW1615" i="1"/>
  <c r="AX1614" i="1"/>
  <c r="AW1614" i="1"/>
  <c r="AX1613" i="1"/>
  <c r="AW1613" i="1"/>
  <c r="AX1612" i="1"/>
  <c r="AW1612" i="1"/>
  <c r="AX1611" i="1"/>
  <c r="AW1611" i="1"/>
  <c r="AX1610" i="1"/>
  <c r="AW1610" i="1"/>
  <c r="AX1609" i="1"/>
  <c r="AW1609" i="1"/>
  <c r="AX1608" i="1"/>
  <c r="AW1608" i="1"/>
  <c r="AX1607" i="1"/>
  <c r="AW1607" i="1"/>
  <c r="AX1606" i="1"/>
  <c r="AW1606" i="1"/>
  <c r="AX1605" i="1"/>
  <c r="AW1605" i="1"/>
  <c r="AX1604" i="1"/>
  <c r="AW1604" i="1"/>
  <c r="AX1603" i="1"/>
  <c r="AW1603" i="1"/>
  <c r="AX1602" i="1"/>
  <c r="AW1602" i="1"/>
  <c r="AX1601" i="1"/>
  <c r="AW1601" i="1"/>
  <c r="AX1600" i="1"/>
  <c r="AW1600" i="1"/>
  <c r="AX1599" i="1"/>
  <c r="AW1599" i="1"/>
  <c r="AX1598" i="1"/>
  <c r="AW1598" i="1"/>
  <c r="AX1597" i="1"/>
  <c r="AW1597" i="1"/>
  <c r="AX1596" i="1"/>
  <c r="AW1596" i="1"/>
  <c r="AX1595" i="1"/>
  <c r="AW1595" i="1"/>
  <c r="AX1594" i="1"/>
  <c r="AW1594" i="1"/>
  <c r="AX1593" i="1"/>
  <c r="AW1593" i="1"/>
  <c r="AX1592" i="1"/>
  <c r="AW1592" i="1"/>
  <c r="AX1591" i="1"/>
  <c r="AW1591" i="1"/>
  <c r="AX1590" i="1"/>
  <c r="AW1590" i="1"/>
  <c r="AX1589" i="1"/>
  <c r="AW1589" i="1"/>
  <c r="AW2919" i="1"/>
  <c r="AX2919" i="1"/>
  <c r="AW2921" i="1"/>
  <c r="AX2921" i="1"/>
  <c r="AW2928" i="1"/>
  <c r="AX2928" i="1"/>
  <c r="AW2929" i="1"/>
  <c r="AX2929" i="1"/>
  <c r="AW2930" i="1"/>
  <c r="AX2930" i="1"/>
  <c r="AW2931" i="1"/>
  <c r="AX2931" i="1"/>
  <c r="AW2934" i="1"/>
  <c r="AX2934" i="1"/>
  <c r="AW2935" i="1"/>
  <c r="AX2935" i="1"/>
  <c r="AW2936" i="1"/>
  <c r="AX2936" i="1"/>
  <c r="AW2932" i="1"/>
  <c r="AX2932" i="1"/>
  <c r="AW2933" i="1"/>
  <c r="AX2933" i="1"/>
  <c r="AW2937" i="1"/>
  <c r="AX2937" i="1"/>
  <c r="AW2939" i="1"/>
  <c r="AX2939" i="1"/>
  <c r="AW2943" i="1"/>
  <c r="AX2943" i="1"/>
  <c r="AW2941" i="1"/>
  <c r="AX2941" i="1"/>
  <c r="AW2942" i="1"/>
  <c r="AX2942" i="1"/>
  <c r="AW2940" i="1"/>
  <c r="AX2940" i="1"/>
  <c r="AW2938" i="1"/>
  <c r="AX2938" i="1"/>
  <c r="AW2945" i="1"/>
  <c r="AX2945" i="1"/>
  <c r="AW2944" i="1"/>
  <c r="AX2944" i="1"/>
  <c r="AW2947" i="1"/>
  <c r="AX2947" i="1"/>
  <c r="AW2946" i="1"/>
  <c r="AX2946" i="1"/>
  <c r="AW2959" i="1"/>
  <c r="AX2959" i="1"/>
  <c r="AW2954" i="1"/>
  <c r="AX2954" i="1"/>
  <c r="AW2977" i="1"/>
  <c r="AX2977" i="1"/>
  <c r="AW2964" i="1"/>
  <c r="AX2964" i="1"/>
  <c r="AW2971" i="1"/>
  <c r="AX2971" i="1"/>
  <c r="AW2965" i="1"/>
  <c r="AX2965" i="1"/>
  <c r="AW2955" i="1"/>
  <c r="AX2955" i="1"/>
  <c r="AW2950" i="1"/>
  <c r="AX2950" i="1"/>
  <c r="AW2951" i="1"/>
  <c r="AX2951" i="1"/>
  <c r="AW2960" i="1"/>
  <c r="AX2960" i="1"/>
  <c r="AW2956" i="1"/>
  <c r="AX2956" i="1"/>
  <c r="AW2976" i="1"/>
  <c r="AX2976" i="1"/>
  <c r="AW2961" i="1"/>
  <c r="AX2961" i="1"/>
  <c r="AW2958" i="1"/>
  <c r="AX2958" i="1"/>
  <c r="AW2962" i="1"/>
  <c r="AX2962" i="1"/>
  <c r="AW2974" i="1"/>
  <c r="AX2974" i="1"/>
  <c r="AW2966" i="1"/>
  <c r="AX2966" i="1"/>
  <c r="AW2967" i="1"/>
  <c r="AX2967" i="1"/>
  <c r="AW2975" i="1"/>
  <c r="AX2975" i="1"/>
  <c r="AW2970" i="1"/>
  <c r="AX2970" i="1"/>
  <c r="AW2948" i="1"/>
  <c r="AX2948" i="1"/>
  <c r="AW2968" i="1"/>
  <c r="AX2968" i="1"/>
  <c r="AW2972" i="1"/>
  <c r="AX2972" i="1"/>
  <c r="AW2973" i="1"/>
  <c r="AX2973" i="1"/>
  <c r="AW2949" i="1"/>
  <c r="AX2949" i="1"/>
  <c r="AW2978" i="1"/>
  <c r="AX2978" i="1"/>
  <c r="AW2952" i="1"/>
  <c r="AX2952" i="1"/>
  <c r="AW2979" i="1"/>
  <c r="AX2979" i="1"/>
  <c r="AW2957" i="1"/>
  <c r="AX2957" i="1"/>
  <c r="AW2953" i="1"/>
  <c r="AX2953" i="1"/>
  <c r="AW2963" i="1"/>
  <c r="AX2963" i="1"/>
  <c r="AW2969" i="1"/>
  <c r="AX2969" i="1"/>
  <c r="AW2981" i="1"/>
  <c r="AX2981" i="1"/>
  <c r="AW2987" i="1"/>
  <c r="AX2987" i="1"/>
  <c r="AW2980" i="1"/>
  <c r="AX2980" i="1"/>
  <c r="AW2985" i="1"/>
  <c r="AX2985" i="1"/>
  <c r="AW2988" i="1"/>
  <c r="AX2988" i="1"/>
  <c r="AW2982" i="1"/>
  <c r="AX2982" i="1"/>
  <c r="AW2989" i="1"/>
  <c r="AX2989" i="1"/>
  <c r="AW2983" i="1"/>
  <c r="AX2983" i="1"/>
  <c r="AW2984" i="1"/>
  <c r="AX2984" i="1"/>
  <c r="AW2986" i="1"/>
  <c r="AX2986" i="1"/>
  <c r="AW3000" i="1"/>
  <c r="AX3000" i="1"/>
  <c r="AW2992" i="1"/>
  <c r="AX2992" i="1"/>
  <c r="AW3003" i="1"/>
  <c r="AX3003" i="1"/>
  <c r="AW3007" i="1"/>
  <c r="AX3007" i="1"/>
  <c r="AW2990" i="1"/>
  <c r="AX2990" i="1"/>
  <c r="AW2993" i="1"/>
  <c r="AX2993" i="1"/>
  <c r="AW2999" i="1"/>
  <c r="AX2999" i="1"/>
  <c r="AW3008" i="1"/>
  <c r="AX3008" i="1"/>
  <c r="AW2996" i="1"/>
  <c r="AX2996" i="1"/>
  <c r="AW2994" i="1"/>
  <c r="AX2994" i="1"/>
  <c r="AW2998" i="1"/>
  <c r="AX2998" i="1"/>
  <c r="AW3005" i="1"/>
  <c r="AX3005" i="1"/>
  <c r="AW3002" i="1"/>
  <c r="AX3002" i="1"/>
  <c r="AW3010" i="1"/>
  <c r="AX3010" i="1"/>
  <c r="AW2995" i="1"/>
  <c r="AX2995" i="1"/>
  <c r="AW2991" i="1"/>
  <c r="AX2991" i="1"/>
  <c r="AW2997" i="1"/>
  <c r="AX2997" i="1"/>
  <c r="AW3004" i="1"/>
  <c r="AX3004" i="1"/>
  <c r="AW3001" i="1"/>
  <c r="AX3001" i="1"/>
  <c r="AW3011" i="1"/>
  <c r="AX3011" i="1"/>
  <c r="AW3006" i="1"/>
  <c r="AX3006" i="1"/>
  <c r="AW3009" i="1"/>
  <c r="AX3009" i="1"/>
  <c r="AW3012" i="1"/>
  <c r="AX3012" i="1"/>
  <c r="AW3014" i="1"/>
  <c r="AX3014" i="1"/>
  <c r="AW3013" i="1"/>
  <c r="AX3013" i="1"/>
  <c r="AW3015" i="1"/>
  <c r="AX3015" i="1"/>
  <c r="AW3027" i="1"/>
  <c r="AX3027" i="1"/>
  <c r="AW3024" i="1"/>
  <c r="AX3024" i="1"/>
  <c r="AW3025" i="1"/>
  <c r="AX3025" i="1"/>
  <c r="AW3026" i="1"/>
  <c r="AX3026" i="1"/>
  <c r="AW3023" i="1"/>
  <c r="AX3023" i="1"/>
  <c r="AW3022" i="1"/>
  <c r="AX3022" i="1"/>
  <c r="AW3021" i="1"/>
  <c r="AX3021" i="1"/>
  <c r="AW3020" i="1"/>
  <c r="AX3020" i="1"/>
  <c r="AW3016" i="1"/>
  <c r="AX3016" i="1"/>
  <c r="AW3017" i="1"/>
  <c r="AX3017" i="1"/>
  <c r="AW3019" i="1"/>
  <c r="AX3019" i="1"/>
  <c r="AW3018" i="1"/>
  <c r="AX3018" i="1"/>
  <c r="AW3028" i="1"/>
  <c r="AX3028" i="1"/>
  <c r="AW3029" i="1"/>
  <c r="AX3029" i="1"/>
  <c r="AW3030" i="1"/>
  <c r="AX3030" i="1"/>
  <c r="AW3034" i="1"/>
  <c r="AX3034" i="1"/>
  <c r="AW3033" i="1"/>
  <c r="AX3033" i="1"/>
  <c r="AW3031" i="1"/>
  <c r="AX3031" i="1"/>
  <c r="AW3032" i="1"/>
  <c r="AX3032" i="1"/>
  <c r="AW3040" i="1"/>
  <c r="AX3040" i="1"/>
  <c r="AW3041" i="1"/>
  <c r="AX3041" i="1"/>
  <c r="AW3036" i="1"/>
  <c r="AX3036" i="1"/>
  <c r="AW3037" i="1"/>
  <c r="AX3037" i="1"/>
  <c r="AW3038" i="1"/>
  <c r="AX3038" i="1"/>
  <c r="AW3039" i="1"/>
  <c r="AX3039" i="1"/>
  <c r="AW3035" i="1"/>
  <c r="AX3035" i="1"/>
  <c r="AW3042" i="1"/>
  <c r="AX3042" i="1"/>
  <c r="AW3043" i="1"/>
  <c r="AX3043" i="1"/>
  <c r="AW3044" i="1"/>
  <c r="AX3044" i="1"/>
  <c r="AW3045" i="1"/>
  <c r="AX3045" i="1"/>
  <c r="AW3047" i="1"/>
  <c r="AX3047" i="1"/>
  <c r="AW3046" i="1"/>
  <c r="AX3046" i="1"/>
  <c r="AW3052" i="1"/>
  <c r="AX3052" i="1"/>
  <c r="AW3050" i="1"/>
  <c r="AX3050" i="1"/>
  <c r="AW3051" i="1"/>
  <c r="AX3051" i="1"/>
  <c r="AW3049" i="1"/>
  <c r="AX3049" i="1"/>
  <c r="AW3048" i="1"/>
  <c r="AX3048" i="1"/>
  <c r="AW3054" i="1"/>
  <c r="AX3054" i="1"/>
  <c r="AW3053" i="1"/>
  <c r="AX3053" i="1"/>
  <c r="AW3056" i="1"/>
  <c r="AX3056" i="1"/>
  <c r="AW3062" i="1"/>
  <c r="AX3062" i="1"/>
  <c r="AW3059" i="1"/>
  <c r="AX3059" i="1"/>
  <c r="AW3061" i="1"/>
  <c r="AX3061" i="1"/>
  <c r="AW3060" i="1"/>
  <c r="AX3060" i="1"/>
  <c r="AW3058" i="1"/>
  <c r="AX3058" i="1"/>
  <c r="AW3055" i="1"/>
  <c r="AX3055" i="1"/>
  <c r="AW3057" i="1"/>
  <c r="AX3057" i="1"/>
  <c r="AW3064" i="1"/>
  <c r="AX3064" i="1"/>
  <c r="AW3063" i="1"/>
  <c r="AX3063" i="1"/>
  <c r="AW3065" i="1"/>
  <c r="AX3065" i="1"/>
  <c r="AW3066" i="1"/>
  <c r="AX3066" i="1"/>
  <c r="AW3068" i="1"/>
  <c r="AX3068" i="1"/>
  <c r="AW3069" i="1"/>
  <c r="AX3069" i="1"/>
  <c r="AW3067" i="1"/>
  <c r="AX3067" i="1"/>
  <c r="AW3071" i="1"/>
  <c r="AX3071" i="1"/>
  <c r="AW3070" i="1"/>
  <c r="AX3070" i="1"/>
  <c r="AW3073" i="1"/>
  <c r="AX3073" i="1"/>
  <c r="AW3072" i="1"/>
  <c r="AX3072" i="1"/>
  <c r="AW3078" i="1"/>
  <c r="AX3078" i="1"/>
  <c r="AW3081" i="1"/>
  <c r="AX3081" i="1"/>
  <c r="AW3079" i="1"/>
  <c r="AX3079" i="1"/>
  <c r="AW3075" i="1"/>
  <c r="AX3075" i="1"/>
  <c r="AW3082" i="1"/>
  <c r="AX3082" i="1"/>
  <c r="AW3080" i="1"/>
  <c r="AX3080" i="1"/>
  <c r="AW3076" i="1"/>
  <c r="AX3076" i="1"/>
  <c r="AW3077" i="1"/>
  <c r="AX3077" i="1"/>
  <c r="AW3074" i="1"/>
  <c r="AX3074" i="1"/>
  <c r="AW3086" i="1"/>
  <c r="AX3086" i="1"/>
  <c r="AW3087" i="1"/>
  <c r="AX3087" i="1"/>
  <c r="AW3089" i="1"/>
  <c r="AX3089" i="1"/>
  <c r="AW3090" i="1"/>
  <c r="AX3090" i="1"/>
  <c r="AW3097" i="1"/>
  <c r="AX3097" i="1"/>
  <c r="AW3096" i="1"/>
  <c r="AX3096" i="1"/>
  <c r="AW3092" i="1"/>
  <c r="AX3092" i="1"/>
  <c r="AW3094" i="1"/>
  <c r="AX3094" i="1"/>
  <c r="AW3100" i="1"/>
  <c r="AX3100" i="1"/>
  <c r="AW3093" i="1"/>
  <c r="AX3093" i="1"/>
  <c r="AW3095" i="1"/>
  <c r="AX3095" i="1"/>
  <c r="AW3091" i="1"/>
  <c r="AX3091" i="1"/>
  <c r="AW3099" i="1"/>
  <c r="AX3099" i="1"/>
  <c r="AW3098" i="1"/>
  <c r="AX3098" i="1"/>
  <c r="AW3088" i="1"/>
  <c r="AX3088" i="1"/>
  <c r="AW3083" i="1"/>
  <c r="AX3083" i="1"/>
  <c r="AW3084" i="1"/>
  <c r="AX3084" i="1"/>
  <c r="AW3085" i="1"/>
  <c r="AX3085" i="1"/>
  <c r="AW3101" i="1"/>
  <c r="AX3101" i="1"/>
  <c r="AW3102" i="1"/>
  <c r="AX3102" i="1"/>
  <c r="AW3103" i="1"/>
  <c r="AX3103" i="1"/>
  <c r="AW3106" i="1"/>
  <c r="AX3106" i="1"/>
  <c r="AW3104" i="1"/>
  <c r="AX3104" i="1"/>
  <c r="AW3105" i="1"/>
  <c r="AX3105" i="1"/>
  <c r="AW3108" i="1"/>
  <c r="AX3108" i="1"/>
  <c r="AW3107" i="1"/>
  <c r="AX3107" i="1"/>
  <c r="AW3118" i="1"/>
  <c r="AX3118" i="1"/>
  <c r="AW3113" i="1"/>
  <c r="AX3113" i="1"/>
  <c r="AW3117" i="1"/>
  <c r="AX3117" i="1"/>
  <c r="AW3116" i="1"/>
  <c r="AX3116" i="1"/>
  <c r="AW3112" i="1"/>
  <c r="AX3112" i="1"/>
  <c r="AW3109" i="1"/>
  <c r="AX3109" i="1"/>
  <c r="AW3110" i="1"/>
  <c r="AX3110" i="1"/>
  <c r="AW3111" i="1"/>
  <c r="AX3111" i="1"/>
  <c r="AW3121" i="1"/>
  <c r="AX3121" i="1"/>
  <c r="AW3122" i="1"/>
  <c r="AX3122" i="1"/>
  <c r="AW3119" i="1"/>
  <c r="AX3119" i="1"/>
  <c r="AW3120" i="1"/>
  <c r="AX3120" i="1"/>
  <c r="AW3114" i="1"/>
  <c r="AX3114" i="1"/>
  <c r="AW3115" i="1"/>
  <c r="AX3115" i="1"/>
  <c r="AW3125" i="1"/>
  <c r="AX3125" i="1"/>
  <c r="AW3126" i="1"/>
  <c r="AX3126" i="1"/>
  <c r="AW3123" i="1"/>
  <c r="AX3123" i="1"/>
  <c r="AW3124" i="1"/>
  <c r="AX3124" i="1"/>
  <c r="AW3127" i="1"/>
  <c r="AX3127" i="1"/>
  <c r="AW3133" i="1"/>
  <c r="AX3133" i="1"/>
  <c r="AW3148" i="1"/>
  <c r="AX3148" i="1"/>
  <c r="AW3149" i="1"/>
  <c r="AX3149" i="1"/>
  <c r="AW3134" i="1"/>
  <c r="AX3134" i="1"/>
  <c r="AW3135" i="1"/>
  <c r="AX3135" i="1"/>
  <c r="AW3177" i="1"/>
  <c r="AX3177" i="1"/>
  <c r="AW3171" i="1"/>
  <c r="AX3171" i="1"/>
  <c r="AW3174" i="1"/>
  <c r="AX3174" i="1"/>
  <c r="AW3175" i="1"/>
  <c r="AX3175" i="1"/>
  <c r="AW3161" i="1"/>
  <c r="AX3161" i="1"/>
  <c r="AW3150" i="1"/>
  <c r="AX3150" i="1"/>
  <c r="AW3159" i="1"/>
  <c r="AX3159" i="1"/>
  <c r="AW3151" i="1"/>
  <c r="AX3151" i="1"/>
  <c r="AW3152" i="1"/>
  <c r="AX3152" i="1"/>
  <c r="AW3153" i="1"/>
  <c r="AX3153" i="1"/>
  <c r="AW3145" i="1"/>
  <c r="AX3145" i="1"/>
  <c r="AW3163" i="1"/>
  <c r="AX3163" i="1"/>
  <c r="AW3164" i="1"/>
  <c r="AX3164" i="1"/>
  <c r="AW3165" i="1"/>
  <c r="AX3165" i="1"/>
  <c r="AW3154" i="1"/>
  <c r="AX3154" i="1"/>
  <c r="AW3155" i="1"/>
  <c r="AX3155" i="1"/>
  <c r="AW3156" i="1"/>
  <c r="AX3156" i="1"/>
  <c r="AW3166" i="1"/>
  <c r="AX3166" i="1"/>
  <c r="AW3167" i="1"/>
  <c r="AX3167" i="1"/>
  <c r="AW3136" i="1"/>
  <c r="AX3136" i="1"/>
  <c r="AW3137" i="1"/>
  <c r="AX3137" i="1"/>
  <c r="AW3138" i="1"/>
  <c r="AX3138" i="1"/>
  <c r="AW3139" i="1"/>
  <c r="AX3139" i="1"/>
  <c r="AW3168" i="1"/>
  <c r="AX3168" i="1"/>
  <c r="AW3140" i="1"/>
  <c r="AX3140" i="1"/>
  <c r="AW3132" i="1"/>
  <c r="AX3132" i="1"/>
  <c r="AW3141" i="1"/>
  <c r="AX3141" i="1"/>
  <c r="AW3142" i="1"/>
  <c r="AX3142" i="1"/>
  <c r="AW3143" i="1"/>
  <c r="AX3143" i="1"/>
  <c r="AW3128" i="1"/>
  <c r="AX3128" i="1"/>
  <c r="AW3129" i="1"/>
  <c r="AX3129" i="1"/>
  <c r="AW3130" i="1"/>
  <c r="AX3130" i="1"/>
  <c r="AW3131" i="1"/>
  <c r="AX3131" i="1"/>
  <c r="AW3162" i="1"/>
  <c r="AX3162" i="1"/>
  <c r="AW3169" i="1"/>
  <c r="AX3169" i="1"/>
  <c r="AW3157" i="1"/>
  <c r="AX3157" i="1"/>
  <c r="AW3179" i="1"/>
  <c r="AX3179" i="1"/>
  <c r="AW3178" i="1"/>
  <c r="AX3178" i="1"/>
  <c r="AW3170" i="1"/>
  <c r="AX3170" i="1"/>
  <c r="AW3180" i="1"/>
  <c r="AX3180" i="1"/>
  <c r="AW3181" i="1"/>
  <c r="AX3181" i="1"/>
  <c r="AW3176" i="1"/>
  <c r="AX3176" i="1"/>
  <c r="AW3172" i="1"/>
  <c r="AX3172" i="1"/>
  <c r="AW3158" i="1"/>
  <c r="AX3158" i="1"/>
  <c r="AW3173" i="1"/>
  <c r="AX3173" i="1"/>
  <c r="AW3160" i="1"/>
  <c r="AX3160" i="1"/>
  <c r="AW3144" i="1"/>
  <c r="AX3144" i="1"/>
  <c r="AW3146" i="1"/>
  <c r="AX3146" i="1"/>
  <c r="AW3147" i="1"/>
  <c r="AX3147" i="1"/>
  <c r="AW3182" i="1"/>
  <c r="AX3182" i="1"/>
  <c r="AW3183" i="1"/>
  <c r="AX3183" i="1"/>
  <c r="AW3185" i="1"/>
  <c r="AX3185" i="1"/>
  <c r="AW3184" i="1"/>
  <c r="AX3184" i="1"/>
  <c r="AW3186" i="1"/>
  <c r="AX3186" i="1"/>
  <c r="AW3187" i="1"/>
  <c r="AX3187" i="1"/>
  <c r="AW3198" i="1"/>
  <c r="AX3198" i="1"/>
  <c r="AW3192" i="1"/>
  <c r="AX3192" i="1"/>
  <c r="AW3188" i="1"/>
  <c r="AX3188" i="1"/>
  <c r="AW3196" i="1"/>
  <c r="AX3196" i="1"/>
  <c r="AW3195" i="1"/>
  <c r="AX3195" i="1"/>
  <c r="AW3191" i="1"/>
  <c r="AX3191" i="1"/>
  <c r="AW3197" i="1"/>
  <c r="AX3197" i="1"/>
  <c r="AW3190" i="1"/>
  <c r="AX3190" i="1"/>
  <c r="AW3194" i="1"/>
  <c r="AX3194" i="1"/>
  <c r="AW3193" i="1"/>
  <c r="AX3193" i="1"/>
  <c r="AW3189" i="1"/>
  <c r="AX3189" i="1"/>
  <c r="AW3199" i="1"/>
  <c r="AX3199" i="1"/>
  <c r="AW3200" i="1"/>
  <c r="AX3200" i="1"/>
  <c r="AW3202" i="1"/>
  <c r="AX3202" i="1"/>
  <c r="AW3204" i="1"/>
  <c r="AX3204" i="1"/>
  <c r="AW3205" i="1"/>
  <c r="AX3205" i="1"/>
  <c r="AW3203" i="1"/>
  <c r="AX3203" i="1"/>
  <c r="AW3201" i="1"/>
  <c r="AX3201" i="1"/>
  <c r="AW3206" i="1"/>
  <c r="AX3206" i="1"/>
  <c r="AW3207" i="1"/>
  <c r="AX3207" i="1"/>
  <c r="AW3208" i="1"/>
  <c r="AX3208" i="1"/>
  <c r="AW3209" i="1"/>
  <c r="AX3209" i="1"/>
  <c r="AW3212" i="1"/>
  <c r="AX3212" i="1"/>
  <c r="AW3213" i="1"/>
  <c r="AX3213" i="1"/>
  <c r="AW3211" i="1"/>
  <c r="AX3211" i="1"/>
  <c r="AW3210" i="1"/>
  <c r="AX3210" i="1"/>
  <c r="AW3217" i="1"/>
  <c r="AX3217" i="1"/>
  <c r="AW3214" i="1"/>
  <c r="AX3214" i="1"/>
  <c r="AW3218" i="1"/>
  <c r="AX3218" i="1"/>
  <c r="AW3219" i="1"/>
  <c r="AX3219" i="1"/>
  <c r="AW3215" i="1"/>
  <c r="AX3215" i="1"/>
  <c r="AW3216" i="1"/>
  <c r="AX3216" i="1"/>
  <c r="AW3220" i="1"/>
  <c r="AX3220" i="1"/>
  <c r="AW3222" i="1"/>
  <c r="AX3222" i="1"/>
  <c r="AW3223" i="1"/>
  <c r="AX3223" i="1"/>
  <c r="AW3221" i="1"/>
  <c r="AX3221" i="1"/>
  <c r="AW3225" i="1"/>
  <c r="AX3225" i="1"/>
  <c r="AW3224" i="1"/>
  <c r="AX3224" i="1"/>
  <c r="AW3226" i="1"/>
  <c r="AX3226" i="1"/>
  <c r="AW3227" i="1"/>
  <c r="AX3227" i="1"/>
  <c r="AW3228" i="1"/>
  <c r="AX3228" i="1"/>
  <c r="AW3230" i="1"/>
  <c r="AX3230" i="1"/>
  <c r="AW3229" i="1"/>
  <c r="AX3229" i="1"/>
  <c r="AW3234" i="1"/>
  <c r="AX3234" i="1"/>
  <c r="AW3235" i="1"/>
  <c r="AX3235" i="1"/>
  <c r="AW3236" i="1"/>
  <c r="AX3236" i="1"/>
  <c r="AW3231" i="1"/>
  <c r="AX3231" i="1"/>
  <c r="AW3232" i="1"/>
  <c r="AX3232" i="1"/>
  <c r="AW3233" i="1"/>
  <c r="AX3233" i="1"/>
  <c r="AW3238" i="1"/>
  <c r="AX3238" i="1"/>
  <c r="AW3237" i="1"/>
  <c r="AX3237" i="1"/>
  <c r="AW3239" i="1"/>
  <c r="AX3239" i="1"/>
  <c r="AW3240" i="1"/>
  <c r="AX3240" i="1"/>
  <c r="AW3246" i="1"/>
  <c r="AX3246" i="1"/>
  <c r="AW3247" i="1"/>
  <c r="AX3247" i="1"/>
  <c r="AW3248" i="1"/>
  <c r="AX3248" i="1"/>
  <c r="AW3244" i="1"/>
  <c r="AX3244" i="1"/>
  <c r="AW3243" i="1"/>
  <c r="AX3243" i="1"/>
  <c r="AW3245" i="1"/>
  <c r="AX3245" i="1"/>
  <c r="AW3241" i="1"/>
  <c r="AX3241" i="1"/>
  <c r="AW3242" i="1"/>
  <c r="AX3242" i="1"/>
  <c r="AW3249" i="1"/>
  <c r="AX3249" i="1"/>
  <c r="AW3250" i="1"/>
  <c r="AX3250" i="1"/>
  <c r="AW3253" i="1"/>
  <c r="AX3253" i="1"/>
  <c r="AW3252" i="1"/>
  <c r="AX3252" i="1"/>
  <c r="AW3254" i="1"/>
  <c r="AX3254" i="1"/>
  <c r="AW3251" i="1"/>
  <c r="AX3251" i="1"/>
  <c r="AW3255" i="1"/>
  <c r="AX3255" i="1"/>
  <c r="AW3256" i="1"/>
  <c r="AX3256" i="1"/>
  <c r="AW3266" i="1"/>
  <c r="AX3266" i="1"/>
  <c r="AW3263" i="1"/>
  <c r="AX3263" i="1"/>
  <c r="AW3264" i="1"/>
  <c r="AX3264" i="1"/>
  <c r="AW3265" i="1"/>
  <c r="AX3265" i="1"/>
  <c r="AW3268" i="1"/>
  <c r="AX3268" i="1"/>
  <c r="AW3267" i="1"/>
  <c r="AX3267" i="1"/>
  <c r="AW3260" i="1"/>
  <c r="AX3260" i="1"/>
  <c r="AW3259" i="1"/>
  <c r="AX3259" i="1"/>
  <c r="AW3261" i="1"/>
  <c r="AX3261" i="1"/>
  <c r="AW3262" i="1"/>
  <c r="AX3262" i="1"/>
  <c r="AW3258" i="1"/>
  <c r="AX3258" i="1"/>
  <c r="AW3257" i="1"/>
  <c r="AX3257" i="1"/>
  <c r="AW3269" i="1"/>
  <c r="AX3269" i="1"/>
  <c r="AW3270" i="1"/>
  <c r="AX3270" i="1"/>
  <c r="AW3274" i="1"/>
  <c r="AX3274" i="1"/>
  <c r="AW3275" i="1"/>
  <c r="AX3275" i="1"/>
  <c r="AW3271" i="1"/>
  <c r="AX3271" i="1"/>
  <c r="AW3272" i="1"/>
  <c r="AX3272" i="1"/>
  <c r="AW3276" i="1"/>
  <c r="AX3276" i="1"/>
  <c r="AW3273" i="1"/>
  <c r="AX3273" i="1"/>
  <c r="AW3280" i="1"/>
  <c r="AX3280" i="1"/>
  <c r="AW3277" i="1"/>
  <c r="AX3277" i="1"/>
  <c r="AW3279" i="1"/>
  <c r="AX3279" i="1"/>
  <c r="AW3278" i="1"/>
  <c r="AX3278" i="1"/>
  <c r="AW3282" i="1"/>
  <c r="AX3282" i="1"/>
  <c r="AW3281" i="1"/>
  <c r="AX3281" i="1"/>
  <c r="AW3322" i="1"/>
  <c r="AX3322" i="1"/>
  <c r="AW3309" i="1"/>
  <c r="AX3309" i="1"/>
  <c r="AW3285" i="1"/>
  <c r="AX3285" i="1"/>
  <c r="AW3300" i="1"/>
  <c r="AX3300" i="1"/>
  <c r="AW3291" i="1"/>
  <c r="AX3291" i="1"/>
  <c r="AW3297" i="1"/>
  <c r="AX3297" i="1"/>
  <c r="AW3289" i="1"/>
  <c r="AX3289" i="1"/>
  <c r="AW3305" i="1"/>
  <c r="AX3305" i="1"/>
  <c r="AW3287" i="1"/>
  <c r="AX3287" i="1"/>
  <c r="AW3292" i="1"/>
  <c r="AX3292" i="1"/>
  <c r="AW3286" i="1"/>
  <c r="AX3286" i="1"/>
  <c r="AW3303" i="1"/>
  <c r="AX3303" i="1"/>
  <c r="AW3301" i="1"/>
  <c r="AX3301" i="1"/>
  <c r="AW3284" i="1"/>
  <c r="AX3284" i="1"/>
  <c r="AW3290" i="1"/>
  <c r="AX3290" i="1"/>
  <c r="AW3283" i="1"/>
  <c r="AX3283" i="1"/>
  <c r="AW3329" i="1"/>
  <c r="AX3329" i="1"/>
  <c r="AW2920" i="1"/>
  <c r="AX2920" i="1"/>
  <c r="BA4209" i="1" l="1"/>
  <c r="AZ4209" i="1"/>
  <c r="AY1435" i="1"/>
  <c r="AY190" i="1"/>
  <c r="AY206" i="1"/>
  <c r="AY222" i="1"/>
  <c r="AY2192" i="1"/>
  <c r="AY3083" i="1"/>
  <c r="BA3083" i="1" s="1"/>
  <c r="AY3074" i="1"/>
  <c r="BA3074" i="1" s="1"/>
  <c r="AY3197" i="1"/>
  <c r="BA3197" i="1" s="1"/>
  <c r="AY3247" i="1"/>
  <c r="AZ3247" i="1" s="1"/>
  <c r="AY3226" i="1"/>
  <c r="AZ3226" i="1" s="1"/>
  <c r="AY3186" i="1"/>
  <c r="BA3186" i="1" s="1"/>
  <c r="AY3109" i="1"/>
  <c r="BA3109" i="1" s="1"/>
  <c r="AY2315" i="1"/>
  <c r="AZ2315" i="1" s="1"/>
  <c r="AY1647" i="1"/>
  <c r="AZ1647" i="1" s="1"/>
  <c r="AY1711" i="1"/>
  <c r="BA1711" i="1" s="1"/>
  <c r="AY2535" i="1"/>
  <c r="AY2469" i="1"/>
  <c r="AY2442" i="1"/>
  <c r="AY2884" i="1"/>
  <c r="BA2884" i="1" s="1"/>
  <c r="AY1826" i="1"/>
  <c r="BA1826" i="1" s="1"/>
  <c r="AY1834" i="1"/>
  <c r="AY4253" i="1"/>
  <c r="BA4253" i="1" s="1"/>
  <c r="AY4261" i="1"/>
  <c r="AZ4261" i="1" s="1"/>
  <c r="AY4285" i="1"/>
  <c r="AZ4285" i="1" s="1"/>
  <c r="AY4293" i="1"/>
  <c r="AZ4293" i="1" s="1"/>
  <c r="AY4301" i="1"/>
  <c r="AZ4301" i="1" s="1"/>
  <c r="AY4309" i="1"/>
  <c r="AZ4309" i="1" s="1"/>
  <c r="AY4317" i="1"/>
  <c r="AZ4317" i="1" s="1"/>
  <c r="AY4325" i="1"/>
  <c r="AZ4325" i="1" s="1"/>
  <c r="BA3226" i="1"/>
  <c r="AY2659" i="1"/>
  <c r="AZ2884" i="1"/>
  <c r="AY2798" i="1"/>
  <c r="AY4372" i="1"/>
  <c r="BA4372" i="1" s="1"/>
  <c r="AY2041" i="1"/>
  <c r="AZ2041" i="1" s="1"/>
  <c r="AY1154" i="1"/>
  <c r="AZ1154" i="1" s="1"/>
  <c r="AY1170" i="1"/>
  <c r="BA1170" i="1" s="1"/>
  <c r="AY1218" i="1"/>
  <c r="AZ1218" i="1" s="1"/>
  <c r="AY1234" i="1"/>
  <c r="AZ1234" i="1" s="1"/>
  <c r="AY1266" i="1"/>
  <c r="AZ1266" i="1" s="1"/>
  <c r="AY1386" i="1"/>
  <c r="AZ1386" i="1" s="1"/>
  <c r="AY1426" i="1"/>
  <c r="BA1426" i="1" s="1"/>
  <c r="AY1434" i="1"/>
  <c r="AZ1434" i="1" s="1"/>
  <c r="AY2000" i="1"/>
  <c r="AZ2000" i="1" s="1"/>
  <c r="AY2016" i="1"/>
  <c r="AZ2016" i="1" s="1"/>
  <c r="AY5" i="1"/>
  <c r="AZ5" i="1" s="1"/>
  <c r="AY13" i="1"/>
  <c r="AZ13" i="1" s="1"/>
  <c r="AY653" i="1"/>
  <c r="AZ653" i="1" s="1"/>
  <c r="AY773" i="1"/>
  <c r="AZ773" i="1" s="1"/>
  <c r="AY789" i="1"/>
  <c r="AZ789" i="1" s="1"/>
  <c r="AY949" i="1"/>
  <c r="AY1037" i="1"/>
  <c r="AZ1037" i="1" s="1"/>
  <c r="AY1077" i="1"/>
  <c r="AZ1077" i="1" s="1"/>
  <c r="AY1109" i="1"/>
  <c r="BA1109" i="1" s="1"/>
  <c r="AY3084" i="1"/>
  <c r="AY3258" i="1"/>
  <c r="AY3139" i="1"/>
  <c r="AY3081" i="1"/>
  <c r="AY3329" i="1"/>
  <c r="AY3190" i="1"/>
  <c r="AY3305" i="1"/>
  <c r="AY2895" i="1"/>
  <c r="AY3187" i="1"/>
  <c r="AY3110" i="1"/>
  <c r="AY2013" i="1"/>
  <c r="BA2013" i="1" s="1"/>
  <c r="AY26" i="1"/>
  <c r="BA26" i="1" s="1"/>
  <c r="AY234" i="1"/>
  <c r="BA234" i="1" s="1"/>
  <c r="AY2699" i="1"/>
  <c r="AY2879" i="1"/>
  <c r="AY2839" i="1"/>
  <c r="AY2826" i="1"/>
  <c r="AY2424" i="1"/>
  <c r="AY2361" i="1"/>
  <c r="AY1593" i="1"/>
  <c r="AY1892" i="1"/>
  <c r="AZ1892" i="1" s="1"/>
  <c r="AY1940" i="1"/>
  <c r="AZ1940" i="1" s="1"/>
  <c r="AY2146" i="1"/>
  <c r="BA2146" i="1" s="1"/>
  <c r="AY1543" i="1"/>
  <c r="BA1543" i="1" s="1"/>
  <c r="AY2075" i="1"/>
  <c r="BA2075" i="1" s="1"/>
  <c r="AY1442" i="1"/>
  <c r="BA1442" i="1" s="1"/>
  <c r="AY1506" i="1"/>
  <c r="AZ1506" i="1" s="1"/>
  <c r="AY4263" i="1"/>
  <c r="AZ4263" i="1" s="1"/>
  <c r="AY1133" i="1"/>
  <c r="AY4312" i="1"/>
  <c r="AZ4312" i="1" s="1"/>
  <c r="AY2436" i="1"/>
  <c r="AY2313" i="1"/>
  <c r="AY232" i="1"/>
  <c r="AZ232" i="1" s="1"/>
  <c r="AY4351" i="1"/>
  <c r="BA4351" i="1" s="1"/>
  <c r="AY2022" i="1"/>
  <c r="BA2022" i="1" s="1"/>
  <c r="AY1135" i="1"/>
  <c r="BA1135" i="1" s="1"/>
  <c r="AY1167" i="1"/>
  <c r="AZ1167" i="1" s="1"/>
  <c r="AY1199" i="1"/>
  <c r="BA1199" i="1" s="1"/>
  <c r="AY1247" i="1"/>
  <c r="BA1247" i="1" s="1"/>
  <c r="AY1263" i="1"/>
  <c r="BA1263" i="1" s="1"/>
  <c r="AY1279" i="1"/>
  <c r="AZ1279" i="1" s="1"/>
  <c r="AY1311" i="1"/>
  <c r="BA1311" i="1" s="1"/>
  <c r="AY1327" i="1"/>
  <c r="AZ1327" i="1" s="1"/>
  <c r="AY1359" i="1"/>
  <c r="AZ1359" i="1" s="1"/>
  <c r="AY2252" i="1"/>
  <c r="BA2252" i="1" s="1"/>
  <c r="AY2308" i="1"/>
  <c r="BA2308" i="1" s="1"/>
  <c r="AY2426" i="1"/>
  <c r="AY2975" i="1"/>
  <c r="AY2737" i="1"/>
  <c r="AY414" i="1"/>
  <c r="BA414" i="1" s="1"/>
  <c r="AY430" i="1"/>
  <c r="BA430" i="1" s="1"/>
  <c r="AY446" i="1"/>
  <c r="BA446" i="1" s="1"/>
  <c r="AY462" i="1"/>
  <c r="BA462" i="1" s="1"/>
  <c r="AY542" i="1"/>
  <c r="AZ542" i="1" s="1"/>
  <c r="AY590" i="1"/>
  <c r="AZ590" i="1" s="1"/>
  <c r="AY622" i="1"/>
  <c r="AZ622" i="1" s="1"/>
  <c r="AY2439" i="1"/>
  <c r="AY2924" i="1"/>
  <c r="AY2423" i="1"/>
  <c r="AY1659" i="1"/>
  <c r="AZ1659" i="1" s="1"/>
  <c r="AY2160" i="1"/>
  <c r="AZ2160" i="1" s="1"/>
  <c r="AY4281" i="1"/>
  <c r="AZ4281" i="1" s="1"/>
  <c r="AY4321" i="1"/>
  <c r="BA4321" i="1" s="1"/>
  <c r="AY2539" i="1"/>
  <c r="AY2474" i="1"/>
  <c r="AY427" i="1"/>
  <c r="AZ427" i="1" s="1"/>
  <c r="AY2181" i="1"/>
  <c r="BA2181" i="1" s="1"/>
  <c r="AY4371" i="1"/>
  <c r="AZ4371" i="1" s="1"/>
  <c r="AY2024" i="1"/>
  <c r="AZ2024" i="1" s="1"/>
  <c r="AY1153" i="1"/>
  <c r="BA1153" i="1" s="1"/>
  <c r="AY1169" i="1"/>
  <c r="BA1169" i="1" s="1"/>
  <c r="AY1201" i="1"/>
  <c r="BA1201" i="1" s="1"/>
  <c r="AY1217" i="1"/>
  <c r="AZ1217" i="1" s="1"/>
  <c r="AY1233" i="1"/>
  <c r="AZ1233" i="1" s="1"/>
  <c r="AY1265" i="1"/>
  <c r="BA1265" i="1" s="1"/>
  <c r="AY1281" i="1"/>
  <c r="BA1281" i="1" s="1"/>
  <c r="AY1297" i="1"/>
  <c r="BA1297" i="1" s="1"/>
  <c r="AY1313" i="1"/>
  <c r="BA1313" i="1" s="1"/>
  <c r="AY1377" i="1"/>
  <c r="BA1377" i="1" s="1"/>
  <c r="AY52" i="1"/>
  <c r="AZ52" i="1" s="1"/>
  <c r="AY180" i="1"/>
  <c r="BA180" i="1" s="1"/>
  <c r="AY2254" i="1"/>
  <c r="AZ2254" i="1" s="1"/>
  <c r="AY2384" i="1"/>
  <c r="AY2326" i="1"/>
  <c r="AY269" i="1"/>
  <c r="AZ269" i="1" s="1"/>
  <c r="AY317" i="1"/>
  <c r="BA317" i="1" s="1"/>
  <c r="AY1276" i="1"/>
  <c r="BA1276" i="1" s="1"/>
  <c r="AY1308" i="1"/>
  <c r="BA1308" i="1" s="1"/>
  <c r="AY1388" i="1"/>
  <c r="BA1388" i="1" s="1"/>
  <c r="AY1428" i="1"/>
  <c r="BA1428" i="1" s="1"/>
  <c r="AY7" i="1"/>
  <c r="BA7" i="1" s="1"/>
  <c r="AY151" i="1"/>
  <c r="BA151" i="1" s="1"/>
  <c r="AY199" i="1"/>
  <c r="AZ199" i="1" s="1"/>
  <c r="AY343" i="1"/>
  <c r="AZ343" i="1" s="1"/>
  <c r="AY391" i="1"/>
  <c r="BA391" i="1" s="1"/>
  <c r="AY439" i="1"/>
  <c r="AZ439" i="1" s="1"/>
  <c r="AY519" i="1"/>
  <c r="BA519" i="1" s="1"/>
  <c r="AY3249" i="1"/>
  <c r="AY3202" i="1"/>
  <c r="AY3072" i="1"/>
  <c r="AY3035" i="1"/>
  <c r="AY3017" i="1"/>
  <c r="AY328" i="1"/>
  <c r="AZ328" i="1" s="1"/>
  <c r="AY2871" i="1"/>
  <c r="AY2827" i="1"/>
  <c r="AY2037" i="1"/>
  <c r="AZ2037" i="1" s="1"/>
  <c r="AY2714" i="1"/>
  <c r="AY2684" i="1"/>
  <c r="AY3223" i="1"/>
  <c r="AY1604" i="1"/>
  <c r="AY1628" i="1"/>
  <c r="AZ1628" i="1" s="1"/>
  <c r="AY1660" i="1"/>
  <c r="AZ1660" i="1" s="1"/>
  <c r="AY1724" i="1"/>
  <c r="BA1724" i="1" s="1"/>
  <c r="AY1772" i="1"/>
  <c r="BA1772" i="1" s="1"/>
  <c r="AY1780" i="1"/>
  <c r="AZ1780" i="1" s="1"/>
  <c r="AY1851" i="1"/>
  <c r="BA1851" i="1" s="1"/>
  <c r="AY1927" i="1"/>
  <c r="BA1927" i="1" s="1"/>
  <c r="AY2135" i="1"/>
  <c r="AZ2135" i="1" s="1"/>
  <c r="AY2117" i="1"/>
  <c r="BA2117" i="1" s="1"/>
  <c r="AY2125" i="1"/>
  <c r="BA2125" i="1" s="1"/>
  <c r="AY2149" i="1"/>
  <c r="BA2149" i="1" s="1"/>
  <c r="AY2107" i="1"/>
  <c r="BA2107" i="1" s="1"/>
  <c r="AY2174" i="1"/>
  <c r="AZ2174" i="1" s="1"/>
  <c r="AY2062" i="1"/>
  <c r="AZ2062" i="1" s="1"/>
  <c r="AY1461" i="1"/>
  <c r="AZ1461" i="1" s="1"/>
  <c r="AY1477" i="1"/>
  <c r="AZ1477" i="1" s="1"/>
  <c r="AY1485" i="1"/>
  <c r="AZ1485" i="1" s="1"/>
  <c r="AY1525" i="1"/>
  <c r="BA1525" i="1" s="1"/>
  <c r="AY378" i="1"/>
  <c r="AZ378" i="1" s="1"/>
  <c r="AY3203" i="1"/>
  <c r="AY4316" i="1"/>
  <c r="BA4316" i="1" s="1"/>
  <c r="AY29" i="1"/>
  <c r="AZ29" i="1" s="1"/>
  <c r="AY61" i="1"/>
  <c r="AZ61" i="1" s="1"/>
  <c r="AY117" i="1"/>
  <c r="BA117" i="1" s="1"/>
  <c r="AY133" i="1"/>
  <c r="BA133" i="1" s="1"/>
  <c r="AY165" i="1"/>
  <c r="AZ165" i="1" s="1"/>
  <c r="AY197" i="1"/>
  <c r="BA197" i="1" s="1"/>
  <c r="AY229" i="1"/>
  <c r="BA229" i="1" s="1"/>
  <c r="AY2723" i="1"/>
  <c r="AY2434" i="1"/>
  <c r="AY2049" i="1"/>
  <c r="AY325" i="1"/>
  <c r="AZ325" i="1" s="1"/>
  <c r="AY453" i="1"/>
  <c r="BA453" i="1" s="1"/>
  <c r="AY829" i="1"/>
  <c r="AZ829" i="1" s="1"/>
  <c r="AY2779" i="1"/>
  <c r="AY251" i="1"/>
  <c r="AZ251" i="1" s="1"/>
  <c r="AY3025" i="1"/>
  <c r="AY2990" i="1"/>
  <c r="AY2989" i="1"/>
  <c r="AY2972" i="1"/>
  <c r="AY1126" i="1"/>
  <c r="BA1126" i="1" s="1"/>
  <c r="AY2397" i="1"/>
  <c r="AY2922" i="1"/>
  <c r="AY1400" i="1"/>
  <c r="BA1400" i="1" s="1"/>
  <c r="AY315" i="1"/>
  <c r="BA315" i="1" s="1"/>
  <c r="AY1047" i="1"/>
  <c r="AZ1047" i="1" s="1"/>
  <c r="AY2625" i="1"/>
  <c r="AY2596" i="1"/>
  <c r="AY2877" i="1"/>
  <c r="AY1626" i="1"/>
  <c r="AZ1626" i="1" s="1"/>
  <c r="AY2159" i="1"/>
  <c r="AZ2159" i="1" s="1"/>
  <c r="AY608" i="1"/>
  <c r="BA608" i="1" s="1"/>
  <c r="AY2686" i="1"/>
  <c r="AY2317" i="1"/>
  <c r="AY259" i="1"/>
  <c r="BA259" i="1" s="1"/>
  <c r="AY321" i="1"/>
  <c r="BA321" i="1" s="1"/>
  <c r="AY361" i="1"/>
  <c r="BA361" i="1" s="1"/>
  <c r="AY369" i="1"/>
  <c r="AZ369" i="1" s="1"/>
  <c r="AY385" i="1"/>
  <c r="AZ385" i="1" s="1"/>
  <c r="AY417" i="1"/>
  <c r="AZ417" i="1" s="1"/>
  <c r="AY497" i="1"/>
  <c r="BA497" i="1" s="1"/>
  <c r="AY505" i="1"/>
  <c r="AZ505" i="1" s="1"/>
  <c r="AY577" i="1"/>
  <c r="AZ577" i="1" s="1"/>
  <c r="AY585" i="1"/>
  <c r="AZ585" i="1" s="1"/>
  <c r="AY593" i="1"/>
  <c r="AZ593" i="1" s="1"/>
  <c r="AY625" i="1"/>
  <c r="AY657" i="1"/>
  <c r="AZ657" i="1" s="1"/>
  <c r="AY729" i="1"/>
  <c r="AZ729" i="1" s="1"/>
  <c r="AY753" i="1"/>
  <c r="AZ753" i="1" s="1"/>
  <c r="AY801" i="1"/>
  <c r="BA801" i="1" s="1"/>
  <c r="AY817" i="1"/>
  <c r="AZ817" i="1" s="1"/>
  <c r="AY961" i="1"/>
  <c r="AZ961" i="1" s="1"/>
  <c r="AY969" i="1"/>
  <c r="AZ969" i="1" s="1"/>
  <c r="AY2584" i="1"/>
  <c r="AY2550" i="1"/>
  <c r="AY2545" i="1"/>
  <c r="AY2338" i="1"/>
  <c r="AY2314" i="1"/>
  <c r="AY3131" i="1"/>
  <c r="AY2724" i="1"/>
  <c r="AY3151" i="1"/>
  <c r="AY3093" i="1"/>
  <c r="AY3058" i="1"/>
  <c r="AY3012" i="1"/>
  <c r="AY2981" i="1"/>
  <c r="AY2966" i="1"/>
  <c r="AY612" i="1"/>
  <c r="AZ612" i="1" s="1"/>
  <c r="AY740" i="1"/>
  <c r="AZ740" i="1" s="1"/>
  <c r="AY748" i="1"/>
  <c r="AZ748" i="1" s="1"/>
  <c r="AY756" i="1"/>
  <c r="AZ756" i="1" s="1"/>
  <c r="AY780" i="1"/>
  <c r="AZ780" i="1" s="1"/>
  <c r="AY804" i="1"/>
  <c r="AZ804" i="1" s="1"/>
  <c r="AY2692" i="1"/>
  <c r="AY2913" i="1"/>
  <c r="AY2866" i="1"/>
  <c r="AY2850" i="1"/>
  <c r="AY2626" i="1"/>
  <c r="AY2334" i="1"/>
  <c r="AY2786" i="1"/>
  <c r="AY2633" i="1"/>
  <c r="AY3204" i="1"/>
  <c r="AY2974" i="1"/>
  <c r="AY557" i="1"/>
  <c r="AZ557" i="1" s="1"/>
  <c r="AY2415" i="1"/>
  <c r="AY4356" i="1"/>
  <c r="BA4356" i="1" s="1"/>
  <c r="AY2443" i="1"/>
  <c r="AY2821" i="1"/>
  <c r="AY2813" i="1"/>
  <c r="AY2489" i="1"/>
  <c r="AY2962" i="1"/>
  <c r="AY2939" i="1"/>
  <c r="AY2647" i="1"/>
  <c r="AY2648" i="1"/>
  <c r="AY2967" i="1"/>
  <c r="AY2754" i="1"/>
  <c r="AY2929" i="1"/>
  <c r="AY2518" i="1"/>
  <c r="AY2509" i="1"/>
  <c r="AY2505" i="1"/>
  <c r="AY619" i="1"/>
  <c r="AZ619" i="1" s="1"/>
  <c r="AY959" i="1"/>
  <c r="BA959" i="1" s="1"/>
  <c r="AY975" i="1"/>
  <c r="BA975" i="1" s="1"/>
  <c r="AY1031" i="1"/>
  <c r="BA1031" i="1" s="1"/>
  <c r="AY1095" i="1"/>
  <c r="BA1095" i="1" s="1"/>
  <c r="AY1103" i="1"/>
  <c r="AZ1103" i="1" s="1"/>
  <c r="AY1111" i="1"/>
  <c r="BA1111" i="1" s="1"/>
  <c r="AY1127" i="1"/>
  <c r="AZ1127" i="1" s="1"/>
  <c r="AY2751" i="1"/>
  <c r="AY2744" i="1"/>
  <c r="AY2732" i="1"/>
  <c r="AY1173" i="1"/>
  <c r="AZ1173" i="1" s="1"/>
  <c r="AY1261" i="1"/>
  <c r="AZ1261" i="1" s="1"/>
  <c r="AY712" i="1"/>
  <c r="BA712" i="1" s="1"/>
  <c r="AY760" i="1"/>
  <c r="AZ760" i="1" s="1"/>
  <c r="AY808" i="1"/>
  <c r="AZ808" i="1" s="1"/>
  <c r="AY824" i="1"/>
  <c r="BA824" i="1" s="1"/>
  <c r="AY920" i="1"/>
  <c r="BA920" i="1" s="1"/>
  <c r="AY936" i="1"/>
  <c r="AZ936" i="1" s="1"/>
  <c r="AY1080" i="1"/>
  <c r="BA1080" i="1" s="1"/>
  <c r="AY1096" i="1"/>
  <c r="AZ1096" i="1" s="1"/>
  <c r="AY2710" i="1"/>
  <c r="AY1642" i="1"/>
  <c r="BA1642" i="1" s="1"/>
  <c r="AY2147" i="1"/>
  <c r="BA2147" i="1" s="1"/>
  <c r="AY2448" i="1"/>
  <c r="AY2418" i="1"/>
  <c r="AY2410" i="1"/>
  <c r="AY2409" i="1"/>
  <c r="AY2322" i="1"/>
  <c r="AY2343" i="1"/>
  <c r="AY2309" i="1"/>
  <c r="AY2045" i="1"/>
  <c r="AZ2045" i="1" s="1"/>
  <c r="AY1182" i="1"/>
  <c r="AZ1182" i="1" s="1"/>
  <c r="AY1246" i="1"/>
  <c r="BA1246" i="1" s="1"/>
  <c r="AY233" i="1"/>
  <c r="AZ233" i="1" s="1"/>
  <c r="AY249" i="1"/>
  <c r="AZ249" i="1" s="1"/>
  <c r="AY265" i="1"/>
  <c r="AZ265" i="1" s="1"/>
  <c r="AY2516" i="1"/>
  <c r="AY2445" i="1"/>
  <c r="AY2444" i="1"/>
  <c r="AY2785" i="1"/>
  <c r="AY2991" i="1"/>
  <c r="AY2378" i="1"/>
  <c r="AY1595" i="1"/>
  <c r="AY1611" i="1"/>
  <c r="AY1619" i="1"/>
  <c r="AZ1619" i="1" s="1"/>
  <c r="AY1894" i="1"/>
  <c r="AZ1894" i="1" s="1"/>
  <c r="AY2155" i="1"/>
  <c r="AZ2155" i="1" s="1"/>
  <c r="AY4305" i="1"/>
  <c r="BA4305" i="1" s="1"/>
  <c r="AY601" i="1"/>
  <c r="BA601" i="1" s="1"/>
  <c r="AY825" i="1"/>
  <c r="AZ825" i="1" s="1"/>
  <c r="AY833" i="1"/>
  <c r="AZ833" i="1" s="1"/>
  <c r="AY2251" i="1"/>
  <c r="AZ2251" i="1" s="1"/>
  <c r="AY2616" i="1"/>
  <c r="AY2597" i="1"/>
  <c r="AY2605" i="1"/>
  <c r="AY2405" i="1"/>
  <c r="AY2399" i="1"/>
  <c r="AY2368" i="1"/>
  <c r="AY3055" i="1"/>
  <c r="AY3182" i="1"/>
  <c r="AY3054" i="1"/>
  <c r="AY3201" i="1"/>
  <c r="AY35" i="1"/>
  <c r="BA35" i="1" s="1"/>
  <c r="AY91" i="1"/>
  <c r="BA91" i="1" s="1"/>
  <c r="AY2242" i="1"/>
  <c r="BA2242" i="1" s="1"/>
  <c r="AY2736" i="1"/>
  <c r="AY2725" i="1"/>
  <c r="AY2595" i="1"/>
  <c r="AY2585" i="1"/>
  <c r="AY2497" i="1"/>
  <c r="AY2408" i="1"/>
  <c r="AY2369" i="1"/>
  <c r="AY2815" i="1"/>
  <c r="AY3303" i="1"/>
  <c r="AY3300" i="1"/>
  <c r="AY3270" i="1"/>
  <c r="AY3267" i="1"/>
  <c r="AY3251" i="1"/>
  <c r="AY2970" i="1"/>
  <c r="AY1755" i="1"/>
  <c r="AY1787" i="1"/>
  <c r="AY1926" i="1"/>
  <c r="AY2106" i="1"/>
  <c r="AY1553" i="1"/>
  <c r="AY1561" i="1"/>
  <c r="AY1577" i="1"/>
  <c r="AY1444" i="1"/>
  <c r="AY1460" i="1"/>
  <c r="AY1500" i="1"/>
  <c r="AY1524" i="1"/>
  <c r="AY4350" i="1"/>
  <c r="AY1294" i="1"/>
  <c r="AY73" i="1"/>
  <c r="AY81" i="1"/>
  <c r="AY97" i="1"/>
  <c r="AY145" i="1"/>
  <c r="AY177" i="1"/>
  <c r="AY289" i="1"/>
  <c r="AY360" i="1"/>
  <c r="AY456" i="1"/>
  <c r="AY472" i="1"/>
  <c r="AY592" i="1"/>
  <c r="AY839" i="1"/>
  <c r="AY855" i="1"/>
  <c r="AY887" i="1"/>
  <c r="AY1079" i="1"/>
  <c r="AY2752" i="1"/>
  <c r="AY2719" i="1"/>
  <c r="AY2380" i="1"/>
  <c r="AY2390" i="1"/>
  <c r="AY2354" i="1"/>
  <c r="AY2312" i="1"/>
  <c r="AY2306" i="1"/>
  <c r="AY2915" i="1"/>
  <c r="AY2796" i="1"/>
  <c r="AY2823" i="1"/>
  <c r="AY2810" i="1"/>
  <c r="AY2763" i="1"/>
  <c r="AY3285" i="1"/>
  <c r="AY3269" i="1"/>
  <c r="AY3268" i="1"/>
  <c r="AY3238" i="1"/>
  <c r="AY3230" i="1"/>
  <c r="AY3176" i="1"/>
  <c r="AY3166" i="1"/>
  <c r="AY3124" i="1"/>
  <c r="AY3113" i="1"/>
  <c r="AY3090" i="1"/>
  <c r="AY3071" i="1"/>
  <c r="AY3057" i="1"/>
  <c r="AY3021" i="1"/>
  <c r="AY2952" i="1"/>
  <c r="AY314" i="1"/>
  <c r="AY345" i="1"/>
  <c r="AY489" i="1"/>
  <c r="AY648" i="1"/>
  <c r="AY664" i="1"/>
  <c r="AY688" i="1"/>
  <c r="AY696" i="1"/>
  <c r="AY2529" i="1"/>
  <c r="AY3222" i="1"/>
  <c r="AY3210" i="1"/>
  <c r="AY2919" i="1"/>
  <c r="AY1887" i="1"/>
  <c r="AY1951" i="1"/>
  <c r="AY2046" i="1"/>
  <c r="AY832" i="1"/>
  <c r="AY968" i="1"/>
  <c r="AY1000" i="1"/>
  <c r="AY1032" i="1"/>
  <c r="AY1128" i="1"/>
  <c r="AY2713" i="1"/>
  <c r="AY2694" i="1"/>
  <c r="AY2685" i="1"/>
  <c r="AY2588" i="1"/>
  <c r="AY2569" i="1"/>
  <c r="AY2465" i="1"/>
  <c r="AY3181" i="1"/>
  <c r="AY3177" i="1"/>
  <c r="AY3121" i="1"/>
  <c r="AY3118" i="1"/>
  <c r="AY3022" i="1"/>
  <c r="AY578" i="1"/>
  <c r="AY761" i="1"/>
  <c r="AY2679" i="1"/>
  <c r="AY2567" i="1"/>
  <c r="AY2407" i="1"/>
  <c r="AY1904" i="1"/>
  <c r="AY1547" i="1"/>
  <c r="AY1563" i="1"/>
  <c r="AY905" i="1"/>
  <c r="AY1065" i="1"/>
  <c r="AY1073" i="1"/>
  <c r="AY2716" i="1"/>
  <c r="AY2690" i="1"/>
  <c r="AY2658" i="1"/>
  <c r="AY2541" i="1"/>
  <c r="AY2425" i="1"/>
  <c r="AY2926" i="1"/>
  <c r="AY2916" i="1"/>
  <c r="AY2852" i="1"/>
  <c r="AY3220" i="1"/>
  <c r="AY443" i="1"/>
  <c r="AY475" i="1"/>
  <c r="AY491" i="1"/>
  <c r="AY539" i="1"/>
  <c r="AY555" i="1"/>
  <c r="AY571" i="1"/>
  <c r="AY698" i="1"/>
  <c r="AY754" i="1"/>
  <c r="AY2661" i="1"/>
  <c r="AY2632" i="1"/>
  <c r="AY2610" i="1"/>
  <c r="AY2600" i="1"/>
  <c r="AY2566" i="1"/>
  <c r="AY2555" i="1"/>
  <c r="AY2542" i="1"/>
  <c r="AY2531" i="1"/>
  <c r="AY2470" i="1"/>
  <c r="AY2401" i="1"/>
  <c r="AY2372" i="1"/>
  <c r="AY2321" i="1"/>
  <c r="AY2327" i="1"/>
  <c r="AY1702" i="1"/>
  <c r="AY1479" i="1"/>
  <c r="AY2025" i="1"/>
  <c r="AY2033" i="1"/>
  <c r="AY603" i="1"/>
  <c r="AY898" i="1"/>
  <c r="AY906" i="1"/>
  <c r="AY922" i="1"/>
  <c r="AY2756" i="1"/>
  <c r="AY2746" i="1"/>
  <c r="AY2740" i="1"/>
  <c r="AY3250" i="1"/>
  <c r="AY245" i="1"/>
  <c r="AY412" i="1"/>
  <c r="AY420" i="1"/>
  <c r="AY500" i="1"/>
  <c r="AY516" i="1"/>
  <c r="AY548" i="1"/>
  <c r="AY627" i="1"/>
  <c r="AY643" i="1"/>
  <c r="AY747" i="1"/>
  <c r="AY779" i="1"/>
  <c r="AY2492" i="1"/>
  <c r="AY2890" i="1"/>
  <c r="AY2819" i="1"/>
  <c r="AY3215" i="1"/>
  <c r="AY1703" i="1"/>
  <c r="AY1938" i="1"/>
  <c r="AY1954" i="1"/>
  <c r="AY1488" i="1"/>
  <c r="AY1504" i="1"/>
  <c r="AY4403" i="1"/>
  <c r="AY1162" i="1"/>
  <c r="AY1274" i="1"/>
  <c r="AY1306" i="1"/>
  <c r="AY397" i="1"/>
  <c r="AY533" i="1"/>
  <c r="AY541" i="1"/>
  <c r="AY891" i="1"/>
  <c r="AY907" i="1"/>
  <c r="AY923" i="1"/>
  <c r="AY979" i="1"/>
  <c r="AY987" i="1"/>
  <c r="AY1051" i="1"/>
  <c r="AY1067" i="1"/>
  <c r="AY2761" i="1"/>
  <c r="AY2371" i="1"/>
  <c r="AY2363" i="1"/>
  <c r="AY2893" i="1"/>
  <c r="AY2838" i="1"/>
  <c r="AY2816" i="1"/>
  <c r="AY3290" i="1"/>
  <c r="AY3178" i="1"/>
  <c r="AY1624" i="1"/>
  <c r="AY2139" i="1"/>
  <c r="AY2129" i="1"/>
  <c r="AY1542" i="1"/>
  <c r="AY1315" i="1"/>
  <c r="AY605" i="1"/>
  <c r="AY613" i="1"/>
  <c r="AY876" i="1"/>
  <c r="AY892" i="1"/>
  <c r="AY2649" i="1"/>
  <c r="AY2558" i="1"/>
  <c r="AY2455" i="1"/>
  <c r="AY2431" i="1"/>
  <c r="AY2906" i="1"/>
  <c r="AY2794" i="1"/>
  <c r="AY3219" i="1"/>
  <c r="AY3179" i="1"/>
  <c r="AY3104" i="1"/>
  <c r="AY2958" i="1"/>
  <c r="AY4382" i="1"/>
  <c r="AY247" i="1"/>
  <c r="AY326" i="1"/>
  <c r="AY358" i="1"/>
  <c r="AY486" i="1"/>
  <c r="AY621" i="1"/>
  <c r="AY629" i="1"/>
  <c r="AY637" i="1"/>
  <c r="AY645" i="1"/>
  <c r="AY709" i="1"/>
  <c r="AY2617" i="1"/>
  <c r="AY2587" i="1"/>
  <c r="AY2421" i="1"/>
  <c r="AY2404" i="1"/>
  <c r="AY2398" i="1"/>
  <c r="AY2362" i="1"/>
  <c r="AY2367" i="1"/>
  <c r="AY2355" i="1"/>
  <c r="AY3208" i="1"/>
  <c r="AY1673" i="1"/>
  <c r="AY1705" i="1"/>
  <c r="AY1490" i="1"/>
  <c r="AY4255" i="1"/>
  <c r="AY4327" i="1"/>
  <c r="AY877" i="1"/>
  <c r="AY909" i="1"/>
  <c r="AY925" i="1"/>
  <c r="AY933" i="1"/>
  <c r="AY1085" i="1"/>
  <c r="AY2190" i="1"/>
  <c r="AY2222" i="1"/>
  <c r="AY2760" i="1"/>
  <c r="AY2656" i="1"/>
  <c r="AY2515" i="1"/>
  <c r="AY2508" i="1"/>
  <c r="AY2495" i="1"/>
  <c r="AY2487" i="1"/>
  <c r="AY2484" i="1"/>
  <c r="AY2896" i="1"/>
  <c r="AY2846" i="1"/>
  <c r="AY2928" i="1"/>
  <c r="AY1674" i="1"/>
  <c r="AY1893" i="1"/>
  <c r="AY1973" i="1"/>
  <c r="AY1544" i="1"/>
  <c r="AY1373" i="1"/>
  <c r="AY1437" i="1"/>
  <c r="AY1995" i="1"/>
  <c r="AY280" i="1"/>
  <c r="AY615" i="1"/>
  <c r="AY726" i="1"/>
  <c r="AY942" i="1"/>
  <c r="AY990" i="1"/>
  <c r="AY1054" i="1"/>
  <c r="AY1070" i="1"/>
  <c r="AY2683" i="1"/>
  <c r="AY2450" i="1"/>
  <c r="AY2411" i="1"/>
  <c r="AY2348" i="1"/>
  <c r="AY3277" i="1"/>
  <c r="AY3237" i="1"/>
  <c r="AY3217" i="1"/>
  <c r="AY3103" i="1"/>
  <c r="AY3070" i="1"/>
  <c r="AY3064" i="1"/>
  <c r="AY2944" i="1"/>
  <c r="AY1751" i="1"/>
  <c r="AY1767" i="1"/>
  <c r="AY1818" i="1"/>
  <c r="AY1870" i="1"/>
  <c r="AY1914" i="1"/>
  <c r="AY1978" i="1"/>
  <c r="AY4226" i="1"/>
  <c r="AY4266" i="1"/>
  <c r="AY4314" i="1"/>
  <c r="AY4377" i="1"/>
  <c r="AY1134" i="1"/>
  <c r="AY1150" i="1"/>
  <c r="AY1166" i="1"/>
  <c r="AY1214" i="1"/>
  <c r="AY1277" i="1"/>
  <c r="AY1285" i="1"/>
  <c r="AY1301" i="1"/>
  <c r="AY1309" i="1"/>
  <c r="AY1317" i="1"/>
  <c r="AY1325" i="1"/>
  <c r="AY1357" i="1"/>
  <c r="AY2003" i="1"/>
  <c r="AY2011" i="1"/>
  <c r="AY24" i="1"/>
  <c r="AY40" i="1"/>
  <c r="AY48" i="1"/>
  <c r="AY56" i="1"/>
  <c r="AY72" i="1"/>
  <c r="AY120" i="1"/>
  <c r="AY152" i="1"/>
  <c r="AY279" i="1"/>
  <c r="AY334" i="1"/>
  <c r="AY365" i="1"/>
  <c r="AY389" i="1"/>
  <c r="AY405" i="1"/>
  <c r="AY421" i="1"/>
  <c r="AY429" i="1"/>
  <c r="AY468" i="1"/>
  <c r="AY587" i="1"/>
  <c r="AY602" i="1"/>
  <c r="AY617" i="1"/>
  <c r="AY680" i="1"/>
  <c r="AY791" i="1"/>
  <c r="AY823" i="1"/>
  <c r="AY846" i="1"/>
  <c r="AY893" i="1"/>
  <c r="AY996" i="1"/>
  <c r="AY1099" i="1"/>
  <c r="AY1107" i="1"/>
  <c r="AY1123" i="1"/>
  <c r="AY2213" i="1"/>
  <c r="AY2299" i="1"/>
  <c r="AY2782" i="1"/>
  <c r="AY2704" i="1"/>
  <c r="AY2676" i="1"/>
  <c r="AY2641" i="1"/>
  <c r="AY2629" i="1"/>
  <c r="AY2507" i="1"/>
  <c r="AY2347" i="1"/>
  <c r="AY2329" i="1"/>
  <c r="AY2847" i="1"/>
  <c r="AY4243" i="1"/>
  <c r="AY4370" i="1"/>
  <c r="AY776" i="1"/>
  <c r="AY1045" i="1"/>
  <c r="AY3257" i="1"/>
  <c r="AY3153" i="1"/>
  <c r="AY3013" i="1"/>
  <c r="AY2997" i="1"/>
  <c r="AY2980" i="1"/>
  <c r="AY2921" i="1"/>
  <c r="AY1610" i="1"/>
  <c r="AY1689" i="1"/>
  <c r="AY1915" i="1"/>
  <c r="AY1947" i="1"/>
  <c r="AY2093" i="1"/>
  <c r="AY2102" i="1"/>
  <c r="AY1572" i="1"/>
  <c r="AY493" i="1"/>
  <c r="AY501" i="1"/>
  <c r="AY549" i="1"/>
  <c r="AY649" i="1"/>
  <c r="AY681" i="1"/>
  <c r="AY769" i="1"/>
  <c r="AY918" i="1"/>
  <c r="AY934" i="1"/>
  <c r="AY1053" i="1"/>
  <c r="AY2238" i="1"/>
  <c r="AY2738" i="1"/>
  <c r="AY2672" i="1"/>
  <c r="AY2680" i="1"/>
  <c r="AY2645" i="1"/>
  <c r="AY2575" i="1"/>
  <c r="AY2385" i="1"/>
  <c r="AY2925" i="1"/>
  <c r="AY2902" i="1"/>
  <c r="AY2787" i="1"/>
  <c r="AY1358" i="1"/>
  <c r="AY41" i="1"/>
  <c r="AY161" i="1"/>
  <c r="AY1029" i="1"/>
  <c r="AY2191" i="1"/>
  <c r="AY2359" i="1"/>
  <c r="AY3156" i="1"/>
  <c r="AY3123" i="1"/>
  <c r="AY3089" i="1"/>
  <c r="AY3067" i="1"/>
  <c r="AY3045" i="1"/>
  <c r="AY3036" i="1"/>
  <c r="AY3029" i="1"/>
  <c r="AY1658" i="1"/>
  <c r="AY1666" i="1"/>
  <c r="AY1713" i="1"/>
  <c r="AY1721" i="1"/>
  <c r="AY1737" i="1"/>
  <c r="AY1785" i="1"/>
  <c r="AY2151" i="1"/>
  <c r="AY1495" i="1"/>
  <c r="AY1383" i="1"/>
  <c r="AY1431" i="1"/>
  <c r="AY2" i="1"/>
  <c r="AY210" i="1"/>
  <c r="AY454" i="1"/>
  <c r="AY950" i="1"/>
  <c r="AY1014" i="1"/>
  <c r="AY1117" i="1"/>
  <c r="AY2237" i="1"/>
  <c r="AY2591" i="1"/>
  <c r="AY2459" i="1"/>
  <c r="AY2020" i="1"/>
  <c r="AY744" i="1"/>
  <c r="AY989" i="1"/>
  <c r="AY2184" i="1"/>
  <c r="AY3180" i="1"/>
  <c r="AY3008" i="1"/>
  <c r="AY2986" i="1"/>
  <c r="AY2940" i="1"/>
  <c r="AY2936" i="1"/>
  <c r="AY1603" i="1"/>
  <c r="AY1698" i="1"/>
  <c r="AY1916" i="1"/>
  <c r="AY1924" i="1"/>
  <c r="AY1948" i="1"/>
  <c r="AY1956" i="1"/>
  <c r="AY2158" i="1"/>
  <c r="AY1541" i="1"/>
  <c r="AY1573" i="1"/>
  <c r="AY2048" i="1"/>
  <c r="AY1184" i="1"/>
  <c r="AY1216" i="1"/>
  <c r="AY1232" i="1"/>
  <c r="AY1240" i="1"/>
  <c r="AY1256" i="1"/>
  <c r="AY250" i="1"/>
  <c r="AY344" i="1"/>
  <c r="AY487" i="1"/>
  <c r="AY502" i="1"/>
  <c r="AY565" i="1"/>
  <c r="AY573" i="1"/>
  <c r="AY589" i="1"/>
  <c r="AY674" i="1"/>
  <c r="AY809" i="1"/>
  <c r="AY888" i="1"/>
  <c r="AY967" i="1"/>
  <c r="AY983" i="1"/>
  <c r="AY999" i="1"/>
  <c r="AY1015" i="1"/>
  <c r="AY1102" i="1"/>
  <c r="AY2200" i="1"/>
  <c r="AY2204" i="1"/>
  <c r="AY2220" i="1"/>
  <c r="AY2260" i="1"/>
  <c r="AY2712" i="1"/>
  <c r="AY2697" i="1"/>
  <c r="AY2524" i="1"/>
  <c r="AY2475" i="1"/>
  <c r="AY2438" i="1"/>
  <c r="AY2383" i="1"/>
  <c r="AY2899" i="1"/>
  <c r="AY2766" i="1"/>
  <c r="AY1855" i="1"/>
  <c r="AY2176" i="1"/>
  <c r="AY129" i="1"/>
  <c r="AY248" i="1"/>
  <c r="AY768" i="1"/>
  <c r="AY3213" i="1"/>
  <c r="AY3168" i="1"/>
  <c r="AY3041" i="1"/>
  <c r="AY2987" i="1"/>
  <c r="AY1627" i="1"/>
  <c r="AY1643" i="1"/>
  <c r="AY1691" i="1"/>
  <c r="AY1738" i="1"/>
  <c r="AY1786" i="1"/>
  <c r="AY1849" i="1"/>
  <c r="AY1865" i="1"/>
  <c r="AY2140" i="1"/>
  <c r="AY2065" i="1"/>
  <c r="AY2081" i="1"/>
  <c r="AY2089" i="1"/>
  <c r="AY1448" i="1"/>
  <c r="AY1464" i="1"/>
  <c r="AY1472" i="1"/>
  <c r="AY1480" i="1"/>
  <c r="AY1496" i="1"/>
  <c r="AY1512" i="1"/>
  <c r="AY4229" i="1"/>
  <c r="AY4364" i="1"/>
  <c r="AY4380" i="1"/>
  <c r="AY1384" i="1"/>
  <c r="AY1392" i="1"/>
  <c r="AY1408" i="1"/>
  <c r="AY1432" i="1"/>
  <c r="AY19" i="1"/>
  <c r="AY43" i="1"/>
  <c r="AY107" i="1"/>
  <c r="AY139" i="1"/>
  <c r="AY155" i="1"/>
  <c r="AY171" i="1"/>
  <c r="AY187" i="1"/>
  <c r="AY203" i="1"/>
  <c r="AY392" i="1"/>
  <c r="AY440" i="1"/>
  <c r="AY1712" i="1"/>
  <c r="AY9" i="1"/>
  <c r="AY461" i="1"/>
  <c r="AY2960" i="1"/>
  <c r="AY2942" i="1"/>
  <c r="AY1981" i="1"/>
  <c r="AY1550" i="1"/>
  <c r="AY1558" i="1"/>
  <c r="AY4277" i="1"/>
  <c r="AY1130" i="1"/>
  <c r="AY329" i="1"/>
  <c r="AY441" i="1"/>
  <c r="AY488" i="1"/>
  <c r="AY667" i="1"/>
  <c r="AY683" i="1"/>
  <c r="AY699" i="1"/>
  <c r="AY715" i="1"/>
  <c r="AY731" i="1"/>
  <c r="AY818" i="1"/>
  <c r="AY841" i="1"/>
  <c r="AY849" i="1"/>
  <c r="AY857" i="1"/>
  <c r="AY873" i="1"/>
  <c r="AY881" i="1"/>
  <c r="AY889" i="1"/>
  <c r="AY1016" i="1"/>
  <c r="AY2218" i="1"/>
  <c r="AY2742" i="1"/>
  <c r="AY2682" i="1"/>
  <c r="AY2651" i="1"/>
  <c r="AY2603" i="1"/>
  <c r="AY2510" i="1"/>
  <c r="AY2441" i="1"/>
  <c r="AY2370" i="1"/>
  <c r="AY2374" i="1"/>
  <c r="AY1819" i="1"/>
  <c r="AY4235" i="1"/>
  <c r="AY25" i="1"/>
  <c r="AY728" i="1"/>
  <c r="AY3134" i="1"/>
  <c r="AY3049" i="1"/>
  <c r="AY1692" i="1"/>
  <c r="AY1803" i="1"/>
  <c r="AY1822" i="1"/>
  <c r="AY1850" i="1"/>
  <c r="AY1866" i="1"/>
  <c r="AY1958" i="1"/>
  <c r="AY2179" i="1"/>
  <c r="AY2051" i="1"/>
  <c r="AY2074" i="1"/>
  <c r="AY2082" i="1"/>
  <c r="AY1489" i="1"/>
  <c r="AY1521" i="1"/>
  <c r="AY4381" i="1"/>
  <c r="AY1337" i="1"/>
  <c r="AY20" i="1"/>
  <c r="AY100" i="1"/>
  <c r="AY140" i="1"/>
  <c r="AY148" i="1"/>
  <c r="AY409" i="1"/>
  <c r="AY425" i="1"/>
  <c r="AY449" i="1"/>
  <c r="AY644" i="1"/>
  <c r="AY1752" i="1"/>
  <c r="AY1827" i="1"/>
  <c r="AY3282" i="1"/>
  <c r="AY3018" i="1"/>
  <c r="AY1902" i="1"/>
  <c r="AY2105" i="1"/>
  <c r="AY2113" i="1"/>
  <c r="AY1551" i="1"/>
  <c r="AY1575" i="1"/>
  <c r="AY1131" i="1"/>
  <c r="AY1178" i="1"/>
  <c r="AY1242" i="1"/>
  <c r="AY512" i="1"/>
  <c r="AY520" i="1"/>
  <c r="AY536" i="1"/>
  <c r="AY552" i="1"/>
  <c r="AY591" i="1"/>
  <c r="AY606" i="1"/>
  <c r="AY684" i="1"/>
  <c r="AY803" i="1"/>
  <c r="AY921" i="1"/>
  <c r="AY1048" i="1"/>
  <c r="AY2456" i="1"/>
  <c r="AY2351" i="1"/>
  <c r="AY1744" i="1"/>
  <c r="AY264" i="1"/>
  <c r="AY374" i="1"/>
  <c r="AY477" i="1"/>
  <c r="AY736" i="1"/>
  <c r="AY2901" i="1"/>
  <c r="AY3105" i="1"/>
  <c r="AY3094" i="1"/>
  <c r="AY3042" i="1"/>
  <c r="AY2969" i="1"/>
  <c r="AY1748" i="1"/>
  <c r="AY1796" i="1"/>
  <c r="AY2168" i="1"/>
  <c r="AY2134" i="1"/>
  <c r="AY2124" i="1"/>
  <c r="AY4366" i="1"/>
  <c r="AY2027" i="1"/>
  <c r="AY1290" i="1"/>
  <c r="AY1322" i="1"/>
  <c r="AY1338" i="1"/>
  <c r="AY1418" i="1"/>
  <c r="AY2008" i="1"/>
  <c r="AY21" i="1"/>
  <c r="AY45" i="1"/>
  <c r="AY93" i="1"/>
  <c r="AY125" i="1"/>
  <c r="AY141" i="1"/>
  <c r="AY173" i="1"/>
  <c r="AY205" i="1"/>
  <c r="AY221" i="1"/>
  <c r="AY457" i="1"/>
  <c r="AY701" i="1"/>
  <c r="AY875" i="1"/>
  <c r="AY937" i="1"/>
  <c r="AY945" i="1"/>
  <c r="AY977" i="1"/>
  <c r="AY985" i="1"/>
  <c r="AY1049" i="1"/>
  <c r="AY1081" i="1"/>
  <c r="AY1112" i="1"/>
  <c r="AY2199" i="1"/>
  <c r="AY2247" i="1"/>
  <c r="AY2615" i="1"/>
  <c r="AY2565" i="1"/>
  <c r="AY2556" i="1"/>
  <c r="AY2520" i="1"/>
  <c r="AY2414" i="1"/>
  <c r="AY2320" i="1"/>
  <c r="AY2325" i="1"/>
  <c r="AY2905" i="1"/>
  <c r="AY1494" i="1"/>
  <c r="AY121" i="1"/>
  <c r="AY720" i="1"/>
  <c r="AY1005" i="1"/>
  <c r="AY3297" i="1"/>
  <c r="AY3278" i="1"/>
  <c r="AY3032" i="1"/>
  <c r="AY3006" i="1"/>
  <c r="AY2950" i="1"/>
  <c r="AY1536" i="1"/>
  <c r="AY4295" i="1"/>
  <c r="AY1179" i="1"/>
  <c r="AY1187" i="1"/>
  <c r="AY1195" i="1"/>
  <c r="AY1203" i="1"/>
  <c r="AY292" i="1"/>
  <c r="AY300" i="1"/>
  <c r="AY450" i="1"/>
  <c r="AY537" i="1"/>
  <c r="AY568" i="1"/>
  <c r="AY576" i="1"/>
  <c r="AY584" i="1"/>
  <c r="AY600" i="1"/>
  <c r="AY638" i="1"/>
  <c r="AY661" i="1"/>
  <c r="AY685" i="1"/>
  <c r="AY693" i="1"/>
  <c r="AY3188" i="1"/>
  <c r="AY2164" i="1"/>
  <c r="AY217" i="1"/>
  <c r="AY469" i="1"/>
  <c r="AY997" i="1"/>
  <c r="AY3088" i="1"/>
  <c r="AY3092" i="1"/>
  <c r="AY1741" i="1"/>
  <c r="AY1749" i="1"/>
  <c r="AY1852" i="1"/>
  <c r="AY1475" i="1"/>
  <c r="AY1491" i="1"/>
  <c r="AY1523" i="1"/>
  <c r="AY4240" i="1"/>
  <c r="AY4248" i="1"/>
  <c r="AY1275" i="1"/>
  <c r="AY1283" i="1"/>
  <c r="AY1307" i="1"/>
  <c r="AY1331" i="1"/>
  <c r="AY1411" i="1"/>
  <c r="AY1419" i="1"/>
  <c r="AY2009" i="1"/>
  <c r="AY14" i="1"/>
  <c r="AY22" i="1"/>
  <c r="AY102" i="1"/>
  <c r="AY110" i="1"/>
  <c r="AY126" i="1"/>
  <c r="AY158" i="1"/>
  <c r="AY363" i="1"/>
  <c r="AY395" i="1"/>
  <c r="AY411" i="1"/>
  <c r="AY630" i="1"/>
  <c r="AY702" i="1"/>
  <c r="AY725" i="1"/>
  <c r="AY733" i="1"/>
  <c r="AY1026" i="1"/>
  <c r="AY1034" i="1"/>
  <c r="AY1113" i="1"/>
  <c r="AY2259" i="1"/>
  <c r="AY2255" i="1"/>
  <c r="AY2715" i="1"/>
  <c r="AY2695" i="1"/>
  <c r="AY2578" i="1"/>
  <c r="AY2571" i="1"/>
  <c r="AY2513" i="1"/>
  <c r="AY2400" i="1"/>
  <c r="AY2889" i="1"/>
  <c r="AY2876" i="1"/>
  <c r="AY2874" i="1"/>
  <c r="AY2828" i="1"/>
  <c r="AY2856" i="1"/>
  <c r="AY2842" i="1"/>
  <c r="AY2789" i="1"/>
  <c r="AY1108" i="1"/>
  <c r="AY3291" i="1"/>
  <c r="AY3274" i="1"/>
  <c r="AY3255" i="1"/>
  <c r="AY3221" i="1"/>
  <c r="AY3011" i="1"/>
  <c r="AY2953" i="1"/>
  <c r="AY2930" i="1"/>
  <c r="AY1607" i="1"/>
  <c r="AY1623" i="1"/>
  <c r="AY4280" i="1"/>
  <c r="AY4296" i="1"/>
  <c r="AY4320" i="1"/>
  <c r="AY1196" i="1"/>
  <c r="AY1204" i="1"/>
  <c r="AY1220" i="1"/>
  <c r="AY230" i="1"/>
  <c r="AY277" i="1"/>
  <c r="AY285" i="1"/>
  <c r="AY301" i="1"/>
  <c r="AY309" i="1"/>
  <c r="AY451" i="1"/>
  <c r="AY554" i="1"/>
  <c r="AY569" i="1"/>
  <c r="AY766" i="1"/>
  <c r="AY813" i="1"/>
  <c r="AY955" i="1"/>
  <c r="AY1058" i="1"/>
  <c r="AY2180" i="1"/>
  <c r="AY2206" i="1"/>
  <c r="AY2293" i="1"/>
  <c r="AY2734" i="1"/>
  <c r="AY2721" i="1"/>
  <c r="AY2717" i="1"/>
  <c r="AY2669" i="1"/>
  <c r="AY2678" i="1"/>
  <c r="AY2663" i="1"/>
  <c r="AY2594" i="1"/>
  <c r="AY2525" i="1"/>
  <c r="AY2373" i="1"/>
  <c r="AY1374" i="1"/>
  <c r="AY2012" i="1"/>
  <c r="AY3207" i="1"/>
  <c r="AY3157" i="1"/>
  <c r="AY3136" i="1"/>
  <c r="AY3106" i="1"/>
  <c r="AY3098" i="1"/>
  <c r="AY3063" i="1"/>
  <c r="AY2968" i="1"/>
  <c r="AY1679" i="1"/>
  <c r="AY1726" i="1"/>
  <c r="AY1734" i="1"/>
  <c r="AY1766" i="1"/>
  <c r="AY1782" i="1"/>
  <c r="AY1790" i="1"/>
  <c r="AY1806" i="1"/>
  <c r="AY1853" i="1"/>
  <c r="AY1913" i="1"/>
  <c r="AY1945" i="1"/>
  <c r="AY1554" i="1"/>
  <c r="AY1578" i="1"/>
  <c r="AY1476" i="1"/>
  <c r="AY1508" i="1"/>
  <c r="AY4233" i="1"/>
  <c r="AY4297" i="1"/>
  <c r="AY4368" i="1"/>
  <c r="AY1229" i="1"/>
  <c r="AY1324" i="1"/>
  <c r="AY1332" i="1"/>
  <c r="AY1396" i="1"/>
  <c r="AY1412" i="1"/>
  <c r="AY15" i="1"/>
  <c r="AY47" i="1"/>
  <c r="AY286" i="1"/>
  <c r="AY302" i="1"/>
  <c r="AY341" i="1"/>
  <c r="AY388" i="1"/>
  <c r="AY616" i="1"/>
  <c r="AY814" i="1"/>
  <c r="AY869" i="1"/>
  <c r="AY2205" i="1"/>
  <c r="AY2216" i="1"/>
  <c r="AY2239" i="1"/>
  <c r="AY2784" i="1"/>
  <c r="AY2638" i="1"/>
  <c r="AY2622" i="1"/>
  <c r="AY2577" i="1"/>
  <c r="AY2563" i="1"/>
  <c r="AY2534" i="1"/>
  <c r="AY2522" i="1"/>
  <c r="AY2512" i="1"/>
  <c r="AY2491" i="1"/>
  <c r="AY2483" i="1"/>
  <c r="AY2477" i="1"/>
  <c r="AY2394" i="1"/>
  <c r="AY2318" i="1"/>
  <c r="AY2923" i="1"/>
  <c r="AY2800" i="1"/>
  <c r="AY2824" i="1"/>
  <c r="AY2811" i="1"/>
  <c r="AY2803" i="1"/>
  <c r="AY2768" i="1"/>
  <c r="AY3301" i="1"/>
  <c r="AY3261" i="1"/>
  <c r="AY3263" i="1"/>
  <c r="AY3172" i="1"/>
  <c r="AY3128" i="1"/>
  <c r="AY3138" i="1"/>
  <c r="AY3159" i="1"/>
  <c r="AY3101" i="1"/>
  <c r="AY3062" i="1"/>
  <c r="AY3052" i="1"/>
  <c r="AY1630" i="1"/>
  <c r="AY1638" i="1"/>
  <c r="AY1662" i="1"/>
  <c r="AY1670" i="1"/>
  <c r="AY1677" i="1"/>
  <c r="AY1685" i="1"/>
  <c r="AY1716" i="1"/>
  <c r="AY1739" i="1"/>
  <c r="AY1763" i="1"/>
  <c r="AY1802" i="1"/>
  <c r="AY1813" i="1"/>
  <c r="AY1821" i="1"/>
  <c r="AY3189" i="1"/>
  <c r="AY3143" i="1"/>
  <c r="AY3150" i="1"/>
  <c r="AY3095" i="1"/>
  <c r="AY3082" i="1"/>
  <c r="AY3009" i="1"/>
  <c r="AY3010" i="1"/>
  <c r="AY2984" i="1"/>
  <c r="AY1756" i="1"/>
  <c r="AY1764" i="1"/>
  <c r="AY1771" i="1"/>
  <c r="AY1829" i="1"/>
  <c r="AY312" i="1"/>
  <c r="AY3231" i="1"/>
  <c r="AY3211" i="1"/>
  <c r="AY3137" i="1"/>
  <c r="AY3164" i="1"/>
  <c r="AY3107" i="1"/>
  <c r="AY3056" i="1"/>
  <c r="AY1616" i="1"/>
  <c r="AY1631" i="1"/>
  <c r="AY1639" i="1"/>
  <c r="AY1655" i="1"/>
  <c r="AY1671" i="1"/>
  <c r="AY3193" i="1"/>
  <c r="AY3192" i="1"/>
  <c r="AY3161" i="1"/>
  <c r="AY3115" i="1"/>
  <c r="AY3075" i="1"/>
  <c r="AY2978" i="1"/>
  <c r="AY2956" i="1"/>
  <c r="AY1804" i="1"/>
  <c r="AY1815" i="1"/>
  <c r="AY1909" i="1"/>
  <c r="AY3246" i="1"/>
  <c r="AY3236" i="1"/>
  <c r="AY3147" i="1"/>
  <c r="AY3108" i="1"/>
  <c r="AY3053" i="1"/>
  <c r="AY3047" i="1"/>
  <c r="AY2977" i="1"/>
  <c r="AY2932" i="1"/>
  <c r="AY1594" i="1"/>
  <c r="AY1632" i="1"/>
  <c r="AY1648" i="1"/>
  <c r="AY1687" i="1"/>
  <c r="AY2920" i="1"/>
  <c r="AY3286" i="1"/>
  <c r="AY3194" i="1"/>
  <c r="AY3198" i="1"/>
  <c r="AY3114" i="1"/>
  <c r="AY3087" i="1"/>
  <c r="AY3020" i="1"/>
  <c r="AY3027" i="1"/>
  <c r="AY3005" i="1"/>
  <c r="AY3280" i="1"/>
  <c r="AY3242" i="1"/>
  <c r="AY3240" i="1"/>
  <c r="AY3146" i="1"/>
  <c r="AY3162" i="1"/>
  <c r="AY3037" i="1"/>
  <c r="AY3030" i="1"/>
  <c r="AY3001" i="1"/>
  <c r="AY2954" i="1"/>
  <c r="AY1649" i="1"/>
  <c r="AY1657" i="1"/>
  <c r="AY1680" i="1"/>
  <c r="AY1688" i="1"/>
  <c r="AY1719" i="1"/>
  <c r="AY1727" i="1"/>
  <c r="AY1735" i="1"/>
  <c r="AY1797" i="1"/>
  <c r="AY1805" i="1"/>
  <c r="AY3309" i="1"/>
  <c r="AY3212" i="1"/>
  <c r="AY3132" i="1"/>
  <c r="AY3086" i="1"/>
  <c r="AY3015" i="1"/>
  <c r="AY2998" i="1"/>
  <c r="AY3007" i="1"/>
  <c r="AY2963" i="1"/>
  <c r="AY1720" i="1"/>
  <c r="AY1736" i="1"/>
  <c r="AY3241" i="1"/>
  <c r="AY2951" i="1"/>
  <c r="AY3283" i="1"/>
  <c r="AY3140" i="1"/>
  <c r="AY3171" i="1"/>
  <c r="AY3078" i="1"/>
  <c r="AY2935" i="1"/>
  <c r="AY1589" i="1"/>
  <c r="AY1620" i="1"/>
  <c r="AY1690" i="1"/>
  <c r="AY1775" i="1"/>
  <c r="AY1783" i="1"/>
  <c r="AY1799" i="1"/>
  <c r="AY1825" i="1"/>
  <c r="AY3254" i="1"/>
  <c r="AY3245" i="1"/>
  <c r="AY3281" i="1"/>
  <c r="AY3229" i="1"/>
  <c r="AY3214" i="1"/>
  <c r="AY3184" i="1"/>
  <c r="AY3170" i="1"/>
  <c r="AY3130" i="1"/>
  <c r="AY3152" i="1"/>
  <c r="AY3122" i="1"/>
  <c r="AY3060" i="1"/>
  <c r="AY2996" i="1"/>
  <c r="AY1597" i="1"/>
  <c r="AY1768" i="1"/>
  <c r="AY1776" i="1"/>
  <c r="AY1784" i="1"/>
  <c r="AY1854" i="1"/>
  <c r="AY3252" i="1"/>
  <c r="AY3243" i="1"/>
  <c r="AY3066" i="1"/>
  <c r="AY3061" i="1"/>
  <c r="AY3040" i="1"/>
  <c r="AY3014" i="1"/>
  <c r="AY2957" i="1"/>
  <c r="AY2947" i="1"/>
  <c r="AY2934" i="1"/>
  <c r="AY1613" i="1"/>
  <c r="AY1652" i="1"/>
  <c r="AY1675" i="1"/>
  <c r="AY1699" i="1"/>
  <c r="AY1706" i="1"/>
  <c r="AY1722" i="1"/>
  <c r="AY1730" i="1"/>
  <c r="AY1753" i="1"/>
  <c r="AY1181" i="1"/>
  <c r="AY3289" i="1"/>
  <c r="AY3262" i="1"/>
  <c r="AY3000" i="1"/>
  <c r="AY2948" i="1"/>
  <c r="AY3284" i="1"/>
  <c r="AY3271" i="1"/>
  <c r="AY3244" i="1"/>
  <c r="AY3233" i="1"/>
  <c r="AY3206" i="1"/>
  <c r="AY3102" i="1"/>
  <c r="AY3091" i="1"/>
  <c r="AY3059" i="1"/>
  <c r="AY3050" i="1"/>
  <c r="AY3019" i="1"/>
  <c r="AY2979" i="1"/>
  <c r="AY2965" i="1"/>
  <c r="AY2931" i="1"/>
  <c r="AY1591" i="1"/>
  <c r="AY1684" i="1"/>
  <c r="AY1707" i="1"/>
  <c r="AY1723" i="1"/>
  <c r="AY1754" i="1"/>
  <c r="AY1762" i="1"/>
  <c r="AY1770" i="1"/>
  <c r="AY1820" i="1"/>
  <c r="AY2144" i="1"/>
  <c r="AY357" i="1"/>
  <c r="AY1970" i="1"/>
  <c r="AY2172" i="1"/>
  <c r="AY2143" i="1"/>
  <c r="AY2108" i="1"/>
  <c r="AY2156" i="1"/>
  <c r="AY1545" i="1"/>
  <c r="AY2057" i="1"/>
  <c r="AY2068" i="1"/>
  <c r="AY2076" i="1"/>
  <c r="AY2084" i="1"/>
  <c r="AY1443" i="1"/>
  <c r="AY1459" i="1"/>
  <c r="AY1497" i="1"/>
  <c r="AY4245" i="1"/>
  <c r="AY4292" i="1"/>
  <c r="AY4352" i="1"/>
  <c r="AY4362" i="1"/>
  <c r="AY1165" i="1"/>
  <c r="AY1180" i="1"/>
  <c r="AY1243" i="1"/>
  <c r="AY1251" i="1"/>
  <c r="AY1346" i="1"/>
  <c r="AY1354" i="1"/>
  <c r="AY1369" i="1"/>
  <c r="AY1416" i="1"/>
  <c r="AY1998" i="1"/>
  <c r="AY33" i="1"/>
  <c r="AY119" i="1"/>
  <c r="AY156" i="1"/>
  <c r="AY241" i="1"/>
  <c r="AY257" i="1"/>
  <c r="AY296" i="1"/>
  <c r="AY318" i="1"/>
  <c r="AY333" i="1"/>
  <c r="AY393" i="1"/>
  <c r="AY401" i="1"/>
  <c r="AY424" i="1"/>
  <c r="AY513" i="1"/>
  <c r="AY529" i="1"/>
  <c r="AY543" i="1"/>
  <c r="AY572" i="1"/>
  <c r="AY631" i="1"/>
  <c r="AY668" i="1"/>
  <c r="AY706" i="1"/>
  <c r="AY713" i="1"/>
  <c r="AY737" i="1"/>
  <c r="AY799" i="1"/>
  <c r="AY830" i="1"/>
  <c r="AY837" i="1"/>
  <c r="AY845" i="1"/>
  <c r="AY861" i="1"/>
  <c r="AY899" i="1"/>
  <c r="AY929" i="1"/>
  <c r="AY944" i="1"/>
  <c r="AY982" i="1"/>
  <c r="AY1022" i="1"/>
  <c r="AY1066" i="1"/>
  <c r="AY1088" i="1"/>
  <c r="AY2182" i="1"/>
  <c r="AY2194" i="1"/>
  <c r="AY2209" i="1"/>
  <c r="AY2224" i="1"/>
  <c r="AY2248" i="1"/>
  <c r="AY2748" i="1"/>
  <c r="AY2739" i="1"/>
  <c r="AY2612" i="1"/>
  <c r="AY2579" i="1"/>
  <c r="AY2504" i="1"/>
  <c r="AY2463" i="1"/>
  <c r="AY2430" i="1"/>
  <c r="AY2909" i="1"/>
  <c r="AY2878" i="1"/>
  <c r="AY2830" i="1"/>
  <c r="AY2844" i="1"/>
  <c r="AY1874" i="1"/>
  <c r="AY2173" i="1"/>
  <c r="AY2120" i="1"/>
  <c r="AY2092" i="1"/>
  <c r="AY2101" i="1"/>
  <c r="AY2059" i="1"/>
  <c r="AY2077" i="1"/>
  <c r="AY1483" i="1"/>
  <c r="AY4230" i="1"/>
  <c r="AY4238" i="1"/>
  <c r="AY4363" i="1"/>
  <c r="AY1244" i="1"/>
  <c r="AY1252" i="1"/>
  <c r="AY1268" i="1"/>
  <c r="AY1362" i="1"/>
  <c r="AY1370" i="1"/>
  <c r="AY1394" i="1"/>
  <c r="AY18" i="1"/>
  <c r="AY104" i="1"/>
  <c r="AY157" i="1"/>
  <c r="AY281" i="1"/>
  <c r="AY297" i="1"/>
  <c r="AY349" i="1"/>
  <c r="AY371" i="1"/>
  <c r="AY379" i="1"/>
  <c r="AY387" i="1"/>
  <c r="AY432" i="1"/>
  <c r="AY544" i="1"/>
  <c r="AY669" i="1"/>
  <c r="AY677" i="1"/>
  <c r="AY707" i="1"/>
  <c r="AY745" i="1"/>
  <c r="AY784" i="1"/>
  <c r="AY792" i="1"/>
  <c r="AY838" i="1"/>
  <c r="AY900" i="1"/>
  <c r="AY915" i="1"/>
  <c r="AY930" i="1"/>
  <c r="AY991" i="1"/>
  <c r="AY1052" i="1"/>
  <c r="AY1089" i="1"/>
  <c r="AY2735" i="1"/>
  <c r="AY2654" i="1"/>
  <c r="AY2574" i="1"/>
  <c r="AY2488" i="1"/>
  <c r="AY2357" i="1"/>
  <c r="AY2323" i="1"/>
  <c r="AY2903" i="1"/>
  <c r="AY2822" i="1"/>
  <c r="AY2833" i="1"/>
  <c r="AY1925" i="1"/>
  <c r="AY1933" i="1"/>
  <c r="AY1972" i="1"/>
  <c r="AY2165" i="1"/>
  <c r="AY2177" i="1"/>
  <c r="AY2110" i="1"/>
  <c r="AY1539" i="1"/>
  <c r="AY1522" i="1"/>
  <c r="AY4247" i="1"/>
  <c r="AY4270" i="1"/>
  <c r="AY4355" i="1"/>
  <c r="AY2039" i="1"/>
  <c r="AY2047" i="1"/>
  <c r="AY1159" i="1"/>
  <c r="AY1174" i="1"/>
  <c r="AY1197" i="1"/>
  <c r="AY1205" i="1"/>
  <c r="AY1213" i="1"/>
  <c r="AY1221" i="1"/>
  <c r="AY1300" i="1"/>
  <c r="AY1316" i="1"/>
  <c r="AY1347" i="1"/>
  <c r="AY1402" i="1"/>
  <c r="AY1410" i="1"/>
  <c r="AY1441" i="1"/>
  <c r="AY3" i="1"/>
  <c r="AY11" i="1"/>
  <c r="AY34" i="1"/>
  <c r="AY42" i="1"/>
  <c r="AY57" i="1"/>
  <c r="AY112" i="1"/>
  <c r="AY142" i="1"/>
  <c r="AY188" i="1"/>
  <c r="AY211" i="1"/>
  <c r="AY219" i="1"/>
  <c r="AY227" i="1"/>
  <c r="AY242" i="1"/>
  <c r="AY282" i="1"/>
  <c r="AY350" i="1"/>
  <c r="AY484" i="1"/>
  <c r="AY506" i="1"/>
  <c r="AY530" i="1"/>
  <c r="AY545" i="1"/>
  <c r="AY581" i="1"/>
  <c r="AY588" i="1"/>
  <c r="AY632" i="1"/>
  <c r="AY777" i="1"/>
  <c r="AY908" i="1"/>
  <c r="AY953" i="1"/>
  <c r="AY976" i="1"/>
  <c r="AY1023" i="1"/>
  <c r="AY1046" i="1"/>
  <c r="AY1082" i="1"/>
  <c r="AY1120" i="1"/>
  <c r="AY2223" i="1"/>
  <c r="AY2219" i="1"/>
  <c r="AY2230" i="1"/>
  <c r="AY2244" i="1"/>
  <c r="AY2302" i="1"/>
  <c r="AY2707" i="1"/>
  <c r="AY2668" i="1"/>
  <c r="AY2583" i="1"/>
  <c r="AY2433" i="1"/>
  <c r="AY2366" i="1"/>
  <c r="AY2391" i="1"/>
  <c r="AY1484" i="1"/>
  <c r="AY1507" i="1"/>
  <c r="AY4239" i="1"/>
  <c r="AY4294" i="1"/>
  <c r="AY4345" i="1"/>
  <c r="AY1245" i="1"/>
  <c r="AY1269" i="1"/>
  <c r="AY1371" i="1"/>
  <c r="AY105" i="1"/>
  <c r="AY470" i="1"/>
  <c r="AY663" i="1"/>
  <c r="AY686" i="1"/>
  <c r="AY700" i="1"/>
  <c r="AY708" i="1"/>
  <c r="AY723" i="1"/>
  <c r="AY847" i="1"/>
  <c r="AY984" i="1"/>
  <c r="AY1090" i="1"/>
  <c r="AY2289" i="1"/>
  <c r="AY2778" i="1"/>
  <c r="AY2573" i="1"/>
  <c r="AY2482" i="1"/>
  <c r="AY2473" i="1"/>
  <c r="AY2457" i="1"/>
  <c r="AY2435" i="1"/>
  <c r="AY2428" i="1"/>
  <c r="AY2870" i="1"/>
  <c r="AY2849" i="1"/>
  <c r="AY1895" i="1"/>
  <c r="AY1910" i="1"/>
  <c r="AY1934" i="1"/>
  <c r="AY1941" i="1"/>
  <c r="AY1532" i="1"/>
  <c r="AY4279" i="1"/>
  <c r="AY1152" i="1"/>
  <c r="AY1160" i="1"/>
  <c r="AY1198" i="1"/>
  <c r="AY1222" i="1"/>
  <c r="AY1230" i="1"/>
  <c r="AY1293" i="1"/>
  <c r="AY1340" i="1"/>
  <c r="AY1348" i="1"/>
  <c r="AY1403" i="1"/>
  <c r="AY2015" i="1"/>
  <c r="AY4" i="1"/>
  <c r="AY58" i="1"/>
  <c r="AY74" i="1"/>
  <c r="AY166" i="1"/>
  <c r="AY181" i="1"/>
  <c r="AY189" i="1"/>
  <c r="AY235" i="1"/>
  <c r="AY243" i="1"/>
  <c r="AY306" i="1"/>
  <c r="AY313" i="1"/>
  <c r="AY403" i="1"/>
  <c r="AY426" i="1"/>
  <c r="AY485" i="1"/>
  <c r="AY515" i="1"/>
  <c r="AY523" i="1"/>
  <c r="AY553" i="1"/>
  <c r="AY633" i="1"/>
  <c r="AY778" i="1"/>
  <c r="AY1068" i="1"/>
  <c r="AY1076" i="1"/>
  <c r="AY1106" i="1"/>
  <c r="AY2202" i="1"/>
  <c r="AY2211" i="1"/>
  <c r="AY2225" i="1"/>
  <c r="AY2245" i="1"/>
  <c r="AY2256" i="1"/>
  <c r="AY2270" i="1"/>
  <c r="AY2706" i="1"/>
  <c r="AY2511" i="1"/>
  <c r="AY2386" i="1"/>
  <c r="AY2389" i="1"/>
  <c r="AY2345" i="1"/>
  <c r="AY2907" i="1"/>
  <c r="AY2872" i="1"/>
  <c r="AY2859" i="1"/>
  <c r="AY2843" i="1"/>
  <c r="AY1957" i="1"/>
  <c r="AY1965" i="1"/>
  <c r="AY2130" i="1"/>
  <c r="AY2111" i="1"/>
  <c r="AY1548" i="1"/>
  <c r="AY2063" i="1"/>
  <c r="AY2071" i="1"/>
  <c r="AY2079" i="1"/>
  <c r="AY1446" i="1"/>
  <c r="AY1462" i="1"/>
  <c r="AY1470" i="1"/>
  <c r="AY1492" i="1"/>
  <c r="AY4232" i="1"/>
  <c r="AY4256" i="1"/>
  <c r="AY4310" i="1"/>
  <c r="AY4326" i="1"/>
  <c r="AY4336" i="1"/>
  <c r="AY4365" i="1"/>
  <c r="AY1372" i="1"/>
  <c r="AY136" i="1"/>
  <c r="AY291" i="1"/>
  <c r="AY299" i="1"/>
  <c r="AY336" i="1"/>
  <c r="AY359" i="1"/>
  <c r="AY373" i="1"/>
  <c r="AY381" i="1"/>
  <c r="AY492" i="1"/>
  <c r="AY546" i="1"/>
  <c r="AY583" i="1"/>
  <c r="AY597" i="1"/>
  <c r="AY626" i="1"/>
  <c r="AY671" i="1"/>
  <c r="AY724" i="1"/>
  <c r="AY840" i="1"/>
  <c r="AY856" i="1"/>
  <c r="AY872" i="1"/>
  <c r="AY879" i="1"/>
  <c r="AY939" i="1"/>
  <c r="AY962" i="1"/>
  <c r="AY1091" i="1"/>
  <c r="AY1129" i="1"/>
  <c r="AY2189" i="1"/>
  <c r="AY2297" i="1"/>
  <c r="AY2291" i="1"/>
  <c r="AY2770" i="1"/>
  <c r="AY2693" i="1"/>
  <c r="AY2657" i="1"/>
  <c r="AY2636" i="1"/>
  <c r="AY2619" i="1"/>
  <c r="AY2544" i="1"/>
  <c r="AY2502" i="1"/>
  <c r="AY2472" i="1"/>
  <c r="AY2462" i="1"/>
  <c r="AY2387" i="1"/>
  <c r="BA4207" i="1"/>
  <c r="AZ4207" i="1"/>
  <c r="AY1861" i="1"/>
  <c r="AY1919" i="1"/>
  <c r="AY1942" i="1"/>
  <c r="AY2167" i="1"/>
  <c r="AY1533" i="1"/>
  <c r="AY1565" i="1"/>
  <c r="AY1501" i="1"/>
  <c r="AY4264" i="1"/>
  <c r="AY1145" i="1"/>
  <c r="AY1168" i="1"/>
  <c r="AY1191" i="1"/>
  <c r="AY1223" i="1"/>
  <c r="AY1239" i="1"/>
  <c r="AY1278" i="1"/>
  <c r="AY1302" i="1"/>
  <c r="AY1341" i="1"/>
  <c r="AY1404" i="1"/>
  <c r="AY59" i="1"/>
  <c r="AY75" i="1"/>
  <c r="AY174" i="1"/>
  <c r="AY182" i="1"/>
  <c r="AY213" i="1"/>
  <c r="AY244" i="1"/>
  <c r="AY252" i="1"/>
  <c r="AY260" i="1"/>
  <c r="AY268" i="1"/>
  <c r="AY366" i="1"/>
  <c r="AY382" i="1"/>
  <c r="AY464" i="1"/>
  <c r="AY717" i="1"/>
  <c r="AY763" i="1"/>
  <c r="AY771" i="1"/>
  <c r="AY795" i="1"/>
  <c r="AY865" i="1"/>
  <c r="AY910" i="1"/>
  <c r="AY1001" i="1"/>
  <c r="AY1017" i="1"/>
  <c r="AY1062" i="1"/>
  <c r="AY1069" i="1"/>
  <c r="AY2210" i="1"/>
  <c r="AY2214" i="1"/>
  <c r="AY2227" i="1"/>
  <c r="AY2234" i="1"/>
  <c r="AY2262" i="1"/>
  <c r="AY2733" i="1"/>
  <c r="AY2340" i="1"/>
  <c r="AY1966" i="1"/>
  <c r="AY1974" i="1"/>
  <c r="AY2095" i="1"/>
  <c r="AY2112" i="1"/>
  <c r="AY2152" i="1"/>
  <c r="AY1549" i="1"/>
  <c r="AY2064" i="1"/>
  <c r="AY2080" i="1"/>
  <c r="AY1455" i="1"/>
  <c r="AY1486" i="1"/>
  <c r="AY4311" i="1"/>
  <c r="AY4319" i="1"/>
  <c r="AY4347" i="1"/>
  <c r="AY547" i="1"/>
  <c r="AY598" i="1"/>
  <c r="AY986" i="1"/>
  <c r="AY1033" i="1"/>
  <c r="AY1115" i="1"/>
  <c r="AY2689" i="1"/>
  <c r="AY2592" i="1"/>
  <c r="AY2586" i="1"/>
  <c r="AY2572" i="1"/>
  <c r="AY2493" i="1"/>
  <c r="AY2336" i="1"/>
  <c r="AY2835" i="1"/>
  <c r="AY2764" i="1"/>
  <c r="AY2780" i="1"/>
  <c r="AY1862" i="1"/>
  <c r="AY1912" i="1"/>
  <c r="AY1920" i="1"/>
  <c r="AY1959" i="1"/>
  <c r="AY1975" i="1"/>
  <c r="AY1991" i="1"/>
  <c r="AY1581" i="1"/>
  <c r="AY2073" i="1"/>
  <c r="AY4234" i="1"/>
  <c r="AY4250" i="1"/>
  <c r="AY4265" i="1"/>
  <c r="AY4349" i="1"/>
  <c r="AY4367" i="1"/>
  <c r="AY1146" i="1"/>
  <c r="AY1192" i="1"/>
  <c r="AY1224" i="1"/>
  <c r="AY1303" i="1"/>
  <c r="AY1326" i="1"/>
  <c r="AY1342" i="1"/>
  <c r="AY1397" i="1"/>
  <c r="AY1413" i="1"/>
  <c r="AY1420" i="1"/>
  <c r="AY1436" i="1"/>
  <c r="AY1994" i="1"/>
  <c r="AY2002" i="1"/>
  <c r="AY153" i="1"/>
  <c r="AY168" i="1"/>
  <c r="AY214" i="1"/>
  <c r="AY237" i="1"/>
  <c r="AY261" i="1"/>
  <c r="AY308" i="1"/>
  <c r="AY375" i="1"/>
  <c r="AY413" i="1"/>
  <c r="AY509" i="1"/>
  <c r="AY517" i="1"/>
  <c r="AY525" i="1"/>
  <c r="AY635" i="1"/>
  <c r="AY665" i="1"/>
  <c r="AY673" i="1"/>
  <c r="AY710" i="1"/>
  <c r="AY718" i="1"/>
  <c r="AY741" i="1"/>
  <c r="AY749" i="1"/>
  <c r="AY811" i="1"/>
  <c r="AY904" i="1"/>
  <c r="AY919" i="1"/>
  <c r="AY926" i="1"/>
  <c r="AY941" i="1"/>
  <c r="AY1010" i="1"/>
  <c r="AY1041" i="1"/>
  <c r="AY1055" i="1"/>
  <c r="AY1063" i="1"/>
  <c r="AY2197" i="1"/>
  <c r="AY2212" i="1"/>
  <c r="AY2232" i="1"/>
  <c r="AY2235" i="1"/>
  <c r="AY2728" i="1"/>
  <c r="AY2720" i="1"/>
  <c r="AY2705" i="1"/>
  <c r="AY2673" i="1"/>
  <c r="AY2639" i="1"/>
  <c r="AY2634" i="1"/>
  <c r="AY2580" i="1"/>
  <c r="AY2557" i="1"/>
  <c r="AY2547" i="1"/>
  <c r="AY2532" i="1"/>
  <c r="AY2501" i="1"/>
  <c r="AY2420" i="1"/>
  <c r="AY2349" i="1"/>
  <c r="AY2898" i="1"/>
  <c r="AY2875" i="1"/>
  <c r="AY1890" i="1"/>
  <c r="AY1343" i="1"/>
  <c r="AY2292" i="1"/>
  <c r="AY2295" i="1"/>
  <c r="AY2660" i="1"/>
  <c r="AY2552" i="1"/>
  <c r="AY2832" i="1"/>
  <c r="AY2855" i="1"/>
  <c r="AY2809" i="1"/>
  <c r="AY2772" i="1"/>
  <c r="AY1863" i="1"/>
  <c r="AY1937" i="1"/>
  <c r="AY1944" i="1"/>
  <c r="AY1952" i="1"/>
  <c r="AY2169" i="1"/>
  <c r="AY1510" i="1"/>
  <c r="AY4282" i="1"/>
  <c r="AY4329" i="1"/>
  <c r="AY1139" i="1"/>
  <c r="AY1147" i="1"/>
  <c r="AY1193" i="1"/>
  <c r="AY1296" i="1"/>
  <c r="AY1398" i="1"/>
  <c r="AY1421" i="1"/>
  <c r="AY1429" i="1"/>
  <c r="AY53" i="1"/>
  <c r="AY85" i="1"/>
  <c r="AY108" i="1"/>
  <c r="AY116" i="1"/>
  <c r="AY123" i="1"/>
  <c r="AY131" i="1"/>
  <c r="AY169" i="1"/>
  <c r="AY176" i="1"/>
  <c r="AY184" i="1"/>
  <c r="AY192" i="1"/>
  <c r="AY200" i="1"/>
  <c r="AY231" i="1"/>
  <c r="AY246" i="1"/>
  <c r="AY323" i="1"/>
  <c r="AY651" i="1"/>
  <c r="AY666" i="1"/>
  <c r="AY742" i="1"/>
  <c r="AY765" i="1"/>
  <c r="AY812" i="1"/>
  <c r="AY827" i="1"/>
  <c r="AY957" i="1"/>
  <c r="AY972" i="1"/>
  <c r="AY1003" i="1"/>
  <c r="AY1011" i="1"/>
  <c r="AY1019" i="1"/>
  <c r="AY1035" i="1"/>
  <c r="AY1056" i="1"/>
  <c r="AY1071" i="1"/>
  <c r="AY1086" i="1"/>
  <c r="AY1101" i="1"/>
  <c r="AY1124" i="1"/>
  <c r="AY2207" i="1"/>
  <c r="AY2217" i="1"/>
  <c r="AY2233" i="1"/>
  <c r="AY2240" i="1"/>
  <c r="AY2767" i="1"/>
  <c r="AY2727" i="1"/>
  <c r="AY2670" i="1"/>
  <c r="AY2640" i="1"/>
  <c r="AY2628" i="1"/>
  <c r="AY2593" i="1"/>
  <c r="AY2533" i="1"/>
  <c r="AY2514" i="1"/>
  <c r="AY2417" i="1"/>
  <c r="AY2413" i="1"/>
  <c r="AY2358" i="1"/>
  <c r="AY2352" i="1"/>
  <c r="AY2328" i="1"/>
  <c r="AY2831" i="1"/>
  <c r="AY1871" i="1"/>
  <c r="AY1906" i="1"/>
  <c r="AY1960" i="1"/>
  <c r="AY1968" i="1"/>
  <c r="AY2133" i="1"/>
  <c r="AY2148" i="1"/>
  <c r="AY2096" i="1"/>
  <c r="AY2154" i="1"/>
  <c r="AY4383" i="1"/>
  <c r="AY2028" i="1"/>
  <c r="AY2036" i="1"/>
  <c r="AY1163" i="1"/>
  <c r="AY1257" i="1"/>
  <c r="AY1391" i="1"/>
  <c r="AY278" i="1"/>
  <c r="AY331" i="1"/>
  <c r="AY376" i="1"/>
  <c r="AY407" i="1"/>
  <c r="AY437" i="1"/>
  <c r="AY535" i="1"/>
  <c r="AY758" i="1"/>
  <c r="AY781" i="1"/>
  <c r="AY843" i="1"/>
  <c r="AY859" i="1"/>
  <c r="AY890" i="1"/>
  <c r="AY897" i="1"/>
  <c r="AY912" i="1"/>
  <c r="AY980" i="1"/>
  <c r="AY2631" i="1"/>
  <c r="AY2561" i="1"/>
  <c r="AY2551" i="1"/>
  <c r="AY2837" i="1"/>
  <c r="AY1922" i="1"/>
  <c r="AY1473" i="1"/>
  <c r="AY1519" i="1"/>
  <c r="AY4330" i="1"/>
  <c r="AY4376" i="1"/>
  <c r="AY2044" i="1"/>
  <c r="AY1148" i="1"/>
  <c r="AY1194" i="1"/>
  <c r="AY1210" i="1"/>
  <c r="AY1328" i="1"/>
  <c r="AY1336" i="1"/>
  <c r="AY1399" i="1"/>
  <c r="AY1422" i="1"/>
  <c r="AY1430" i="1"/>
  <c r="AY8" i="1"/>
  <c r="AY16" i="1"/>
  <c r="AY46" i="1"/>
  <c r="AY54" i="1"/>
  <c r="AY62" i="1"/>
  <c r="AY86" i="1"/>
  <c r="AY109" i="1"/>
  <c r="AY124" i="1"/>
  <c r="AY185" i="1"/>
  <c r="AY216" i="1"/>
  <c r="AY224" i="1"/>
  <c r="AY467" i="1"/>
  <c r="AY511" i="1"/>
  <c r="AY564" i="1"/>
  <c r="AY659" i="1"/>
  <c r="AY682" i="1"/>
  <c r="AY690" i="1"/>
  <c r="AY697" i="1"/>
  <c r="AY735" i="1"/>
  <c r="AY759" i="1"/>
  <c r="AY973" i="1"/>
  <c r="AY1020" i="1"/>
  <c r="AY1072" i="1"/>
  <c r="AY2198" i="1"/>
  <c r="AY2203" i="1"/>
  <c r="AY2228" i="1"/>
  <c r="AY2221" i="1"/>
  <c r="AY2229" i="1"/>
  <c r="AY2755" i="1"/>
  <c r="AY2718" i="1"/>
  <c r="AY2688" i="1"/>
  <c r="AY2677" i="1"/>
  <c r="AY2665" i="1"/>
  <c r="AY2652" i="1"/>
  <c r="AY2630" i="1"/>
  <c r="AY2607" i="1"/>
  <c r="AY2559" i="1"/>
  <c r="AY2485" i="1"/>
  <c r="AY2476" i="1"/>
  <c r="AY2467" i="1"/>
  <c r="AY2392" i="1"/>
  <c r="AY2335" i="1"/>
  <c r="AY2885" i="1"/>
  <c r="AY2881" i="1"/>
  <c r="AY2834" i="1"/>
  <c r="AY2858" i="1"/>
  <c r="AY1946" i="1"/>
  <c r="AY1969" i="1"/>
  <c r="AY2118" i="1"/>
  <c r="AY2142" i="1"/>
  <c r="AY1552" i="1"/>
  <c r="AY1560" i="1"/>
  <c r="AY1576" i="1"/>
  <c r="AY2054" i="1"/>
  <c r="AY2083" i="1"/>
  <c r="AY4236" i="1"/>
  <c r="AY4244" i="1"/>
  <c r="AY4268" i="1"/>
  <c r="AY4283" i="1"/>
  <c r="AY4291" i="1"/>
  <c r="AY4306" i="1"/>
  <c r="AY4322" i="1"/>
  <c r="AY4331" i="1"/>
  <c r="AY1149" i="1"/>
  <c r="AY1164" i="1"/>
  <c r="AY1258" i="1"/>
  <c r="AY1298" i="1"/>
  <c r="AY1345" i="1"/>
  <c r="AY1376" i="1"/>
  <c r="AY1423" i="1"/>
  <c r="AY87" i="1"/>
  <c r="AY163" i="1"/>
  <c r="AY202" i="1"/>
  <c r="AY209" i="1"/>
  <c r="AY287" i="1"/>
  <c r="AY347" i="1"/>
  <c r="AY362" i="1"/>
  <c r="AY377" i="1"/>
  <c r="AY445" i="1"/>
  <c r="AY496" i="1"/>
  <c r="AY504" i="1"/>
  <c r="AY550" i="1"/>
  <c r="AY652" i="1"/>
  <c r="AY775" i="1"/>
  <c r="AY790" i="1"/>
  <c r="AY806" i="1"/>
  <c r="AY836" i="1"/>
  <c r="AY868" i="1"/>
  <c r="AY883" i="1"/>
  <c r="AY913" i="1"/>
  <c r="AY951" i="1"/>
  <c r="AY974" i="1"/>
  <c r="AY1021" i="1"/>
  <c r="AY2183" i="1"/>
  <c r="AY2258" i="1"/>
  <c r="AY2296" i="1"/>
  <c r="AY2749" i="1"/>
  <c r="AY2743" i="1"/>
  <c r="AY2653" i="1"/>
  <c r="AY2613" i="1"/>
  <c r="AY2554" i="1"/>
  <c r="AY2536" i="1"/>
  <c r="AY2460" i="1"/>
  <c r="AY2446" i="1"/>
  <c r="AY2396" i="1"/>
  <c r="AY2381" i="1"/>
  <c r="AY2342" i="1"/>
  <c r="AY2845" i="1"/>
  <c r="AY2771" i="1"/>
  <c r="AY3276" i="1"/>
  <c r="AY3218" i="1"/>
  <c r="AY3209" i="1"/>
  <c r="AY3205" i="1"/>
  <c r="AY3183" i="1"/>
  <c r="AY3158" i="1"/>
  <c r="AY3145" i="1"/>
  <c r="AY3126" i="1"/>
  <c r="AY3051" i="1"/>
  <c r="AY3043" i="1"/>
  <c r="AY2999" i="1"/>
  <c r="AY1592" i="1"/>
  <c r="AY1599" i="1"/>
  <c r="AY1606" i="1"/>
  <c r="AY1634" i="1"/>
  <c r="AY1656" i="1"/>
  <c r="AY1663" i="1"/>
  <c r="AY1777" i="1"/>
  <c r="AY1791" i="1"/>
  <c r="AY1816" i="1"/>
  <c r="AY1823" i="1"/>
  <c r="AY1830" i="1"/>
  <c r="AY1856" i="1"/>
  <c r="AY1864" i="1"/>
  <c r="AY1897" i="1"/>
  <c r="AY1905" i="1"/>
  <c r="AY1955" i="1"/>
  <c r="AY1962" i="1"/>
  <c r="AY1976" i="1"/>
  <c r="AY2114" i="1"/>
  <c r="AY2161" i="1"/>
  <c r="AY2141" i="1"/>
  <c r="AY2123" i="1"/>
  <c r="AY2069" i="1"/>
  <c r="AY4397" i="1"/>
  <c r="AY4227" i="1"/>
  <c r="AY65" i="1"/>
  <c r="AY1579" i="1"/>
  <c r="AY1587" i="1"/>
  <c r="AY3129" i="1"/>
  <c r="AY3002" i="1"/>
  <c r="AY1857" i="1"/>
  <c r="AY1898" i="1"/>
  <c r="AY3272" i="1"/>
  <c r="AY3228" i="1"/>
  <c r="AY3175" i="1"/>
  <c r="AY3148" i="1"/>
  <c r="AY3111" i="1"/>
  <c r="AY3099" i="1"/>
  <c r="AY1614" i="1"/>
  <c r="AY1621" i="1"/>
  <c r="AY1650" i="1"/>
  <c r="AY1664" i="1"/>
  <c r="AY1678" i="1"/>
  <c r="AY1686" i="1"/>
  <c r="AY1700" i="1"/>
  <c r="AY1714" i="1"/>
  <c r="AY1728" i="1"/>
  <c r="AY1742" i="1"/>
  <c r="AY1750" i="1"/>
  <c r="AY1800" i="1"/>
  <c r="AY1824" i="1"/>
  <c r="AY1872" i="1"/>
  <c r="AY1921" i="1"/>
  <c r="AY1935" i="1"/>
  <c r="AY1949" i="1"/>
  <c r="AY1963" i="1"/>
  <c r="AY2162" i="1"/>
  <c r="AY2170" i="1"/>
  <c r="AY1557" i="1"/>
  <c r="AY1505" i="1"/>
  <c r="AY1520" i="1"/>
  <c r="AY1817" i="1"/>
  <c r="AY1891" i="1"/>
  <c r="AY1977" i="1"/>
  <c r="AY3028" i="1"/>
  <c r="AY2955" i="1"/>
  <c r="AY2946" i="1"/>
  <c r="AY1601" i="1"/>
  <c r="AY1636" i="1"/>
  <c r="AY1672" i="1"/>
  <c r="AY1779" i="1"/>
  <c r="AY1793" i="1"/>
  <c r="AY1807" i="1"/>
  <c r="AY1832" i="1"/>
  <c r="AY1858" i="1"/>
  <c r="AY1899" i="1"/>
  <c r="AY1971" i="1"/>
  <c r="AY4313" i="1"/>
  <c r="AY267" i="1"/>
  <c r="AY3149" i="1"/>
  <c r="AY3079" i="1"/>
  <c r="AY2959" i="1"/>
  <c r="AY1600" i="1"/>
  <c r="AY1778" i="1"/>
  <c r="AY1831" i="1"/>
  <c r="AY3265" i="1"/>
  <c r="AY3227" i="1"/>
  <c r="AY3174" i="1"/>
  <c r="AY3133" i="1"/>
  <c r="AY3096" i="1"/>
  <c r="AY3077" i="1"/>
  <c r="AY3069" i="1"/>
  <c r="AY3046" i="1"/>
  <c r="AY3004" i="1"/>
  <c r="AY2983" i="1"/>
  <c r="AY2961" i="1"/>
  <c r="AY2941" i="1"/>
  <c r="AY1608" i="1"/>
  <c r="AY1615" i="1"/>
  <c r="AY1622" i="1"/>
  <c r="AY1651" i="1"/>
  <c r="AY1665" i="1"/>
  <c r="AY1693" i="1"/>
  <c r="AY1701" i="1"/>
  <c r="AY1715" i="1"/>
  <c r="AY1729" i="1"/>
  <c r="AY1743" i="1"/>
  <c r="AY1757" i="1"/>
  <c r="AY1765" i="1"/>
  <c r="AY1801" i="1"/>
  <c r="AY1873" i="1"/>
  <c r="AY1907" i="1"/>
  <c r="AY1928" i="1"/>
  <c r="AY1936" i="1"/>
  <c r="AY1950" i="1"/>
  <c r="AY1964" i="1"/>
  <c r="AY2163" i="1"/>
  <c r="AY2171" i="1"/>
  <c r="AY1498" i="1"/>
  <c r="AY283" i="1"/>
  <c r="AY3232" i="1"/>
  <c r="AY3125" i="1"/>
  <c r="AY2993" i="1"/>
  <c r="AY1792" i="1"/>
  <c r="AY2115" i="1"/>
  <c r="AY3279" i="1"/>
  <c r="AY3275" i="1"/>
  <c r="AY3239" i="1"/>
  <c r="AY3155" i="1"/>
  <c r="AY1602" i="1"/>
  <c r="AY1609" i="1"/>
  <c r="AY1629" i="1"/>
  <c r="AY1637" i="1"/>
  <c r="AY1644" i="1"/>
  <c r="AY1694" i="1"/>
  <c r="AY1708" i="1"/>
  <c r="AY1758" i="1"/>
  <c r="AY1794" i="1"/>
  <c r="AY1811" i="1"/>
  <c r="AY1833" i="1"/>
  <c r="AY1859" i="1"/>
  <c r="AY1900" i="1"/>
  <c r="AY1908" i="1"/>
  <c r="AY1929" i="1"/>
  <c r="AY1943" i="1"/>
  <c r="AY1979" i="1"/>
  <c r="AY2136" i="1"/>
  <c r="AY1262" i="1"/>
  <c r="AY1635" i="1"/>
  <c r="AY3292" i="1"/>
  <c r="AY3264" i="1"/>
  <c r="AY3200" i="1"/>
  <c r="AY3191" i="1"/>
  <c r="AY3169" i="1"/>
  <c r="AY3142" i="1"/>
  <c r="AY3127" i="1"/>
  <c r="AY3097" i="1"/>
  <c r="AY3076" i="1"/>
  <c r="AY3068" i="1"/>
  <c r="AY3039" i="1"/>
  <c r="AY3031" i="1"/>
  <c r="AY3023" i="1"/>
  <c r="AY2994" i="1"/>
  <c r="AY2976" i="1"/>
  <c r="AY2971" i="1"/>
  <c r="AY2943" i="1"/>
  <c r="AY1773" i="1"/>
  <c r="AY1781" i="1"/>
  <c r="AY1788" i="1"/>
  <c r="AY1795" i="1"/>
  <c r="AY1812" i="1"/>
  <c r="AY1860" i="1"/>
  <c r="AY1867" i="1"/>
  <c r="AY1901" i="1"/>
  <c r="AY1923" i="1"/>
  <c r="AY1930" i="1"/>
  <c r="AY1980" i="1"/>
  <c r="AY2137" i="1"/>
  <c r="AY2119" i="1"/>
  <c r="AY1537" i="1"/>
  <c r="AY1356" i="1"/>
  <c r="AY77" i="1"/>
  <c r="AY253" i="1"/>
  <c r="AY3287" i="1"/>
  <c r="AY3235" i="1"/>
  <c r="AY3224" i="1"/>
  <c r="AY3216" i="1"/>
  <c r="AY3199" i="1"/>
  <c r="AY3195" i="1"/>
  <c r="AY3141" i="1"/>
  <c r="AY3154" i="1"/>
  <c r="AY3120" i="1"/>
  <c r="AY3112" i="1"/>
  <c r="AY3085" i="1"/>
  <c r="AY3080" i="1"/>
  <c r="AY3038" i="1"/>
  <c r="AY3033" i="1"/>
  <c r="AY3026" i="1"/>
  <c r="AY3003" i="1"/>
  <c r="AY2982" i="1"/>
  <c r="AY2949" i="1"/>
  <c r="AY2964" i="1"/>
  <c r="AY1596" i="1"/>
  <c r="AY1617" i="1"/>
  <c r="AY1645" i="1"/>
  <c r="AY1653" i="1"/>
  <c r="AY1667" i="1"/>
  <c r="AY1681" i="1"/>
  <c r="AY1695" i="1"/>
  <c r="AY1709" i="1"/>
  <c r="AY1717" i="1"/>
  <c r="AY1731" i="1"/>
  <c r="AY1745" i="1"/>
  <c r="AY1759" i="1"/>
  <c r="AY1774" i="1"/>
  <c r="AY2138" i="1"/>
  <c r="AY2021" i="1"/>
  <c r="AY1310" i="1"/>
  <c r="AY3259" i="1"/>
  <c r="AY3266" i="1"/>
  <c r="AY3253" i="1"/>
  <c r="AY3234" i="1"/>
  <c r="AY3225" i="1"/>
  <c r="AY3196" i="1"/>
  <c r="AY3144" i="1"/>
  <c r="AY3165" i="1"/>
  <c r="AY3119" i="1"/>
  <c r="AY3116" i="1"/>
  <c r="AY3073" i="1"/>
  <c r="AY3065" i="1"/>
  <c r="AY3048" i="1"/>
  <c r="AY3034" i="1"/>
  <c r="AY2992" i="1"/>
  <c r="AY2988" i="1"/>
  <c r="AY2973" i="1"/>
  <c r="AY2945" i="1"/>
  <c r="AY2937" i="1"/>
  <c r="AY1590" i="1"/>
  <c r="AY1618" i="1"/>
  <c r="AY1625" i="1"/>
  <c r="AY1646" i="1"/>
  <c r="AY1654" i="1"/>
  <c r="AY1668" i="1"/>
  <c r="AY1682" i="1"/>
  <c r="AY1696" i="1"/>
  <c r="AY1704" i="1"/>
  <c r="AY1710" i="1"/>
  <c r="AY1718" i="1"/>
  <c r="AY1732" i="1"/>
  <c r="AY1746" i="1"/>
  <c r="AY1760" i="1"/>
  <c r="AY1789" i="1"/>
  <c r="AY1847" i="1"/>
  <c r="AY1868" i="1"/>
  <c r="AY1888" i="1"/>
  <c r="AY1917" i="1"/>
  <c r="AY1931" i="1"/>
  <c r="AY1953" i="1"/>
  <c r="AY1967" i="1"/>
  <c r="AY2166" i="1"/>
  <c r="AY2175" i="1"/>
  <c r="AY1814" i="1"/>
  <c r="AY1828" i="1"/>
  <c r="AY1903" i="1"/>
  <c r="AY1939" i="1"/>
  <c r="AY1990" i="1"/>
  <c r="AY2178" i="1"/>
  <c r="AY2090" i="1"/>
  <c r="AY1456" i="1"/>
  <c r="AY1226" i="1"/>
  <c r="AY79" i="1"/>
  <c r="AY3322" i="1"/>
  <c r="AY3260" i="1"/>
  <c r="AY3256" i="1"/>
  <c r="AY3160" i="1"/>
  <c r="AY3135" i="1"/>
  <c r="AY3117" i="1"/>
  <c r="AY3016" i="1"/>
  <c r="AY3024" i="1"/>
  <c r="AY2995" i="1"/>
  <c r="AY2985" i="1"/>
  <c r="AY2938" i="1"/>
  <c r="AY2933" i="1"/>
  <c r="AY1640" i="1"/>
  <c r="AY1661" i="1"/>
  <c r="AY1669" i="1"/>
  <c r="AY1683" i="1"/>
  <c r="AY1697" i="1"/>
  <c r="AY1725" i="1"/>
  <c r="AY1733" i="1"/>
  <c r="AY1747" i="1"/>
  <c r="AY1761" i="1"/>
  <c r="AY1848" i="1"/>
  <c r="AY1869" i="1"/>
  <c r="AY1889" i="1"/>
  <c r="AY1918" i="1"/>
  <c r="AY1932" i="1"/>
  <c r="AY2145" i="1"/>
  <c r="AY3273" i="1"/>
  <c r="AY3248" i="1"/>
  <c r="AY3185" i="1"/>
  <c r="AY3173" i="1"/>
  <c r="AY3167" i="1"/>
  <c r="AY3163" i="1"/>
  <c r="AY3100" i="1"/>
  <c r="AY3044" i="1"/>
  <c r="AY1598" i="1"/>
  <c r="AY1605" i="1"/>
  <c r="AY1612" i="1"/>
  <c r="AY1633" i="1"/>
  <c r="AY1641" i="1"/>
  <c r="AY1676" i="1"/>
  <c r="AY1740" i="1"/>
  <c r="AY1769" i="1"/>
  <c r="AY1798" i="1"/>
  <c r="AY1896" i="1"/>
  <c r="AY1911" i="1"/>
  <c r="AY1961" i="1"/>
  <c r="AY4241" i="1"/>
  <c r="AY4249" i="1"/>
  <c r="AY4284" i="1"/>
  <c r="AY4298" i="1"/>
  <c r="AY4353" i="1"/>
  <c r="AY4369" i="1"/>
  <c r="AY2035" i="1"/>
  <c r="AY2042" i="1"/>
  <c r="AY1138" i="1"/>
  <c r="AY1188" i="1"/>
  <c r="AY1225" i="1"/>
  <c r="AY1254" i="1"/>
  <c r="AY1305" i="1"/>
  <c r="AY1319" i="1"/>
  <c r="AY1333" i="1"/>
  <c r="AY1355" i="1"/>
  <c r="AY1406" i="1"/>
  <c r="AY2005" i="1"/>
  <c r="AY23" i="1"/>
  <c r="AY36" i="1"/>
  <c r="AY50" i="1"/>
  <c r="AY64" i="1"/>
  <c r="AY78" i="1"/>
  <c r="AY101" i="1"/>
  <c r="AY115" i="1"/>
  <c r="AY128" i="1"/>
  <c r="AY150" i="1"/>
  <c r="AY178" i="1"/>
  <c r="AY193" i="1"/>
  <c r="AY207" i="1"/>
  <c r="AY215" i="1"/>
  <c r="AY256" i="1"/>
  <c r="AY270" i="1"/>
  <c r="AY284" i="1"/>
  <c r="AY327" i="1"/>
  <c r="AY355" i="1"/>
  <c r="AY455" i="1"/>
  <c r="AY483" i="1"/>
  <c r="AY534" i="1"/>
  <c r="AY634" i="1"/>
  <c r="AY679" i="1"/>
  <c r="AY714" i="1"/>
  <c r="AY958" i="1"/>
  <c r="AY2195" i="1"/>
  <c r="AY2116" i="1"/>
  <c r="AY2109" i="1"/>
  <c r="AY1559" i="1"/>
  <c r="AY1580" i="1"/>
  <c r="AY1463" i="1"/>
  <c r="AY4398" i="1"/>
  <c r="AY4242" i="1"/>
  <c r="AY4278" i="1"/>
  <c r="AY4346" i="1"/>
  <c r="AY2043" i="1"/>
  <c r="AY1189" i="1"/>
  <c r="AY1211" i="1"/>
  <c r="AY1255" i="1"/>
  <c r="AY1291" i="1"/>
  <c r="AY1312" i="1"/>
  <c r="AY1320" i="1"/>
  <c r="AY1334" i="1"/>
  <c r="AY1407" i="1"/>
  <c r="AY1427" i="1"/>
  <c r="AY1992" i="1"/>
  <c r="AY2006" i="1"/>
  <c r="AY37" i="1"/>
  <c r="AY51" i="1"/>
  <c r="AY164" i="1"/>
  <c r="AY179" i="1"/>
  <c r="AY201" i="1"/>
  <c r="AY208" i="1"/>
  <c r="AY236" i="1"/>
  <c r="AY320" i="1"/>
  <c r="AY406" i="1"/>
  <c r="AY434" i="1"/>
  <c r="AY448" i="1"/>
  <c r="AY2131" i="1"/>
  <c r="AY2094" i="1"/>
  <c r="AY2150" i="1"/>
  <c r="AY1538" i="1"/>
  <c r="AY1566" i="1"/>
  <c r="AY1588" i="1"/>
  <c r="AY2070" i="1"/>
  <c r="AY1449" i="1"/>
  <c r="AY1471" i="1"/>
  <c r="AY1499" i="1"/>
  <c r="AY1513" i="1"/>
  <c r="AY4228" i="1"/>
  <c r="AY4257" i="1"/>
  <c r="AY4271" i="1"/>
  <c r="AY4299" i="1"/>
  <c r="AY4307" i="1"/>
  <c r="AY4337" i="1"/>
  <c r="AY4378" i="1"/>
  <c r="AY2029" i="1"/>
  <c r="AY1132" i="1"/>
  <c r="AY1161" i="1"/>
  <c r="AY1175" i="1"/>
  <c r="AY1241" i="1"/>
  <c r="AY1270" i="1"/>
  <c r="AY1284" i="1"/>
  <c r="AY1349" i="1"/>
  <c r="AY1363" i="1"/>
  <c r="AY1385" i="1"/>
  <c r="AY1393" i="1"/>
  <c r="AY2014" i="1"/>
  <c r="AY10" i="1"/>
  <c r="AY30" i="1"/>
  <c r="AY94" i="1"/>
  <c r="AY137" i="1"/>
  <c r="AY144" i="1"/>
  <c r="AY172" i="1"/>
  <c r="AY194" i="1"/>
  <c r="AY293" i="1"/>
  <c r="AY620" i="1"/>
  <c r="AY672" i="1"/>
  <c r="AY694" i="1"/>
  <c r="AY1028" i="1"/>
  <c r="AY1064" i="1"/>
  <c r="AY2187" i="1"/>
  <c r="AY2599" i="1"/>
  <c r="AY2395" i="1"/>
  <c r="AY2103" i="1"/>
  <c r="AY2157" i="1"/>
  <c r="AY1574" i="1"/>
  <c r="AY1457" i="1"/>
  <c r="AY1478" i="1"/>
  <c r="AY1190" i="1"/>
  <c r="AY1212" i="1"/>
  <c r="AY1219" i="1"/>
  <c r="AY1248" i="1"/>
  <c r="AY1292" i="1"/>
  <c r="AY1299" i="1"/>
  <c r="AY1321" i="1"/>
  <c r="AY1335" i="1"/>
  <c r="AY1414" i="1"/>
  <c r="AY1993" i="1"/>
  <c r="AY2007" i="1"/>
  <c r="AY17" i="1"/>
  <c r="AY38" i="1"/>
  <c r="AY258" i="1"/>
  <c r="AY399" i="1"/>
  <c r="AY435" i="1"/>
  <c r="AY499" i="1"/>
  <c r="AY514" i="1"/>
  <c r="AY521" i="1"/>
  <c r="AY586" i="1"/>
  <c r="AY614" i="1"/>
  <c r="AY2132" i="1"/>
  <c r="AY2104" i="1"/>
  <c r="AY1546" i="1"/>
  <c r="AY1567" i="1"/>
  <c r="AY2078" i="1"/>
  <c r="AY2085" i="1"/>
  <c r="AY1450" i="1"/>
  <c r="AY1458" i="1"/>
  <c r="AY1493" i="1"/>
  <c r="AY1514" i="1"/>
  <c r="AY4258" i="1"/>
  <c r="AY4272" i="1"/>
  <c r="AY4286" i="1"/>
  <c r="AY4300" i="1"/>
  <c r="AY4308" i="1"/>
  <c r="AY4339" i="1"/>
  <c r="AY4379" i="1"/>
  <c r="AY2030" i="1"/>
  <c r="AY1140" i="1"/>
  <c r="AY1176" i="1"/>
  <c r="AY1183" i="1"/>
  <c r="AY1227" i="1"/>
  <c r="AY1249" i="1"/>
  <c r="AY1271" i="1"/>
  <c r="AY1314" i="1"/>
  <c r="AY1350" i="1"/>
  <c r="AY1364" i="1"/>
  <c r="AY1378" i="1"/>
  <c r="AY1415" i="1"/>
  <c r="AY31" i="1"/>
  <c r="AY39" i="1"/>
  <c r="AY66" i="1"/>
  <c r="AY80" i="1"/>
  <c r="AY88" i="1"/>
  <c r="AY95" i="1"/>
  <c r="AY103" i="1"/>
  <c r="AY130" i="1"/>
  <c r="AY195" i="1"/>
  <c r="AY272" i="1"/>
  <c r="AY294" i="1"/>
  <c r="AY364" i="1"/>
  <c r="AY386" i="1"/>
  <c r="AY428" i="1"/>
  <c r="AY442" i="1"/>
  <c r="AY478" i="1"/>
  <c r="AY507" i="1"/>
  <c r="AY558" i="1"/>
  <c r="AY579" i="1"/>
  <c r="AY658" i="1"/>
  <c r="AY770" i="1"/>
  <c r="AY793" i="1"/>
  <c r="AY952" i="1"/>
  <c r="AY1125" i="1"/>
  <c r="AY2614" i="1"/>
  <c r="AY196" i="1"/>
  <c r="AY238" i="1"/>
  <c r="AY266" i="1"/>
  <c r="AY273" i="1"/>
  <c r="AY295" i="1"/>
  <c r="AY372" i="1"/>
  <c r="AY400" i="1"/>
  <c r="AY408" i="1"/>
  <c r="AY2097" i="1"/>
  <c r="AY1540" i="1"/>
  <c r="AY1568" i="1"/>
  <c r="AY1582" i="1"/>
  <c r="AY2072" i="1"/>
  <c r="AY2086" i="1"/>
  <c r="AY1451" i="1"/>
  <c r="AY1465" i="1"/>
  <c r="AY1487" i="1"/>
  <c r="AY1515" i="1"/>
  <c r="AY4404" i="1"/>
  <c r="AY4237" i="1"/>
  <c r="AY4251" i="1"/>
  <c r="AY4259" i="1"/>
  <c r="AY4273" i="1"/>
  <c r="AY4287" i="1"/>
  <c r="AY4315" i="1"/>
  <c r="AY4323" i="1"/>
  <c r="AY4340" i="1"/>
  <c r="AY4357" i="1"/>
  <c r="AY2023" i="1"/>
  <c r="AY2031" i="1"/>
  <c r="AY2038" i="1"/>
  <c r="AY1141" i="1"/>
  <c r="AY1155" i="1"/>
  <c r="AY1177" i="1"/>
  <c r="AY1206" i="1"/>
  <c r="AY1228" i="1"/>
  <c r="AY1235" i="1"/>
  <c r="AY1250" i="1"/>
  <c r="AY1264" i="1"/>
  <c r="AY1272" i="1"/>
  <c r="AY1286" i="1"/>
  <c r="AY1329" i="1"/>
  <c r="AY1351" i="1"/>
  <c r="AY1365" i="1"/>
  <c r="AY1379" i="1"/>
  <c r="AY1387" i="1"/>
  <c r="AY1395" i="1"/>
  <c r="AY1409" i="1"/>
  <c r="AY2001" i="1"/>
  <c r="AY32" i="1"/>
  <c r="AY67" i="1"/>
  <c r="AY89" i="1"/>
  <c r="AY96" i="1"/>
  <c r="AY118" i="1"/>
  <c r="AY146" i="1"/>
  <c r="AY167" i="1"/>
  <c r="AY218" i="1"/>
  <c r="AY225" i="1"/>
  <c r="AY330" i="1"/>
  <c r="AY337" i="1"/>
  <c r="AY423" i="1"/>
  <c r="AY465" i="1"/>
  <c r="AY2519" i="1"/>
  <c r="AY2126" i="1"/>
  <c r="AY2098" i="1"/>
  <c r="AY2153" i="1"/>
  <c r="AY1555" i="1"/>
  <c r="AY1562" i="1"/>
  <c r="AY1569" i="1"/>
  <c r="AY1583" i="1"/>
  <c r="AY2087" i="1"/>
  <c r="AY1445" i="1"/>
  <c r="AY1452" i="1"/>
  <c r="AY1466" i="1"/>
  <c r="AY1474" i="1"/>
  <c r="AY1502" i="1"/>
  <c r="AY1509" i="1"/>
  <c r="AY1516" i="1"/>
  <c r="AY4223" i="1"/>
  <c r="AY4231" i="1"/>
  <c r="AY4252" i="1"/>
  <c r="AY4260" i="1"/>
  <c r="AY4274" i="1"/>
  <c r="AY4288" i="1"/>
  <c r="AY4302" i="1"/>
  <c r="AY4324" i="1"/>
  <c r="AY4341" i="1"/>
  <c r="AY4358" i="1"/>
  <c r="AY4373" i="1"/>
  <c r="AY2032" i="1"/>
  <c r="AY1142" i="1"/>
  <c r="AY1156" i="1"/>
  <c r="AY1185" i="1"/>
  <c r="AY1207" i="1"/>
  <c r="AY1236" i="1"/>
  <c r="AY1273" i="1"/>
  <c r="AY1287" i="1"/>
  <c r="AY1323" i="1"/>
  <c r="AY1330" i="1"/>
  <c r="AY1344" i="1"/>
  <c r="AY1352" i="1"/>
  <c r="AY1366" i="1"/>
  <c r="AY1380" i="1"/>
  <c r="AY1438" i="1"/>
  <c r="AY2010" i="1"/>
  <c r="AY2017" i="1"/>
  <c r="AY55" i="1"/>
  <c r="AY68" i="1"/>
  <c r="AY82" i="1"/>
  <c r="AY90" i="1"/>
  <c r="AY132" i="1"/>
  <c r="AY147" i="1"/>
  <c r="AY160" i="1"/>
  <c r="AY183" i="1"/>
  <c r="AY204" i="1"/>
  <c r="AY239" i="1"/>
  <c r="AY274" i="1"/>
  <c r="AY288" i="1"/>
  <c r="AY316" i="1"/>
  <c r="AY416" i="1"/>
  <c r="AY458" i="1"/>
  <c r="AY531" i="1"/>
  <c r="AY623" i="1"/>
  <c r="AY734" i="1"/>
  <c r="AY212" i="1"/>
  <c r="AY226" i="1"/>
  <c r="AY310" i="1"/>
  <c r="AY324" i="1"/>
  <c r="AY338" i="1"/>
  <c r="AY352" i="1"/>
  <c r="AY402" i="1"/>
  <c r="AY444" i="1"/>
  <c r="AY452" i="1"/>
  <c r="AY473" i="1"/>
  <c r="AY538" i="1"/>
  <c r="AY596" i="1"/>
  <c r="AY917" i="1"/>
  <c r="AY993" i="1"/>
  <c r="AY1097" i="1"/>
  <c r="AY2674" i="1"/>
  <c r="AY2427" i="1"/>
  <c r="AY2127" i="1"/>
  <c r="AY2099" i="1"/>
  <c r="AY1534" i="1"/>
  <c r="AY1556" i="1"/>
  <c r="AY1570" i="1"/>
  <c r="AY1584" i="1"/>
  <c r="AY2066" i="1"/>
  <c r="AY2088" i="1"/>
  <c r="AY1453" i="1"/>
  <c r="AY1467" i="1"/>
  <c r="AY1481" i="1"/>
  <c r="AY1503" i="1"/>
  <c r="AY1517" i="1"/>
  <c r="AY4224" i="1"/>
  <c r="AY4246" i="1"/>
  <c r="AY4267" i="1"/>
  <c r="AY4275" i="1"/>
  <c r="AY4289" i="1"/>
  <c r="AY4303" i="1"/>
  <c r="AY4332" i="1"/>
  <c r="AY4342" i="1"/>
  <c r="AY4360" i="1"/>
  <c r="AY4374" i="1"/>
  <c r="AY2040" i="1"/>
  <c r="AY1143" i="1"/>
  <c r="AY1157" i="1"/>
  <c r="AY1171" i="1"/>
  <c r="AY1186" i="1"/>
  <c r="AY1200" i="1"/>
  <c r="AY1208" i="1"/>
  <c r="AY1215" i="1"/>
  <c r="AY1237" i="1"/>
  <c r="AY1259" i="1"/>
  <c r="AY1280" i="1"/>
  <c r="AY1288" i="1"/>
  <c r="AY1295" i="1"/>
  <c r="AY1353" i="1"/>
  <c r="AY1367" i="1"/>
  <c r="AY1381" i="1"/>
  <c r="AY1389" i="1"/>
  <c r="AY1424" i="1"/>
  <c r="AY1439" i="1"/>
  <c r="AY1996" i="1"/>
  <c r="AY2018" i="1"/>
  <c r="AY6" i="1"/>
  <c r="AY27" i="1"/>
  <c r="AY69" i="1"/>
  <c r="AY83" i="1"/>
  <c r="AY98" i="1"/>
  <c r="AY113" i="1"/>
  <c r="AY198" i="1"/>
  <c r="AY240" i="1"/>
  <c r="AY254" i="1"/>
  <c r="AY275" i="1"/>
  <c r="AY311" i="1"/>
  <c r="AY410" i="1"/>
  <c r="AY438" i="1"/>
  <c r="AY459" i="1"/>
  <c r="AY503" i="1"/>
  <c r="AY510" i="1"/>
  <c r="AY524" i="1"/>
  <c r="AY561" i="1"/>
  <c r="AY582" i="1"/>
  <c r="AY610" i="1"/>
  <c r="AY624" i="1"/>
  <c r="AY743" i="1"/>
  <c r="AY2627" i="1"/>
  <c r="AY2121" i="1"/>
  <c r="AY2128" i="1"/>
  <c r="AY2091" i="1"/>
  <c r="AY2100" i="1"/>
  <c r="AY1535" i="1"/>
  <c r="AY1571" i="1"/>
  <c r="AY1585" i="1"/>
  <c r="AY2067" i="1"/>
  <c r="AY1454" i="1"/>
  <c r="AY1468" i="1"/>
  <c r="AY1482" i="1"/>
  <c r="AY1518" i="1"/>
  <c r="AY4225" i="1"/>
  <c r="AY4254" i="1"/>
  <c r="AY4276" i="1"/>
  <c r="AY4290" i="1"/>
  <c r="AY4304" i="1"/>
  <c r="AY4318" i="1"/>
  <c r="AY4344" i="1"/>
  <c r="AY4361" i="1"/>
  <c r="AY4375" i="1"/>
  <c r="AY2026" i="1"/>
  <c r="AY1136" i="1"/>
  <c r="AY1144" i="1"/>
  <c r="AY1158" i="1"/>
  <c r="AY1172" i="1"/>
  <c r="AY1209" i="1"/>
  <c r="AY1238" i="1"/>
  <c r="AY1260" i="1"/>
  <c r="AY1267" i="1"/>
  <c r="AY1289" i="1"/>
  <c r="AY1339" i="1"/>
  <c r="AY1360" i="1"/>
  <c r="AY1368" i="1"/>
  <c r="AY1382" i="1"/>
  <c r="AY1390" i="1"/>
  <c r="AY1440" i="1"/>
  <c r="AY2019" i="1"/>
  <c r="AY70" i="1"/>
  <c r="AY84" i="1"/>
  <c r="AY99" i="1"/>
  <c r="AY134" i="1"/>
  <c r="AY220" i="1"/>
  <c r="AY262" i="1"/>
  <c r="AY276" i="1"/>
  <c r="AY290" i="1"/>
  <c r="AY304" i="1"/>
  <c r="AY332" i="1"/>
  <c r="AY396" i="1"/>
  <c r="AY611" i="1"/>
  <c r="AY662" i="1"/>
  <c r="AY721" i="1"/>
  <c r="AY797" i="1"/>
  <c r="AY820" i="1"/>
  <c r="AY896" i="1"/>
  <c r="AY971" i="1"/>
  <c r="AY1083" i="1"/>
  <c r="AY2122" i="1"/>
  <c r="AY1564" i="1"/>
  <c r="AY1586" i="1"/>
  <c r="AY1447" i="1"/>
  <c r="AY1469" i="1"/>
  <c r="AY1511" i="1"/>
  <c r="AY4262" i="1"/>
  <c r="AY4269" i="1"/>
  <c r="AY4335" i="1"/>
  <c r="AY2034" i="1"/>
  <c r="AY1137" i="1"/>
  <c r="AY1151" i="1"/>
  <c r="AY1202" i="1"/>
  <c r="AY1231" i="1"/>
  <c r="AY1253" i="1"/>
  <c r="AY1282" i="1"/>
  <c r="AY1304" i="1"/>
  <c r="AY1318" i="1"/>
  <c r="AY1361" i="1"/>
  <c r="AY1375" i="1"/>
  <c r="AY1405" i="1"/>
  <c r="AY1425" i="1"/>
  <c r="AY1433" i="1"/>
  <c r="AY1997" i="1"/>
  <c r="AY2004" i="1"/>
  <c r="AY49" i="1"/>
  <c r="AY63" i="1"/>
  <c r="AY71" i="1"/>
  <c r="AY114" i="1"/>
  <c r="AY135" i="1"/>
  <c r="AY149" i="1"/>
  <c r="AY162" i="1"/>
  <c r="AY170" i="1"/>
  <c r="AY228" i="1"/>
  <c r="AY263" i="1"/>
  <c r="AY298" i="1"/>
  <c r="AY305" i="1"/>
  <c r="AY340" i="1"/>
  <c r="AY354" i="1"/>
  <c r="AY368" i="1"/>
  <c r="AY482" i="1"/>
  <c r="AY526" i="1"/>
  <c r="AY540" i="1"/>
  <c r="AY562" i="1"/>
  <c r="AY641" i="1"/>
  <c r="AY798" i="1"/>
  <c r="AY882" i="1"/>
  <c r="AY342" i="1"/>
  <c r="AY356" i="1"/>
  <c r="AY418" i="1"/>
  <c r="AY480" i="1"/>
  <c r="AY494" i="1"/>
  <c r="AY556" i="1"/>
  <c r="AY570" i="1"/>
  <c r="AY639" i="1"/>
  <c r="AY647" i="1"/>
  <c r="AY772" i="1"/>
  <c r="AY786" i="1"/>
  <c r="AY800" i="1"/>
  <c r="AY822" i="1"/>
  <c r="AY863" i="1"/>
  <c r="AY871" i="1"/>
  <c r="AY884" i="1"/>
  <c r="AY946" i="1"/>
  <c r="AY960" i="1"/>
  <c r="AY981" i="1"/>
  <c r="AY1030" i="1"/>
  <c r="AY1036" i="1"/>
  <c r="AY1050" i="1"/>
  <c r="AY1057" i="1"/>
  <c r="AY1092" i="1"/>
  <c r="AY1119" i="1"/>
  <c r="AY2196" i="1"/>
  <c r="AY2215" i="1"/>
  <c r="AY2231" i="1"/>
  <c r="AY2762" i="1"/>
  <c r="AY2620" i="1"/>
  <c r="AY2562" i="1"/>
  <c r="AY2553" i="1"/>
  <c r="AY2540" i="1"/>
  <c r="AY2538" i="1"/>
  <c r="AY2528" i="1"/>
  <c r="AY2503" i="1"/>
  <c r="AY2478" i="1"/>
  <c r="AY2468" i="1"/>
  <c r="AY2382" i="1"/>
  <c r="AY2365" i="1"/>
  <c r="AY2339" i="1"/>
  <c r="AY2918" i="1"/>
  <c r="AY2882" i="1"/>
  <c r="AY2873" i="1"/>
  <c r="AY2867" i="1"/>
  <c r="AY2864" i="1"/>
  <c r="AY2857" i="1"/>
  <c r="AY2840" i="1"/>
  <c r="AY2790" i="1"/>
  <c r="AY2792" i="1"/>
  <c r="AY2775" i="1"/>
  <c r="AY370" i="1"/>
  <c r="AY481" i="1"/>
  <c r="AY508" i="1"/>
  <c r="AY522" i="1"/>
  <c r="AY599" i="1"/>
  <c r="AY988" i="1"/>
  <c r="AY995" i="1"/>
  <c r="AY1002" i="1"/>
  <c r="AY1009" i="1"/>
  <c r="AY1044" i="1"/>
  <c r="AY1093" i="1"/>
  <c r="AY2773" i="1"/>
  <c r="AY2709" i="1"/>
  <c r="AY2698" i="1"/>
  <c r="AY2691" i="1"/>
  <c r="AY2681" i="1"/>
  <c r="AY2662" i="1"/>
  <c r="AY2644" i="1"/>
  <c r="AY2452" i="1"/>
  <c r="AY2440" i="1"/>
  <c r="AY2416" i="1"/>
  <c r="AY2376" i="1"/>
  <c r="AY2908" i="1"/>
  <c r="AY2817" i="1"/>
  <c r="AY322" i="1"/>
  <c r="AY384" i="1"/>
  <c r="AY398" i="1"/>
  <c r="AY419" i="1"/>
  <c r="AY433" i="1"/>
  <c r="AY460" i="1"/>
  <c r="AY474" i="1"/>
  <c r="AY551" i="1"/>
  <c r="AY640" i="1"/>
  <c r="AY654" i="1"/>
  <c r="AY675" i="1"/>
  <c r="AY689" i="1"/>
  <c r="AY716" i="1"/>
  <c r="AY730" i="1"/>
  <c r="AY751" i="1"/>
  <c r="AY787" i="1"/>
  <c r="AY794" i="1"/>
  <c r="AY815" i="1"/>
  <c r="AY850" i="1"/>
  <c r="AY864" i="1"/>
  <c r="AY878" i="1"/>
  <c r="AY885" i="1"/>
  <c r="AY940" i="1"/>
  <c r="AY947" i="1"/>
  <c r="AY954" i="1"/>
  <c r="AY2642" i="1"/>
  <c r="AY2604" i="1"/>
  <c r="AY2581" i="1"/>
  <c r="AY2582" i="1"/>
  <c r="AY2570" i="1"/>
  <c r="AY2548" i="1"/>
  <c r="AY2537" i="1"/>
  <c r="AY2458" i="1"/>
  <c r="AY2403" i="1"/>
  <c r="AY2393" i="1"/>
  <c r="AY2377" i="1"/>
  <c r="AY2364" i="1"/>
  <c r="AY2350" i="1"/>
  <c r="AY2311" i="1"/>
  <c r="AY2914" i="1"/>
  <c r="AY2900" i="1"/>
  <c r="AY2829" i="1"/>
  <c r="AY2854" i="1"/>
  <c r="AY2806" i="1"/>
  <c r="AY2791" i="1"/>
  <c r="AY676" i="1"/>
  <c r="AY703" i="1"/>
  <c r="AY711" i="1"/>
  <c r="AY738" i="1"/>
  <c r="AY752" i="1"/>
  <c r="AY774" i="1"/>
  <c r="AY788" i="1"/>
  <c r="AY802" i="1"/>
  <c r="AY816" i="1"/>
  <c r="AY844" i="1"/>
  <c r="AY851" i="1"/>
  <c r="AY858" i="1"/>
  <c r="AY886" i="1"/>
  <c r="AY927" i="1"/>
  <c r="AY935" i="1"/>
  <c r="AY948" i="1"/>
  <c r="AY1024" i="1"/>
  <c r="AY1038" i="1"/>
  <c r="AY1059" i="1"/>
  <c r="AY1094" i="1"/>
  <c r="AY1100" i="1"/>
  <c r="AY1114" i="1"/>
  <c r="AY1121" i="1"/>
  <c r="AY2185" i="1"/>
  <c r="AY2246" i="1"/>
  <c r="AY2294" i="1"/>
  <c r="AY2765" i="1"/>
  <c r="AY2753" i="1"/>
  <c r="AY2687" i="1"/>
  <c r="AY2623" i="1"/>
  <c r="AY2611" i="1"/>
  <c r="AY2618" i="1"/>
  <c r="AY2601" i="1"/>
  <c r="AY2576" i="1"/>
  <c r="AY2568" i="1"/>
  <c r="AY2494" i="1"/>
  <c r="AY2422" i="1"/>
  <c r="AY2419" i="1"/>
  <c r="AY2375" i="1"/>
  <c r="AY2337" i="1"/>
  <c r="AY2344" i="1"/>
  <c r="AY2316" i="1"/>
  <c r="AY2927" i="1"/>
  <c r="AY2910" i="1"/>
  <c r="AY2888" i="1"/>
  <c r="AY2869" i="1"/>
  <c r="AY2820" i="1"/>
  <c r="AY2853" i="1"/>
  <c r="AY2851" i="1"/>
  <c r="AY2804" i="1"/>
  <c r="AY2814" i="1"/>
  <c r="AY2807" i="1"/>
  <c r="AY2862" i="1"/>
  <c r="AY2774" i="1"/>
  <c r="AY628" i="1"/>
  <c r="AY655" i="1"/>
  <c r="AY2236" i="1"/>
  <c r="AY2249" i="1"/>
  <c r="AY2307" i="1"/>
  <c r="AY2305" i="1"/>
  <c r="AY2759" i="1"/>
  <c r="AY2750" i="1"/>
  <c r="AY2747" i="1"/>
  <c r="AY2722" i="1"/>
  <c r="AY2711" i="1"/>
  <c r="AY2564" i="1"/>
  <c r="AY2523" i="1"/>
  <c r="AY2506" i="1"/>
  <c r="AY2486" i="1"/>
  <c r="AY2490" i="1"/>
  <c r="AY2471" i="1"/>
  <c r="AY2769" i="1"/>
  <c r="AY566" i="1"/>
  <c r="AY580" i="1"/>
  <c r="AY607" i="1"/>
  <c r="AY642" i="1"/>
  <c r="AY704" i="1"/>
  <c r="AY739" i="1"/>
  <c r="AY746" i="1"/>
  <c r="AY767" i="1"/>
  <c r="AY810" i="1"/>
  <c r="AY831" i="1"/>
  <c r="AY852" i="1"/>
  <c r="AY914" i="1"/>
  <c r="AY928" i="1"/>
  <c r="AY1004" i="1"/>
  <c r="AY1018" i="1"/>
  <c r="AY1025" i="1"/>
  <c r="AY1060" i="1"/>
  <c r="AY1087" i="1"/>
  <c r="AY1122" i="1"/>
  <c r="AY2188" i="1"/>
  <c r="AY2461" i="1"/>
  <c r="AY2777" i="1"/>
  <c r="AY476" i="1"/>
  <c r="AY490" i="1"/>
  <c r="AY518" i="1"/>
  <c r="AY532" i="1"/>
  <c r="AY567" i="1"/>
  <c r="AY594" i="1"/>
  <c r="AY656" i="1"/>
  <c r="AY670" i="1"/>
  <c r="AY691" i="1"/>
  <c r="AY705" i="1"/>
  <c r="AY732" i="1"/>
  <c r="AY782" i="1"/>
  <c r="AY796" i="1"/>
  <c r="AY853" i="1"/>
  <c r="AY866" i="1"/>
  <c r="AY880" i="1"/>
  <c r="AY894" i="1"/>
  <c r="AY901" i="1"/>
  <c r="AY956" i="1"/>
  <c r="AY963" i="1"/>
  <c r="AY970" i="1"/>
  <c r="AY998" i="1"/>
  <c r="AY1012" i="1"/>
  <c r="AY1039" i="1"/>
  <c r="AY1061" i="1"/>
  <c r="AY1074" i="1"/>
  <c r="AY2193" i="1"/>
  <c r="AY2241" i="1"/>
  <c r="AY2300" i="1"/>
  <c r="AY2758" i="1"/>
  <c r="AY2745" i="1"/>
  <c r="AY2667" i="1"/>
  <c r="AY2602" i="1"/>
  <c r="AY2590" i="1"/>
  <c r="AY2549" i="1"/>
  <c r="AY2530" i="1"/>
  <c r="AY2527" i="1"/>
  <c r="AY2517" i="1"/>
  <c r="AY2496" i="1"/>
  <c r="AY2499" i="1"/>
  <c r="AY2464" i="1"/>
  <c r="AY2451" i="1"/>
  <c r="AY2432" i="1"/>
  <c r="AY2356" i="1"/>
  <c r="AY2346" i="1"/>
  <c r="AY2911" i="1"/>
  <c r="AY2886" i="1"/>
  <c r="AY2880" i="1"/>
  <c r="AY2860" i="1"/>
  <c r="AY2797" i="1"/>
  <c r="AY2818" i="1"/>
  <c r="AY2801" i="1"/>
  <c r="AY2788" i="1"/>
  <c r="AY339" i="1"/>
  <c r="AY346" i="1"/>
  <c r="AY353" i="1"/>
  <c r="AY380" i="1"/>
  <c r="AY394" i="1"/>
  <c r="AY422" i="1"/>
  <c r="AY436" i="1"/>
  <c r="AY463" i="1"/>
  <c r="AY471" i="1"/>
  <c r="AY498" i="1"/>
  <c r="AY560" i="1"/>
  <c r="AY574" i="1"/>
  <c r="AY595" i="1"/>
  <c r="AY609" i="1"/>
  <c r="AY636" i="1"/>
  <c r="AY650" i="1"/>
  <c r="AY678" i="1"/>
  <c r="AY692" i="1"/>
  <c r="AY719" i="1"/>
  <c r="AY727" i="1"/>
  <c r="AY860" i="1"/>
  <c r="AY867" i="1"/>
  <c r="AY874" i="1"/>
  <c r="AY902" i="1"/>
  <c r="AY943" i="1"/>
  <c r="AY964" i="1"/>
  <c r="AY1013" i="1"/>
  <c r="AY1040" i="1"/>
  <c r="AY1075" i="1"/>
  <c r="AY1110" i="1"/>
  <c r="AY1116" i="1"/>
  <c r="AY2186" i="1"/>
  <c r="AY2201" i="1"/>
  <c r="AY2301" i="1"/>
  <c r="AY2708" i="1"/>
  <c r="AY2646" i="1"/>
  <c r="AY2481" i="1"/>
  <c r="AY2449" i="1"/>
  <c r="AY2332" i="1"/>
  <c r="AY2341" i="1"/>
  <c r="AY2319" i="1"/>
  <c r="AY2912" i="1"/>
  <c r="AY2897" i="1"/>
  <c r="AY2795" i="1"/>
  <c r="AY755" i="1"/>
  <c r="AY762" i="1"/>
  <c r="AY783" i="1"/>
  <c r="AY805" i="1"/>
  <c r="AY819" i="1"/>
  <c r="AY826" i="1"/>
  <c r="AY854" i="1"/>
  <c r="AY895" i="1"/>
  <c r="AY903" i="1"/>
  <c r="AY916" i="1"/>
  <c r="AY965" i="1"/>
  <c r="AY978" i="1"/>
  <c r="AY992" i="1"/>
  <c r="AY1006" i="1"/>
  <c r="AY1027" i="1"/>
  <c r="AY2726" i="1"/>
  <c r="AY2702" i="1"/>
  <c r="AY2703" i="1"/>
  <c r="AY2696" i="1"/>
  <c r="AY2675" i="1"/>
  <c r="AY2666" i="1"/>
  <c r="AY2598" i="1"/>
  <c r="AY2526" i="1"/>
  <c r="AY2521" i="1"/>
  <c r="AY2466" i="1"/>
  <c r="AY2454" i="1"/>
  <c r="AY2447" i="1"/>
  <c r="AY2412" i="1"/>
  <c r="AY2402" i="1"/>
  <c r="AY2917" i="1"/>
  <c r="AY2904" i="1"/>
  <c r="AY2894" i="1"/>
  <c r="AY2799" i="1"/>
  <c r="AY2808" i="1"/>
  <c r="AY2812" i="1"/>
  <c r="AY2208" i="1"/>
  <c r="AY2253" i="1"/>
  <c r="AY2303" i="1"/>
  <c r="AY2304" i="1"/>
  <c r="AY2757" i="1"/>
  <c r="AY2741" i="1"/>
  <c r="AY2731" i="1"/>
  <c r="AY2730" i="1"/>
  <c r="AY2701" i="1"/>
  <c r="AY2700" i="1"/>
  <c r="AY2621" i="1"/>
  <c r="AY2560" i="1"/>
  <c r="AY2546" i="1"/>
  <c r="AY2498" i="1"/>
  <c r="AY2500" i="1"/>
  <c r="AY2479" i="1"/>
  <c r="AY2453" i="1"/>
  <c r="AY2437" i="1"/>
  <c r="AY2429" i="1"/>
  <c r="AY2379" i="1"/>
  <c r="AY2324" i="1"/>
  <c r="AY2331" i="1"/>
  <c r="AY2330" i="1"/>
  <c r="AY2892" i="1"/>
  <c r="AY2891" i="1"/>
  <c r="AY2887" i="1"/>
  <c r="AY2868" i="1"/>
  <c r="AY2865" i="1"/>
  <c r="AY2848" i="1"/>
  <c r="AY2805" i="1"/>
  <c r="AY2825" i="1"/>
  <c r="AY2793" i="1"/>
  <c r="AY2863" i="1"/>
  <c r="AY2776" i="1"/>
  <c r="AY757" i="1"/>
  <c r="AY785" i="1"/>
  <c r="AY807" i="1"/>
  <c r="AY821" i="1"/>
  <c r="AY834" i="1"/>
  <c r="AY848" i="1"/>
  <c r="AY862" i="1"/>
  <c r="AY924" i="1"/>
  <c r="AY931" i="1"/>
  <c r="AY938" i="1"/>
  <c r="AY966" i="1"/>
  <c r="AY1007" i="1"/>
  <c r="AY1042" i="1"/>
  <c r="AY1104" i="1"/>
  <c r="AY1118" i="1"/>
  <c r="AY2250" i="1"/>
  <c r="AY2650" i="1"/>
  <c r="AY2635" i="1"/>
  <c r="AY2624" i="1"/>
  <c r="AY2609" i="1"/>
  <c r="AY2606" i="1"/>
  <c r="AY2589" i="1"/>
  <c r="AY2406" i="1"/>
  <c r="AY2388" i="1"/>
  <c r="AY2353" i="1"/>
  <c r="AY2783" i="1"/>
  <c r="AY307" i="1"/>
  <c r="AY348" i="1"/>
  <c r="AY390" i="1"/>
  <c r="AY404" i="1"/>
  <c r="AY466" i="1"/>
  <c r="AY528" i="1"/>
  <c r="AY563" i="1"/>
  <c r="AY604" i="1"/>
  <c r="AY618" i="1"/>
  <c r="AY646" i="1"/>
  <c r="AY660" i="1"/>
  <c r="AY687" i="1"/>
  <c r="AY695" i="1"/>
  <c r="AY722" i="1"/>
  <c r="AY750" i="1"/>
  <c r="AY764" i="1"/>
  <c r="AY828" i="1"/>
  <c r="AY835" i="1"/>
  <c r="AY842" i="1"/>
  <c r="AY870" i="1"/>
  <c r="AY911" i="1"/>
  <c r="AY932" i="1"/>
  <c r="AY994" i="1"/>
  <c r="AY1008" i="1"/>
  <c r="AY1043" i="1"/>
  <c r="AY1078" i="1"/>
  <c r="AY1084" i="1"/>
  <c r="AY1098" i="1"/>
  <c r="AY1105" i="1"/>
  <c r="AY2226" i="1"/>
  <c r="AY2298" i="1"/>
  <c r="AY2290" i="1"/>
  <c r="AY2729" i="1"/>
  <c r="AY2671" i="1"/>
  <c r="AY2664" i="1"/>
  <c r="AY2655" i="1"/>
  <c r="AY2643" i="1"/>
  <c r="AY2637" i="1"/>
  <c r="AY2608" i="1"/>
  <c r="AY2543" i="1"/>
  <c r="AY2480" i="1"/>
  <c r="AY2360" i="1"/>
  <c r="AY2333" i="1"/>
  <c r="AY2310" i="1"/>
  <c r="AY2883" i="1"/>
  <c r="AY2861" i="1"/>
  <c r="AY2841" i="1"/>
  <c r="AY2836" i="1"/>
  <c r="AY2802" i="1"/>
  <c r="AY2781" i="1"/>
  <c r="AY186" i="1"/>
  <c r="AY351" i="1"/>
  <c r="AY44" i="1"/>
  <c r="AY122" i="1"/>
  <c r="AY154" i="1"/>
  <c r="AY303" i="1"/>
  <c r="AY559" i="1"/>
  <c r="AY2243" i="1"/>
  <c r="AY28" i="1"/>
  <c r="AY92" i="1"/>
  <c r="AY255" i="1"/>
  <c r="AY415" i="1"/>
  <c r="AY367" i="1"/>
  <c r="AY12" i="1"/>
  <c r="AY111" i="1"/>
  <c r="AY143" i="1"/>
  <c r="AY175" i="1"/>
  <c r="AY319" i="1"/>
  <c r="AY575" i="1"/>
  <c r="AY527" i="1"/>
  <c r="AY479" i="1"/>
  <c r="AY106" i="1"/>
  <c r="AY138" i="1"/>
  <c r="AY271" i="1"/>
  <c r="AY431" i="1"/>
  <c r="AY1999" i="1"/>
  <c r="AY76" i="1"/>
  <c r="AY223" i="1"/>
  <c r="AY383" i="1"/>
  <c r="AY335" i="1"/>
  <c r="AY1417" i="1"/>
  <c r="AY191" i="1"/>
  <c r="AY495" i="1"/>
  <c r="AY1401" i="1"/>
  <c r="AY60" i="1"/>
  <c r="AY127" i="1"/>
  <c r="AY159" i="1"/>
  <c r="AY447" i="1"/>
  <c r="AW3330" i="1"/>
  <c r="AX3330" i="1"/>
  <c r="AW3312" i="1"/>
  <c r="AX3312" i="1"/>
  <c r="AW3310" i="1"/>
  <c r="AX3310" i="1"/>
  <c r="AW3324" i="1"/>
  <c r="AX3324" i="1"/>
  <c r="AW3306" i="1"/>
  <c r="AX3306" i="1"/>
  <c r="AW3319" i="1"/>
  <c r="AX3319" i="1"/>
  <c r="AW3325" i="1"/>
  <c r="AX3325" i="1"/>
  <c r="AW3326" i="1"/>
  <c r="AX3326" i="1"/>
  <c r="AW3328" i="1"/>
  <c r="AX3328" i="1"/>
  <c r="AW3318" i="1"/>
  <c r="AX3318" i="1"/>
  <c r="AW3335" i="1"/>
  <c r="AX3335" i="1"/>
  <c r="AW3339" i="1"/>
  <c r="AX3339" i="1"/>
  <c r="AW3348" i="1"/>
  <c r="AX3348" i="1"/>
  <c r="AW3345" i="1"/>
  <c r="AX3345" i="1"/>
  <c r="AW3337" i="1"/>
  <c r="AX3337" i="1"/>
  <c r="AW3349" i="1"/>
  <c r="AX3349" i="1"/>
  <c r="AW3350" i="1"/>
  <c r="AX3350" i="1"/>
  <c r="AW3342" i="1"/>
  <c r="AX3342" i="1"/>
  <c r="AW3352" i="1"/>
  <c r="AX3352" i="1"/>
  <c r="AW3338" i="1"/>
  <c r="AX3338" i="1"/>
  <c r="AW3334" i="1"/>
  <c r="AX3334" i="1"/>
  <c r="AW3347" i="1"/>
  <c r="AX3347" i="1"/>
  <c r="AW3304" i="1"/>
  <c r="AX3304" i="1"/>
  <c r="AW3298" i="1"/>
  <c r="AX3298" i="1"/>
  <c r="AW3294" i="1"/>
  <c r="AX3294" i="1"/>
  <c r="AW3295" i="1"/>
  <c r="AX3295" i="1"/>
  <c r="AW3288" i="1"/>
  <c r="AX3288" i="1"/>
  <c r="AW3296" i="1"/>
  <c r="AX3296" i="1"/>
  <c r="AW3302" i="1"/>
  <c r="AX3302" i="1"/>
  <c r="AW3353" i="1"/>
  <c r="AX3353" i="1"/>
  <c r="AW3293" i="1"/>
  <c r="AX3293" i="1"/>
  <c r="AW3327" i="1"/>
  <c r="AX3327" i="1"/>
  <c r="AW3354" i="1"/>
  <c r="AX3354" i="1"/>
  <c r="AW3299" i="1"/>
  <c r="AX3299" i="1"/>
  <c r="AW3321" i="1"/>
  <c r="AX3321" i="1"/>
  <c r="AW3317" i="1"/>
  <c r="AX3317" i="1"/>
  <c r="AW3308" i="1"/>
  <c r="AX3308" i="1"/>
  <c r="AW3316" i="1"/>
  <c r="AX3316" i="1"/>
  <c r="AW3313" i="1"/>
  <c r="AX3313" i="1"/>
  <c r="AW3315" i="1"/>
  <c r="AX3315" i="1"/>
  <c r="AW3320" i="1"/>
  <c r="AX3320" i="1"/>
  <c r="AW3314" i="1"/>
  <c r="AX3314" i="1"/>
  <c r="AW3323" i="1"/>
  <c r="AX3323" i="1"/>
  <c r="AW3311" i="1"/>
  <c r="AX3311" i="1"/>
  <c r="AW3340" i="1"/>
  <c r="AX3340" i="1"/>
  <c r="AW3331" i="1"/>
  <c r="AX3331" i="1"/>
  <c r="AW3336" i="1"/>
  <c r="AX3336" i="1"/>
  <c r="AW3344" i="1"/>
  <c r="AX3344" i="1"/>
  <c r="AW3343" i="1"/>
  <c r="AX3343" i="1"/>
  <c r="AW3333" i="1"/>
  <c r="AX3333" i="1"/>
  <c r="AW3332" i="1"/>
  <c r="AX3332" i="1"/>
  <c r="AW3341" i="1"/>
  <c r="AX3341" i="1"/>
  <c r="AW3351" i="1"/>
  <c r="AX3351" i="1"/>
  <c r="AW3346" i="1"/>
  <c r="AX3346" i="1"/>
  <c r="AW3356" i="1"/>
  <c r="AX3356" i="1"/>
  <c r="AW3355" i="1"/>
  <c r="AX3355" i="1"/>
  <c r="AW3358" i="1"/>
  <c r="AX3358" i="1"/>
  <c r="AW3361" i="1"/>
  <c r="AX3361" i="1"/>
  <c r="AW3359" i="1"/>
  <c r="AX3359" i="1"/>
  <c r="AW3360" i="1"/>
  <c r="AX3360" i="1"/>
  <c r="AW3357" i="1"/>
  <c r="AX3357" i="1"/>
  <c r="AW3365" i="1"/>
  <c r="AX3365" i="1"/>
  <c r="AW3363" i="1"/>
  <c r="AX3363" i="1"/>
  <c r="AW3371" i="1"/>
  <c r="AX3371" i="1"/>
  <c r="AW3370" i="1"/>
  <c r="AX3370" i="1"/>
  <c r="AW3367" i="1"/>
  <c r="AX3367" i="1"/>
  <c r="AW3366" i="1"/>
  <c r="AX3366" i="1"/>
  <c r="AW3362" i="1"/>
  <c r="AX3362" i="1"/>
  <c r="AW3369" i="1"/>
  <c r="AX3369" i="1"/>
  <c r="AW3364" i="1"/>
  <c r="AX3364" i="1"/>
  <c r="AW3368" i="1"/>
  <c r="AX3368" i="1"/>
  <c r="AX3307" i="1"/>
  <c r="AW3307" i="1"/>
  <c r="AW3389" i="1"/>
  <c r="AX3389" i="1"/>
  <c r="AW3387" i="1"/>
  <c r="AX3387" i="1"/>
  <c r="AW3386" i="1"/>
  <c r="AX3386" i="1"/>
  <c r="AW3384" i="1"/>
  <c r="AX3384" i="1"/>
  <c r="AW3383" i="1"/>
  <c r="AX3383" i="1"/>
  <c r="AW3393" i="1"/>
  <c r="AX3393" i="1"/>
  <c r="AW3376" i="1"/>
  <c r="AX3376" i="1"/>
  <c r="AW3381" i="1"/>
  <c r="AX3381" i="1"/>
  <c r="AW3378" i="1"/>
  <c r="AX3378" i="1"/>
  <c r="AW3379" i="1"/>
  <c r="AX3379" i="1"/>
  <c r="AW3374" i="1"/>
  <c r="AX3374" i="1"/>
  <c r="AW3375" i="1"/>
  <c r="AX3375" i="1"/>
  <c r="AW3373" i="1"/>
  <c r="AX3373" i="1"/>
  <c r="AW3380" i="1"/>
  <c r="AX3380" i="1"/>
  <c r="AW3382" i="1"/>
  <c r="AX3382" i="1"/>
  <c r="AW3377" i="1"/>
  <c r="AX3377" i="1"/>
  <c r="AW3372" i="1"/>
  <c r="AX3372" i="1"/>
  <c r="AW3395" i="1"/>
  <c r="AX3395" i="1"/>
  <c r="AW3394" i="1"/>
  <c r="AX3394" i="1"/>
  <c r="AW3402" i="1"/>
  <c r="AX3402" i="1"/>
  <c r="AW3399" i="1"/>
  <c r="AX3399" i="1"/>
  <c r="AW3398" i="1"/>
  <c r="AX3398" i="1"/>
  <c r="AW3397" i="1"/>
  <c r="AX3397" i="1"/>
  <c r="AW3401" i="1"/>
  <c r="AX3401" i="1"/>
  <c r="AW3400" i="1"/>
  <c r="AX3400" i="1"/>
  <c r="AX3396" i="1"/>
  <c r="AW3385" i="1"/>
  <c r="AX3385" i="1"/>
  <c r="AW3390" i="1"/>
  <c r="AX3390" i="1"/>
  <c r="AW3391" i="1"/>
  <c r="AX3391" i="1"/>
  <c r="AW3392" i="1"/>
  <c r="AX3392" i="1"/>
  <c r="AX3388" i="1"/>
  <c r="AW3388" i="1"/>
  <c r="AZ2049" i="1" l="1"/>
  <c r="BA2049" i="1"/>
  <c r="BA1435" i="1"/>
  <c r="AZ1435" i="1"/>
  <c r="AZ190" i="1"/>
  <c r="BA190" i="1"/>
  <c r="AZ206" i="1"/>
  <c r="BA206" i="1"/>
  <c r="AZ222" i="1"/>
  <c r="BA222" i="1"/>
  <c r="BA1834" i="1"/>
  <c r="AZ1834" i="1"/>
  <c r="BA949" i="1"/>
  <c r="AZ949" i="1"/>
  <c r="BA1133" i="1"/>
  <c r="AZ1133" i="1"/>
  <c r="BA625" i="1"/>
  <c r="AZ625" i="1"/>
  <c r="AZ1426" i="1"/>
  <c r="BA1647" i="1"/>
  <c r="AZ3083" i="1"/>
  <c r="AZ1135" i="1"/>
  <c r="AZ3186" i="1"/>
  <c r="AZ3074" i="1"/>
  <c r="BA1386" i="1"/>
  <c r="BA1506" i="1"/>
  <c r="BA4301" i="1"/>
  <c r="AZ3197" i="1"/>
  <c r="BA427" i="1"/>
  <c r="BA2159" i="1"/>
  <c r="BA1103" i="1"/>
  <c r="AZ1311" i="1"/>
  <c r="AZ2192" i="1"/>
  <c r="BA2192" i="1"/>
  <c r="BA325" i="1"/>
  <c r="AZ3109" i="1"/>
  <c r="BA4325" i="1"/>
  <c r="AZ151" i="1"/>
  <c r="AZ446" i="1"/>
  <c r="BA1047" i="1"/>
  <c r="AZ2181" i="1"/>
  <c r="AZ4372" i="1"/>
  <c r="AZ1281" i="1"/>
  <c r="BA4371" i="1"/>
  <c r="AZ7" i="1"/>
  <c r="BA1894" i="1"/>
  <c r="BA760" i="1"/>
  <c r="AZ1826" i="1"/>
  <c r="BA2315" i="1"/>
  <c r="AZ801" i="1"/>
  <c r="AZ26" i="1"/>
  <c r="BA4263" i="1"/>
  <c r="BA1659" i="1"/>
  <c r="BA29" i="1"/>
  <c r="BA4317" i="1"/>
  <c r="BA789" i="1"/>
  <c r="BA1359" i="1"/>
  <c r="BA3247" i="1"/>
  <c r="BA343" i="1"/>
  <c r="AZ1170" i="1"/>
  <c r="BA4293" i="1"/>
  <c r="BA4261" i="1"/>
  <c r="AZ1711" i="1"/>
  <c r="BA590" i="1"/>
  <c r="BA1434" i="1"/>
  <c r="BA1233" i="1"/>
  <c r="AZ2308" i="1"/>
  <c r="AZ4253" i="1"/>
  <c r="AZ1201" i="1"/>
  <c r="AZ2252" i="1"/>
  <c r="AZ234" i="1"/>
  <c r="BA4285" i="1"/>
  <c r="AZ1377" i="1"/>
  <c r="BA1077" i="1"/>
  <c r="AZ453" i="1"/>
  <c r="AY3336" i="1"/>
  <c r="AZ2543" i="1"/>
  <c r="BA2543" i="1"/>
  <c r="AZ2499" i="1"/>
  <c r="BA2499" i="1"/>
  <c r="AZ2620" i="1"/>
  <c r="BA2620" i="1"/>
  <c r="AZ3016" i="1"/>
  <c r="BA3016" i="1"/>
  <c r="AZ3065" i="1"/>
  <c r="BA3065" i="1"/>
  <c r="AZ3026" i="1"/>
  <c r="BA3026" i="1"/>
  <c r="AZ2943" i="1"/>
  <c r="BA2943" i="1"/>
  <c r="AZ3292" i="1"/>
  <c r="BA3292" i="1"/>
  <c r="AZ3279" i="1"/>
  <c r="BA3279" i="1"/>
  <c r="AZ3004" i="1"/>
  <c r="BA3004" i="1"/>
  <c r="AZ3276" i="1"/>
  <c r="BA3276" i="1"/>
  <c r="AZ2858" i="1"/>
  <c r="BA2858" i="1"/>
  <c r="AZ2934" i="1"/>
  <c r="BA2934" i="1"/>
  <c r="AZ3212" i="1"/>
  <c r="BA3212" i="1"/>
  <c r="AZ3246" i="1"/>
  <c r="BA3246" i="1"/>
  <c r="AZ2842" i="1"/>
  <c r="BA2842" i="1"/>
  <c r="AZ2571" i="1"/>
  <c r="BA2571" i="1"/>
  <c r="AZ3032" i="1"/>
  <c r="BA3032" i="1"/>
  <c r="AZ3042" i="1"/>
  <c r="BA3042" i="1"/>
  <c r="AZ3134" i="1"/>
  <c r="BA3134" i="1"/>
  <c r="AZ2510" i="1"/>
  <c r="BA2510" i="1"/>
  <c r="AZ2524" i="1"/>
  <c r="BA2524" i="1"/>
  <c r="AZ3008" i="1"/>
  <c r="BA3008" i="1"/>
  <c r="AZ2359" i="1"/>
  <c r="BA2359" i="1"/>
  <c r="AZ2925" i="1"/>
  <c r="BA2925" i="1"/>
  <c r="AZ2921" i="1"/>
  <c r="BA2921" i="1"/>
  <c r="AZ2676" i="1"/>
  <c r="BA2676" i="1"/>
  <c r="AZ3064" i="1"/>
  <c r="BA3064" i="1"/>
  <c r="AZ2450" i="1"/>
  <c r="BA2450" i="1"/>
  <c r="AZ2928" i="1"/>
  <c r="BA2928" i="1"/>
  <c r="AZ2508" i="1"/>
  <c r="BA2508" i="1"/>
  <c r="AZ2404" i="1"/>
  <c r="BA2404" i="1"/>
  <c r="AZ2816" i="1"/>
  <c r="BA2816" i="1"/>
  <c r="AZ2890" i="1"/>
  <c r="BA2890" i="1"/>
  <c r="AZ3250" i="1"/>
  <c r="BA3250" i="1"/>
  <c r="AZ2372" i="1"/>
  <c r="BA2372" i="1"/>
  <c r="AZ2610" i="1"/>
  <c r="BA2610" i="1"/>
  <c r="AZ2541" i="1"/>
  <c r="BA2541" i="1"/>
  <c r="AZ2567" i="1"/>
  <c r="BA2567" i="1"/>
  <c r="AZ3181" i="1"/>
  <c r="BA3181" i="1"/>
  <c r="AZ3021" i="1"/>
  <c r="BA3021" i="1"/>
  <c r="AZ3230" i="1"/>
  <c r="BA3230" i="1"/>
  <c r="AZ2796" i="1"/>
  <c r="BA2796" i="1"/>
  <c r="AZ2752" i="1"/>
  <c r="BA2752" i="1"/>
  <c r="AZ3300" i="1"/>
  <c r="BA3300" i="1"/>
  <c r="AZ2725" i="1"/>
  <c r="BA2725" i="1"/>
  <c r="AZ3055" i="1"/>
  <c r="BA3055" i="1"/>
  <c r="AZ2409" i="1"/>
  <c r="BA2409" i="1"/>
  <c r="AZ2754" i="1"/>
  <c r="BA2754" i="1"/>
  <c r="AZ2821" i="1"/>
  <c r="BA2821" i="1"/>
  <c r="AZ2786" i="1"/>
  <c r="BA2786" i="1"/>
  <c r="AZ3058" i="1"/>
  <c r="BA3058" i="1"/>
  <c r="AZ2922" i="1"/>
  <c r="BA2922" i="1"/>
  <c r="AZ2779" i="1"/>
  <c r="BA2779" i="1"/>
  <c r="AZ2827" i="1"/>
  <c r="BA2827" i="1"/>
  <c r="AZ2474" i="1"/>
  <c r="BA2474" i="1"/>
  <c r="AZ2439" i="1"/>
  <c r="BA2439" i="1"/>
  <c r="AZ2737" i="1"/>
  <c r="BA2737" i="1"/>
  <c r="AZ2826" i="1"/>
  <c r="BA2826" i="1"/>
  <c r="AZ3187" i="1"/>
  <c r="BA3187" i="1"/>
  <c r="AZ3084" i="1"/>
  <c r="BA3084" i="1"/>
  <c r="AZ3265" i="1"/>
  <c r="BA3265" i="1"/>
  <c r="AZ3099" i="1"/>
  <c r="BA3099" i="1"/>
  <c r="AZ3051" i="1"/>
  <c r="BA3051" i="1"/>
  <c r="AZ2536" i="1"/>
  <c r="BA2536" i="1"/>
  <c r="AZ2485" i="1"/>
  <c r="BA2485" i="1"/>
  <c r="AZ2413" i="1"/>
  <c r="BA2413" i="1"/>
  <c r="AZ2639" i="1"/>
  <c r="BA2639" i="1"/>
  <c r="AZ2336" i="1"/>
  <c r="BA2336" i="1"/>
  <c r="AZ2340" i="1"/>
  <c r="BA2340" i="1"/>
  <c r="AZ2387" i="1"/>
  <c r="BA2387" i="1"/>
  <c r="AZ2872" i="1"/>
  <c r="BA2872" i="1"/>
  <c r="AZ2482" i="1"/>
  <c r="BA2482" i="1"/>
  <c r="AZ2433" i="1"/>
  <c r="BA2433" i="1"/>
  <c r="AZ2822" i="1"/>
  <c r="BA2822" i="1"/>
  <c r="AZ2579" i="1"/>
  <c r="BA2579" i="1"/>
  <c r="AZ3244" i="1"/>
  <c r="BA3244" i="1"/>
  <c r="AZ3252" i="1"/>
  <c r="BA3252" i="1"/>
  <c r="AZ3122" i="1"/>
  <c r="BA3122" i="1"/>
  <c r="AZ3245" i="1"/>
  <c r="BA3245" i="1"/>
  <c r="AZ3146" i="1"/>
  <c r="BA3146" i="1"/>
  <c r="AZ3161" i="1"/>
  <c r="BA3161" i="1"/>
  <c r="AZ3056" i="1"/>
  <c r="BA3056" i="1"/>
  <c r="AZ3150" i="1"/>
  <c r="BA3150" i="1"/>
  <c r="AZ3062" i="1"/>
  <c r="BA3062" i="1"/>
  <c r="AZ3301" i="1"/>
  <c r="BA3301" i="1"/>
  <c r="AZ2577" i="1"/>
  <c r="BA2577" i="1"/>
  <c r="AZ2525" i="1"/>
  <c r="BA2525" i="1"/>
  <c r="AZ2953" i="1"/>
  <c r="BA2953" i="1"/>
  <c r="AZ2325" i="1"/>
  <c r="BA2325" i="1"/>
  <c r="AZ2841" i="1"/>
  <c r="BA2841" i="1"/>
  <c r="AZ2608" i="1"/>
  <c r="BA2608" i="1"/>
  <c r="AZ2353" i="1"/>
  <c r="BA2353" i="1"/>
  <c r="AZ2650" i="1"/>
  <c r="BA2650" i="1"/>
  <c r="AZ2868" i="1"/>
  <c r="BA2868" i="1"/>
  <c r="AZ2429" i="1"/>
  <c r="BA2429" i="1"/>
  <c r="AZ2621" i="1"/>
  <c r="BA2621" i="1"/>
  <c r="AZ2917" i="1"/>
  <c r="BA2917" i="1"/>
  <c r="AZ2598" i="1"/>
  <c r="BA2598" i="1"/>
  <c r="AZ2912" i="1"/>
  <c r="BA2912" i="1"/>
  <c r="AZ2886" i="1"/>
  <c r="BA2886" i="1"/>
  <c r="AZ2496" i="1"/>
  <c r="BA2496" i="1"/>
  <c r="AZ2745" i="1"/>
  <c r="BA2745" i="1"/>
  <c r="AZ2461" i="1"/>
  <c r="BA2461" i="1"/>
  <c r="AZ2486" i="1"/>
  <c r="BA2486" i="1"/>
  <c r="AZ2759" i="1"/>
  <c r="BA2759" i="1"/>
  <c r="AZ2862" i="1"/>
  <c r="BA2862" i="1"/>
  <c r="AZ2888" i="1"/>
  <c r="BA2888" i="1"/>
  <c r="AZ2422" i="1"/>
  <c r="BA2422" i="1"/>
  <c r="AZ2687" i="1"/>
  <c r="BA2687" i="1"/>
  <c r="AZ2829" i="1"/>
  <c r="BA2829" i="1"/>
  <c r="AZ2403" i="1"/>
  <c r="BA2403" i="1"/>
  <c r="AZ2642" i="1"/>
  <c r="BA2642" i="1"/>
  <c r="AZ2644" i="1"/>
  <c r="BA2644" i="1"/>
  <c r="AZ2867" i="1"/>
  <c r="BA2867" i="1"/>
  <c r="AZ2478" i="1"/>
  <c r="BA2478" i="1"/>
  <c r="AZ2762" i="1"/>
  <c r="BA2762" i="1"/>
  <c r="AZ2427" i="1"/>
  <c r="BA2427" i="1"/>
  <c r="AZ3185" i="1"/>
  <c r="BA3185" i="1"/>
  <c r="AZ3117" i="1"/>
  <c r="BA3117" i="1"/>
  <c r="AZ2937" i="1"/>
  <c r="BA2937" i="1"/>
  <c r="AZ3073" i="1"/>
  <c r="BA3073" i="1"/>
  <c r="AZ3253" i="1"/>
  <c r="BA3253" i="1"/>
  <c r="AZ3033" i="1"/>
  <c r="BA3033" i="1"/>
  <c r="AZ3195" i="1"/>
  <c r="BA3195" i="1"/>
  <c r="AZ2971" i="1"/>
  <c r="BA2971" i="1"/>
  <c r="AZ3097" i="1"/>
  <c r="BA3097" i="1"/>
  <c r="AZ3046" i="1"/>
  <c r="BA3046" i="1"/>
  <c r="AZ3111" i="1"/>
  <c r="BA3111" i="1"/>
  <c r="AZ3129" i="1"/>
  <c r="BA3129" i="1"/>
  <c r="AZ3126" i="1"/>
  <c r="BA3126" i="1"/>
  <c r="AZ2771" i="1"/>
  <c r="BA2771" i="1"/>
  <c r="AZ2554" i="1"/>
  <c r="BA2554" i="1"/>
  <c r="AZ2834" i="1"/>
  <c r="BA2834" i="1"/>
  <c r="AZ2559" i="1"/>
  <c r="BA2559" i="1"/>
  <c r="AZ2755" i="1"/>
  <c r="BA2755" i="1"/>
  <c r="AZ2417" i="1"/>
  <c r="BA2417" i="1"/>
  <c r="AZ2767" i="1"/>
  <c r="BA2767" i="1"/>
  <c r="AZ2660" i="1"/>
  <c r="BA2660" i="1"/>
  <c r="AZ2420" i="1"/>
  <c r="BA2420" i="1"/>
  <c r="AZ2673" i="1"/>
  <c r="BA2673" i="1"/>
  <c r="AZ2493" i="1"/>
  <c r="BA2493" i="1"/>
  <c r="AZ2733" i="1"/>
  <c r="BA2733" i="1"/>
  <c r="AZ2462" i="1"/>
  <c r="BA2462" i="1"/>
  <c r="AZ2770" i="1"/>
  <c r="BA2770" i="1"/>
  <c r="AZ2907" i="1"/>
  <c r="BA2907" i="1"/>
  <c r="AZ2573" i="1"/>
  <c r="BA2573" i="1"/>
  <c r="AZ2583" i="1"/>
  <c r="BA2583" i="1"/>
  <c r="AZ2903" i="1"/>
  <c r="BA2903" i="1"/>
  <c r="AZ2844" i="1"/>
  <c r="BA2844" i="1"/>
  <c r="AZ2612" i="1"/>
  <c r="BA2612" i="1"/>
  <c r="AZ3019" i="1"/>
  <c r="BA3019" i="1"/>
  <c r="AZ3271" i="1"/>
  <c r="BA3271" i="1"/>
  <c r="AZ2947" i="1"/>
  <c r="BA2947" i="1"/>
  <c r="AZ3152" i="1"/>
  <c r="BA3152" i="1"/>
  <c r="AZ3254" i="1"/>
  <c r="BA3254" i="1"/>
  <c r="AZ2935" i="1"/>
  <c r="BA2935" i="1"/>
  <c r="AZ3309" i="1"/>
  <c r="BA3309" i="1"/>
  <c r="AZ3240" i="1"/>
  <c r="BA3240" i="1"/>
  <c r="AZ3198" i="1"/>
  <c r="BA3198" i="1"/>
  <c r="AZ2932" i="1"/>
  <c r="BA2932" i="1"/>
  <c r="AZ3192" i="1"/>
  <c r="BA3192" i="1"/>
  <c r="AZ3107" i="1"/>
  <c r="BA3107" i="1"/>
  <c r="AZ3143" i="1"/>
  <c r="BA3143" i="1"/>
  <c r="AZ3101" i="1"/>
  <c r="BA3101" i="1"/>
  <c r="AZ2768" i="1"/>
  <c r="BA2768" i="1"/>
  <c r="AZ2477" i="1"/>
  <c r="BA2477" i="1"/>
  <c r="AZ2622" i="1"/>
  <c r="BA2622" i="1"/>
  <c r="AZ3106" i="1"/>
  <c r="BA3106" i="1"/>
  <c r="AZ2594" i="1"/>
  <c r="BA2594" i="1"/>
  <c r="AZ3011" i="1"/>
  <c r="BA3011" i="1"/>
  <c r="AZ2856" i="1"/>
  <c r="BA2856" i="1"/>
  <c r="AZ2578" i="1"/>
  <c r="BA2578" i="1"/>
  <c r="AZ3278" i="1"/>
  <c r="BA3278" i="1"/>
  <c r="AZ2320" i="1"/>
  <c r="BA2320" i="1"/>
  <c r="AZ3094" i="1"/>
  <c r="BA3094" i="1"/>
  <c r="AZ2351" i="1"/>
  <c r="BA2351" i="1"/>
  <c r="AZ2603" i="1"/>
  <c r="BA2603" i="1"/>
  <c r="AZ2697" i="1"/>
  <c r="BA2697" i="1"/>
  <c r="AZ3180" i="1"/>
  <c r="BA3180" i="1"/>
  <c r="AZ3029" i="1"/>
  <c r="BA3029" i="1"/>
  <c r="AZ2385" i="1"/>
  <c r="BA2385" i="1"/>
  <c r="AZ2980" i="1"/>
  <c r="BA2980" i="1"/>
  <c r="AZ2704" i="1"/>
  <c r="BA2704" i="1"/>
  <c r="AZ3070" i="1"/>
  <c r="BA3070" i="1"/>
  <c r="AZ2683" i="1"/>
  <c r="BA2683" i="1"/>
  <c r="BA4312" i="1"/>
  <c r="AZ2515" i="1"/>
  <c r="BA2515" i="1"/>
  <c r="AZ2421" i="1"/>
  <c r="BA2421" i="1"/>
  <c r="AZ2794" i="1"/>
  <c r="BA2794" i="1"/>
  <c r="AZ2838" i="1"/>
  <c r="BA2838" i="1"/>
  <c r="AZ2492" i="1"/>
  <c r="BA2492" i="1"/>
  <c r="AZ2740" i="1"/>
  <c r="BA2740" i="1"/>
  <c r="AZ2401" i="1"/>
  <c r="BA2401" i="1"/>
  <c r="AZ2632" i="1"/>
  <c r="BA2632" i="1"/>
  <c r="BA1217" i="1"/>
  <c r="AZ2658" i="1"/>
  <c r="BA2658" i="1"/>
  <c r="AZ2679" i="1"/>
  <c r="BA2679" i="1"/>
  <c r="AZ2465" i="1"/>
  <c r="BA2465" i="1"/>
  <c r="AZ3057" i="1"/>
  <c r="BA3057" i="1"/>
  <c r="AZ3238" i="1"/>
  <c r="BA3238" i="1"/>
  <c r="AZ2915" i="1"/>
  <c r="BA2915" i="1"/>
  <c r="AZ3303" i="1"/>
  <c r="BA3303" i="1"/>
  <c r="AZ2736" i="1"/>
  <c r="BA2736" i="1"/>
  <c r="AZ2368" i="1"/>
  <c r="BA2368" i="1"/>
  <c r="AZ2378" i="1"/>
  <c r="BA2378" i="1"/>
  <c r="AZ2410" i="1"/>
  <c r="BA2410" i="1"/>
  <c r="AZ2732" i="1"/>
  <c r="BA2732" i="1"/>
  <c r="AZ2967" i="1"/>
  <c r="BA2967" i="1"/>
  <c r="AZ2443" i="1"/>
  <c r="BA2443" i="1"/>
  <c r="AZ2334" i="1"/>
  <c r="BA2334" i="1"/>
  <c r="AZ3093" i="1"/>
  <c r="BA3093" i="1"/>
  <c r="AZ2584" i="1"/>
  <c r="BA2584" i="1"/>
  <c r="AZ2397" i="1"/>
  <c r="BA2397" i="1"/>
  <c r="AZ2871" i="1"/>
  <c r="BA2871" i="1"/>
  <c r="AZ2539" i="1"/>
  <c r="BA2539" i="1"/>
  <c r="AZ2975" i="1"/>
  <c r="BA2975" i="1"/>
  <c r="AZ2313" i="1"/>
  <c r="BA2313" i="1"/>
  <c r="AZ2839" i="1"/>
  <c r="BA2839" i="1"/>
  <c r="AZ2895" i="1"/>
  <c r="BA2895" i="1"/>
  <c r="AZ2836" i="1"/>
  <c r="BA2836" i="1"/>
  <c r="AZ2635" i="1"/>
  <c r="BA2635" i="1"/>
  <c r="AZ2526" i="1"/>
  <c r="BA2526" i="1"/>
  <c r="AZ2750" i="1"/>
  <c r="BA2750" i="1"/>
  <c r="AZ2604" i="1"/>
  <c r="BA2604" i="1"/>
  <c r="AZ3234" i="1"/>
  <c r="BA3234" i="1"/>
  <c r="AZ3141" i="1"/>
  <c r="BA3141" i="1"/>
  <c r="AZ3076" i="1"/>
  <c r="BA3076" i="1"/>
  <c r="AZ3002" i="1"/>
  <c r="BA3002" i="1"/>
  <c r="AZ2718" i="1"/>
  <c r="BA2718" i="1"/>
  <c r="AZ2727" i="1"/>
  <c r="BA2727" i="1"/>
  <c r="AZ2552" i="1"/>
  <c r="BA2552" i="1"/>
  <c r="AZ2693" i="1"/>
  <c r="BA2693" i="1"/>
  <c r="AZ2979" i="1"/>
  <c r="BA2979" i="1"/>
  <c r="AZ3114" i="1"/>
  <c r="BA3114" i="1"/>
  <c r="AZ2394" i="1"/>
  <c r="BA2394" i="1"/>
  <c r="AZ3098" i="1"/>
  <c r="BA3098" i="1"/>
  <c r="AZ2550" i="1"/>
  <c r="BA2550" i="1"/>
  <c r="AZ2861" i="1"/>
  <c r="BA2861" i="1"/>
  <c r="AZ2637" i="1"/>
  <c r="BA2637" i="1"/>
  <c r="AZ2388" i="1"/>
  <c r="BA2388" i="1"/>
  <c r="AZ2776" i="1"/>
  <c r="BA2776" i="1"/>
  <c r="AZ2887" i="1"/>
  <c r="BA2887" i="1"/>
  <c r="AZ2437" i="1"/>
  <c r="BA2437" i="1"/>
  <c r="AZ2700" i="1"/>
  <c r="BA2700" i="1"/>
  <c r="AZ2402" i="1"/>
  <c r="BA2402" i="1"/>
  <c r="AZ2666" i="1"/>
  <c r="BA2666" i="1"/>
  <c r="AZ2319" i="1"/>
  <c r="BA2319" i="1"/>
  <c r="AZ2911" i="1"/>
  <c r="BA2911" i="1"/>
  <c r="AZ2517" i="1"/>
  <c r="BA2517" i="1"/>
  <c r="AZ2758" i="1"/>
  <c r="BA2758" i="1"/>
  <c r="AZ2506" i="1"/>
  <c r="BA2506" i="1"/>
  <c r="AZ2807" i="1"/>
  <c r="BA2807" i="1"/>
  <c r="AZ2910" i="1"/>
  <c r="BA2910" i="1"/>
  <c r="AZ2494" i="1"/>
  <c r="BA2494" i="1"/>
  <c r="AZ2753" i="1"/>
  <c r="BA2753" i="1"/>
  <c r="AZ2900" i="1"/>
  <c r="BA2900" i="1"/>
  <c r="AZ2458" i="1"/>
  <c r="BA2458" i="1"/>
  <c r="AZ2662" i="1"/>
  <c r="BA2662" i="1"/>
  <c r="AZ2873" i="1"/>
  <c r="BA2873" i="1"/>
  <c r="AZ2503" i="1"/>
  <c r="BA2503" i="1"/>
  <c r="AZ2674" i="1"/>
  <c r="BA2674" i="1"/>
  <c r="AZ3248" i="1"/>
  <c r="BA3248" i="1"/>
  <c r="AZ3135" i="1"/>
  <c r="BA3135" i="1"/>
  <c r="AZ2945" i="1"/>
  <c r="BA2945" i="1"/>
  <c r="AZ3116" i="1"/>
  <c r="BA3116" i="1"/>
  <c r="AZ3266" i="1"/>
  <c r="BA3266" i="1"/>
  <c r="AZ3038" i="1"/>
  <c r="BA3038" i="1"/>
  <c r="AZ3199" i="1"/>
  <c r="BA3199" i="1"/>
  <c r="AZ2976" i="1"/>
  <c r="BA2976" i="1"/>
  <c r="AZ3127" i="1"/>
  <c r="BA3127" i="1"/>
  <c r="AZ3069" i="1"/>
  <c r="BA3069" i="1"/>
  <c r="AZ3148" i="1"/>
  <c r="BA3148" i="1"/>
  <c r="AZ3145" i="1"/>
  <c r="BA3145" i="1"/>
  <c r="AZ2845" i="1"/>
  <c r="BA2845" i="1"/>
  <c r="AZ2613" i="1"/>
  <c r="BA2613" i="1"/>
  <c r="AZ2881" i="1"/>
  <c r="BA2881" i="1"/>
  <c r="AZ2607" i="1"/>
  <c r="BA2607" i="1"/>
  <c r="AZ2514" i="1"/>
  <c r="BA2514" i="1"/>
  <c r="AZ2501" i="1"/>
  <c r="BA2501" i="1"/>
  <c r="AZ2705" i="1"/>
  <c r="BA2705" i="1"/>
  <c r="AZ2572" i="1"/>
  <c r="BA2572" i="1"/>
  <c r="AZ2472" i="1"/>
  <c r="BA2472" i="1"/>
  <c r="AZ2345" i="1"/>
  <c r="BA2345" i="1"/>
  <c r="AZ2849" i="1"/>
  <c r="BA2849" i="1"/>
  <c r="AZ2778" i="1"/>
  <c r="BA2778" i="1"/>
  <c r="AZ2668" i="1"/>
  <c r="BA2668" i="1"/>
  <c r="AZ2323" i="1"/>
  <c r="BA2323" i="1"/>
  <c r="AZ2830" i="1"/>
  <c r="BA2830" i="1"/>
  <c r="AZ2739" i="1"/>
  <c r="BA2739" i="1"/>
  <c r="AZ3050" i="1"/>
  <c r="BA3050" i="1"/>
  <c r="AZ3284" i="1"/>
  <c r="BA3284" i="1"/>
  <c r="AZ2957" i="1"/>
  <c r="BA2957" i="1"/>
  <c r="AZ3130" i="1"/>
  <c r="BA3130" i="1"/>
  <c r="AZ3078" i="1"/>
  <c r="BA3078" i="1"/>
  <c r="AZ2963" i="1"/>
  <c r="BA2963" i="1"/>
  <c r="AZ3242" i="1"/>
  <c r="BA3242" i="1"/>
  <c r="AZ3194" i="1"/>
  <c r="BA3194" i="1"/>
  <c r="AZ2977" i="1"/>
  <c r="BA2977" i="1"/>
  <c r="AZ3193" i="1"/>
  <c r="BA3193" i="1"/>
  <c r="AZ3164" i="1"/>
  <c r="BA3164" i="1"/>
  <c r="AZ3189" i="1"/>
  <c r="BA3189" i="1"/>
  <c r="AZ3159" i="1"/>
  <c r="BA3159" i="1"/>
  <c r="AZ2803" i="1"/>
  <c r="BA2803" i="1"/>
  <c r="AZ2483" i="1"/>
  <c r="BA2483" i="1"/>
  <c r="AZ2638" i="1"/>
  <c r="BA2638" i="1"/>
  <c r="AZ3136" i="1"/>
  <c r="BA3136" i="1"/>
  <c r="AZ2663" i="1"/>
  <c r="BA2663" i="1"/>
  <c r="AZ3221" i="1"/>
  <c r="BA3221" i="1"/>
  <c r="AZ2828" i="1"/>
  <c r="BA2828" i="1"/>
  <c r="AZ2695" i="1"/>
  <c r="BA2695" i="1"/>
  <c r="AZ3297" i="1"/>
  <c r="BA3297" i="1"/>
  <c r="AZ2414" i="1"/>
  <c r="BA2414" i="1"/>
  <c r="AZ3105" i="1"/>
  <c r="BA3105" i="1"/>
  <c r="AZ2456" i="1"/>
  <c r="BA2456" i="1"/>
  <c r="AZ2651" i="1"/>
  <c r="BA2651" i="1"/>
  <c r="AZ2987" i="1"/>
  <c r="BA2987" i="1"/>
  <c r="AZ2712" i="1"/>
  <c r="BA2712" i="1"/>
  <c r="AZ3036" i="1"/>
  <c r="BA3036" i="1"/>
  <c r="AZ2575" i="1"/>
  <c r="BA2575" i="1"/>
  <c r="AZ2997" i="1"/>
  <c r="BA2997" i="1"/>
  <c r="AZ2847" i="1"/>
  <c r="BA2847" i="1"/>
  <c r="AZ2782" i="1"/>
  <c r="BA2782" i="1"/>
  <c r="AZ3103" i="1"/>
  <c r="BA3103" i="1"/>
  <c r="AZ2656" i="1"/>
  <c r="BA2656" i="1"/>
  <c r="AZ3208" i="1"/>
  <c r="BA3208" i="1"/>
  <c r="AZ2587" i="1"/>
  <c r="BA2587" i="1"/>
  <c r="AZ2075" i="1"/>
  <c r="AZ2906" i="1"/>
  <c r="BA2906" i="1"/>
  <c r="AZ2893" i="1"/>
  <c r="BA2893" i="1"/>
  <c r="AZ3215" i="1"/>
  <c r="BA3215" i="1"/>
  <c r="BA13" i="1"/>
  <c r="BA1234" i="1"/>
  <c r="AZ2746" i="1"/>
  <c r="BA2746" i="1"/>
  <c r="AZ2470" i="1"/>
  <c r="BA2470" i="1"/>
  <c r="AZ2661" i="1"/>
  <c r="BA2661" i="1"/>
  <c r="AZ2690" i="1"/>
  <c r="BA2690" i="1"/>
  <c r="AZ2569" i="1"/>
  <c r="BA2569" i="1"/>
  <c r="AZ3071" i="1"/>
  <c r="BA3071" i="1"/>
  <c r="AZ3268" i="1"/>
  <c r="BA3268" i="1"/>
  <c r="AZ2306" i="1"/>
  <c r="BA2306" i="1"/>
  <c r="AZ2815" i="1"/>
  <c r="BA2815" i="1"/>
  <c r="AZ2399" i="1"/>
  <c r="BA2399" i="1"/>
  <c r="AZ2991" i="1"/>
  <c r="BA2991" i="1"/>
  <c r="AZ2418" i="1"/>
  <c r="BA2418" i="1"/>
  <c r="AZ2744" i="1"/>
  <c r="BA2744" i="1"/>
  <c r="AZ2648" i="1"/>
  <c r="BA2648" i="1"/>
  <c r="AZ2626" i="1"/>
  <c r="BA2626" i="1"/>
  <c r="AZ3151" i="1"/>
  <c r="BA3151" i="1"/>
  <c r="AZ2877" i="1"/>
  <c r="BA2877" i="1"/>
  <c r="AZ2426" i="1"/>
  <c r="BA2426" i="1"/>
  <c r="AZ2436" i="1"/>
  <c r="BA2436" i="1"/>
  <c r="AZ2879" i="1"/>
  <c r="BA2879" i="1"/>
  <c r="AZ3305" i="1"/>
  <c r="BA3305" i="1"/>
  <c r="AZ2865" i="1"/>
  <c r="BA2865" i="1"/>
  <c r="AZ2777" i="1"/>
  <c r="BA2777" i="1"/>
  <c r="AZ2623" i="1"/>
  <c r="BA2623" i="1"/>
  <c r="AZ2452" i="1"/>
  <c r="BA2452" i="1"/>
  <c r="AZ2883" i="1"/>
  <c r="BA2883" i="1"/>
  <c r="AZ2863" i="1"/>
  <c r="BA2863" i="1"/>
  <c r="AZ2891" i="1"/>
  <c r="BA2891" i="1"/>
  <c r="AZ2701" i="1"/>
  <c r="BA2701" i="1"/>
  <c r="AZ2412" i="1"/>
  <c r="BA2412" i="1"/>
  <c r="AZ2788" i="1"/>
  <c r="BA2788" i="1"/>
  <c r="AZ2527" i="1"/>
  <c r="BA2527" i="1"/>
  <c r="AZ2814" i="1"/>
  <c r="BA2814" i="1"/>
  <c r="AZ2568" i="1"/>
  <c r="BA2568" i="1"/>
  <c r="AZ2914" i="1"/>
  <c r="BA2914" i="1"/>
  <c r="AZ2817" i="1"/>
  <c r="BA2817" i="1"/>
  <c r="AZ2775" i="1"/>
  <c r="BA2775" i="1"/>
  <c r="AZ2528" i="1"/>
  <c r="BA2528" i="1"/>
  <c r="AZ3160" i="1"/>
  <c r="BA3160" i="1"/>
  <c r="AZ2973" i="1"/>
  <c r="BA2973" i="1"/>
  <c r="AZ3259" i="1"/>
  <c r="BA3259" i="1"/>
  <c r="AZ3216" i="1"/>
  <c r="BA3216" i="1"/>
  <c r="AZ3142" i="1"/>
  <c r="BA3142" i="1"/>
  <c r="AZ3077" i="1"/>
  <c r="BA3077" i="1"/>
  <c r="AZ2946" i="1"/>
  <c r="BA2946" i="1"/>
  <c r="AZ3175" i="1"/>
  <c r="BA3175" i="1"/>
  <c r="AZ3158" i="1"/>
  <c r="BA3158" i="1"/>
  <c r="AZ2342" i="1"/>
  <c r="BA2342" i="1"/>
  <c r="AZ2653" i="1"/>
  <c r="BA2653" i="1"/>
  <c r="AZ2885" i="1"/>
  <c r="BA2885" i="1"/>
  <c r="AZ2630" i="1"/>
  <c r="BA2630" i="1"/>
  <c r="AZ2533" i="1"/>
  <c r="BA2533" i="1"/>
  <c r="AZ2532" i="1"/>
  <c r="BA2532" i="1"/>
  <c r="AZ2720" i="1"/>
  <c r="BA2720" i="1"/>
  <c r="AZ2586" i="1"/>
  <c r="BA2586" i="1"/>
  <c r="AZ2502" i="1"/>
  <c r="BA2502" i="1"/>
  <c r="AZ2389" i="1"/>
  <c r="BA2389" i="1"/>
  <c r="AZ2870" i="1"/>
  <c r="BA2870" i="1"/>
  <c r="AZ2707" i="1"/>
  <c r="BA2707" i="1"/>
  <c r="AZ2357" i="1"/>
  <c r="BA2357" i="1"/>
  <c r="AZ2878" i="1"/>
  <c r="BA2878" i="1"/>
  <c r="AZ2748" i="1"/>
  <c r="BA2748" i="1"/>
  <c r="AZ3059" i="1"/>
  <c r="BA3059" i="1"/>
  <c r="AZ2948" i="1"/>
  <c r="BA2948" i="1"/>
  <c r="AZ3014" i="1"/>
  <c r="BA3014" i="1"/>
  <c r="AZ3170" i="1"/>
  <c r="BA3170" i="1"/>
  <c r="AZ3171" i="1"/>
  <c r="BA3171" i="1"/>
  <c r="AZ3007" i="1"/>
  <c r="BA3007" i="1"/>
  <c r="AZ2954" i="1"/>
  <c r="BA2954" i="1"/>
  <c r="AZ3280" i="1"/>
  <c r="BA3280" i="1"/>
  <c r="AZ3286" i="1"/>
  <c r="BA3286" i="1"/>
  <c r="AZ3047" i="1"/>
  <c r="BA3047" i="1"/>
  <c r="AZ3137" i="1"/>
  <c r="BA3137" i="1"/>
  <c r="AZ2984" i="1"/>
  <c r="BA2984" i="1"/>
  <c r="AZ3138" i="1"/>
  <c r="BA3138" i="1"/>
  <c r="AZ2811" i="1"/>
  <c r="BA2811" i="1"/>
  <c r="AZ2491" i="1"/>
  <c r="BA2491" i="1"/>
  <c r="AZ2784" i="1"/>
  <c r="BA2784" i="1"/>
  <c r="AZ3157" i="1"/>
  <c r="BA3157" i="1"/>
  <c r="AZ2678" i="1"/>
  <c r="BA2678" i="1"/>
  <c r="AZ3255" i="1"/>
  <c r="BA3255" i="1"/>
  <c r="AZ2874" i="1"/>
  <c r="BA2874" i="1"/>
  <c r="AZ2715" i="1"/>
  <c r="BA2715" i="1"/>
  <c r="AZ3188" i="1"/>
  <c r="BA3188" i="1"/>
  <c r="AZ2520" i="1"/>
  <c r="BA2520" i="1"/>
  <c r="AZ2901" i="1"/>
  <c r="BA2901" i="1"/>
  <c r="AZ2682" i="1"/>
  <c r="BA2682" i="1"/>
  <c r="AZ2942" i="1"/>
  <c r="BA2942" i="1"/>
  <c r="AZ3041" i="1"/>
  <c r="BA3041" i="1"/>
  <c r="AZ2766" i="1"/>
  <c r="BA2766" i="1"/>
  <c r="AZ3045" i="1"/>
  <c r="BA3045" i="1"/>
  <c r="AZ2645" i="1"/>
  <c r="BA2645" i="1"/>
  <c r="AZ3013" i="1"/>
  <c r="BA3013" i="1"/>
  <c r="AZ2329" i="1"/>
  <c r="BA2329" i="1"/>
  <c r="AZ3217" i="1"/>
  <c r="BA3217" i="1"/>
  <c r="AZ2846" i="1"/>
  <c r="BA2846" i="1"/>
  <c r="AZ2760" i="1"/>
  <c r="BA2760" i="1"/>
  <c r="AZ1031" i="1"/>
  <c r="AZ2617" i="1"/>
  <c r="BA2617" i="1"/>
  <c r="AZ2431" i="1"/>
  <c r="BA2431" i="1"/>
  <c r="AZ2363" i="1"/>
  <c r="BA2363" i="1"/>
  <c r="AZ2756" i="1"/>
  <c r="BA2756" i="1"/>
  <c r="AZ2531" i="1"/>
  <c r="BA2531" i="1"/>
  <c r="AZ3220" i="1"/>
  <c r="BA3220" i="1"/>
  <c r="AZ2716" i="1"/>
  <c r="BA2716" i="1"/>
  <c r="AZ2588" i="1"/>
  <c r="BA2588" i="1"/>
  <c r="AZ2919" i="1"/>
  <c r="BA2919" i="1"/>
  <c r="BA1279" i="1"/>
  <c r="AZ3090" i="1"/>
  <c r="BA3090" i="1"/>
  <c r="AZ3269" i="1"/>
  <c r="BA3269" i="1"/>
  <c r="AZ2312" i="1"/>
  <c r="BA2312" i="1"/>
  <c r="AZ2369" i="1"/>
  <c r="BA2369" i="1"/>
  <c r="AZ2405" i="1"/>
  <c r="BA2405" i="1"/>
  <c r="AZ2785" i="1"/>
  <c r="BA2785" i="1"/>
  <c r="AZ2448" i="1"/>
  <c r="BA2448" i="1"/>
  <c r="AZ2751" i="1"/>
  <c r="BA2751" i="1"/>
  <c r="AZ2647" i="1"/>
  <c r="BA2647" i="1"/>
  <c r="AZ2415" i="1"/>
  <c r="BA2415" i="1"/>
  <c r="AZ2850" i="1"/>
  <c r="BA2850" i="1"/>
  <c r="AZ2724" i="1"/>
  <c r="BA2724" i="1"/>
  <c r="AZ2596" i="1"/>
  <c r="BA2596" i="1"/>
  <c r="AZ2972" i="1"/>
  <c r="BA2972" i="1"/>
  <c r="AZ3017" i="1"/>
  <c r="BA3017" i="1"/>
  <c r="AZ2699" i="1"/>
  <c r="BA2699" i="1"/>
  <c r="AZ3190" i="1"/>
  <c r="BA3190" i="1"/>
  <c r="AZ2659" i="1"/>
  <c r="BA2659" i="1"/>
  <c r="AZ2442" i="1"/>
  <c r="BA2442" i="1"/>
  <c r="AZ2783" i="1"/>
  <c r="BA2783" i="1"/>
  <c r="AZ2904" i="1"/>
  <c r="BA2904" i="1"/>
  <c r="AZ2667" i="1"/>
  <c r="BA2667" i="1"/>
  <c r="AZ2869" i="1"/>
  <c r="BA2869" i="1"/>
  <c r="AZ2393" i="1"/>
  <c r="BA2393" i="1"/>
  <c r="AZ2864" i="1"/>
  <c r="BA2864" i="1"/>
  <c r="AZ2643" i="1"/>
  <c r="BA2643" i="1"/>
  <c r="AZ2406" i="1"/>
  <c r="BA2406" i="1"/>
  <c r="AZ2453" i="1"/>
  <c r="BA2453" i="1"/>
  <c r="AZ2675" i="1"/>
  <c r="BA2675" i="1"/>
  <c r="AZ2341" i="1"/>
  <c r="BA2341" i="1"/>
  <c r="AZ2346" i="1"/>
  <c r="BA2346" i="1"/>
  <c r="AZ2523" i="1"/>
  <c r="BA2523" i="1"/>
  <c r="AZ2927" i="1"/>
  <c r="BA2927" i="1"/>
  <c r="AZ2765" i="1"/>
  <c r="BA2765" i="1"/>
  <c r="AZ2537" i="1"/>
  <c r="BA2537" i="1"/>
  <c r="AZ2681" i="1"/>
  <c r="BA2681" i="1"/>
  <c r="AZ2882" i="1"/>
  <c r="BA2882" i="1"/>
  <c r="AZ3273" i="1"/>
  <c r="BA3273" i="1"/>
  <c r="AZ2933" i="1"/>
  <c r="BA2933" i="1"/>
  <c r="AZ3119" i="1"/>
  <c r="BA3119" i="1"/>
  <c r="AZ3080" i="1"/>
  <c r="BA3080" i="1"/>
  <c r="AZ2994" i="1"/>
  <c r="BA2994" i="1"/>
  <c r="AZ2993" i="1"/>
  <c r="BA2993" i="1"/>
  <c r="AZ2310" i="1"/>
  <c r="BA2310" i="1"/>
  <c r="AZ2655" i="1"/>
  <c r="BA2655" i="1"/>
  <c r="AZ2589" i="1"/>
  <c r="BA2589" i="1"/>
  <c r="AZ2793" i="1"/>
  <c r="BA2793" i="1"/>
  <c r="AZ2892" i="1"/>
  <c r="BA2892" i="1"/>
  <c r="AZ2479" i="1"/>
  <c r="BA2479" i="1"/>
  <c r="AZ2730" i="1"/>
  <c r="BA2730" i="1"/>
  <c r="AZ2812" i="1"/>
  <c r="BA2812" i="1"/>
  <c r="AZ2447" i="1"/>
  <c r="BA2447" i="1"/>
  <c r="AZ2696" i="1"/>
  <c r="BA2696" i="1"/>
  <c r="AZ2332" i="1"/>
  <c r="BA2332" i="1"/>
  <c r="AZ2801" i="1"/>
  <c r="BA2801" i="1"/>
  <c r="AZ2356" i="1"/>
  <c r="BA2356" i="1"/>
  <c r="AZ2530" i="1"/>
  <c r="BA2530" i="1"/>
  <c r="AZ2564" i="1"/>
  <c r="BA2564" i="1"/>
  <c r="AZ2804" i="1"/>
  <c r="BA2804" i="1"/>
  <c r="AZ2316" i="1"/>
  <c r="BA2316" i="1"/>
  <c r="AZ2576" i="1"/>
  <c r="BA2576" i="1"/>
  <c r="AZ2311" i="1"/>
  <c r="BA2311" i="1"/>
  <c r="AZ2548" i="1"/>
  <c r="BA2548" i="1"/>
  <c r="AZ2908" i="1"/>
  <c r="BA2908" i="1"/>
  <c r="AZ2691" i="1"/>
  <c r="BA2691" i="1"/>
  <c r="AZ2792" i="1"/>
  <c r="BA2792" i="1"/>
  <c r="AZ2918" i="1"/>
  <c r="BA2918" i="1"/>
  <c r="AZ2538" i="1"/>
  <c r="BA2538" i="1"/>
  <c r="AZ3044" i="1"/>
  <c r="BA3044" i="1"/>
  <c r="AZ2938" i="1"/>
  <c r="BA2938" i="1"/>
  <c r="AZ3256" i="1"/>
  <c r="BA3256" i="1"/>
  <c r="AZ2988" i="1"/>
  <c r="BA2988" i="1"/>
  <c r="AZ3165" i="1"/>
  <c r="BA3165" i="1"/>
  <c r="AZ2964" i="1"/>
  <c r="BA2964" i="1"/>
  <c r="AZ3085" i="1"/>
  <c r="BA3085" i="1"/>
  <c r="AZ3224" i="1"/>
  <c r="BA3224" i="1"/>
  <c r="AZ3023" i="1"/>
  <c r="BA3023" i="1"/>
  <c r="AZ3169" i="1"/>
  <c r="BA3169" i="1"/>
  <c r="AZ3125" i="1"/>
  <c r="BA3125" i="1"/>
  <c r="AZ3096" i="1"/>
  <c r="BA3096" i="1"/>
  <c r="AZ2959" i="1"/>
  <c r="BA2959" i="1"/>
  <c r="AZ2955" i="1"/>
  <c r="BA2955" i="1"/>
  <c r="AZ3228" i="1"/>
  <c r="BA3228" i="1"/>
  <c r="AZ3183" i="1"/>
  <c r="BA3183" i="1"/>
  <c r="AZ2381" i="1"/>
  <c r="BA2381" i="1"/>
  <c r="AZ2743" i="1"/>
  <c r="BA2743" i="1"/>
  <c r="AZ2335" i="1"/>
  <c r="BA2335" i="1"/>
  <c r="AZ2652" i="1"/>
  <c r="BA2652" i="1"/>
  <c r="AZ2837" i="1"/>
  <c r="BA2837" i="1"/>
  <c r="AZ2831" i="1"/>
  <c r="BA2831" i="1"/>
  <c r="AZ2593" i="1"/>
  <c r="BA2593" i="1"/>
  <c r="AZ2772" i="1"/>
  <c r="BA2772" i="1"/>
  <c r="AZ2547" i="1"/>
  <c r="BA2547" i="1"/>
  <c r="AZ2728" i="1"/>
  <c r="BA2728" i="1"/>
  <c r="AZ2592" i="1"/>
  <c r="BA2592" i="1"/>
  <c r="AZ2544" i="1"/>
  <c r="BA2544" i="1"/>
  <c r="AZ2386" i="1"/>
  <c r="BA2386" i="1"/>
  <c r="AZ2428" i="1"/>
  <c r="BA2428" i="1"/>
  <c r="AZ2488" i="1"/>
  <c r="BA2488" i="1"/>
  <c r="AZ2909" i="1"/>
  <c r="BA2909" i="1"/>
  <c r="AZ3091" i="1"/>
  <c r="BA3091" i="1"/>
  <c r="AZ3000" i="1"/>
  <c r="BA3000" i="1"/>
  <c r="AZ3040" i="1"/>
  <c r="BA3040" i="1"/>
  <c r="AZ3184" i="1"/>
  <c r="BA3184" i="1"/>
  <c r="AZ3140" i="1"/>
  <c r="BA3140" i="1"/>
  <c r="AZ2998" i="1"/>
  <c r="BA2998" i="1"/>
  <c r="AZ3001" i="1"/>
  <c r="BA3001" i="1"/>
  <c r="AZ3005" i="1"/>
  <c r="BA3005" i="1"/>
  <c r="AZ2920" i="1"/>
  <c r="BA2920" i="1"/>
  <c r="AZ3053" i="1"/>
  <c r="BA3053" i="1"/>
  <c r="AZ2956" i="1"/>
  <c r="BA2956" i="1"/>
  <c r="AZ3211" i="1"/>
  <c r="BA3211" i="1"/>
  <c r="AZ3010" i="1"/>
  <c r="BA3010" i="1"/>
  <c r="AZ3128" i="1"/>
  <c r="BA3128" i="1"/>
  <c r="AZ2824" i="1"/>
  <c r="BA2824" i="1"/>
  <c r="AZ2512" i="1"/>
  <c r="BA2512" i="1"/>
  <c r="AZ3207" i="1"/>
  <c r="BA3207" i="1"/>
  <c r="AZ2669" i="1"/>
  <c r="BA2669" i="1"/>
  <c r="AZ3274" i="1"/>
  <c r="BA3274" i="1"/>
  <c r="AZ2876" i="1"/>
  <c r="BA2876" i="1"/>
  <c r="AZ2556" i="1"/>
  <c r="BA2556" i="1"/>
  <c r="AZ2742" i="1"/>
  <c r="BA2742" i="1"/>
  <c r="AZ2960" i="1"/>
  <c r="BA2960" i="1"/>
  <c r="AZ3168" i="1"/>
  <c r="BA3168" i="1"/>
  <c r="AZ2899" i="1"/>
  <c r="BA2899" i="1"/>
  <c r="AZ3067" i="1"/>
  <c r="BA3067" i="1"/>
  <c r="AZ2680" i="1"/>
  <c r="BA2680" i="1"/>
  <c r="AZ3153" i="1"/>
  <c r="BA3153" i="1"/>
  <c r="AZ2347" i="1"/>
  <c r="BA2347" i="1"/>
  <c r="AZ3237" i="1"/>
  <c r="BA3237" i="1"/>
  <c r="AZ2896" i="1"/>
  <c r="BA2896" i="1"/>
  <c r="AZ2355" i="1"/>
  <c r="BA2355" i="1"/>
  <c r="AZ2958" i="1"/>
  <c r="BA2958" i="1"/>
  <c r="AZ2455" i="1"/>
  <c r="BA2455" i="1"/>
  <c r="AZ3178" i="1"/>
  <c r="BA3178" i="1"/>
  <c r="AZ2371" i="1"/>
  <c r="BA2371" i="1"/>
  <c r="BA4309" i="1"/>
  <c r="AZ2542" i="1"/>
  <c r="BA2542" i="1"/>
  <c r="AZ1313" i="1"/>
  <c r="AZ2852" i="1"/>
  <c r="BA2852" i="1"/>
  <c r="AZ3022" i="1"/>
  <c r="BA3022" i="1"/>
  <c r="AZ2685" i="1"/>
  <c r="BA2685" i="1"/>
  <c r="AZ3210" i="1"/>
  <c r="BA3210" i="1"/>
  <c r="AZ3113" i="1"/>
  <c r="BA3113" i="1"/>
  <c r="AZ3285" i="1"/>
  <c r="BA3285" i="1"/>
  <c r="AZ2354" i="1"/>
  <c r="BA2354" i="1"/>
  <c r="AZ2970" i="1"/>
  <c r="BA2970" i="1"/>
  <c r="AZ2408" i="1"/>
  <c r="BA2408" i="1"/>
  <c r="AZ2605" i="1"/>
  <c r="BA2605" i="1"/>
  <c r="AZ2444" i="1"/>
  <c r="BA2444" i="1"/>
  <c r="AZ2505" i="1"/>
  <c r="BA2505" i="1"/>
  <c r="AZ2939" i="1"/>
  <c r="BA2939" i="1"/>
  <c r="AZ2866" i="1"/>
  <c r="BA2866" i="1"/>
  <c r="AZ3131" i="1"/>
  <c r="BA3131" i="1"/>
  <c r="AZ2625" i="1"/>
  <c r="BA2625" i="1"/>
  <c r="AZ2989" i="1"/>
  <c r="BA2989" i="1"/>
  <c r="AZ3223" i="1"/>
  <c r="BA3223" i="1"/>
  <c r="AZ3035" i="1"/>
  <c r="BA3035" i="1"/>
  <c r="AZ3329" i="1"/>
  <c r="BA3329" i="1"/>
  <c r="AZ2469" i="1"/>
  <c r="BA2469" i="1"/>
  <c r="AZ2379" i="1"/>
  <c r="BA2379" i="1"/>
  <c r="AZ2708" i="1"/>
  <c r="BA2708" i="1"/>
  <c r="AZ2419" i="1"/>
  <c r="BA2419" i="1"/>
  <c r="AZ3173" i="1"/>
  <c r="BA3173" i="1"/>
  <c r="AZ2349" i="1"/>
  <c r="BA2349" i="1"/>
  <c r="AZ2333" i="1"/>
  <c r="BA2333" i="1"/>
  <c r="AZ2330" i="1"/>
  <c r="BA2330" i="1"/>
  <c r="AZ2454" i="1"/>
  <c r="BA2454" i="1"/>
  <c r="AZ2449" i="1"/>
  <c r="BA2449" i="1"/>
  <c r="AZ2549" i="1"/>
  <c r="BA2549" i="1"/>
  <c r="AZ2601" i="1"/>
  <c r="BA2601" i="1"/>
  <c r="AZ2350" i="1"/>
  <c r="BA2350" i="1"/>
  <c r="AZ2570" i="1"/>
  <c r="BA2570" i="1"/>
  <c r="AZ2376" i="1"/>
  <c r="BA2376" i="1"/>
  <c r="AZ2698" i="1"/>
  <c r="BA2698" i="1"/>
  <c r="AZ2790" i="1"/>
  <c r="BA2790" i="1"/>
  <c r="AZ2339" i="1"/>
  <c r="BA2339" i="1"/>
  <c r="AZ2540" i="1"/>
  <c r="BA2540" i="1"/>
  <c r="AZ3100" i="1"/>
  <c r="BA3100" i="1"/>
  <c r="AZ2985" i="1"/>
  <c r="BA2985" i="1"/>
  <c r="AZ3260" i="1"/>
  <c r="BA3260" i="1"/>
  <c r="AZ2992" i="1"/>
  <c r="BA2992" i="1"/>
  <c r="AZ3144" i="1"/>
  <c r="BA3144" i="1"/>
  <c r="AZ2949" i="1"/>
  <c r="BA2949" i="1"/>
  <c r="AZ3112" i="1"/>
  <c r="BA3112" i="1"/>
  <c r="AZ3235" i="1"/>
  <c r="BA3235" i="1"/>
  <c r="AZ3031" i="1"/>
  <c r="BA3031" i="1"/>
  <c r="AZ3191" i="1"/>
  <c r="BA3191" i="1"/>
  <c r="AZ3155" i="1"/>
  <c r="BA3155" i="1"/>
  <c r="AZ3232" i="1"/>
  <c r="BA3232" i="1"/>
  <c r="AZ2941" i="1"/>
  <c r="BA2941" i="1"/>
  <c r="AZ3133" i="1"/>
  <c r="BA3133" i="1"/>
  <c r="AZ3079" i="1"/>
  <c r="BA3079" i="1"/>
  <c r="AZ3028" i="1"/>
  <c r="BA3028" i="1"/>
  <c r="AZ3272" i="1"/>
  <c r="BA3272" i="1"/>
  <c r="AZ3205" i="1"/>
  <c r="BA3205" i="1"/>
  <c r="AZ2396" i="1"/>
  <c r="BA2396" i="1"/>
  <c r="AZ2749" i="1"/>
  <c r="BA2749" i="1"/>
  <c r="AZ2392" i="1"/>
  <c r="BA2392" i="1"/>
  <c r="AZ2665" i="1"/>
  <c r="BA2665" i="1"/>
  <c r="AZ2551" i="1"/>
  <c r="BA2551" i="1"/>
  <c r="AZ2328" i="1"/>
  <c r="BA2328" i="1"/>
  <c r="AZ2628" i="1"/>
  <c r="BA2628" i="1"/>
  <c r="AZ2809" i="1"/>
  <c r="BA2809" i="1"/>
  <c r="AZ2557" i="1"/>
  <c r="BA2557" i="1"/>
  <c r="AZ2780" i="1"/>
  <c r="BA2780" i="1"/>
  <c r="AZ2689" i="1"/>
  <c r="BA2689" i="1"/>
  <c r="AZ2619" i="1"/>
  <c r="BA2619" i="1"/>
  <c r="AZ2511" i="1"/>
  <c r="BA2511" i="1"/>
  <c r="AZ2435" i="1"/>
  <c r="BA2435" i="1"/>
  <c r="AZ2574" i="1"/>
  <c r="BA2574" i="1"/>
  <c r="AZ2430" i="1"/>
  <c r="BA2430" i="1"/>
  <c r="AZ3102" i="1"/>
  <c r="BA3102" i="1"/>
  <c r="AZ3262" i="1"/>
  <c r="BA3262" i="1"/>
  <c r="AZ3061" i="1"/>
  <c r="BA3061" i="1"/>
  <c r="AZ3214" i="1"/>
  <c r="BA3214" i="1"/>
  <c r="AZ3283" i="1"/>
  <c r="BA3283" i="1"/>
  <c r="AZ3015" i="1"/>
  <c r="BA3015" i="1"/>
  <c r="AZ3030" i="1"/>
  <c r="BA3030" i="1"/>
  <c r="AZ3027" i="1"/>
  <c r="BA3027" i="1"/>
  <c r="AZ3108" i="1"/>
  <c r="BA3108" i="1"/>
  <c r="AZ2978" i="1"/>
  <c r="BA2978" i="1"/>
  <c r="AZ3231" i="1"/>
  <c r="BA3231" i="1"/>
  <c r="AZ3009" i="1"/>
  <c r="BA3009" i="1"/>
  <c r="AZ3172" i="1"/>
  <c r="BA3172" i="1"/>
  <c r="AZ2800" i="1"/>
  <c r="BA2800" i="1"/>
  <c r="AZ2522" i="1"/>
  <c r="BA2522" i="1"/>
  <c r="AZ2717" i="1"/>
  <c r="BA2717" i="1"/>
  <c r="AZ3291" i="1"/>
  <c r="BA3291" i="1"/>
  <c r="AZ2889" i="1"/>
  <c r="BA2889" i="1"/>
  <c r="AZ3092" i="1"/>
  <c r="BA3092" i="1"/>
  <c r="AZ2565" i="1"/>
  <c r="BA2565" i="1"/>
  <c r="AZ3018" i="1"/>
  <c r="BA3018" i="1"/>
  <c r="AZ2374" i="1"/>
  <c r="BA2374" i="1"/>
  <c r="AZ3213" i="1"/>
  <c r="BA3213" i="1"/>
  <c r="AZ2383" i="1"/>
  <c r="BA2383" i="1"/>
  <c r="AZ2936" i="1"/>
  <c r="BA2936" i="1"/>
  <c r="AZ3089" i="1"/>
  <c r="BA3089" i="1"/>
  <c r="AZ2672" i="1"/>
  <c r="BA2672" i="1"/>
  <c r="AZ3257" i="1"/>
  <c r="BA3257" i="1"/>
  <c r="AZ2507" i="1"/>
  <c r="BA2507" i="1"/>
  <c r="AZ3277" i="1"/>
  <c r="BA3277" i="1"/>
  <c r="AZ2484" i="1"/>
  <c r="BA2484" i="1"/>
  <c r="AZ2367" i="1"/>
  <c r="BA2367" i="1"/>
  <c r="AZ3104" i="1"/>
  <c r="BA3104" i="1"/>
  <c r="AZ2558" i="1"/>
  <c r="BA2558" i="1"/>
  <c r="AZ3290" i="1"/>
  <c r="BA3290" i="1"/>
  <c r="AZ2761" i="1"/>
  <c r="BA2761" i="1"/>
  <c r="AZ2555" i="1"/>
  <c r="BA2555" i="1"/>
  <c r="AZ2916" i="1"/>
  <c r="BA2916" i="1"/>
  <c r="BA4281" i="1"/>
  <c r="AZ3118" i="1"/>
  <c r="BA3118" i="1"/>
  <c r="AZ2694" i="1"/>
  <c r="BA2694" i="1"/>
  <c r="AZ3222" i="1"/>
  <c r="BA3222" i="1"/>
  <c r="AZ3124" i="1"/>
  <c r="BA3124" i="1"/>
  <c r="AZ2763" i="1"/>
  <c r="BA2763" i="1"/>
  <c r="AZ2390" i="1"/>
  <c r="BA2390" i="1"/>
  <c r="AZ3251" i="1"/>
  <c r="BA3251" i="1"/>
  <c r="AZ2497" i="1"/>
  <c r="BA2497" i="1"/>
  <c r="AZ3201" i="1"/>
  <c r="BA3201" i="1"/>
  <c r="AZ2597" i="1"/>
  <c r="BA2597" i="1"/>
  <c r="AZ2445" i="1"/>
  <c r="BA2445" i="1"/>
  <c r="AZ2309" i="1"/>
  <c r="BA2309" i="1"/>
  <c r="AZ2509" i="1"/>
  <c r="BA2509" i="1"/>
  <c r="AZ2962" i="1"/>
  <c r="BA2962" i="1"/>
  <c r="AZ2974" i="1"/>
  <c r="BA2974" i="1"/>
  <c r="AZ2913" i="1"/>
  <c r="BA2913" i="1"/>
  <c r="AZ2966" i="1"/>
  <c r="BA2966" i="1"/>
  <c r="AZ2314" i="1"/>
  <c r="BA2314" i="1"/>
  <c r="AZ2317" i="1"/>
  <c r="BA2317" i="1"/>
  <c r="AZ2990" i="1"/>
  <c r="BA2990" i="1"/>
  <c r="AZ2434" i="1"/>
  <c r="BA2434" i="1"/>
  <c r="AZ2684" i="1"/>
  <c r="BA2684" i="1"/>
  <c r="AZ3072" i="1"/>
  <c r="BA3072" i="1"/>
  <c r="AZ2326" i="1"/>
  <c r="BA2326" i="1"/>
  <c r="AZ3081" i="1"/>
  <c r="BA3081" i="1"/>
  <c r="AZ2535" i="1"/>
  <c r="BA2535" i="1"/>
  <c r="AZ2560" i="1"/>
  <c r="BA2560" i="1"/>
  <c r="AZ2897" i="1"/>
  <c r="BA2897" i="1"/>
  <c r="AZ2774" i="1"/>
  <c r="BA2774" i="1"/>
  <c r="AZ2664" i="1"/>
  <c r="BA2664" i="1"/>
  <c r="AZ2825" i="1"/>
  <c r="BA2825" i="1"/>
  <c r="AZ2731" i="1"/>
  <c r="BA2731" i="1"/>
  <c r="AZ2818" i="1"/>
  <c r="BA2818" i="1"/>
  <c r="AZ2344" i="1"/>
  <c r="BA2344" i="1"/>
  <c r="AZ2781" i="1"/>
  <c r="BA2781" i="1"/>
  <c r="AZ2360" i="1"/>
  <c r="BA2360" i="1"/>
  <c r="AZ2671" i="1"/>
  <c r="BA2671" i="1"/>
  <c r="AZ2609" i="1"/>
  <c r="BA2609" i="1"/>
  <c r="AZ2805" i="1"/>
  <c r="BA2805" i="1"/>
  <c r="AZ2331" i="1"/>
  <c r="BA2331" i="1"/>
  <c r="AZ2498" i="1"/>
  <c r="BA2498" i="1"/>
  <c r="AZ2741" i="1"/>
  <c r="BA2741" i="1"/>
  <c r="AZ2799" i="1"/>
  <c r="BA2799" i="1"/>
  <c r="AZ2466" i="1"/>
  <c r="BA2466" i="1"/>
  <c r="AZ2702" i="1"/>
  <c r="BA2702" i="1"/>
  <c r="AZ2481" i="1"/>
  <c r="BA2481" i="1"/>
  <c r="AZ2797" i="1"/>
  <c r="BA2797" i="1"/>
  <c r="AZ2451" i="1"/>
  <c r="BA2451" i="1"/>
  <c r="AZ2590" i="1"/>
  <c r="BA2590" i="1"/>
  <c r="AZ2769" i="1"/>
  <c r="BA2769" i="1"/>
  <c r="AZ2722" i="1"/>
  <c r="BA2722" i="1"/>
  <c r="AZ2853" i="1"/>
  <c r="BA2853" i="1"/>
  <c r="AZ2337" i="1"/>
  <c r="BA2337" i="1"/>
  <c r="AZ2618" i="1"/>
  <c r="BA2618" i="1"/>
  <c r="AZ2791" i="1"/>
  <c r="BA2791" i="1"/>
  <c r="AZ2364" i="1"/>
  <c r="BA2364" i="1"/>
  <c r="AZ2582" i="1"/>
  <c r="BA2582" i="1"/>
  <c r="AZ2416" i="1"/>
  <c r="BA2416" i="1"/>
  <c r="AZ2709" i="1"/>
  <c r="BA2709" i="1"/>
  <c r="AZ2840" i="1"/>
  <c r="BA2840" i="1"/>
  <c r="AZ2365" i="1"/>
  <c r="BA2365" i="1"/>
  <c r="AZ2553" i="1"/>
  <c r="BA2553" i="1"/>
  <c r="AZ2627" i="1"/>
  <c r="BA2627" i="1"/>
  <c r="AZ2614" i="1"/>
  <c r="BA2614" i="1"/>
  <c r="AZ2395" i="1"/>
  <c r="BA2395" i="1"/>
  <c r="AZ3163" i="1"/>
  <c r="BA3163" i="1"/>
  <c r="AZ2995" i="1"/>
  <c r="BA2995" i="1"/>
  <c r="AZ3322" i="1"/>
  <c r="BA3322" i="1"/>
  <c r="AZ3034" i="1"/>
  <c r="BA3034" i="1"/>
  <c r="AZ3196" i="1"/>
  <c r="BA3196" i="1"/>
  <c r="AZ2982" i="1"/>
  <c r="BA2982" i="1"/>
  <c r="AZ3120" i="1"/>
  <c r="BA3120" i="1"/>
  <c r="AZ3287" i="1"/>
  <c r="BA3287" i="1"/>
  <c r="AZ3039" i="1"/>
  <c r="BA3039" i="1"/>
  <c r="AZ3200" i="1"/>
  <c r="BA3200" i="1"/>
  <c r="AZ3239" i="1"/>
  <c r="BA3239" i="1"/>
  <c r="AZ2961" i="1"/>
  <c r="BA2961" i="1"/>
  <c r="AZ3174" i="1"/>
  <c r="BA3174" i="1"/>
  <c r="AZ3149" i="1"/>
  <c r="BA3149" i="1"/>
  <c r="AZ2999" i="1"/>
  <c r="BA2999" i="1"/>
  <c r="AZ3209" i="1"/>
  <c r="BA3209" i="1"/>
  <c r="AZ2446" i="1"/>
  <c r="BA2446" i="1"/>
  <c r="AZ2467" i="1"/>
  <c r="BA2467" i="1"/>
  <c r="AZ2677" i="1"/>
  <c r="BA2677" i="1"/>
  <c r="AZ2561" i="1"/>
  <c r="BA2561" i="1"/>
  <c r="AZ2352" i="1"/>
  <c r="BA2352" i="1"/>
  <c r="AZ2640" i="1"/>
  <c r="BA2640" i="1"/>
  <c r="AZ2855" i="1"/>
  <c r="BA2855" i="1"/>
  <c r="AZ2875" i="1"/>
  <c r="BA2875" i="1"/>
  <c r="AZ2580" i="1"/>
  <c r="BA2580" i="1"/>
  <c r="AZ2764" i="1"/>
  <c r="BA2764" i="1"/>
  <c r="AZ2636" i="1"/>
  <c r="BA2636" i="1"/>
  <c r="AZ2843" i="1"/>
  <c r="BA2843" i="1"/>
  <c r="AZ2706" i="1"/>
  <c r="BA2706" i="1"/>
  <c r="AZ2457" i="1"/>
  <c r="BA2457" i="1"/>
  <c r="AZ2391" i="1"/>
  <c r="BA2391" i="1"/>
  <c r="AZ2654" i="1"/>
  <c r="BA2654" i="1"/>
  <c r="AZ2463" i="1"/>
  <c r="BA2463" i="1"/>
  <c r="AZ2931" i="1"/>
  <c r="BA2931" i="1"/>
  <c r="AZ3206" i="1"/>
  <c r="BA3206" i="1"/>
  <c r="AZ3289" i="1"/>
  <c r="BA3289" i="1"/>
  <c r="AZ3066" i="1"/>
  <c r="BA3066" i="1"/>
  <c r="AZ2996" i="1"/>
  <c r="BA2996" i="1"/>
  <c r="AZ3229" i="1"/>
  <c r="BA3229" i="1"/>
  <c r="AZ2951" i="1"/>
  <c r="BA2951" i="1"/>
  <c r="AZ3086" i="1"/>
  <c r="BA3086" i="1"/>
  <c r="AZ3037" i="1"/>
  <c r="BA3037" i="1"/>
  <c r="AZ3020" i="1"/>
  <c r="BA3020" i="1"/>
  <c r="AZ3147" i="1"/>
  <c r="BA3147" i="1"/>
  <c r="AZ3075" i="1"/>
  <c r="BA3075" i="1"/>
  <c r="AZ3082" i="1"/>
  <c r="BA3082" i="1"/>
  <c r="AZ3263" i="1"/>
  <c r="BA3263" i="1"/>
  <c r="AZ2923" i="1"/>
  <c r="BA2923" i="1"/>
  <c r="AZ2534" i="1"/>
  <c r="BA2534" i="1"/>
  <c r="AZ2968" i="1"/>
  <c r="BA2968" i="1"/>
  <c r="AZ2721" i="1"/>
  <c r="BA2721" i="1"/>
  <c r="AZ2400" i="1"/>
  <c r="BA2400" i="1"/>
  <c r="AZ3088" i="1"/>
  <c r="BA3088" i="1"/>
  <c r="AZ2950" i="1"/>
  <c r="BA2950" i="1"/>
  <c r="AZ2615" i="1"/>
  <c r="BA2615" i="1"/>
  <c r="AZ3282" i="1"/>
  <c r="BA3282" i="1"/>
  <c r="AZ2370" i="1"/>
  <c r="BA2370" i="1"/>
  <c r="AZ2438" i="1"/>
  <c r="BA2438" i="1"/>
  <c r="AZ2940" i="1"/>
  <c r="BA2940" i="1"/>
  <c r="AZ2459" i="1"/>
  <c r="BA2459" i="1"/>
  <c r="AZ3123" i="1"/>
  <c r="BA3123" i="1"/>
  <c r="AZ2787" i="1"/>
  <c r="BA2787" i="1"/>
  <c r="AZ2738" i="1"/>
  <c r="BA2738" i="1"/>
  <c r="AZ2629" i="1"/>
  <c r="BA2629" i="1"/>
  <c r="AZ2348" i="1"/>
  <c r="BA2348" i="1"/>
  <c r="AZ2487" i="1"/>
  <c r="BA2487" i="1"/>
  <c r="AZ2362" i="1"/>
  <c r="BA2362" i="1"/>
  <c r="BA1037" i="1"/>
  <c r="AZ3179" i="1"/>
  <c r="BA3179" i="1"/>
  <c r="AZ2649" i="1"/>
  <c r="BA2649" i="1"/>
  <c r="BA585" i="1"/>
  <c r="BA1154" i="1"/>
  <c r="AZ2327" i="1"/>
  <c r="BA2327" i="1"/>
  <c r="AZ2566" i="1"/>
  <c r="BA2566" i="1"/>
  <c r="AZ2926" i="1"/>
  <c r="BA2926" i="1"/>
  <c r="AZ3121" i="1"/>
  <c r="BA3121" i="1"/>
  <c r="AZ2713" i="1"/>
  <c r="BA2713" i="1"/>
  <c r="BA657" i="1"/>
  <c r="AZ2529" i="1"/>
  <c r="BA2529" i="1"/>
  <c r="AZ1851" i="1"/>
  <c r="AZ3166" i="1"/>
  <c r="BA3166" i="1"/>
  <c r="AZ2810" i="1"/>
  <c r="BA2810" i="1"/>
  <c r="AZ2380" i="1"/>
  <c r="BA2380" i="1"/>
  <c r="AZ3267" i="1"/>
  <c r="BA3267" i="1"/>
  <c r="AZ2585" i="1"/>
  <c r="BA2585" i="1"/>
  <c r="AZ3054" i="1"/>
  <c r="BA3054" i="1"/>
  <c r="AZ2616" i="1"/>
  <c r="BA2616" i="1"/>
  <c r="AZ2516" i="1"/>
  <c r="BA2516" i="1"/>
  <c r="AZ2343" i="1"/>
  <c r="BA2343" i="1"/>
  <c r="AZ2710" i="1"/>
  <c r="BA2710" i="1"/>
  <c r="AZ2518" i="1"/>
  <c r="BA2518" i="1"/>
  <c r="AZ2489" i="1"/>
  <c r="BA2489" i="1"/>
  <c r="AZ3204" i="1"/>
  <c r="BA3204" i="1"/>
  <c r="AZ2692" i="1"/>
  <c r="BA2692" i="1"/>
  <c r="AZ2981" i="1"/>
  <c r="BA2981" i="1"/>
  <c r="AZ2338" i="1"/>
  <c r="BA2338" i="1"/>
  <c r="AZ2686" i="1"/>
  <c r="BA2686" i="1"/>
  <c r="AZ3025" i="1"/>
  <c r="BA3025" i="1"/>
  <c r="AZ2723" i="1"/>
  <c r="BA2723" i="1"/>
  <c r="AZ2714" i="1"/>
  <c r="BA2714" i="1"/>
  <c r="AZ3202" i="1"/>
  <c r="BA3202" i="1"/>
  <c r="AZ2384" i="1"/>
  <c r="BA2384" i="1"/>
  <c r="AZ2423" i="1"/>
  <c r="BA2423" i="1"/>
  <c r="AZ2361" i="1"/>
  <c r="BA2361" i="1"/>
  <c r="AZ3139" i="1"/>
  <c r="BA3139" i="1"/>
  <c r="AZ2798" i="1"/>
  <c r="BA2798" i="1"/>
  <c r="AZ2880" i="1"/>
  <c r="BA2880" i="1"/>
  <c r="AZ2490" i="1"/>
  <c r="BA2490" i="1"/>
  <c r="AZ2854" i="1"/>
  <c r="BA2854" i="1"/>
  <c r="AZ2468" i="1"/>
  <c r="BA2468" i="1"/>
  <c r="AZ2606" i="1"/>
  <c r="BA2606" i="1"/>
  <c r="AZ2500" i="1"/>
  <c r="BA2500" i="1"/>
  <c r="AZ2808" i="1"/>
  <c r="BA2808" i="1"/>
  <c r="AZ2703" i="1"/>
  <c r="BA2703" i="1"/>
  <c r="AZ2432" i="1"/>
  <c r="BA2432" i="1"/>
  <c r="AZ2711" i="1"/>
  <c r="BA2711" i="1"/>
  <c r="AZ2851" i="1"/>
  <c r="BA2851" i="1"/>
  <c r="AZ2802" i="1"/>
  <c r="BA2802" i="1"/>
  <c r="AZ2480" i="1"/>
  <c r="BA2480" i="1"/>
  <c r="AZ2729" i="1"/>
  <c r="BA2729" i="1"/>
  <c r="AZ2624" i="1"/>
  <c r="BA2624" i="1"/>
  <c r="AZ2848" i="1"/>
  <c r="BA2848" i="1"/>
  <c r="AZ2324" i="1"/>
  <c r="BA2324" i="1"/>
  <c r="AZ2546" i="1"/>
  <c r="BA2546" i="1"/>
  <c r="AZ2757" i="1"/>
  <c r="BA2757" i="1"/>
  <c r="AZ2894" i="1"/>
  <c r="BA2894" i="1"/>
  <c r="AZ2521" i="1"/>
  <c r="BA2521" i="1"/>
  <c r="AZ2726" i="1"/>
  <c r="BA2726" i="1"/>
  <c r="AZ2795" i="1"/>
  <c r="BA2795" i="1"/>
  <c r="AZ2646" i="1"/>
  <c r="BA2646" i="1"/>
  <c r="AZ2860" i="1"/>
  <c r="BA2860" i="1"/>
  <c r="AZ2464" i="1"/>
  <c r="BA2464" i="1"/>
  <c r="AZ2602" i="1"/>
  <c r="BA2602" i="1"/>
  <c r="AZ2471" i="1"/>
  <c r="BA2471" i="1"/>
  <c r="AZ2747" i="1"/>
  <c r="BA2747" i="1"/>
  <c r="AZ2820" i="1"/>
  <c r="BA2820" i="1"/>
  <c r="AZ2375" i="1"/>
  <c r="BA2375" i="1"/>
  <c r="AZ2611" i="1"/>
  <c r="BA2611" i="1"/>
  <c r="AZ2806" i="1"/>
  <c r="BA2806" i="1"/>
  <c r="AZ2377" i="1"/>
  <c r="BA2377" i="1"/>
  <c r="AZ2581" i="1"/>
  <c r="BA2581" i="1"/>
  <c r="AZ2440" i="1"/>
  <c r="BA2440" i="1"/>
  <c r="AZ2773" i="1"/>
  <c r="BA2773" i="1"/>
  <c r="AZ2857" i="1"/>
  <c r="BA2857" i="1"/>
  <c r="AZ2382" i="1"/>
  <c r="BA2382" i="1"/>
  <c r="AZ2562" i="1"/>
  <c r="BA2562" i="1"/>
  <c r="AZ2519" i="1"/>
  <c r="BA2519" i="1"/>
  <c r="AZ2599" i="1"/>
  <c r="BA2599" i="1"/>
  <c r="AZ3167" i="1"/>
  <c r="BA3167" i="1"/>
  <c r="AZ3024" i="1"/>
  <c r="BA3024" i="1"/>
  <c r="AZ3048" i="1"/>
  <c r="BA3048" i="1"/>
  <c r="AZ3225" i="1"/>
  <c r="BA3225" i="1"/>
  <c r="AZ3003" i="1"/>
  <c r="BA3003" i="1"/>
  <c r="AZ3154" i="1"/>
  <c r="BA3154" i="1"/>
  <c r="AZ3068" i="1"/>
  <c r="BA3068" i="1"/>
  <c r="AZ3264" i="1"/>
  <c r="BA3264" i="1"/>
  <c r="AZ3275" i="1"/>
  <c r="BA3275" i="1"/>
  <c r="AZ2983" i="1"/>
  <c r="BA2983" i="1"/>
  <c r="AZ3227" i="1"/>
  <c r="BA3227" i="1"/>
  <c r="AZ3043" i="1"/>
  <c r="BA3043" i="1"/>
  <c r="AZ3218" i="1"/>
  <c r="BA3218" i="1"/>
  <c r="AZ2460" i="1"/>
  <c r="BA2460" i="1"/>
  <c r="AZ2476" i="1"/>
  <c r="BA2476" i="1"/>
  <c r="AZ2688" i="1"/>
  <c r="BA2688" i="1"/>
  <c r="AZ2631" i="1"/>
  <c r="BA2631" i="1"/>
  <c r="AZ2358" i="1"/>
  <c r="BA2358" i="1"/>
  <c r="AZ2670" i="1"/>
  <c r="BA2670" i="1"/>
  <c r="AZ2832" i="1"/>
  <c r="BA2832" i="1"/>
  <c r="AZ2898" i="1"/>
  <c r="BA2898" i="1"/>
  <c r="AZ2634" i="1"/>
  <c r="BA2634" i="1"/>
  <c r="AZ2835" i="1"/>
  <c r="BA2835" i="1"/>
  <c r="AZ2657" i="1"/>
  <c r="BA2657" i="1"/>
  <c r="AZ2859" i="1"/>
  <c r="BA2859" i="1"/>
  <c r="AZ2473" i="1"/>
  <c r="BA2473" i="1"/>
  <c r="AZ2366" i="1"/>
  <c r="BA2366" i="1"/>
  <c r="AZ2833" i="1"/>
  <c r="BA2833" i="1"/>
  <c r="AZ2735" i="1"/>
  <c r="BA2735" i="1"/>
  <c r="AZ2504" i="1"/>
  <c r="BA2504" i="1"/>
  <c r="AZ2965" i="1"/>
  <c r="BA2965" i="1"/>
  <c r="AZ3233" i="1"/>
  <c r="BA3233" i="1"/>
  <c r="AZ3243" i="1"/>
  <c r="BA3243" i="1"/>
  <c r="AZ3060" i="1"/>
  <c r="BA3060" i="1"/>
  <c r="AZ3281" i="1"/>
  <c r="BA3281" i="1"/>
  <c r="AZ3241" i="1"/>
  <c r="BA3241" i="1"/>
  <c r="AZ3132" i="1"/>
  <c r="BA3132" i="1"/>
  <c r="AZ3162" i="1"/>
  <c r="BA3162" i="1"/>
  <c r="AZ3087" i="1"/>
  <c r="BA3087" i="1"/>
  <c r="AZ3236" i="1"/>
  <c r="BA3236" i="1"/>
  <c r="AZ3115" i="1"/>
  <c r="BA3115" i="1"/>
  <c r="AZ3095" i="1"/>
  <c r="BA3095" i="1"/>
  <c r="AZ3052" i="1"/>
  <c r="BA3052" i="1"/>
  <c r="AZ3261" i="1"/>
  <c r="BA3261" i="1"/>
  <c r="AZ2318" i="1"/>
  <c r="BA2318" i="1"/>
  <c r="AZ2563" i="1"/>
  <c r="BA2563" i="1"/>
  <c r="AZ3063" i="1"/>
  <c r="BA3063" i="1"/>
  <c r="AZ2373" i="1"/>
  <c r="BA2373" i="1"/>
  <c r="AZ2734" i="1"/>
  <c r="BA2734" i="1"/>
  <c r="AZ2930" i="1"/>
  <c r="BA2930" i="1"/>
  <c r="AZ2789" i="1"/>
  <c r="BA2789" i="1"/>
  <c r="AZ2513" i="1"/>
  <c r="BA2513" i="1"/>
  <c r="AZ3006" i="1"/>
  <c r="BA3006" i="1"/>
  <c r="AZ2905" i="1"/>
  <c r="BA2905" i="1"/>
  <c r="AZ2969" i="1"/>
  <c r="BA2969" i="1"/>
  <c r="AZ3049" i="1"/>
  <c r="BA3049" i="1"/>
  <c r="AZ2441" i="1"/>
  <c r="BA2441" i="1"/>
  <c r="AZ2475" i="1"/>
  <c r="BA2475" i="1"/>
  <c r="AZ2986" i="1"/>
  <c r="BA2986" i="1"/>
  <c r="AZ2591" i="1"/>
  <c r="BA2591" i="1"/>
  <c r="AZ3156" i="1"/>
  <c r="BA3156" i="1"/>
  <c r="AZ2902" i="1"/>
  <c r="BA2902" i="1"/>
  <c r="AZ2641" i="1"/>
  <c r="BA2641" i="1"/>
  <c r="AZ2944" i="1"/>
  <c r="BA2944" i="1"/>
  <c r="AZ2411" i="1"/>
  <c r="BA2411" i="1"/>
  <c r="AZ2495" i="1"/>
  <c r="BA2495" i="1"/>
  <c r="AZ2398" i="1"/>
  <c r="BA2398" i="1"/>
  <c r="AZ3219" i="1"/>
  <c r="BA3219" i="1"/>
  <c r="AZ2819" i="1"/>
  <c r="BA2819" i="1"/>
  <c r="AZ2321" i="1"/>
  <c r="BA2321" i="1"/>
  <c r="AZ2600" i="1"/>
  <c r="BA2600" i="1"/>
  <c r="AZ2425" i="1"/>
  <c r="BA2425" i="1"/>
  <c r="AZ2407" i="1"/>
  <c r="BA2407" i="1"/>
  <c r="AZ3177" i="1"/>
  <c r="BA3177" i="1"/>
  <c r="AZ2952" i="1"/>
  <c r="BA2952" i="1"/>
  <c r="AZ3176" i="1"/>
  <c r="BA3176" i="1"/>
  <c r="AZ2823" i="1"/>
  <c r="BA2823" i="1"/>
  <c r="AZ2719" i="1"/>
  <c r="BA2719" i="1"/>
  <c r="AZ3270" i="1"/>
  <c r="BA3270" i="1"/>
  <c r="AZ2595" i="1"/>
  <c r="BA2595" i="1"/>
  <c r="AZ3182" i="1"/>
  <c r="BA3182" i="1"/>
  <c r="AZ2322" i="1"/>
  <c r="BA2322" i="1"/>
  <c r="AZ2929" i="1"/>
  <c r="BA2929" i="1"/>
  <c r="AZ2813" i="1"/>
  <c r="BA2813" i="1"/>
  <c r="AZ2633" i="1"/>
  <c r="BA2633" i="1"/>
  <c r="AZ3012" i="1"/>
  <c r="BA3012" i="1"/>
  <c r="AZ2545" i="1"/>
  <c r="BA2545" i="1"/>
  <c r="AZ3203" i="1"/>
  <c r="BA3203" i="1"/>
  <c r="AZ3249" i="1"/>
  <c r="BA3249" i="1"/>
  <c r="AZ2924" i="1"/>
  <c r="BA2924" i="1"/>
  <c r="AZ2424" i="1"/>
  <c r="BA2424" i="1"/>
  <c r="AZ3110" i="1"/>
  <c r="BA3110" i="1"/>
  <c r="AZ3258" i="1"/>
  <c r="BA3258" i="1"/>
  <c r="BA2000" i="1"/>
  <c r="AZ315" i="1"/>
  <c r="AZ1153" i="1"/>
  <c r="AZ2013" i="1"/>
  <c r="BA1940" i="1"/>
  <c r="BA1892" i="1"/>
  <c r="AZ497" i="1"/>
  <c r="BA1327" i="1"/>
  <c r="BA773" i="1"/>
  <c r="BA1266" i="1"/>
  <c r="BA740" i="1"/>
  <c r="AZ133" i="1"/>
  <c r="AZ608" i="1"/>
  <c r="BA2174" i="1"/>
  <c r="BA542" i="1"/>
  <c r="AZ1543" i="1"/>
  <c r="AZ1428" i="1"/>
  <c r="AZ1169" i="1"/>
  <c r="BA369" i="1"/>
  <c r="AZ1308" i="1"/>
  <c r="BA5" i="1"/>
  <c r="BA1218" i="1"/>
  <c r="AZ1263" i="1"/>
  <c r="BA653" i="1"/>
  <c r="AZ4316" i="1"/>
  <c r="BA2016" i="1"/>
  <c r="AZ1247" i="1"/>
  <c r="BA829" i="1"/>
  <c r="AZ361" i="1"/>
  <c r="BA748" i="1"/>
  <c r="AZ975" i="1"/>
  <c r="BA612" i="1"/>
  <c r="AZ2242" i="1"/>
  <c r="BA52" i="1"/>
  <c r="AZ321" i="1"/>
  <c r="BA1167" i="1"/>
  <c r="BA622" i="1"/>
  <c r="AZ1126" i="1"/>
  <c r="BA2041" i="1"/>
  <c r="AZ1442" i="1"/>
  <c r="AZ824" i="1"/>
  <c r="AZ2125" i="1"/>
  <c r="AZ1109" i="1"/>
  <c r="BA165" i="1"/>
  <c r="AZ2022" i="1"/>
  <c r="BA251" i="1"/>
  <c r="AZ1772" i="1"/>
  <c r="AZ519" i="1"/>
  <c r="AZ1388" i="1"/>
  <c r="AZ2146" i="1"/>
  <c r="BA1619" i="1"/>
  <c r="BA385" i="1"/>
  <c r="AZ4351" i="1"/>
  <c r="AZ4305" i="1"/>
  <c r="AZ1199" i="1"/>
  <c r="AZ1724" i="1"/>
  <c r="AZ462" i="1"/>
  <c r="BA808" i="1"/>
  <c r="AZ317" i="1"/>
  <c r="BA1182" i="1"/>
  <c r="AZ1265" i="1"/>
  <c r="BA2024" i="1"/>
  <c r="BA961" i="1"/>
  <c r="BA1660" i="1"/>
  <c r="BA439" i="1"/>
  <c r="AZ4321" i="1"/>
  <c r="BA269" i="1"/>
  <c r="BA328" i="1"/>
  <c r="BA1261" i="1"/>
  <c r="AY3379" i="1"/>
  <c r="AZ391" i="1"/>
  <c r="AZ1276" i="1"/>
  <c r="AZ35" i="1"/>
  <c r="AZ430" i="1"/>
  <c r="BA232" i="1"/>
  <c r="BA1780" i="1"/>
  <c r="AZ197" i="1"/>
  <c r="AZ920" i="1"/>
  <c r="AZ1525" i="1"/>
  <c r="AZ414" i="1"/>
  <c r="BA1626" i="1"/>
  <c r="BA753" i="1"/>
  <c r="AZ180" i="1"/>
  <c r="AZ712" i="1"/>
  <c r="BA2254" i="1"/>
  <c r="BA729" i="1"/>
  <c r="BA378" i="1"/>
  <c r="AZ117" i="1"/>
  <c r="AZ2117" i="1"/>
  <c r="AY3385" i="1"/>
  <c r="AZ1246" i="1"/>
  <c r="BA61" i="1"/>
  <c r="BA817" i="1"/>
  <c r="AZ1927" i="1"/>
  <c r="AZ259" i="1"/>
  <c r="BA2160" i="1"/>
  <c r="AY3372" i="1"/>
  <c r="AY3343" i="1"/>
  <c r="AY3320" i="1"/>
  <c r="AY3354" i="1"/>
  <c r="AZ959" i="1"/>
  <c r="BA593" i="1"/>
  <c r="BA2155" i="1"/>
  <c r="BA577" i="1"/>
  <c r="BA969" i="1"/>
  <c r="AZ2147" i="1"/>
  <c r="AZ4356" i="1"/>
  <c r="BA1127" i="1"/>
  <c r="BA2037" i="1"/>
  <c r="BA199" i="1"/>
  <c r="BA2045" i="1"/>
  <c r="BA557" i="1"/>
  <c r="AZ1297" i="1"/>
  <c r="AZ2149" i="1"/>
  <c r="BA619" i="1"/>
  <c r="AY3402" i="1"/>
  <c r="AY3384" i="1"/>
  <c r="AY3341" i="1"/>
  <c r="AY3311" i="1"/>
  <c r="AY3296" i="1"/>
  <c r="AZ91" i="1"/>
  <c r="AY3374" i="1"/>
  <c r="AZ229" i="1"/>
  <c r="AZ1080" i="1"/>
  <c r="AZ2107" i="1"/>
  <c r="BA936" i="1"/>
  <c r="BA417" i="1"/>
  <c r="BA804" i="1"/>
  <c r="BA1485" i="1"/>
  <c r="BA1628" i="1"/>
  <c r="AY3332" i="1"/>
  <c r="BA233" i="1"/>
  <c r="BA780" i="1"/>
  <c r="BA249" i="1"/>
  <c r="BA1477" i="1"/>
  <c r="BA2135" i="1"/>
  <c r="BA756" i="1"/>
  <c r="AZ1400" i="1"/>
  <c r="AZ601" i="1"/>
  <c r="BA1461" i="1"/>
  <c r="AY3401" i="1"/>
  <c r="AY3371" i="1"/>
  <c r="AZ1642" i="1"/>
  <c r="BA505" i="1"/>
  <c r="BA2062" i="1"/>
  <c r="AY3325" i="1"/>
  <c r="BA833" i="1"/>
  <c r="BA2251" i="1"/>
  <c r="BA1173" i="1"/>
  <c r="BA825" i="1"/>
  <c r="AY3382" i="1"/>
  <c r="AY3376" i="1"/>
  <c r="AY3368" i="1"/>
  <c r="AY3356" i="1"/>
  <c r="AZ1111" i="1"/>
  <c r="AY3293" i="1"/>
  <c r="AZ1095" i="1"/>
  <c r="AY3380" i="1"/>
  <c r="AY3364" i="1"/>
  <c r="BA1096" i="1"/>
  <c r="BA265" i="1"/>
  <c r="AY3351" i="1"/>
  <c r="AY3340" i="1"/>
  <c r="AY3366" i="1"/>
  <c r="AY3357" i="1"/>
  <c r="AZ2290" i="1"/>
  <c r="BA2290" i="1"/>
  <c r="AZ1040" i="1"/>
  <c r="BA1040" i="1"/>
  <c r="BA935" i="1"/>
  <c r="AZ935" i="1"/>
  <c r="AZ689" i="1"/>
  <c r="BA689" i="1"/>
  <c r="BA1057" i="1"/>
  <c r="AZ1057" i="1"/>
  <c r="AZ113" i="1"/>
  <c r="BA113" i="1"/>
  <c r="BA1280" i="1"/>
  <c r="AZ1280" i="1"/>
  <c r="AZ4289" i="1"/>
  <c r="BA4289" i="1"/>
  <c r="AZ2099" i="1"/>
  <c r="BA2099" i="1"/>
  <c r="BA310" i="1"/>
  <c r="AZ310" i="1"/>
  <c r="BA132" i="1"/>
  <c r="AZ132" i="1"/>
  <c r="BA1236" i="1"/>
  <c r="AZ1236" i="1"/>
  <c r="BA4223" i="1"/>
  <c r="AZ4223" i="1"/>
  <c r="BA1395" i="1"/>
  <c r="AZ1395" i="1"/>
  <c r="BA2038" i="1"/>
  <c r="AZ2038" i="1"/>
  <c r="BA1451" i="1"/>
  <c r="AZ1451" i="1"/>
  <c r="BA1125" i="1"/>
  <c r="AZ1125" i="1"/>
  <c r="BA130" i="1"/>
  <c r="AZ130" i="1"/>
  <c r="BA1183" i="1"/>
  <c r="AZ1183" i="1"/>
  <c r="AZ2078" i="1"/>
  <c r="BA2078" i="1"/>
  <c r="BA1993" i="1"/>
  <c r="AZ1993" i="1"/>
  <c r="BA1393" i="1"/>
  <c r="AZ1393" i="1"/>
  <c r="AZ4257" i="1"/>
  <c r="BA4257" i="1"/>
  <c r="BA320" i="1"/>
  <c r="AZ320" i="1"/>
  <c r="BA1255" i="1"/>
  <c r="AZ1255" i="1"/>
  <c r="BA679" i="1"/>
  <c r="AZ679" i="1"/>
  <c r="BA115" i="1"/>
  <c r="AZ115" i="1"/>
  <c r="AZ1138" i="1"/>
  <c r="BA1138" i="1"/>
  <c r="AZ1641" i="1"/>
  <c r="BA1641" i="1"/>
  <c r="BA1889" i="1"/>
  <c r="AZ1889" i="1"/>
  <c r="BA1828" i="1"/>
  <c r="AZ1828" i="1"/>
  <c r="AZ1710" i="1"/>
  <c r="BA1710" i="1"/>
  <c r="AZ1774" i="1"/>
  <c r="BA1774" i="1"/>
  <c r="BA253" i="1"/>
  <c r="AZ253" i="1"/>
  <c r="AZ1773" i="1"/>
  <c r="BA1773" i="1"/>
  <c r="AZ1694" i="1"/>
  <c r="BA1694" i="1"/>
  <c r="BA1498" i="1"/>
  <c r="AZ1498" i="1"/>
  <c r="AZ1693" i="1"/>
  <c r="BA1693" i="1"/>
  <c r="AZ1779" i="1"/>
  <c r="BA1779" i="1"/>
  <c r="BA1949" i="1"/>
  <c r="AZ1949" i="1"/>
  <c r="BA1614" i="1"/>
  <c r="AZ1614" i="1"/>
  <c r="AZ2069" i="1"/>
  <c r="BA2069" i="1"/>
  <c r="AZ1777" i="1"/>
  <c r="BA1777" i="1"/>
  <c r="BA2258" i="1"/>
  <c r="AZ2258" i="1"/>
  <c r="BA445" i="1"/>
  <c r="AZ445" i="1"/>
  <c r="BA4331" i="1"/>
  <c r="AZ4331" i="1"/>
  <c r="BA1946" i="1"/>
  <c r="AZ1946" i="1"/>
  <c r="AZ659" i="1"/>
  <c r="BA659" i="1"/>
  <c r="AZ1422" i="1"/>
  <c r="BA1422" i="1"/>
  <c r="BA1257" i="1"/>
  <c r="AZ1257" i="1"/>
  <c r="BA1101" i="1"/>
  <c r="AZ1101" i="1"/>
  <c r="AZ323" i="1"/>
  <c r="BA323" i="1"/>
  <c r="AZ1398" i="1"/>
  <c r="BA1398" i="1"/>
  <c r="BA919" i="1"/>
  <c r="AZ919" i="1"/>
  <c r="BA261" i="1"/>
  <c r="AZ261" i="1"/>
  <c r="AZ1146" i="1"/>
  <c r="BA1146" i="1"/>
  <c r="BA1455" i="1"/>
  <c r="AZ1455" i="1"/>
  <c r="AZ1069" i="1"/>
  <c r="BA1069" i="1"/>
  <c r="BA244" i="1"/>
  <c r="AZ244" i="1"/>
  <c r="AZ1501" i="1"/>
  <c r="BA1501" i="1"/>
  <c r="AZ626" i="1"/>
  <c r="BA626" i="1"/>
  <c r="BA4310" i="1"/>
  <c r="AZ4310" i="1"/>
  <c r="AZ1068" i="1"/>
  <c r="BA1068" i="1"/>
  <c r="BA74" i="1"/>
  <c r="AZ74" i="1"/>
  <c r="AZ1934" i="1"/>
  <c r="BA1934" i="1"/>
  <c r="AZ723" i="1"/>
  <c r="BA723" i="1"/>
  <c r="AZ908" i="1"/>
  <c r="BA908" i="1"/>
  <c r="AZ142" i="1"/>
  <c r="BA142" i="1"/>
  <c r="AZ1197" i="1"/>
  <c r="BA1197" i="1"/>
  <c r="AZ792" i="1"/>
  <c r="BA792" i="1"/>
  <c r="BA18" i="1"/>
  <c r="AZ18" i="1"/>
  <c r="AZ2173" i="1"/>
  <c r="BA2173" i="1"/>
  <c r="AZ2194" i="1"/>
  <c r="BA2194" i="1"/>
  <c r="AZ713" i="1"/>
  <c r="BA713" i="1"/>
  <c r="BA156" i="1"/>
  <c r="AZ156" i="1"/>
  <c r="AZ1497" i="1"/>
  <c r="BA1497" i="1"/>
  <c r="AZ1770" i="1"/>
  <c r="BA1770" i="1"/>
  <c r="AZ1620" i="1"/>
  <c r="BA1620" i="1"/>
  <c r="AZ1632" i="1"/>
  <c r="BA1632" i="1"/>
  <c r="BA1829" i="1"/>
  <c r="AZ1829" i="1"/>
  <c r="AZ1739" i="1"/>
  <c r="BA1739" i="1"/>
  <c r="BA15" i="1"/>
  <c r="AZ15" i="1"/>
  <c r="AZ1806" i="1"/>
  <c r="BA1806" i="1"/>
  <c r="AZ569" i="1"/>
  <c r="BA569" i="1"/>
  <c r="AZ363" i="1"/>
  <c r="BA363" i="1"/>
  <c r="AZ1523" i="1"/>
  <c r="BA1523" i="1"/>
  <c r="AZ638" i="1"/>
  <c r="BA638" i="1"/>
  <c r="AZ2247" i="1"/>
  <c r="BA2247" i="1"/>
  <c r="AZ125" i="1"/>
  <c r="BA125" i="1"/>
  <c r="AZ606" i="1"/>
  <c r="BA606" i="1"/>
  <c r="BA1827" i="1"/>
  <c r="AZ1827" i="1"/>
  <c r="AZ2051" i="1"/>
  <c r="BA2051" i="1"/>
  <c r="AZ715" i="1"/>
  <c r="BA715" i="1"/>
  <c r="AZ1712" i="1"/>
  <c r="BA1712" i="1"/>
  <c r="AZ4364" i="1"/>
  <c r="BA4364" i="1"/>
  <c r="AZ1691" i="1"/>
  <c r="BA1691" i="1"/>
  <c r="AZ589" i="1"/>
  <c r="BA589" i="1"/>
  <c r="BA1956" i="1"/>
  <c r="AZ1956" i="1"/>
  <c r="AZ1666" i="1"/>
  <c r="BA1666" i="1"/>
  <c r="AZ501" i="1"/>
  <c r="BA501" i="1"/>
  <c r="AZ776" i="1"/>
  <c r="BA776" i="1"/>
  <c r="AZ1099" i="1"/>
  <c r="BA1099" i="1"/>
  <c r="BA334" i="1"/>
  <c r="AZ334" i="1"/>
  <c r="AZ1285" i="1"/>
  <c r="BA1285" i="1"/>
  <c r="BA615" i="1"/>
  <c r="AZ615" i="1"/>
  <c r="AZ1673" i="1"/>
  <c r="BA1673" i="1"/>
  <c r="BA358" i="1"/>
  <c r="AZ358" i="1"/>
  <c r="AZ1051" i="1"/>
  <c r="BA1051" i="1"/>
  <c r="BA4403" i="1"/>
  <c r="AZ4403" i="1"/>
  <c r="AZ548" i="1"/>
  <c r="BA548" i="1"/>
  <c r="AZ1128" i="1"/>
  <c r="BA1128" i="1"/>
  <c r="AZ73" i="1"/>
  <c r="BA73" i="1"/>
  <c r="AY3395" i="1"/>
  <c r="AZ383" i="1"/>
  <c r="BA383" i="1"/>
  <c r="AZ367" i="1"/>
  <c r="BA367" i="1"/>
  <c r="AZ2298" i="1"/>
  <c r="BA2298" i="1"/>
  <c r="AZ750" i="1"/>
  <c r="BA750" i="1"/>
  <c r="AZ931" i="1"/>
  <c r="BA931" i="1"/>
  <c r="AZ1027" i="1"/>
  <c r="BA1027" i="1"/>
  <c r="AZ1013" i="1"/>
  <c r="BA1013" i="1"/>
  <c r="AZ560" i="1"/>
  <c r="BA560" i="1"/>
  <c r="AZ880" i="1"/>
  <c r="BA880" i="1"/>
  <c r="AZ739" i="1"/>
  <c r="BA739" i="1"/>
  <c r="BA927" i="1"/>
  <c r="AZ927" i="1"/>
  <c r="AZ675" i="1"/>
  <c r="BA675" i="1"/>
  <c r="AZ508" i="1"/>
  <c r="BA508" i="1"/>
  <c r="BA1050" i="1"/>
  <c r="AZ1050" i="1"/>
  <c r="AZ556" i="1"/>
  <c r="BA556" i="1"/>
  <c r="AZ305" i="1"/>
  <c r="BA305" i="1"/>
  <c r="AZ1405" i="1"/>
  <c r="BA1405" i="1"/>
  <c r="AZ1469" i="1"/>
  <c r="BA1469" i="1"/>
  <c r="AZ290" i="1"/>
  <c r="BA290" i="1"/>
  <c r="BA1267" i="1"/>
  <c r="AZ1267" i="1"/>
  <c r="AZ4254" i="1"/>
  <c r="BA4254" i="1"/>
  <c r="AZ624" i="1"/>
  <c r="BA624" i="1"/>
  <c r="BA98" i="1"/>
  <c r="AZ98" i="1"/>
  <c r="BA1259" i="1"/>
  <c r="AZ1259" i="1"/>
  <c r="AZ4275" i="1"/>
  <c r="BA4275" i="1"/>
  <c r="BA2127" i="1"/>
  <c r="AZ2127" i="1"/>
  <c r="AZ226" i="1"/>
  <c r="BA226" i="1"/>
  <c r="BA90" i="1"/>
  <c r="AZ90" i="1"/>
  <c r="BA1207" i="1"/>
  <c r="AZ1207" i="1"/>
  <c r="AZ1516" i="1"/>
  <c r="BA1516" i="1"/>
  <c r="AZ465" i="1"/>
  <c r="BA465" i="1"/>
  <c r="BA1387" i="1"/>
  <c r="AZ1387" i="1"/>
  <c r="BA2031" i="1"/>
  <c r="AZ2031" i="1"/>
  <c r="AZ2086" i="1"/>
  <c r="BA2086" i="1"/>
  <c r="AZ952" i="1"/>
  <c r="BA952" i="1"/>
  <c r="BA103" i="1"/>
  <c r="AZ103" i="1"/>
  <c r="BA1176" i="1"/>
  <c r="AZ1176" i="1"/>
  <c r="BA1567" i="1"/>
  <c r="AZ1567" i="1"/>
  <c r="AZ1414" i="1"/>
  <c r="BA1414" i="1"/>
  <c r="BA2187" i="1"/>
  <c r="AZ2187" i="1"/>
  <c r="BA1385" i="1"/>
  <c r="AZ1385" i="1"/>
  <c r="BA4228" i="1"/>
  <c r="AZ4228" i="1"/>
  <c r="AZ236" i="1"/>
  <c r="BA236" i="1"/>
  <c r="BA1211" i="1"/>
  <c r="AZ1211" i="1"/>
  <c r="AZ634" i="1"/>
  <c r="BA634" i="1"/>
  <c r="AZ101" i="1"/>
  <c r="BA101" i="1"/>
  <c r="BA2042" i="1"/>
  <c r="AZ2042" i="1"/>
  <c r="AZ1633" i="1"/>
  <c r="BA1633" i="1"/>
  <c r="BA1869" i="1"/>
  <c r="AZ1869" i="1"/>
  <c r="BA1814" i="1"/>
  <c r="AZ1814" i="1"/>
  <c r="AZ1704" i="1"/>
  <c r="BA1704" i="1"/>
  <c r="BA1759" i="1"/>
  <c r="AZ1759" i="1"/>
  <c r="AZ77" i="1"/>
  <c r="BA77" i="1"/>
  <c r="AZ1644" i="1"/>
  <c r="BA1644" i="1"/>
  <c r="BA2171" i="1"/>
  <c r="AZ2171" i="1"/>
  <c r="AZ1665" i="1"/>
  <c r="BA1665" i="1"/>
  <c r="AZ1672" i="1"/>
  <c r="BA1672" i="1"/>
  <c r="BA1935" i="1"/>
  <c r="AZ1935" i="1"/>
  <c r="BA2123" i="1"/>
  <c r="AZ2123" i="1"/>
  <c r="BA1663" i="1"/>
  <c r="AZ1663" i="1"/>
  <c r="AZ2183" i="1"/>
  <c r="BA2183" i="1"/>
  <c r="AZ377" i="1"/>
  <c r="BA377" i="1"/>
  <c r="BA4322" i="1"/>
  <c r="AZ4322" i="1"/>
  <c r="AZ564" i="1"/>
  <c r="BA564" i="1"/>
  <c r="BA1399" i="1"/>
  <c r="AZ1399" i="1"/>
  <c r="AZ980" i="1"/>
  <c r="BA980" i="1"/>
  <c r="BA1163" i="1"/>
  <c r="AZ1163" i="1"/>
  <c r="BA1086" i="1"/>
  <c r="AZ1086" i="1"/>
  <c r="BA246" i="1"/>
  <c r="AZ246" i="1"/>
  <c r="BA1296" i="1"/>
  <c r="AZ1296" i="1"/>
  <c r="AZ904" i="1"/>
  <c r="BA904" i="1"/>
  <c r="AZ237" i="1"/>
  <c r="BA237" i="1"/>
  <c r="AZ4367" i="1"/>
  <c r="BA4367" i="1"/>
  <c r="BA2080" i="1"/>
  <c r="AZ2080" i="1"/>
  <c r="BA1062" i="1"/>
  <c r="AZ1062" i="1"/>
  <c r="AZ213" i="1"/>
  <c r="BA213" i="1"/>
  <c r="BA1565" i="1"/>
  <c r="AZ1565" i="1"/>
  <c r="AZ597" i="1"/>
  <c r="BA597" i="1"/>
  <c r="AZ4256" i="1"/>
  <c r="BA4256" i="1"/>
  <c r="AZ778" i="1"/>
  <c r="BA778" i="1"/>
  <c r="BA58" i="1"/>
  <c r="AZ58" i="1"/>
  <c r="AZ1910" i="1"/>
  <c r="BA1910" i="1"/>
  <c r="AZ708" i="1"/>
  <c r="BA708" i="1"/>
  <c r="AZ777" i="1"/>
  <c r="BA777" i="1"/>
  <c r="AZ112" i="1"/>
  <c r="BA112" i="1"/>
  <c r="AZ1174" i="1"/>
  <c r="BA1174" i="1"/>
  <c r="AZ784" i="1"/>
  <c r="BA784" i="1"/>
  <c r="AZ1394" i="1"/>
  <c r="BA1394" i="1"/>
  <c r="AZ1874" i="1"/>
  <c r="BA1874" i="1"/>
  <c r="AZ706" i="1"/>
  <c r="BA706" i="1"/>
  <c r="BA119" i="1"/>
  <c r="AZ119" i="1"/>
  <c r="BA1459" i="1"/>
  <c r="AZ1459" i="1"/>
  <c r="AZ1762" i="1"/>
  <c r="BA1762" i="1"/>
  <c r="AZ1771" i="1"/>
  <c r="BA1771" i="1"/>
  <c r="AZ1716" i="1"/>
  <c r="BA1716" i="1"/>
  <c r="BA1412" i="1"/>
  <c r="AZ1412" i="1"/>
  <c r="AZ1790" i="1"/>
  <c r="BA1790" i="1"/>
  <c r="AZ554" i="1"/>
  <c r="BA554" i="1"/>
  <c r="AZ158" i="1"/>
  <c r="BA158" i="1"/>
  <c r="BA1491" i="1"/>
  <c r="AZ1491" i="1"/>
  <c r="AZ600" i="1"/>
  <c r="BA600" i="1"/>
  <c r="AZ2199" i="1"/>
  <c r="BA2199" i="1"/>
  <c r="AZ93" i="1"/>
  <c r="BA93" i="1"/>
  <c r="BA591" i="1"/>
  <c r="AZ591" i="1"/>
  <c r="AZ1752" i="1"/>
  <c r="BA1752" i="1"/>
  <c r="BA2179" i="1"/>
  <c r="AZ2179" i="1"/>
  <c r="AZ699" i="1"/>
  <c r="BA699" i="1"/>
  <c r="BA440" i="1"/>
  <c r="AZ440" i="1"/>
  <c r="BA4229" i="1"/>
  <c r="AZ4229" i="1"/>
  <c r="AZ1643" i="1"/>
  <c r="BA1643" i="1"/>
  <c r="AZ573" i="1"/>
  <c r="BA573" i="1"/>
  <c r="BA1948" i="1"/>
  <c r="AZ1948" i="1"/>
  <c r="AZ2237" i="1"/>
  <c r="BA2237" i="1"/>
  <c r="AZ1658" i="1"/>
  <c r="BA1658" i="1"/>
  <c r="BA493" i="1"/>
  <c r="AZ493" i="1"/>
  <c r="AZ4370" i="1"/>
  <c r="BA4370" i="1"/>
  <c r="AZ996" i="1"/>
  <c r="BA996" i="1"/>
  <c r="AZ279" i="1"/>
  <c r="BA279" i="1"/>
  <c r="AZ1277" i="1"/>
  <c r="BA1277" i="1"/>
  <c r="BA280" i="1"/>
  <c r="AZ280" i="1"/>
  <c r="BA326" i="1"/>
  <c r="AZ326" i="1"/>
  <c r="AZ4382" i="1"/>
  <c r="BA4382" i="1"/>
  <c r="AZ987" i="1"/>
  <c r="BA987" i="1"/>
  <c r="BA1504" i="1"/>
  <c r="AZ1504" i="1"/>
  <c r="AZ516" i="1"/>
  <c r="BA516" i="1"/>
  <c r="AZ754" i="1"/>
  <c r="BA754" i="1"/>
  <c r="AZ1032" i="1"/>
  <c r="BA1032" i="1"/>
  <c r="AZ1294" i="1"/>
  <c r="BA1294" i="1"/>
  <c r="BA1511" i="1"/>
  <c r="AZ1511" i="1"/>
  <c r="AZ481" i="1"/>
  <c r="BA481" i="1"/>
  <c r="BA1260" i="1"/>
  <c r="AZ1260" i="1"/>
  <c r="BA212" i="1"/>
  <c r="AZ212" i="1"/>
  <c r="AZ1064" i="1"/>
  <c r="BA1064" i="1"/>
  <c r="BA2175" i="1"/>
  <c r="AZ2175" i="1"/>
  <c r="AZ1651" i="1"/>
  <c r="BA1651" i="1"/>
  <c r="AZ811" i="1"/>
  <c r="BA811" i="1"/>
  <c r="AZ1370" i="1"/>
  <c r="BA1370" i="1"/>
  <c r="AZ1782" i="1"/>
  <c r="BA1782" i="1"/>
  <c r="AZ552" i="1"/>
  <c r="BA552" i="1"/>
  <c r="BA1924" i="1"/>
  <c r="AZ1924" i="1"/>
  <c r="BA1488" i="1"/>
  <c r="AZ1488" i="1"/>
  <c r="AZ992" i="1"/>
  <c r="BA992" i="1"/>
  <c r="AZ2188" i="1"/>
  <c r="BA2188" i="1"/>
  <c r="AZ640" i="1"/>
  <c r="BA640" i="1"/>
  <c r="BA262" i="1"/>
  <c r="AZ262" i="1"/>
  <c r="BA68" i="1"/>
  <c r="AZ68" i="1"/>
  <c r="AZ770" i="1"/>
  <c r="BA770" i="1"/>
  <c r="AZ1028" i="1"/>
  <c r="BA1028" i="1"/>
  <c r="AZ2043" i="1"/>
  <c r="BA2043" i="1"/>
  <c r="BA2166" i="1"/>
  <c r="AZ2166" i="1"/>
  <c r="AZ1537" i="1"/>
  <c r="BA1537" i="1"/>
  <c r="AZ1629" i="1"/>
  <c r="BA1629" i="1"/>
  <c r="AZ2161" i="1"/>
  <c r="BA2161" i="1"/>
  <c r="BA4291" i="1"/>
  <c r="AZ4291" i="1"/>
  <c r="AZ2028" i="1"/>
  <c r="BA2028" i="1"/>
  <c r="BA1147" i="1"/>
  <c r="AZ1147" i="1"/>
  <c r="AZ1001" i="1"/>
  <c r="BA1001" i="1"/>
  <c r="BA2291" i="1"/>
  <c r="AZ2291" i="1"/>
  <c r="AZ553" i="1"/>
  <c r="BA553" i="1"/>
  <c r="AZ707" i="1"/>
  <c r="BA707" i="1"/>
  <c r="AZ1088" i="1"/>
  <c r="BA1088" i="1"/>
  <c r="BA1998" i="1"/>
  <c r="AZ1998" i="1"/>
  <c r="AZ1677" i="1"/>
  <c r="BA1677" i="1"/>
  <c r="AZ576" i="1"/>
  <c r="BA576" i="1"/>
  <c r="AZ21" i="1"/>
  <c r="BA21" i="1"/>
  <c r="AZ449" i="1"/>
  <c r="BA449" i="1"/>
  <c r="BA203" i="1"/>
  <c r="AZ203" i="1"/>
  <c r="BA1496" i="1"/>
  <c r="AZ1496" i="1"/>
  <c r="AZ502" i="1"/>
  <c r="BA502" i="1"/>
  <c r="BA1916" i="1"/>
  <c r="AZ1916" i="1"/>
  <c r="AZ1014" i="1"/>
  <c r="BA1014" i="1"/>
  <c r="BA2102" i="1"/>
  <c r="AZ2102" i="1"/>
  <c r="AZ846" i="1"/>
  <c r="BA846" i="1"/>
  <c r="AZ120" i="1"/>
  <c r="BA120" i="1"/>
  <c r="AZ1166" i="1"/>
  <c r="BA1166" i="1"/>
  <c r="AZ1437" i="1"/>
  <c r="BA1437" i="1"/>
  <c r="AZ876" i="1"/>
  <c r="BA876" i="1"/>
  <c r="AZ923" i="1"/>
  <c r="BA923" i="1"/>
  <c r="BA420" i="1"/>
  <c r="AZ420" i="1"/>
  <c r="AZ906" i="1"/>
  <c r="BA906" i="1"/>
  <c r="AZ571" i="1"/>
  <c r="BA571" i="1"/>
  <c r="BA1079" i="1"/>
  <c r="AZ1079" i="1"/>
  <c r="AZ793" i="1"/>
  <c r="BA793" i="1"/>
  <c r="AZ1636" i="1"/>
  <c r="BA1636" i="1"/>
  <c r="BA76" i="1"/>
  <c r="AZ76" i="1"/>
  <c r="AZ954" i="1"/>
  <c r="BA954" i="1"/>
  <c r="BA1502" i="1"/>
  <c r="AZ1502" i="1"/>
  <c r="AZ64" i="1"/>
  <c r="BA64" i="1"/>
  <c r="BA1964" i="1"/>
  <c r="AZ1964" i="1"/>
  <c r="AZ2229" i="1"/>
  <c r="BA2229" i="1"/>
  <c r="BA4265" i="1"/>
  <c r="AZ4265" i="1"/>
  <c r="BA2015" i="1"/>
  <c r="AZ2015" i="1"/>
  <c r="AZ1362" i="1"/>
  <c r="BA1362" i="1"/>
  <c r="BA631" i="1"/>
  <c r="AZ631" i="1"/>
  <c r="BA2084" i="1"/>
  <c r="AZ2084" i="1"/>
  <c r="AZ1723" i="1"/>
  <c r="BA1723" i="1"/>
  <c r="AZ1805" i="1"/>
  <c r="BA1805" i="1"/>
  <c r="AZ1756" i="1"/>
  <c r="BA1756" i="1"/>
  <c r="BA309" i="1"/>
  <c r="AZ309" i="1"/>
  <c r="BA1852" i="1"/>
  <c r="AZ1852" i="1"/>
  <c r="BA1081" i="1"/>
  <c r="AZ1081" i="1"/>
  <c r="AZ536" i="1"/>
  <c r="BA536" i="1"/>
  <c r="AZ1866" i="1"/>
  <c r="BA1866" i="1"/>
  <c r="AZ667" i="1"/>
  <c r="BA667" i="1"/>
  <c r="AZ848" i="1"/>
  <c r="BA848" i="1"/>
  <c r="AZ796" i="1"/>
  <c r="BA796" i="1"/>
  <c r="BA1122" i="1"/>
  <c r="AZ1122" i="1"/>
  <c r="BA607" i="1"/>
  <c r="AZ607" i="1"/>
  <c r="AZ2307" i="1"/>
  <c r="BA2307" i="1"/>
  <c r="AZ851" i="1"/>
  <c r="BA851" i="1"/>
  <c r="AZ981" i="1"/>
  <c r="BA981" i="1"/>
  <c r="AZ418" i="1"/>
  <c r="BA418" i="1"/>
  <c r="BA228" i="1"/>
  <c r="AZ228" i="1"/>
  <c r="AZ1318" i="1"/>
  <c r="BA1318" i="1"/>
  <c r="BA1564" i="1"/>
  <c r="AZ1564" i="1"/>
  <c r="BA220" i="1"/>
  <c r="AZ220" i="1"/>
  <c r="BA1209" i="1"/>
  <c r="AZ1209" i="1"/>
  <c r="BA1482" i="1"/>
  <c r="AZ1482" i="1"/>
  <c r="AZ561" i="1"/>
  <c r="BA561" i="1"/>
  <c r="BA27" i="1"/>
  <c r="AZ27" i="1"/>
  <c r="BA1208" i="1"/>
  <c r="AZ1208" i="1"/>
  <c r="AZ4224" i="1"/>
  <c r="BA4224" i="1"/>
  <c r="BA1097" i="1"/>
  <c r="AZ1097" i="1"/>
  <c r="BA623" i="1"/>
  <c r="AZ623" i="1"/>
  <c r="BA55" i="1"/>
  <c r="AZ55" i="1"/>
  <c r="AZ1142" i="1"/>
  <c r="BA1142" i="1"/>
  <c r="BA1474" i="1"/>
  <c r="AZ1474" i="1"/>
  <c r="AZ330" i="1"/>
  <c r="BA330" i="1"/>
  <c r="BA1351" i="1"/>
  <c r="AZ1351" i="1"/>
  <c r="BA4340" i="1"/>
  <c r="AZ4340" i="1"/>
  <c r="BA1568" i="1"/>
  <c r="AZ1568" i="1"/>
  <c r="AZ658" i="1"/>
  <c r="BA658" i="1"/>
  <c r="AZ80" i="1"/>
  <c r="BA80" i="1"/>
  <c r="BA4379" i="1"/>
  <c r="AZ4379" i="1"/>
  <c r="AZ2132" i="1"/>
  <c r="BA2132" i="1"/>
  <c r="BA1299" i="1"/>
  <c r="AZ1299" i="1"/>
  <c r="AZ694" i="1"/>
  <c r="BA694" i="1"/>
  <c r="BA1284" i="1"/>
  <c r="AZ1284" i="1"/>
  <c r="BA1471" i="1"/>
  <c r="AZ1471" i="1"/>
  <c r="AZ179" i="1"/>
  <c r="BA179" i="1"/>
  <c r="BA4346" i="1"/>
  <c r="AZ4346" i="1"/>
  <c r="AZ455" i="1"/>
  <c r="BA455" i="1"/>
  <c r="BA50" i="1"/>
  <c r="AZ50" i="1"/>
  <c r="BA4353" i="1"/>
  <c r="AZ4353" i="1"/>
  <c r="AZ1747" i="1"/>
  <c r="BA1747" i="1"/>
  <c r="AZ1967" i="1"/>
  <c r="BA1967" i="1"/>
  <c r="AZ1668" i="1"/>
  <c r="BA1668" i="1"/>
  <c r="AZ1717" i="1"/>
  <c r="BA1717" i="1"/>
  <c r="BA2119" i="1"/>
  <c r="AZ2119" i="1"/>
  <c r="BA2136" i="1"/>
  <c r="AZ2136" i="1"/>
  <c r="AZ1950" i="1"/>
  <c r="BA1950" i="1"/>
  <c r="BA1615" i="1"/>
  <c r="AZ1615" i="1"/>
  <c r="BA1824" i="1"/>
  <c r="AZ1824" i="1"/>
  <c r="BA2114" i="1"/>
  <c r="AZ2114" i="1"/>
  <c r="BA951" i="1"/>
  <c r="AZ951" i="1"/>
  <c r="AZ287" i="1"/>
  <c r="BA287" i="1"/>
  <c r="BA4283" i="1"/>
  <c r="AZ4283" i="1"/>
  <c r="AZ2221" i="1"/>
  <c r="BA2221" i="1"/>
  <c r="AZ224" i="1"/>
  <c r="BA224" i="1"/>
  <c r="AZ1210" i="1"/>
  <c r="BA1210" i="1"/>
  <c r="AZ890" i="1"/>
  <c r="BA890" i="1"/>
  <c r="AZ4383" i="1"/>
  <c r="BA4383" i="1"/>
  <c r="AZ1035" i="1"/>
  <c r="BA1035" i="1"/>
  <c r="AZ192" i="1"/>
  <c r="BA192" i="1"/>
  <c r="BA1139" i="1"/>
  <c r="AZ1139" i="1"/>
  <c r="AZ2292" i="1"/>
  <c r="BA2292" i="1"/>
  <c r="AZ741" i="1"/>
  <c r="BA741" i="1"/>
  <c r="AZ153" i="1"/>
  <c r="BA153" i="1"/>
  <c r="AZ4250" i="1"/>
  <c r="BA4250" i="1"/>
  <c r="AZ2152" i="1"/>
  <c r="BA2152" i="1"/>
  <c r="AZ910" i="1"/>
  <c r="BA910" i="1"/>
  <c r="BA75" i="1"/>
  <c r="AZ75" i="1"/>
  <c r="AZ1942" i="1"/>
  <c r="BA1942" i="1"/>
  <c r="BA2297" i="1"/>
  <c r="AZ2297" i="1"/>
  <c r="BA492" i="1"/>
  <c r="AZ492" i="1"/>
  <c r="BA1470" i="1"/>
  <c r="AZ1470" i="1"/>
  <c r="AZ523" i="1"/>
  <c r="BA523" i="1"/>
  <c r="BA1403" i="1"/>
  <c r="AZ1403" i="1"/>
  <c r="BA663" i="1"/>
  <c r="AZ663" i="1"/>
  <c r="AZ581" i="1"/>
  <c r="BA581" i="1"/>
  <c r="BA34" i="1"/>
  <c r="AZ34" i="1"/>
  <c r="BA2039" i="1"/>
  <c r="AZ2039" i="1"/>
  <c r="AZ677" i="1"/>
  <c r="BA677" i="1"/>
  <c r="BA1268" i="1"/>
  <c r="AZ1268" i="1"/>
  <c r="BA1066" i="1"/>
  <c r="AZ1066" i="1"/>
  <c r="AZ572" i="1"/>
  <c r="BA572" i="1"/>
  <c r="BA1416" i="1"/>
  <c r="AZ1416" i="1"/>
  <c r="BA2076" i="1"/>
  <c r="AZ2076" i="1"/>
  <c r="AZ1707" i="1"/>
  <c r="BA1707" i="1"/>
  <c r="AZ1797" i="1"/>
  <c r="BA1797" i="1"/>
  <c r="BA1671" i="1"/>
  <c r="AZ1671" i="1"/>
  <c r="AZ1670" i="1"/>
  <c r="BA1670" i="1"/>
  <c r="BA1324" i="1"/>
  <c r="AZ1324" i="1"/>
  <c r="AZ1734" i="1"/>
  <c r="BA1734" i="1"/>
  <c r="BA301" i="1"/>
  <c r="AZ301" i="1"/>
  <c r="BA102" i="1"/>
  <c r="AZ102" i="1"/>
  <c r="AZ1749" i="1"/>
  <c r="BA1749" i="1"/>
  <c r="AZ568" i="1"/>
  <c r="BA568" i="1"/>
  <c r="AZ1005" i="1"/>
  <c r="BA1005" i="1"/>
  <c r="BA1049" i="1"/>
  <c r="AZ1049" i="1"/>
  <c r="AZ2008" i="1"/>
  <c r="BA2008" i="1"/>
  <c r="AZ520" i="1"/>
  <c r="BA520" i="1"/>
  <c r="AZ425" i="1"/>
  <c r="BA425" i="1"/>
  <c r="AZ1850" i="1"/>
  <c r="BA1850" i="1"/>
  <c r="BA488" i="1"/>
  <c r="AZ488" i="1"/>
  <c r="AZ187" i="1"/>
  <c r="BA187" i="1"/>
  <c r="BA1480" i="1"/>
  <c r="AZ1480" i="1"/>
  <c r="AZ2260" i="1"/>
  <c r="BA2260" i="1"/>
  <c r="AZ487" i="1"/>
  <c r="BA487" i="1"/>
  <c r="AZ1698" i="1"/>
  <c r="BA1698" i="1"/>
  <c r="AZ950" i="1"/>
  <c r="BA950" i="1"/>
  <c r="BA2093" i="1"/>
  <c r="AZ2093" i="1"/>
  <c r="BA823" i="1"/>
  <c r="AZ823" i="1"/>
  <c r="AZ72" i="1"/>
  <c r="BA72" i="1"/>
  <c r="AZ1150" i="1"/>
  <c r="BA1150" i="1"/>
  <c r="AZ1373" i="1"/>
  <c r="BA1373" i="1"/>
  <c r="AZ907" i="1"/>
  <c r="BA907" i="1"/>
  <c r="BA412" i="1"/>
  <c r="AZ412" i="1"/>
  <c r="AZ898" i="1"/>
  <c r="BA898" i="1"/>
  <c r="AZ555" i="1"/>
  <c r="BA555" i="1"/>
  <c r="AZ832" i="1"/>
  <c r="BA832" i="1"/>
  <c r="BA1951" i="1"/>
  <c r="AZ1951" i="1"/>
  <c r="AZ696" i="1"/>
  <c r="BA696" i="1"/>
  <c r="BA887" i="1"/>
  <c r="AZ887" i="1"/>
  <c r="AZ1500" i="1"/>
  <c r="BA1500" i="1"/>
  <c r="AZ764" i="1"/>
  <c r="BA764" i="1"/>
  <c r="AZ223" i="1"/>
  <c r="BA223" i="1"/>
  <c r="AZ964" i="1"/>
  <c r="BA964" i="1"/>
  <c r="BA83" i="1"/>
  <c r="AZ83" i="1"/>
  <c r="BA95" i="1"/>
  <c r="AZ95" i="1"/>
  <c r="BA78" i="1"/>
  <c r="AZ78" i="1"/>
  <c r="BA2163" i="1"/>
  <c r="AZ2163" i="1"/>
  <c r="AZ214" i="1"/>
  <c r="BA214" i="1"/>
  <c r="BA1895" i="1"/>
  <c r="AZ1895" i="1"/>
  <c r="BA1443" i="1"/>
  <c r="AZ1443" i="1"/>
  <c r="BA1396" i="1"/>
  <c r="AZ1396" i="1"/>
  <c r="AZ1958" i="1"/>
  <c r="BA1958" i="1"/>
  <c r="AZ1214" i="1"/>
  <c r="BA1214" i="1"/>
  <c r="BA695" i="1"/>
  <c r="AZ695" i="1"/>
  <c r="AZ263" i="1"/>
  <c r="BA263" i="1"/>
  <c r="BA4246" i="1"/>
  <c r="AZ4246" i="1"/>
  <c r="AZ1582" i="1"/>
  <c r="BA1582" i="1"/>
  <c r="AZ1349" i="1"/>
  <c r="BA1349" i="1"/>
  <c r="AZ1262" i="1"/>
  <c r="BA1262" i="1"/>
  <c r="BA1549" i="1"/>
  <c r="AZ1549" i="1"/>
  <c r="BA92" i="1"/>
  <c r="AZ92" i="1"/>
  <c r="BA687" i="1"/>
  <c r="AZ687" i="1"/>
  <c r="AZ902" i="1"/>
  <c r="BA902" i="1"/>
  <c r="AZ2300" i="1"/>
  <c r="BA2300" i="1"/>
  <c r="AY3370" i="1"/>
  <c r="AZ431" i="1"/>
  <c r="BA431" i="1"/>
  <c r="BA28" i="1"/>
  <c r="AZ28" i="1"/>
  <c r="AZ1084" i="1"/>
  <c r="BA1084" i="1"/>
  <c r="AZ660" i="1"/>
  <c r="BA660" i="1"/>
  <c r="AZ834" i="1"/>
  <c r="BA834" i="1"/>
  <c r="AZ965" i="1"/>
  <c r="BA965" i="1"/>
  <c r="AZ874" i="1"/>
  <c r="BA874" i="1"/>
  <c r="BA436" i="1"/>
  <c r="AZ436" i="1"/>
  <c r="AZ2241" i="1"/>
  <c r="BA2241" i="1"/>
  <c r="AZ782" i="1"/>
  <c r="BA782" i="1"/>
  <c r="BA1087" i="1"/>
  <c r="AZ1087" i="1"/>
  <c r="AZ580" i="1"/>
  <c r="BA580" i="1"/>
  <c r="AZ2249" i="1"/>
  <c r="BA2249" i="1"/>
  <c r="AZ2294" i="1"/>
  <c r="BA2294" i="1"/>
  <c r="AZ844" i="1"/>
  <c r="BA844" i="1"/>
  <c r="AZ940" i="1"/>
  <c r="BA940" i="1"/>
  <c r="AZ474" i="1"/>
  <c r="BA474" i="1"/>
  <c r="AZ960" i="1"/>
  <c r="BA960" i="1"/>
  <c r="BA356" i="1"/>
  <c r="AZ356" i="1"/>
  <c r="AZ170" i="1"/>
  <c r="BA170" i="1"/>
  <c r="BA1304" i="1"/>
  <c r="AZ1304" i="1"/>
  <c r="BA2122" i="1"/>
  <c r="AZ2122" i="1"/>
  <c r="BA134" i="1"/>
  <c r="AZ134" i="1"/>
  <c r="AZ1172" i="1"/>
  <c r="BA1172" i="1"/>
  <c r="AZ1468" i="1"/>
  <c r="BA1468" i="1"/>
  <c r="AZ524" i="1"/>
  <c r="BA524" i="1"/>
  <c r="BA6" i="1"/>
  <c r="AZ6" i="1"/>
  <c r="BA1200" i="1"/>
  <c r="AZ1200" i="1"/>
  <c r="AZ1517" i="1"/>
  <c r="BA1517" i="1"/>
  <c r="AZ993" i="1"/>
  <c r="BA993" i="1"/>
  <c r="AZ531" i="1"/>
  <c r="BA531" i="1"/>
  <c r="BA2017" i="1"/>
  <c r="AZ2017" i="1"/>
  <c r="BA2032" i="1"/>
  <c r="AZ2032" i="1"/>
  <c r="BA1466" i="1"/>
  <c r="AZ1466" i="1"/>
  <c r="BA225" i="1"/>
  <c r="AZ225" i="1"/>
  <c r="BA1329" i="1"/>
  <c r="AZ1329" i="1"/>
  <c r="BA4323" i="1"/>
  <c r="AZ4323" i="1"/>
  <c r="BA1540" i="1"/>
  <c r="AZ1540" i="1"/>
  <c r="AZ579" i="1"/>
  <c r="BA579" i="1"/>
  <c r="BA66" i="1"/>
  <c r="AZ66" i="1"/>
  <c r="AZ4339" i="1"/>
  <c r="BA4339" i="1"/>
  <c r="AZ614" i="1"/>
  <c r="BA614" i="1"/>
  <c r="BA1292" i="1"/>
  <c r="AZ1292" i="1"/>
  <c r="AZ672" i="1"/>
  <c r="BA672" i="1"/>
  <c r="AZ1270" i="1"/>
  <c r="BA1270" i="1"/>
  <c r="AZ1449" i="1"/>
  <c r="BA1449" i="1"/>
  <c r="BA164" i="1"/>
  <c r="AZ164" i="1"/>
  <c r="BA4278" i="1"/>
  <c r="AZ4278" i="1"/>
  <c r="AZ355" i="1"/>
  <c r="BA355" i="1"/>
  <c r="BA36" i="1"/>
  <c r="AZ36" i="1"/>
  <c r="BA4298" i="1"/>
  <c r="AZ4298" i="1"/>
  <c r="AZ1733" i="1"/>
  <c r="BA1733" i="1"/>
  <c r="BA1953" i="1"/>
  <c r="AZ1953" i="1"/>
  <c r="AZ1654" i="1"/>
  <c r="BA1654" i="1"/>
  <c r="AZ1709" i="1"/>
  <c r="BA1709" i="1"/>
  <c r="BA2137" i="1"/>
  <c r="AZ2137" i="1"/>
  <c r="AZ1979" i="1"/>
  <c r="BA1979" i="1"/>
  <c r="BA1936" i="1"/>
  <c r="AZ1936" i="1"/>
  <c r="AZ1800" i="1"/>
  <c r="BA1800" i="1"/>
  <c r="BA1976" i="1"/>
  <c r="AZ1976" i="1"/>
  <c r="AZ913" i="1"/>
  <c r="BA913" i="1"/>
  <c r="AZ209" i="1"/>
  <c r="BA209" i="1"/>
  <c r="BA4268" i="1"/>
  <c r="AZ4268" i="1"/>
  <c r="AZ2228" i="1"/>
  <c r="BA2228" i="1"/>
  <c r="AZ216" i="1"/>
  <c r="BA216" i="1"/>
  <c r="AZ1194" i="1"/>
  <c r="BA1194" i="1"/>
  <c r="AZ859" i="1"/>
  <c r="BA859" i="1"/>
  <c r="BA2154" i="1"/>
  <c r="AZ2154" i="1"/>
  <c r="AZ1019" i="1"/>
  <c r="BA1019" i="1"/>
  <c r="AZ184" i="1"/>
  <c r="BA184" i="1"/>
  <c r="AZ4329" i="1"/>
  <c r="BA4329" i="1"/>
  <c r="BA1343" i="1"/>
  <c r="AZ1343" i="1"/>
  <c r="AZ718" i="1"/>
  <c r="BA718" i="1"/>
  <c r="BA2002" i="1"/>
  <c r="AZ2002" i="1"/>
  <c r="BA4234" i="1"/>
  <c r="AZ4234" i="1"/>
  <c r="BA2112" i="1"/>
  <c r="AZ2112" i="1"/>
  <c r="AZ865" i="1"/>
  <c r="BA865" i="1"/>
  <c r="BA59" i="1"/>
  <c r="AZ59" i="1"/>
  <c r="BA1919" i="1"/>
  <c r="AZ1919" i="1"/>
  <c r="AZ2189" i="1"/>
  <c r="BA2189" i="1"/>
  <c r="BA381" i="1"/>
  <c r="AZ381" i="1"/>
  <c r="BA1462" i="1"/>
  <c r="AZ1462" i="1"/>
  <c r="AZ515" i="1"/>
  <c r="BA515" i="1"/>
  <c r="BA1348" i="1"/>
  <c r="AZ1348" i="1"/>
  <c r="BA470" i="1"/>
  <c r="AZ470" i="1"/>
  <c r="AZ2302" i="1"/>
  <c r="BA2302" i="1"/>
  <c r="AZ545" i="1"/>
  <c r="BA545" i="1"/>
  <c r="BA11" i="1"/>
  <c r="AZ11" i="1"/>
  <c r="AZ4355" i="1"/>
  <c r="BA4355" i="1"/>
  <c r="AZ669" i="1"/>
  <c r="BA669" i="1"/>
  <c r="BA1252" i="1"/>
  <c r="AZ1252" i="1"/>
  <c r="AZ1022" i="1"/>
  <c r="BA1022" i="1"/>
  <c r="BA543" i="1"/>
  <c r="AZ543" i="1"/>
  <c r="BA1369" i="1"/>
  <c r="AZ1369" i="1"/>
  <c r="BA2068" i="1"/>
  <c r="AZ2068" i="1"/>
  <c r="AZ1684" i="1"/>
  <c r="BA1684" i="1"/>
  <c r="BA1735" i="1"/>
  <c r="AZ1735" i="1"/>
  <c r="BA1655" i="1"/>
  <c r="AZ1655" i="1"/>
  <c r="AZ1662" i="1"/>
  <c r="BA1662" i="1"/>
  <c r="AZ2239" i="1"/>
  <c r="BA2239" i="1"/>
  <c r="AZ1229" i="1"/>
  <c r="BA1229" i="1"/>
  <c r="AZ1726" i="1"/>
  <c r="BA1726" i="1"/>
  <c r="BA285" i="1"/>
  <c r="AZ285" i="1"/>
  <c r="AZ2255" i="1"/>
  <c r="BA2255" i="1"/>
  <c r="BA22" i="1"/>
  <c r="AZ22" i="1"/>
  <c r="AZ1741" i="1"/>
  <c r="BA1741" i="1"/>
  <c r="AZ537" i="1"/>
  <c r="BA537" i="1"/>
  <c r="AZ720" i="1"/>
  <c r="BA720" i="1"/>
  <c r="AZ985" i="1"/>
  <c r="BA985" i="1"/>
  <c r="AZ1418" i="1"/>
  <c r="BA1418" i="1"/>
  <c r="AZ736" i="1"/>
  <c r="BA736" i="1"/>
  <c r="AZ512" i="1"/>
  <c r="BA512" i="1"/>
  <c r="AZ409" i="1"/>
  <c r="BA409" i="1"/>
  <c r="AZ1822" i="1"/>
  <c r="BA1822" i="1"/>
  <c r="AZ441" i="1"/>
  <c r="BA441" i="1"/>
  <c r="AZ171" i="1"/>
  <c r="BA171" i="1"/>
  <c r="BA1472" i="1"/>
  <c r="AZ1472" i="1"/>
  <c r="AZ2220" i="1"/>
  <c r="BA2220" i="1"/>
  <c r="BA344" i="1"/>
  <c r="AZ344" i="1"/>
  <c r="BA454" i="1"/>
  <c r="AZ454" i="1"/>
  <c r="AZ1947" i="1"/>
  <c r="BA1947" i="1"/>
  <c r="BA791" i="1"/>
  <c r="AZ791" i="1"/>
  <c r="AZ56" i="1"/>
  <c r="BA56" i="1"/>
  <c r="AZ1134" i="1"/>
  <c r="BA1134" i="1"/>
  <c r="BA1544" i="1"/>
  <c r="AZ1544" i="1"/>
  <c r="AZ891" i="1"/>
  <c r="BA891" i="1"/>
  <c r="BA1954" i="1"/>
  <c r="AZ1954" i="1"/>
  <c r="BA245" i="1"/>
  <c r="AZ245" i="1"/>
  <c r="AZ603" i="1"/>
  <c r="BA603" i="1"/>
  <c r="AZ539" i="1"/>
  <c r="BA539" i="1"/>
  <c r="AZ1887" i="1"/>
  <c r="BA1887" i="1"/>
  <c r="AZ688" i="1"/>
  <c r="BA688" i="1"/>
  <c r="BA855" i="1"/>
  <c r="AZ855" i="1"/>
  <c r="AZ1460" i="1"/>
  <c r="BA1460" i="1"/>
  <c r="BA12" i="1"/>
  <c r="AZ12" i="1"/>
  <c r="AZ574" i="1"/>
  <c r="BA574" i="1"/>
  <c r="BA1425" i="1"/>
  <c r="AZ1425" i="1"/>
  <c r="AZ610" i="1"/>
  <c r="BA610" i="1"/>
  <c r="BA2023" i="1"/>
  <c r="AZ2023" i="1"/>
  <c r="AZ208" i="1"/>
  <c r="BA208" i="1"/>
  <c r="AZ1745" i="1"/>
  <c r="BA1745" i="1"/>
  <c r="BA2141" i="1"/>
  <c r="AZ2141" i="1"/>
  <c r="AZ182" i="1"/>
  <c r="BA182" i="1"/>
  <c r="AZ1112" i="1"/>
  <c r="BA1112" i="1"/>
  <c r="BA1572" i="1"/>
  <c r="AZ1572" i="1"/>
  <c r="AZ853" i="1"/>
  <c r="BA853" i="1"/>
  <c r="AZ1586" i="1"/>
  <c r="BA1586" i="1"/>
  <c r="AZ1156" i="1"/>
  <c r="BA1156" i="1"/>
  <c r="BA2030" i="1"/>
  <c r="AZ2030" i="1"/>
  <c r="AZ1761" i="1"/>
  <c r="BA1761" i="1"/>
  <c r="AZ1622" i="1"/>
  <c r="BA1622" i="1"/>
  <c r="AZ897" i="1"/>
  <c r="BA897" i="1"/>
  <c r="BA1524" i="1"/>
  <c r="AZ1524" i="1"/>
  <c r="AZ463" i="1"/>
  <c r="BA463" i="1"/>
  <c r="AZ947" i="1"/>
  <c r="BA947" i="1"/>
  <c r="AZ271" i="1"/>
  <c r="BA271" i="1"/>
  <c r="BA2243" i="1"/>
  <c r="AZ2243" i="1"/>
  <c r="BA1078" i="1"/>
  <c r="AZ1078" i="1"/>
  <c r="AZ646" i="1"/>
  <c r="BA646" i="1"/>
  <c r="AZ821" i="1"/>
  <c r="BA821" i="1"/>
  <c r="AZ916" i="1"/>
  <c r="BA916" i="1"/>
  <c r="AZ867" i="1"/>
  <c r="BA867" i="1"/>
  <c r="BA422" i="1"/>
  <c r="AZ422" i="1"/>
  <c r="AZ2193" i="1"/>
  <c r="BA2193" i="1"/>
  <c r="AZ732" i="1"/>
  <c r="BA732" i="1"/>
  <c r="AZ1060" i="1"/>
  <c r="BA1060" i="1"/>
  <c r="AZ566" i="1"/>
  <c r="BA566" i="1"/>
  <c r="AZ2236" i="1"/>
  <c r="BA2236" i="1"/>
  <c r="AZ2246" i="1"/>
  <c r="BA2246" i="1"/>
  <c r="AZ816" i="1"/>
  <c r="BA816" i="1"/>
  <c r="AZ885" i="1"/>
  <c r="BA885" i="1"/>
  <c r="BA460" i="1"/>
  <c r="AZ460" i="1"/>
  <c r="AZ946" i="1"/>
  <c r="BA946" i="1"/>
  <c r="BA342" i="1"/>
  <c r="AZ342" i="1"/>
  <c r="AZ162" i="1"/>
  <c r="BA162" i="1"/>
  <c r="AZ1282" i="1"/>
  <c r="BA1282" i="1"/>
  <c r="AZ1083" i="1"/>
  <c r="BA1083" i="1"/>
  <c r="BA99" i="1"/>
  <c r="AZ99" i="1"/>
  <c r="AZ1158" i="1"/>
  <c r="BA1158" i="1"/>
  <c r="BA1454" i="1"/>
  <c r="AZ1454" i="1"/>
  <c r="AZ510" i="1"/>
  <c r="BA510" i="1"/>
  <c r="BA2018" i="1"/>
  <c r="AZ2018" i="1"/>
  <c r="AZ1186" i="1"/>
  <c r="BA1186" i="1"/>
  <c r="BA1503" i="1"/>
  <c r="AZ1503" i="1"/>
  <c r="AZ917" i="1"/>
  <c r="BA917" i="1"/>
  <c r="AZ458" i="1"/>
  <c r="BA458" i="1"/>
  <c r="BA2010" i="1"/>
  <c r="AZ2010" i="1"/>
  <c r="BA4373" i="1"/>
  <c r="AZ4373" i="1"/>
  <c r="AZ1452" i="1"/>
  <c r="BA1452" i="1"/>
  <c r="BA218" i="1"/>
  <c r="AZ218" i="1"/>
  <c r="AZ1286" i="1"/>
  <c r="BA1286" i="1"/>
  <c r="BA4315" i="1"/>
  <c r="AZ4315" i="1"/>
  <c r="BA2097" i="1"/>
  <c r="AZ2097" i="1"/>
  <c r="AZ558" i="1"/>
  <c r="BA558" i="1"/>
  <c r="BA39" i="1"/>
  <c r="AZ39" i="1"/>
  <c r="BA4308" i="1"/>
  <c r="AZ4308" i="1"/>
  <c r="AZ586" i="1"/>
  <c r="BA586" i="1"/>
  <c r="BA1248" i="1"/>
  <c r="AZ1248" i="1"/>
  <c r="AZ620" i="1"/>
  <c r="BA620" i="1"/>
  <c r="BA1241" i="1"/>
  <c r="AZ1241" i="1"/>
  <c r="AZ2070" i="1"/>
  <c r="BA2070" i="1"/>
  <c r="BA51" i="1"/>
  <c r="AZ51" i="1"/>
  <c r="BA4242" i="1"/>
  <c r="AZ4242" i="1"/>
  <c r="AZ327" i="1"/>
  <c r="BA327" i="1"/>
  <c r="BA23" i="1"/>
  <c r="AZ23" i="1"/>
  <c r="BA4284" i="1"/>
  <c r="AZ4284" i="1"/>
  <c r="AZ1725" i="1"/>
  <c r="BA1725" i="1"/>
  <c r="AZ1931" i="1"/>
  <c r="BA1931" i="1"/>
  <c r="AZ1646" i="1"/>
  <c r="BA1646" i="1"/>
  <c r="BA1695" i="1"/>
  <c r="AZ1695" i="1"/>
  <c r="BA1980" i="1"/>
  <c r="AZ1980" i="1"/>
  <c r="BA1943" i="1"/>
  <c r="AZ1943" i="1"/>
  <c r="BA1928" i="1"/>
  <c r="AZ1928" i="1"/>
  <c r="AZ1750" i="1"/>
  <c r="BA1750" i="1"/>
  <c r="BA1962" i="1"/>
  <c r="AZ1962" i="1"/>
  <c r="AZ883" i="1"/>
  <c r="BA883" i="1"/>
  <c r="AZ202" i="1"/>
  <c r="BA202" i="1"/>
  <c r="AZ4244" i="1"/>
  <c r="BA4244" i="1"/>
  <c r="AZ2203" i="1"/>
  <c r="BA2203" i="1"/>
  <c r="AZ185" i="1"/>
  <c r="BA185" i="1"/>
  <c r="AZ1148" i="1"/>
  <c r="BA1148" i="1"/>
  <c r="AZ843" i="1"/>
  <c r="BA843" i="1"/>
  <c r="AZ2096" i="1"/>
  <c r="BA2096" i="1"/>
  <c r="AZ1011" i="1"/>
  <c r="BA1011" i="1"/>
  <c r="AZ176" i="1"/>
  <c r="BA176" i="1"/>
  <c r="AZ4282" i="1"/>
  <c r="BA4282" i="1"/>
  <c r="BA1890" i="1"/>
  <c r="AZ1890" i="1"/>
  <c r="AZ2235" i="1"/>
  <c r="BA2235" i="1"/>
  <c r="AZ710" i="1"/>
  <c r="BA710" i="1"/>
  <c r="BA1994" i="1"/>
  <c r="AZ1994" i="1"/>
  <c r="BA2073" i="1"/>
  <c r="AZ2073" i="1"/>
  <c r="BA2095" i="1"/>
  <c r="AZ2095" i="1"/>
  <c r="AZ795" i="1"/>
  <c r="BA795" i="1"/>
  <c r="BA1404" i="1"/>
  <c r="AZ1404" i="1"/>
  <c r="BA1861" i="1"/>
  <c r="AZ1861" i="1"/>
  <c r="BA1129" i="1"/>
  <c r="AZ1129" i="1"/>
  <c r="BA373" i="1"/>
  <c r="AZ373" i="1"/>
  <c r="BA1446" i="1"/>
  <c r="AZ1446" i="1"/>
  <c r="BA485" i="1"/>
  <c r="AZ485" i="1"/>
  <c r="BA1340" i="1"/>
  <c r="AZ1340" i="1"/>
  <c r="AZ105" i="1"/>
  <c r="BA105" i="1"/>
  <c r="AZ2244" i="1"/>
  <c r="BA2244" i="1"/>
  <c r="AZ530" i="1"/>
  <c r="BA530" i="1"/>
  <c r="BA3" i="1"/>
  <c r="AZ3" i="1"/>
  <c r="BA4270" i="1"/>
  <c r="AZ4270" i="1"/>
  <c r="AZ544" i="1"/>
  <c r="BA544" i="1"/>
  <c r="BA1244" i="1"/>
  <c r="AZ1244" i="1"/>
  <c r="AZ982" i="1"/>
  <c r="BA982" i="1"/>
  <c r="AZ529" i="1"/>
  <c r="BA529" i="1"/>
  <c r="AZ1354" i="1"/>
  <c r="BA1354" i="1"/>
  <c r="AZ2057" i="1"/>
  <c r="BA2057" i="1"/>
  <c r="BA1727" i="1"/>
  <c r="AZ1727" i="1"/>
  <c r="BA1639" i="1"/>
  <c r="AZ1639" i="1"/>
  <c r="AZ1638" i="1"/>
  <c r="BA1638" i="1"/>
  <c r="AZ2216" i="1"/>
  <c r="BA2216" i="1"/>
  <c r="BA4368" i="1"/>
  <c r="AZ4368" i="1"/>
  <c r="BA1679" i="1"/>
  <c r="AZ1679" i="1"/>
  <c r="BA277" i="1"/>
  <c r="AZ277" i="1"/>
  <c r="AZ2259" i="1"/>
  <c r="BA2259" i="1"/>
  <c r="BA14" i="1"/>
  <c r="AZ14" i="1"/>
  <c r="AZ450" i="1"/>
  <c r="BA450" i="1"/>
  <c r="AZ121" i="1"/>
  <c r="BA121" i="1"/>
  <c r="AZ977" i="1"/>
  <c r="BA977" i="1"/>
  <c r="AZ1338" i="1"/>
  <c r="BA1338" i="1"/>
  <c r="BA477" i="1"/>
  <c r="AZ477" i="1"/>
  <c r="AZ1242" i="1"/>
  <c r="BA1242" i="1"/>
  <c r="BA148" i="1"/>
  <c r="AZ148" i="1"/>
  <c r="AZ1803" i="1"/>
  <c r="BA1803" i="1"/>
  <c r="AZ2218" i="1"/>
  <c r="BA2218" i="1"/>
  <c r="AZ329" i="1"/>
  <c r="BA329" i="1"/>
  <c r="BA155" i="1"/>
  <c r="AZ155" i="1"/>
  <c r="BA1464" i="1"/>
  <c r="AZ1464" i="1"/>
  <c r="AZ2204" i="1"/>
  <c r="BA2204" i="1"/>
  <c r="AZ250" i="1"/>
  <c r="BA250" i="1"/>
  <c r="AZ210" i="1"/>
  <c r="BA210" i="1"/>
  <c r="AZ1915" i="1"/>
  <c r="BA1915" i="1"/>
  <c r="AZ680" i="1"/>
  <c r="BA680" i="1"/>
  <c r="AZ48" i="1"/>
  <c r="BA48" i="1"/>
  <c r="AZ4377" i="1"/>
  <c r="BA4377" i="1"/>
  <c r="BA1973" i="1"/>
  <c r="AZ1973" i="1"/>
  <c r="BA1938" i="1"/>
  <c r="AZ1938" i="1"/>
  <c r="AZ2033" i="1"/>
  <c r="BA2033" i="1"/>
  <c r="AZ491" i="1"/>
  <c r="BA491" i="1"/>
  <c r="BA1073" i="1"/>
  <c r="AZ1073" i="1"/>
  <c r="AZ664" i="1"/>
  <c r="BA664" i="1"/>
  <c r="BA839" i="1"/>
  <c r="AZ839" i="1"/>
  <c r="AZ1444" i="1"/>
  <c r="BA1444" i="1"/>
  <c r="BA4276" i="1"/>
  <c r="AZ4276" i="1"/>
  <c r="AZ415" i="1"/>
  <c r="BA415" i="1"/>
  <c r="BA1447" i="1"/>
  <c r="AZ1447" i="1"/>
  <c r="BA82" i="1"/>
  <c r="AZ82" i="1"/>
  <c r="BA1363" i="1"/>
  <c r="AZ1363" i="1"/>
  <c r="AZ1696" i="1"/>
  <c r="BA1696" i="1"/>
  <c r="BA1921" i="1"/>
  <c r="AZ1921" i="1"/>
  <c r="BA511" i="1"/>
  <c r="AZ511" i="1"/>
  <c r="AZ4349" i="1"/>
  <c r="BA4349" i="1"/>
  <c r="AZ633" i="1"/>
  <c r="BA633" i="1"/>
  <c r="AZ4243" i="1"/>
  <c r="BA4243" i="1"/>
  <c r="AZ979" i="1"/>
  <c r="BA979" i="1"/>
  <c r="AZ922" i="1"/>
  <c r="BA922" i="1"/>
  <c r="BA1518" i="1"/>
  <c r="AZ1518" i="1"/>
  <c r="BA2167" i="1"/>
  <c r="AZ2167" i="1"/>
  <c r="BA1999" i="1"/>
  <c r="AZ1999" i="1"/>
  <c r="BA1098" i="1"/>
  <c r="AZ1098" i="1"/>
  <c r="AZ978" i="1"/>
  <c r="BA978" i="1"/>
  <c r="BA551" i="1"/>
  <c r="AZ551" i="1"/>
  <c r="AZ138" i="1"/>
  <c r="BA138" i="1"/>
  <c r="BA559" i="1"/>
  <c r="AZ559" i="1"/>
  <c r="AZ1043" i="1"/>
  <c r="BA1043" i="1"/>
  <c r="AZ618" i="1"/>
  <c r="BA618" i="1"/>
  <c r="BA807" i="1"/>
  <c r="AZ807" i="1"/>
  <c r="BA903" i="1"/>
  <c r="AZ903" i="1"/>
  <c r="AZ860" i="1"/>
  <c r="BA860" i="1"/>
  <c r="AZ394" i="1"/>
  <c r="BA394" i="1"/>
  <c r="BA1074" i="1"/>
  <c r="AZ1074" i="1"/>
  <c r="AZ705" i="1"/>
  <c r="BA705" i="1"/>
  <c r="AZ1025" i="1"/>
  <c r="BA1025" i="1"/>
  <c r="BA655" i="1"/>
  <c r="AZ655" i="1"/>
  <c r="AZ2185" i="1"/>
  <c r="BA2185" i="1"/>
  <c r="AZ802" i="1"/>
  <c r="BA802" i="1"/>
  <c r="AZ878" i="1"/>
  <c r="BA878" i="1"/>
  <c r="AZ433" i="1"/>
  <c r="BA433" i="1"/>
  <c r="AZ884" i="1"/>
  <c r="BA884" i="1"/>
  <c r="AZ882" i="1"/>
  <c r="BA882" i="1"/>
  <c r="AZ149" i="1"/>
  <c r="BA149" i="1"/>
  <c r="AZ1253" i="1"/>
  <c r="BA1253" i="1"/>
  <c r="AZ971" i="1"/>
  <c r="BA971" i="1"/>
  <c r="BA84" i="1"/>
  <c r="AZ84" i="1"/>
  <c r="BA1144" i="1"/>
  <c r="AZ1144" i="1"/>
  <c r="BA2067" i="1"/>
  <c r="AZ2067" i="1"/>
  <c r="BA503" i="1"/>
  <c r="AZ503" i="1"/>
  <c r="AZ1996" i="1"/>
  <c r="BA1996" i="1"/>
  <c r="BA1171" i="1"/>
  <c r="AZ1171" i="1"/>
  <c r="AZ1481" i="1"/>
  <c r="BA1481" i="1"/>
  <c r="AZ596" i="1"/>
  <c r="BA596" i="1"/>
  <c r="BA416" i="1"/>
  <c r="AZ416" i="1"/>
  <c r="AZ1438" i="1"/>
  <c r="BA1438" i="1"/>
  <c r="AZ4358" i="1"/>
  <c r="BA4358" i="1"/>
  <c r="AZ1445" i="1"/>
  <c r="BA1445" i="1"/>
  <c r="BA167" i="1"/>
  <c r="AZ167" i="1"/>
  <c r="BA1272" i="1"/>
  <c r="AZ1272" i="1"/>
  <c r="AZ4287" i="1"/>
  <c r="BA4287" i="1"/>
  <c r="BA408" i="1"/>
  <c r="AZ408" i="1"/>
  <c r="AZ507" i="1"/>
  <c r="BA507" i="1"/>
  <c r="BA31" i="1"/>
  <c r="AZ31" i="1"/>
  <c r="BA4300" i="1"/>
  <c r="AZ4300" i="1"/>
  <c r="AZ521" i="1"/>
  <c r="BA521" i="1"/>
  <c r="BA1219" i="1"/>
  <c r="AZ1219" i="1"/>
  <c r="BA293" i="1"/>
  <c r="AZ293" i="1"/>
  <c r="BA1175" i="1"/>
  <c r="AZ1175" i="1"/>
  <c r="BA1588" i="1"/>
  <c r="AZ1588" i="1"/>
  <c r="AZ37" i="1"/>
  <c r="BA37" i="1"/>
  <c r="AZ4398" i="1"/>
  <c r="BA4398" i="1"/>
  <c r="BA284" i="1"/>
  <c r="AZ284" i="1"/>
  <c r="BA2005" i="1"/>
  <c r="AZ2005" i="1"/>
  <c r="BA4249" i="1"/>
  <c r="AZ4249" i="1"/>
  <c r="AZ1697" i="1"/>
  <c r="BA1697" i="1"/>
  <c r="BA1917" i="1"/>
  <c r="AZ1917" i="1"/>
  <c r="AZ1625" i="1"/>
  <c r="BA1625" i="1"/>
  <c r="AZ1681" i="1"/>
  <c r="BA1681" i="1"/>
  <c r="BA1930" i="1"/>
  <c r="AZ1930" i="1"/>
  <c r="BA1929" i="1"/>
  <c r="AZ1929" i="1"/>
  <c r="AZ1907" i="1"/>
  <c r="BA1907" i="1"/>
  <c r="BA1977" i="1"/>
  <c r="AZ1977" i="1"/>
  <c r="AZ1742" i="1"/>
  <c r="BA1742" i="1"/>
  <c r="BA1898" i="1"/>
  <c r="AZ1898" i="1"/>
  <c r="AZ1955" i="1"/>
  <c r="BA1955" i="1"/>
  <c r="AZ868" i="1"/>
  <c r="BA868" i="1"/>
  <c r="AZ163" i="1"/>
  <c r="BA163" i="1"/>
  <c r="BA4236" i="1"/>
  <c r="AZ4236" i="1"/>
  <c r="AZ2198" i="1"/>
  <c r="BA2198" i="1"/>
  <c r="BA124" i="1"/>
  <c r="AZ124" i="1"/>
  <c r="AZ2044" i="1"/>
  <c r="BA2044" i="1"/>
  <c r="AZ781" i="1"/>
  <c r="BA781" i="1"/>
  <c r="AZ2148" i="1"/>
  <c r="BA2148" i="1"/>
  <c r="AZ1003" i="1"/>
  <c r="BA1003" i="1"/>
  <c r="AZ169" i="1"/>
  <c r="BA169" i="1"/>
  <c r="BA1510" i="1"/>
  <c r="AZ1510" i="1"/>
  <c r="AZ2232" i="1"/>
  <c r="BA2232" i="1"/>
  <c r="AZ673" i="1"/>
  <c r="BA673" i="1"/>
  <c r="BA1436" i="1"/>
  <c r="AZ1436" i="1"/>
  <c r="BA1581" i="1"/>
  <c r="AZ1581" i="1"/>
  <c r="AZ1115" i="1"/>
  <c r="BA1115" i="1"/>
  <c r="AZ1974" i="1"/>
  <c r="BA1974" i="1"/>
  <c r="AZ771" i="1"/>
  <c r="BA771" i="1"/>
  <c r="AZ1341" i="1"/>
  <c r="BA1341" i="1"/>
  <c r="AZ1091" i="1"/>
  <c r="BA1091" i="1"/>
  <c r="AZ359" i="1"/>
  <c r="BA359" i="1"/>
  <c r="BA2079" i="1"/>
  <c r="AZ2079" i="1"/>
  <c r="AZ426" i="1"/>
  <c r="BA426" i="1"/>
  <c r="AZ1293" i="1"/>
  <c r="BA1293" i="1"/>
  <c r="BA1371" i="1"/>
  <c r="AZ1371" i="1"/>
  <c r="AZ2230" i="1"/>
  <c r="BA2230" i="1"/>
  <c r="AZ506" i="1"/>
  <c r="BA506" i="1"/>
  <c r="BA1441" i="1"/>
  <c r="AZ1441" i="1"/>
  <c r="BA4247" i="1"/>
  <c r="AZ4247" i="1"/>
  <c r="BA432" i="1"/>
  <c r="AZ432" i="1"/>
  <c r="BA4363" i="1"/>
  <c r="AZ4363" i="1"/>
  <c r="AZ944" i="1"/>
  <c r="BA944" i="1"/>
  <c r="AZ513" i="1"/>
  <c r="BA513" i="1"/>
  <c r="AZ1346" i="1"/>
  <c r="BA1346" i="1"/>
  <c r="AZ1545" i="1"/>
  <c r="BA1545" i="1"/>
  <c r="BA1719" i="1"/>
  <c r="AZ1719" i="1"/>
  <c r="BA1631" i="1"/>
  <c r="AZ1631" i="1"/>
  <c r="AZ1630" i="1"/>
  <c r="BA1630" i="1"/>
  <c r="AZ2205" i="1"/>
  <c r="BA2205" i="1"/>
  <c r="AZ4297" i="1"/>
  <c r="BA4297" i="1"/>
  <c r="AZ230" i="1"/>
  <c r="BA230" i="1"/>
  <c r="AZ1108" i="1"/>
  <c r="BA1108" i="1"/>
  <c r="BA1113" i="1"/>
  <c r="AZ1113" i="1"/>
  <c r="BA2009" i="1"/>
  <c r="AZ2009" i="1"/>
  <c r="BA300" i="1"/>
  <c r="AZ300" i="1"/>
  <c r="BA1494" i="1"/>
  <c r="AZ1494" i="1"/>
  <c r="AZ945" i="1"/>
  <c r="BA945" i="1"/>
  <c r="AZ1322" i="1"/>
  <c r="BA1322" i="1"/>
  <c r="BA374" i="1"/>
  <c r="AZ374" i="1"/>
  <c r="AZ1178" i="1"/>
  <c r="BA1178" i="1"/>
  <c r="BA140" i="1"/>
  <c r="AZ140" i="1"/>
  <c r="AZ1692" i="1"/>
  <c r="BA1692" i="1"/>
  <c r="AZ1016" i="1"/>
  <c r="BA1016" i="1"/>
  <c r="AZ1130" i="1"/>
  <c r="BA1130" i="1"/>
  <c r="AZ139" i="1"/>
  <c r="BA139" i="1"/>
  <c r="BA1448" i="1"/>
  <c r="AZ1448" i="1"/>
  <c r="AZ768" i="1"/>
  <c r="BA768" i="1"/>
  <c r="AZ2200" i="1"/>
  <c r="BA2200" i="1"/>
  <c r="BA1256" i="1"/>
  <c r="AZ1256" i="1"/>
  <c r="BA2" i="1"/>
  <c r="AZ2" i="1"/>
  <c r="AZ1689" i="1"/>
  <c r="BA1689" i="1"/>
  <c r="AZ617" i="1"/>
  <c r="BA617" i="1"/>
  <c r="AZ40" i="1"/>
  <c r="BA40" i="1"/>
  <c r="BA4314" i="1"/>
  <c r="AZ4314" i="1"/>
  <c r="BA1893" i="1"/>
  <c r="AZ1893" i="1"/>
  <c r="BA1703" i="1"/>
  <c r="AZ1703" i="1"/>
  <c r="AZ2025" i="1"/>
  <c r="BA2025" i="1"/>
  <c r="AZ475" i="1"/>
  <c r="BA475" i="1"/>
  <c r="BA1065" i="1"/>
  <c r="AZ1065" i="1"/>
  <c r="AZ648" i="1"/>
  <c r="BA648" i="1"/>
  <c r="AZ592" i="1"/>
  <c r="BA592" i="1"/>
  <c r="AZ1577" i="1"/>
  <c r="BA1577" i="1"/>
  <c r="AZ938" i="1"/>
  <c r="BA938" i="1"/>
  <c r="BA476" i="1"/>
  <c r="AZ476" i="1"/>
  <c r="AZ522" i="1"/>
  <c r="BA522" i="1"/>
  <c r="AZ2226" i="1"/>
  <c r="BA2226" i="1"/>
  <c r="AZ654" i="1"/>
  <c r="BA654" i="1"/>
  <c r="BA1185" i="1"/>
  <c r="AZ1185" i="1"/>
  <c r="AZ700" i="1"/>
  <c r="BA700" i="1"/>
  <c r="BA1475" i="1"/>
  <c r="AZ1475" i="1"/>
  <c r="AZ565" i="1"/>
  <c r="BA565" i="1"/>
  <c r="AZ698" i="1"/>
  <c r="BA698" i="1"/>
  <c r="AZ642" i="1"/>
  <c r="BA642" i="1"/>
  <c r="AZ582" i="1"/>
  <c r="BA582" i="1"/>
  <c r="BA2104" i="1"/>
  <c r="AZ2104" i="1"/>
  <c r="AZ974" i="1"/>
  <c r="BA974" i="1"/>
  <c r="AZ749" i="1"/>
  <c r="BA749" i="1"/>
  <c r="BA42" i="1"/>
  <c r="AZ42" i="1"/>
  <c r="AZ447" i="1"/>
  <c r="BA447" i="1"/>
  <c r="AZ604" i="1"/>
  <c r="BA604" i="1"/>
  <c r="BA895" i="1"/>
  <c r="AZ895" i="1"/>
  <c r="AZ1018" i="1"/>
  <c r="BA1018" i="1"/>
  <c r="AZ628" i="1"/>
  <c r="BA628" i="1"/>
  <c r="BA1121" i="1"/>
  <c r="AZ1121" i="1"/>
  <c r="AZ788" i="1"/>
  <c r="BA788" i="1"/>
  <c r="AZ864" i="1"/>
  <c r="BA864" i="1"/>
  <c r="AZ419" i="1"/>
  <c r="BA419" i="1"/>
  <c r="AZ798" i="1"/>
  <c r="BA798" i="1"/>
  <c r="BA135" i="1"/>
  <c r="AZ135" i="1"/>
  <c r="BA1231" i="1"/>
  <c r="AZ1231" i="1"/>
  <c r="AZ896" i="1"/>
  <c r="BA896" i="1"/>
  <c r="BA70" i="1"/>
  <c r="AZ70" i="1"/>
  <c r="BA1136" i="1"/>
  <c r="AZ1136" i="1"/>
  <c r="AZ1585" i="1"/>
  <c r="BA1585" i="1"/>
  <c r="AZ459" i="1"/>
  <c r="BA459" i="1"/>
  <c r="BA1439" i="1"/>
  <c r="AZ1439" i="1"/>
  <c r="AZ1157" i="1"/>
  <c r="BA1157" i="1"/>
  <c r="BA1467" i="1"/>
  <c r="AZ1467" i="1"/>
  <c r="AZ538" i="1"/>
  <c r="BA538" i="1"/>
  <c r="BA316" i="1"/>
  <c r="AZ316" i="1"/>
  <c r="BA1380" i="1"/>
  <c r="AZ1380" i="1"/>
  <c r="AZ4341" i="1"/>
  <c r="BA4341" i="1"/>
  <c r="BA2087" i="1"/>
  <c r="AZ2087" i="1"/>
  <c r="AZ146" i="1"/>
  <c r="BA146" i="1"/>
  <c r="BA1264" i="1"/>
  <c r="AZ1264" i="1"/>
  <c r="BA4273" i="1"/>
  <c r="AZ4273" i="1"/>
  <c r="BA400" i="1"/>
  <c r="AZ400" i="1"/>
  <c r="BA478" i="1"/>
  <c r="AZ478" i="1"/>
  <c r="BA1415" i="1"/>
  <c r="AZ1415" i="1"/>
  <c r="BA4286" i="1"/>
  <c r="AZ4286" i="1"/>
  <c r="AZ514" i="1"/>
  <c r="BA514" i="1"/>
  <c r="BA1212" i="1"/>
  <c r="AZ1212" i="1"/>
  <c r="AZ194" i="1"/>
  <c r="BA194" i="1"/>
  <c r="BA1161" i="1"/>
  <c r="AZ1161" i="1"/>
  <c r="AZ1566" i="1"/>
  <c r="BA1566" i="1"/>
  <c r="BA2006" i="1"/>
  <c r="AZ2006" i="1"/>
  <c r="BA1463" i="1"/>
  <c r="AZ1463" i="1"/>
  <c r="BA270" i="1"/>
  <c r="AZ270" i="1"/>
  <c r="AZ1406" i="1"/>
  <c r="BA1406" i="1"/>
  <c r="BA4241" i="1"/>
  <c r="AZ4241" i="1"/>
  <c r="AZ1683" i="1"/>
  <c r="BA1683" i="1"/>
  <c r="BA79" i="1"/>
  <c r="AZ79" i="1"/>
  <c r="BA1888" i="1"/>
  <c r="AZ1888" i="1"/>
  <c r="AZ1618" i="1"/>
  <c r="BA1618" i="1"/>
  <c r="AZ1667" i="1"/>
  <c r="BA1667" i="1"/>
  <c r="AZ1923" i="1"/>
  <c r="BA1923" i="1"/>
  <c r="BA1908" i="1"/>
  <c r="AZ1908" i="1"/>
  <c r="AZ1873" i="1"/>
  <c r="BA1873" i="1"/>
  <c r="AZ267" i="1"/>
  <c r="BA267" i="1"/>
  <c r="AZ1891" i="1"/>
  <c r="BA1891" i="1"/>
  <c r="AZ1728" i="1"/>
  <c r="BA1728" i="1"/>
  <c r="BA1857" i="1"/>
  <c r="AZ1857" i="1"/>
  <c r="BA1905" i="1"/>
  <c r="AZ1905" i="1"/>
  <c r="AZ836" i="1"/>
  <c r="BA836" i="1"/>
  <c r="BA87" i="1"/>
  <c r="AZ87" i="1"/>
  <c r="BA2083" i="1"/>
  <c r="AZ2083" i="1"/>
  <c r="AZ1072" i="1"/>
  <c r="BA1072" i="1"/>
  <c r="AZ109" i="1"/>
  <c r="BA109" i="1"/>
  <c r="BA4376" i="1"/>
  <c r="AZ4376" i="1"/>
  <c r="AZ758" i="1"/>
  <c r="BA758" i="1"/>
  <c r="AZ2133" i="1"/>
  <c r="BA2133" i="1"/>
  <c r="AZ972" i="1"/>
  <c r="BA972" i="1"/>
  <c r="BA131" i="1"/>
  <c r="AZ131" i="1"/>
  <c r="AZ2169" i="1"/>
  <c r="BA2169" i="1"/>
  <c r="AZ2212" i="1"/>
  <c r="BA2212" i="1"/>
  <c r="AZ665" i="1"/>
  <c r="BA665" i="1"/>
  <c r="BA1420" i="1"/>
  <c r="AZ1420" i="1"/>
  <c r="AZ1991" i="1"/>
  <c r="BA1991" i="1"/>
  <c r="AZ1033" i="1"/>
  <c r="BA1033" i="1"/>
  <c r="AZ1966" i="1"/>
  <c r="BA1966" i="1"/>
  <c r="AZ763" i="1"/>
  <c r="BA763" i="1"/>
  <c r="AZ1302" i="1"/>
  <c r="BA1302" i="1"/>
  <c r="AZ962" i="1"/>
  <c r="BA962" i="1"/>
  <c r="BA336" i="1"/>
  <c r="AZ336" i="1"/>
  <c r="BA2071" i="1"/>
  <c r="AZ2071" i="1"/>
  <c r="AZ2270" i="1"/>
  <c r="BA2270" i="1"/>
  <c r="AZ403" i="1"/>
  <c r="BA403" i="1"/>
  <c r="AZ1230" i="1"/>
  <c r="BA1230" i="1"/>
  <c r="AZ1269" i="1"/>
  <c r="BA1269" i="1"/>
  <c r="AZ2219" i="1"/>
  <c r="BA2219" i="1"/>
  <c r="BA484" i="1"/>
  <c r="AZ484" i="1"/>
  <c r="AZ1410" i="1"/>
  <c r="BA1410" i="1"/>
  <c r="BA1522" i="1"/>
  <c r="AZ1522" i="1"/>
  <c r="AZ387" i="1"/>
  <c r="BA387" i="1"/>
  <c r="BA4238" i="1"/>
  <c r="AZ4238" i="1"/>
  <c r="AZ929" i="1"/>
  <c r="BA929" i="1"/>
  <c r="BA424" i="1"/>
  <c r="AZ424" i="1"/>
  <c r="BA1251" i="1"/>
  <c r="AZ1251" i="1"/>
  <c r="AZ2156" i="1"/>
  <c r="BA2156" i="1"/>
  <c r="AZ1181" i="1"/>
  <c r="BA1181" i="1"/>
  <c r="AZ1688" i="1"/>
  <c r="BA1688" i="1"/>
  <c r="AZ1616" i="1"/>
  <c r="BA1616" i="1"/>
  <c r="AZ869" i="1"/>
  <c r="BA869" i="1"/>
  <c r="AZ4233" i="1"/>
  <c r="BA4233" i="1"/>
  <c r="BA1220" i="1"/>
  <c r="AZ1220" i="1"/>
  <c r="AZ1034" i="1"/>
  <c r="BA1034" i="1"/>
  <c r="BA1419" i="1"/>
  <c r="AZ1419" i="1"/>
  <c r="AZ997" i="1"/>
  <c r="BA997" i="1"/>
  <c r="BA292" i="1"/>
  <c r="AZ292" i="1"/>
  <c r="AZ937" i="1"/>
  <c r="BA937" i="1"/>
  <c r="AZ1290" i="1"/>
  <c r="BA1290" i="1"/>
  <c r="BA264" i="1"/>
  <c r="AZ264" i="1"/>
  <c r="BA1131" i="1"/>
  <c r="AZ1131" i="1"/>
  <c r="BA100" i="1"/>
  <c r="AZ100" i="1"/>
  <c r="AZ889" i="1"/>
  <c r="BA889" i="1"/>
  <c r="BA4277" i="1"/>
  <c r="AZ4277" i="1"/>
  <c r="BA107" i="1"/>
  <c r="AZ107" i="1"/>
  <c r="BA2089" i="1"/>
  <c r="AZ2089" i="1"/>
  <c r="BA248" i="1"/>
  <c r="AZ248" i="1"/>
  <c r="BA1102" i="1"/>
  <c r="AZ1102" i="1"/>
  <c r="BA1240" i="1"/>
  <c r="AZ1240" i="1"/>
  <c r="BA1431" i="1"/>
  <c r="AZ1431" i="1"/>
  <c r="AZ2238" i="1"/>
  <c r="BA2238" i="1"/>
  <c r="AZ602" i="1"/>
  <c r="BA602" i="1"/>
  <c r="AZ24" i="1"/>
  <c r="BA24" i="1"/>
  <c r="AZ4266" i="1"/>
  <c r="BA4266" i="1"/>
  <c r="AZ1674" i="1"/>
  <c r="BA1674" i="1"/>
  <c r="BA1315" i="1"/>
  <c r="AZ1315" i="1"/>
  <c r="AZ541" i="1"/>
  <c r="BA541" i="1"/>
  <c r="AZ443" i="1"/>
  <c r="BA443" i="1"/>
  <c r="AZ905" i="1"/>
  <c r="BA905" i="1"/>
  <c r="AZ489" i="1"/>
  <c r="BA489" i="1"/>
  <c r="BA472" i="1"/>
  <c r="AZ472" i="1"/>
  <c r="AZ1561" i="1"/>
  <c r="BA1561" i="1"/>
  <c r="AZ746" i="1"/>
  <c r="BA746" i="1"/>
  <c r="AZ570" i="1"/>
  <c r="BA570" i="1"/>
  <c r="AZ924" i="1"/>
  <c r="BA924" i="1"/>
  <c r="BA1375" i="1"/>
  <c r="AZ1375" i="1"/>
  <c r="AZ1509" i="1"/>
  <c r="BA1509" i="1"/>
  <c r="AZ1189" i="1"/>
  <c r="BA1189" i="1"/>
  <c r="AZ1656" i="1"/>
  <c r="BA1656" i="1"/>
  <c r="AZ2036" i="1"/>
  <c r="BA2036" i="1"/>
  <c r="AZ1017" i="1"/>
  <c r="BA1017" i="1"/>
  <c r="AZ33" i="1"/>
  <c r="BA33" i="1"/>
  <c r="AZ45" i="1"/>
  <c r="BA45" i="1"/>
  <c r="AZ683" i="1"/>
  <c r="BA683" i="1"/>
  <c r="AZ2295" i="1"/>
  <c r="BA2295" i="1"/>
  <c r="AZ968" i="1"/>
  <c r="BA968" i="1"/>
  <c r="BA106" i="1"/>
  <c r="AZ106" i="1"/>
  <c r="AZ303" i="1"/>
  <c r="BA303" i="1"/>
  <c r="AZ1008" i="1"/>
  <c r="BA1008" i="1"/>
  <c r="AZ785" i="1"/>
  <c r="BA785" i="1"/>
  <c r="AZ2304" i="1"/>
  <c r="BA2304" i="1"/>
  <c r="BA727" i="1"/>
  <c r="AZ727" i="1"/>
  <c r="BA380" i="1"/>
  <c r="AZ380" i="1"/>
  <c r="AZ1061" i="1"/>
  <c r="BA1061" i="1"/>
  <c r="AZ691" i="1"/>
  <c r="BA691" i="1"/>
  <c r="BA871" i="1"/>
  <c r="AZ871" i="1"/>
  <c r="AY3349" i="1"/>
  <c r="BA159" i="1"/>
  <c r="AZ159" i="1"/>
  <c r="AZ479" i="1"/>
  <c r="BA479" i="1"/>
  <c r="AZ154" i="1"/>
  <c r="BA154" i="1"/>
  <c r="AZ994" i="1"/>
  <c r="BA994" i="1"/>
  <c r="AZ563" i="1"/>
  <c r="BA563" i="1"/>
  <c r="AZ757" i="1"/>
  <c r="BA757" i="1"/>
  <c r="AZ2303" i="1"/>
  <c r="BA2303" i="1"/>
  <c r="AZ854" i="1"/>
  <c r="BA854" i="1"/>
  <c r="BA719" i="1"/>
  <c r="AZ719" i="1"/>
  <c r="AZ353" i="1"/>
  <c r="BA353" i="1"/>
  <c r="BA1039" i="1"/>
  <c r="AZ1039" i="1"/>
  <c r="AZ670" i="1"/>
  <c r="BA670" i="1"/>
  <c r="AZ1004" i="1"/>
  <c r="BA1004" i="1"/>
  <c r="BA1114" i="1"/>
  <c r="AZ1114" i="1"/>
  <c r="AZ774" i="1"/>
  <c r="BA774" i="1"/>
  <c r="AZ850" i="1"/>
  <c r="BA850" i="1"/>
  <c r="BA398" i="1"/>
  <c r="AZ398" i="1"/>
  <c r="BA1093" i="1"/>
  <c r="AZ1093" i="1"/>
  <c r="BA863" i="1"/>
  <c r="AZ863" i="1"/>
  <c r="AZ641" i="1"/>
  <c r="BA641" i="1"/>
  <c r="BA114" i="1"/>
  <c r="AZ114" i="1"/>
  <c r="AZ1202" i="1"/>
  <c r="BA1202" i="1"/>
  <c r="AZ820" i="1"/>
  <c r="BA820" i="1"/>
  <c r="AZ2019" i="1"/>
  <c r="BA2019" i="1"/>
  <c r="BA2026" i="1"/>
  <c r="AZ2026" i="1"/>
  <c r="BA1571" i="1"/>
  <c r="AZ1571" i="1"/>
  <c r="BA438" i="1"/>
  <c r="AZ438" i="1"/>
  <c r="BA1424" i="1"/>
  <c r="AZ1424" i="1"/>
  <c r="AZ1143" i="1"/>
  <c r="BA1143" i="1"/>
  <c r="AZ1453" i="1"/>
  <c r="BA1453" i="1"/>
  <c r="AZ473" i="1"/>
  <c r="BA473" i="1"/>
  <c r="BA288" i="1"/>
  <c r="AZ288" i="1"/>
  <c r="AZ1366" i="1"/>
  <c r="BA1366" i="1"/>
  <c r="BA4324" i="1"/>
  <c r="AZ4324" i="1"/>
  <c r="BA1583" i="1"/>
  <c r="AZ1583" i="1"/>
  <c r="BA118" i="1"/>
  <c r="AZ118" i="1"/>
  <c r="AZ1250" i="1"/>
  <c r="BA1250" i="1"/>
  <c r="BA4259" i="1"/>
  <c r="AZ4259" i="1"/>
  <c r="BA372" i="1"/>
  <c r="AZ372" i="1"/>
  <c r="AZ442" i="1"/>
  <c r="BA442" i="1"/>
  <c r="AZ1378" i="1"/>
  <c r="BA1378" i="1"/>
  <c r="AZ4272" i="1"/>
  <c r="BA4272" i="1"/>
  <c r="AZ499" i="1"/>
  <c r="BA499" i="1"/>
  <c r="AZ1190" i="1"/>
  <c r="BA1190" i="1"/>
  <c r="BA172" i="1"/>
  <c r="AZ172" i="1"/>
  <c r="AZ1132" i="1"/>
  <c r="BA1132" i="1"/>
  <c r="AZ1538" i="1"/>
  <c r="BA1538" i="1"/>
  <c r="AZ1992" i="1"/>
  <c r="BA1992" i="1"/>
  <c r="BA1580" i="1"/>
  <c r="AZ1580" i="1"/>
  <c r="BA256" i="1"/>
  <c r="AZ256" i="1"/>
  <c r="BA1355" i="1"/>
  <c r="AZ1355" i="1"/>
  <c r="BA1961" i="1"/>
  <c r="AZ1961" i="1"/>
  <c r="AZ1669" i="1"/>
  <c r="BA1669" i="1"/>
  <c r="AZ1226" i="1"/>
  <c r="BA1226" i="1"/>
  <c r="BA1868" i="1"/>
  <c r="AZ1868" i="1"/>
  <c r="AZ1653" i="1"/>
  <c r="BA1653" i="1"/>
  <c r="BA1901" i="1"/>
  <c r="AZ1901" i="1"/>
  <c r="BA1900" i="1"/>
  <c r="AZ1900" i="1"/>
  <c r="AZ1801" i="1"/>
  <c r="BA1801" i="1"/>
  <c r="AZ4313" i="1"/>
  <c r="BA4313" i="1"/>
  <c r="BA1817" i="1"/>
  <c r="AZ1817" i="1"/>
  <c r="AZ1714" i="1"/>
  <c r="BA1714" i="1"/>
  <c r="BA1897" i="1"/>
  <c r="AZ1897" i="1"/>
  <c r="AZ806" i="1"/>
  <c r="BA806" i="1"/>
  <c r="BA1423" i="1"/>
  <c r="AZ1423" i="1"/>
  <c r="BA2054" i="1"/>
  <c r="AZ2054" i="1"/>
  <c r="AZ1020" i="1"/>
  <c r="BA1020" i="1"/>
  <c r="BA86" i="1"/>
  <c r="AZ86" i="1"/>
  <c r="BA4330" i="1"/>
  <c r="AZ4330" i="1"/>
  <c r="BA535" i="1"/>
  <c r="AZ535" i="1"/>
  <c r="BA1968" i="1"/>
  <c r="AZ1968" i="1"/>
  <c r="AZ957" i="1"/>
  <c r="BA957" i="1"/>
  <c r="BA123" i="1"/>
  <c r="AZ123" i="1"/>
  <c r="BA1952" i="1"/>
  <c r="AZ1952" i="1"/>
  <c r="AZ2197" i="1"/>
  <c r="BA2197" i="1"/>
  <c r="AZ635" i="1"/>
  <c r="BA635" i="1"/>
  <c r="AZ1413" i="1"/>
  <c r="BA1413" i="1"/>
  <c r="AZ1975" i="1"/>
  <c r="BA1975" i="1"/>
  <c r="AZ986" i="1"/>
  <c r="BA986" i="1"/>
  <c r="AZ717" i="1"/>
  <c r="BA717" i="1"/>
  <c r="AZ1278" i="1"/>
  <c r="BA1278" i="1"/>
  <c r="AZ939" i="1"/>
  <c r="BA939" i="1"/>
  <c r="AZ299" i="1"/>
  <c r="BA299" i="1"/>
  <c r="BA2063" i="1"/>
  <c r="AZ2063" i="1"/>
  <c r="AZ2256" i="1"/>
  <c r="BA2256" i="1"/>
  <c r="AZ313" i="1"/>
  <c r="BA313" i="1"/>
  <c r="AZ1222" i="1"/>
  <c r="BA1222" i="1"/>
  <c r="AZ1245" i="1"/>
  <c r="BA1245" i="1"/>
  <c r="AZ2223" i="1"/>
  <c r="BA2223" i="1"/>
  <c r="BA350" i="1"/>
  <c r="AZ350" i="1"/>
  <c r="AZ1402" i="1"/>
  <c r="BA1402" i="1"/>
  <c r="BA1539" i="1"/>
  <c r="AZ1539" i="1"/>
  <c r="BA1089" i="1"/>
  <c r="AZ1089" i="1"/>
  <c r="AZ379" i="1"/>
  <c r="BA379" i="1"/>
  <c r="BA4230" i="1"/>
  <c r="AZ4230" i="1"/>
  <c r="AZ899" i="1"/>
  <c r="BA899" i="1"/>
  <c r="AZ401" i="1"/>
  <c r="BA401" i="1"/>
  <c r="BA1243" i="1"/>
  <c r="AZ1243" i="1"/>
  <c r="BA2108" i="1"/>
  <c r="AZ2108" i="1"/>
  <c r="AZ1753" i="1"/>
  <c r="BA1753" i="1"/>
  <c r="AZ1736" i="1"/>
  <c r="BA1736" i="1"/>
  <c r="AZ1680" i="1"/>
  <c r="BA1680" i="1"/>
  <c r="AZ814" i="1"/>
  <c r="BA814" i="1"/>
  <c r="AZ1508" i="1"/>
  <c r="BA1508" i="1"/>
  <c r="AZ2293" i="1"/>
  <c r="BA2293" i="1"/>
  <c r="BA1204" i="1"/>
  <c r="AZ1204" i="1"/>
  <c r="AZ1026" i="1"/>
  <c r="BA1026" i="1"/>
  <c r="BA1411" i="1"/>
  <c r="AZ1411" i="1"/>
  <c r="BA469" i="1"/>
  <c r="AZ469" i="1"/>
  <c r="BA1203" i="1"/>
  <c r="AZ1203" i="1"/>
  <c r="AZ875" i="1"/>
  <c r="BA875" i="1"/>
  <c r="AZ2027" i="1"/>
  <c r="BA2027" i="1"/>
  <c r="AZ1744" i="1"/>
  <c r="BA1744" i="1"/>
  <c r="BA1575" i="1"/>
  <c r="AZ1575" i="1"/>
  <c r="BA20" i="1"/>
  <c r="AZ20" i="1"/>
  <c r="AZ881" i="1"/>
  <c r="BA881" i="1"/>
  <c r="AZ1558" i="1"/>
  <c r="BA1558" i="1"/>
  <c r="BA43" i="1"/>
  <c r="AZ43" i="1"/>
  <c r="BA2081" i="1"/>
  <c r="AZ2081" i="1"/>
  <c r="AZ129" i="1"/>
  <c r="BA129" i="1"/>
  <c r="BA1015" i="1"/>
  <c r="AZ1015" i="1"/>
  <c r="BA1232" i="1"/>
  <c r="AZ1232" i="1"/>
  <c r="BA1383" i="1"/>
  <c r="AZ1383" i="1"/>
  <c r="AZ1053" i="1"/>
  <c r="BA1053" i="1"/>
  <c r="AZ587" i="1"/>
  <c r="BA587" i="1"/>
  <c r="AZ2011" i="1"/>
  <c r="BA2011" i="1"/>
  <c r="AZ4226" i="1"/>
  <c r="BA4226" i="1"/>
  <c r="AZ2222" i="1"/>
  <c r="BA2222" i="1"/>
  <c r="AZ1542" i="1"/>
  <c r="BA1542" i="1"/>
  <c r="AZ533" i="1"/>
  <c r="BA533" i="1"/>
  <c r="BA1563" i="1"/>
  <c r="AZ1563" i="1"/>
  <c r="AZ345" i="1"/>
  <c r="BA345" i="1"/>
  <c r="BA456" i="1"/>
  <c r="AZ456" i="1"/>
  <c r="AZ1553" i="1"/>
  <c r="BA1553" i="1"/>
  <c r="BA304" i="1"/>
  <c r="AZ304" i="1"/>
  <c r="AZ722" i="1"/>
  <c r="BA722" i="1"/>
  <c r="AZ498" i="1"/>
  <c r="BA498" i="1"/>
  <c r="AZ886" i="1"/>
  <c r="BA886" i="1"/>
  <c r="AZ298" i="1"/>
  <c r="BA298" i="1"/>
  <c r="AZ1237" i="1"/>
  <c r="BA1237" i="1"/>
  <c r="AZ1140" i="1"/>
  <c r="BA1140" i="1"/>
  <c r="AZ2035" i="1"/>
  <c r="BA2035" i="1"/>
  <c r="AZ1021" i="1"/>
  <c r="BA1021" i="1"/>
  <c r="AZ231" i="1"/>
  <c r="BA231" i="1"/>
  <c r="BA1533" i="1"/>
  <c r="AZ1533" i="1"/>
  <c r="BA1159" i="1"/>
  <c r="AZ1159" i="1"/>
  <c r="AZ1754" i="1"/>
  <c r="BA1754" i="1"/>
  <c r="AZ1685" i="1"/>
  <c r="BA1685" i="1"/>
  <c r="AZ584" i="1"/>
  <c r="BA584" i="1"/>
  <c r="AZ152" i="1"/>
  <c r="BA152" i="1"/>
  <c r="BA1105" i="1"/>
  <c r="AZ1105" i="1"/>
  <c r="BA943" i="1"/>
  <c r="AZ943" i="1"/>
  <c r="AZ2305" i="1"/>
  <c r="BA2305" i="1"/>
  <c r="AZ370" i="1"/>
  <c r="BA370" i="1"/>
  <c r="AZ1238" i="1"/>
  <c r="BA1238" i="1"/>
  <c r="AZ734" i="1"/>
  <c r="BA734" i="1"/>
  <c r="BA4357" i="1"/>
  <c r="AZ4357" i="1"/>
  <c r="BA1321" i="1"/>
  <c r="AZ1321" i="1"/>
  <c r="AZ483" i="1"/>
  <c r="BA483" i="1"/>
  <c r="AZ1731" i="1"/>
  <c r="BA1731" i="1"/>
  <c r="AZ1778" i="1"/>
  <c r="BA1778" i="1"/>
  <c r="AZ1634" i="1"/>
  <c r="BA1634" i="1"/>
  <c r="AZ347" i="1"/>
  <c r="BA347" i="1"/>
  <c r="AZ467" i="1"/>
  <c r="BA467" i="1"/>
  <c r="AZ546" i="1"/>
  <c r="BA546" i="1"/>
  <c r="BA2047" i="1"/>
  <c r="AZ2047" i="1"/>
  <c r="BA122" i="1"/>
  <c r="AZ122" i="1"/>
  <c r="AZ932" i="1"/>
  <c r="BA932" i="1"/>
  <c r="AZ528" i="1"/>
  <c r="BA528" i="1"/>
  <c r="AZ2250" i="1"/>
  <c r="BA2250" i="1"/>
  <c r="AZ2253" i="1"/>
  <c r="BA2253" i="1"/>
  <c r="AZ826" i="1"/>
  <c r="BA826" i="1"/>
  <c r="AZ2301" i="1"/>
  <c r="BA2301" i="1"/>
  <c r="AZ692" i="1"/>
  <c r="BA692" i="1"/>
  <c r="AZ346" i="1"/>
  <c r="BA346" i="1"/>
  <c r="AZ1012" i="1"/>
  <c r="BA1012" i="1"/>
  <c r="AZ656" i="1"/>
  <c r="BA656" i="1"/>
  <c r="AZ928" i="1"/>
  <c r="BA928" i="1"/>
  <c r="AZ1100" i="1"/>
  <c r="BA1100" i="1"/>
  <c r="AZ752" i="1"/>
  <c r="BA752" i="1"/>
  <c r="BA815" i="1"/>
  <c r="AZ815" i="1"/>
  <c r="BA384" i="1"/>
  <c r="AZ384" i="1"/>
  <c r="AZ1044" i="1"/>
  <c r="BA1044" i="1"/>
  <c r="AZ822" i="1"/>
  <c r="BA822" i="1"/>
  <c r="AZ562" i="1"/>
  <c r="BA562" i="1"/>
  <c r="BA71" i="1"/>
  <c r="AZ71" i="1"/>
  <c r="BA1151" i="1"/>
  <c r="AZ1151" i="1"/>
  <c r="AZ797" i="1"/>
  <c r="BA797" i="1"/>
  <c r="BA1440" i="1"/>
  <c r="AZ1440" i="1"/>
  <c r="AZ4375" i="1"/>
  <c r="BA4375" i="1"/>
  <c r="BA1535" i="1"/>
  <c r="AZ1535" i="1"/>
  <c r="AZ410" i="1"/>
  <c r="BA410" i="1"/>
  <c r="AZ1389" i="1"/>
  <c r="BA1389" i="1"/>
  <c r="BA2040" i="1"/>
  <c r="AZ2040" i="1"/>
  <c r="BA2088" i="1"/>
  <c r="AZ2088" i="1"/>
  <c r="BA452" i="1"/>
  <c r="AZ452" i="1"/>
  <c r="AZ274" i="1"/>
  <c r="BA274" i="1"/>
  <c r="BA1352" i="1"/>
  <c r="AZ1352" i="1"/>
  <c r="BA4302" i="1"/>
  <c r="AZ4302" i="1"/>
  <c r="AZ1569" i="1"/>
  <c r="BA1569" i="1"/>
  <c r="AZ96" i="1"/>
  <c r="BA96" i="1"/>
  <c r="BA1235" i="1"/>
  <c r="AZ1235" i="1"/>
  <c r="BA4251" i="1"/>
  <c r="AZ4251" i="1"/>
  <c r="AZ295" i="1"/>
  <c r="BA295" i="1"/>
  <c r="BA428" i="1"/>
  <c r="AZ428" i="1"/>
  <c r="BA1364" i="1"/>
  <c r="AZ1364" i="1"/>
  <c r="BA4258" i="1"/>
  <c r="AZ4258" i="1"/>
  <c r="AZ435" i="1"/>
  <c r="BA435" i="1"/>
  <c r="BA1478" i="1"/>
  <c r="AZ1478" i="1"/>
  <c r="AZ144" i="1"/>
  <c r="BA144" i="1"/>
  <c r="AZ2029" i="1"/>
  <c r="BA2029" i="1"/>
  <c r="BA2150" i="1"/>
  <c r="AZ2150" i="1"/>
  <c r="BA1427" i="1"/>
  <c r="AZ1427" i="1"/>
  <c r="BA1559" i="1"/>
  <c r="AZ1559" i="1"/>
  <c r="AZ215" i="1"/>
  <c r="BA215" i="1"/>
  <c r="AZ1333" i="1"/>
  <c r="BA1333" i="1"/>
  <c r="BA1911" i="1"/>
  <c r="AZ1911" i="1"/>
  <c r="AZ1661" i="1"/>
  <c r="BA1661" i="1"/>
  <c r="BA1456" i="1"/>
  <c r="AZ1456" i="1"/>
  <c r="AZ1847" i="1"/>
  <c r="BA1847" i="1"/>
  <c r="AZ1645" i="1"/>
  <c r="BA1645" i="1"/>
  <c r="BA1867" i="1"/>
  <c r="AZ1867" i="1"/>
  <c r="BA1859" i="1"/>
  <c r="AZ1859" i="1"/>
  <c r="BA2115" i="1"/>
  <c r="AZ2115" i="1"/>
  <c r="AZ1765" i="1"/>
  <c r="BA1765" i="1"/>
  <c r="AZ1971" i="1"/>
  <c r="BA1971" i="1"/>
  <c r="BA1520" i="1"/>
  <c r="AZ1520" i="1"/>
  <c r="AZ1700" i="1"/>
  <c r="BA1700" i="1"/>
  <c r="BA1864" i="1"/>
  <c r="AZ1864" i="1"/>
  <c r="AZ790" i="1"/>
  <c r="BA790" i="1"/>
  <c r="BA1376" i="1"/>
  <c r="AZ1376" i="1"/>
  <c r="BA1576" i="1"/>
  <c r="AZ1576" i="1"/>
  <c r="AZ973" i="1"/>
  <c r="BA973" i="1"/>
  <c r="BA62" i="1"/>
  <c r="AZ62" i="1"/>
  <c r="BA1519" i="1"/>
  <c r="AZ1519" i="1"/>
  <c r="BA437" i="1"/>
  <c r="AZ437" i="1"/>
  <c r="BA1960" i="1"/>
  <c r="AZ1960" i="1"/>
  <c r="AZ827" i="1"/>
  <c r="BA827" i="1"/>
  <c r="BA116" i="1"/>
  <c r="AZ116" i="1"/>
  <c r="BA1944" i="1"/>
  <c r="AZ1944" i="1"/>
  <c r="BA1063" i="1"/>
  <c r="AZ1063" i="1"/>
  <c r="AZ525" i="1"/>
  <c r="BA525" i="1"/>
  <c r="AZ1397" i="1"/>
  <c r="BA1397" i="1"/>
  <c r="AZ1959" i="1"/>
  <c r="BA1959" i="1"/>
  <c r="AZ598" i="1"/>
  <c r="BA598" i="1"/>
  <c r="BA464" i="1"/>
  <c r="AZ464" i="1"/>
  <c r="BA1239" i="1"/>
  <c r="AZ1239" i="1"/>
  <c r="BA879" i="1"/>
  <c r="AZ879" i="1"/>
  <c r="BA291" i="1"/>
  <c r="AZ291" i="1"/>
  <c r="BA1548" i="1"/>
  <c r="AZ1548" i="1"/>
  <c r="AZ2245" i="1"/>
  <c r="BA2245" i="1"/>
  <c r="AZ306" i="1"/>
  <c r="BA306" i="1"/>
  <c r="AZ1198" i="1"/>
  <c r="BA1198" i="1"/>
  <c r="AZ4345" i="1"/>
  <c r="BA4345" i="1"/>
  <c r="AZ1120" i="1"/>
  <c r="BA1120" i="1"/>
  <c r="AZ282" i="1"/>
  <c r="BA282" i="1"/>
  <c r="BA1347" i="1"/>
  <c r="AZ1347" i="1"/>
  <c r="BA2110" i="1"/>
  <c r="AZ2110" i="1"/>
  <c r="AZ1052" i="1"/>
  <c r="BA1052" i="1"/>
  <c r="BA371" i="1"/>
  <c r="AZ371" i="1"/>
  <c r="BA1483" i="1"/>
  <c r="AZ1483" i="1"/>
  <c r="AZ861" i="1"/>
  <c r="BA861" i="1"/>
  <c r="AZ393" i="1"/>
  <c r="BA393" i="1"/>
  <c r="AZ1180" i="1"/>
  <c r="BA1180" i="1"/>
  <c r="BA2143" i="1"/>
  <c r="AZ2143" i="1"/>
  <c r="AZ1730" i="1"/>
  <c r="BA1730" i="1"/>
  <c r="BA1854" i="1"/>
  <c r="AZ1854" i="1"/>
  <c r="AZ1720" i="1"/>
  <c r="BA1720" i="1"/>
  <c r="AZ1657" i="1"/>
  <c r="BA1657" i="1"/>
  <c r="BA1909" i="1"/>
  <c r="AZ1909" i="1"/>
  <c r="AZ616" i="1"/>
  <c r="BA616" i="1"/>
  <c r="AZ1476" i="1"/>
  <c r="BA1476" i="1"/>
  <c r="AZ2206" i="1"/>
  <c r="BA2206" i="1"/>
  <c r="BA1196" i="1"/>
  <c r="AZ1196" i="1"/>
  <c r="AZ733" i="1"/>
  <c r="BA733" i="1"/>
  <c r="BA1331" i="1"/>
  <c r="AZ1331" i="1"/>
  <c r="AZ217" i="1"/>
  <c r="BA217" i="1"/>
  <c r="BA1195" i="1"/>
  <c r="AZ1195" i="1"/>
  <c r="AZ701" i="1"/>
  <c r="BA701" i="1"/>
  <c r="BA4366" i="1"/>
  <c r="AZ4366" i="1"/>
  <c r="BA1551" i="1"/>
  <c r="AZ1551" i="1"/>
  <c r="BA1337" i="1"/>
  <c r="AZ1337" i="1"/>
  <c r="AZ728" i="1"/>
  <c r="BA728" i="1"/>
  <c r="AZ873" i="1"/>
  <c r="BA873" i="1"/>
  <c r="AZ1550" i="1"/>
  <c r="BA1550" i="1"/>
  <c r="BA19" i="1"/>
  <c r="AZ19" i="1"/>
  <c r="BA2065" i="1"/>
  <c r="AZ2065" i="1"/>
  <c r="BA2176" i="1"/>
  <c r="AZ2176" i="1"/>
  <c r="BA999" i="1"/>
  <c r="AZ999" i="1"/>
  <c r="BA1216" i="1"/>
  <c r="AZ1216" i="1"/>
  <c r="BA1495" i="1"/>
  <c r="AZ1495" i="1"/>
  <c r="AZ2191" i="1"/>
  <c r="BA2191" i="1"/>
  <c r="AZ934" i="1"/>
  <c r="BA934" i="1"/>
  <c r="BA468" i="1"/>
  <c r="AZ468" i="1"/>
  <c r="AZ2003" i="1"/>
  <c r="BA2003" i="1"/>
  <c r="BA1978" i="1"/>
  <c r="AZ1978" i="1"/>
  <c r="AZ2190" i="1"/>
  <c r="BA2190" i="1"/>
  <c r="AZ709" i="1"/>
  <c r="BA709" i="1"/>
  <c r="AZ613" i="1"/>
  <c r="BA613" i="1"/>
  <c r="AZ2129" i="1"/>
  <c r="BA2129" i="1"/>
  <c r="BA397" i="1"/>
  <c r="AZ397" i="1"/>
  <c r="BA1479" i="1"/>
  <c r="AZ1479" i="1"/>
  <c r="BA1547" i="1"/>
  <c r="AZ1547" i="1"/>
  <c r="AZ314" i="1"/>
  <c r="BA314" i="1"/>
  <c r="BA360" i="1"/>
  <c r="AZ360" i="1"/>
  <c r="AZ2106" i="1"/>
  <c r="BA2106" i="1"/>
  <c r="BA1379" i="1"/>
  <c r="AZ1379" i="1"/>
  <c r="BA1356" i="1"/>
  <c r="AZ1356" i="1"/>
  <c r="BA1071" i="1"/>
  <c r="AZ1071" i="1"/>
  <c r="AZ632" i="1"/>
  <c r="BA632" i="1"/>
  <c r="AZ1764" i="1"/>
  <c r="BA1764" i="1"/>
  <c r="BA1512" i="1"/>
  <c r="AZ1512" i="1"/>
  <c r="AZ892" i="1"/>
  <c r="BA892" i="1"/>
  <c r="AZ255" i="1"/>
  <c r="BA255" i="1"/>
  <c r="AZ471" i="1"/>
  <c r="BA471" i="1"/>
  <c r="AZ337" i="1"/>
  <c r="BA337" i="1"/>
  <c r="BA4369" i="1"/>
  <c r="AZ4369" i="1"/>
  <c r="BA1872" i="1"/>
  <c r="AZ1872" i="1"/>
  <c r="AZ200" i="1"/>
  <c r="BA200" i="1"/>
  <c r="AZ588" i="1"/>
  <c r="BA588" i="1"/>
  <c r="AZ1766" i="1"/>
  <c r="BA1766" i="1"/>
  <c r="BA2046" i="1"/>
  <c r="AZ2046" i="1"/>
  <c r="AZ2201" i="1"/>
  <c r="BA2201" i="1"/>
  <c r="AZ339" i="1"/>
  <c r="BA339" i="1"/>
  <c r="AZ998" i="1"/>
  <c r="BA998" i="1"/>
  <c r="AZ914" i="1"/>
  <c r="BA914" i="1"/>
  <c r="BA1094" i="1"/>
  <c r="AZ1094" i="1"/>
  <c r="AZ738" i="1"/>
  <c r="BA738" i="1"/>
  <c r="AZ794" i="1"/>
  <c r="BA794" i="1"/>
  <c r="AZ322" i="1"/>
  <c r="BA322" i="1"/>
  <c r="AZ1009" i="1"/>
  <c r="BA1009" i="1"/>
  <c r="AZ2231" i="1"/>
  <c r="BA2231" i="1"/>
  <c r="AZ540" i="1"/>
  <c r="BA540" i="1"/>
  <c r="BA63" i="1"/>
  <c r="AZ63" i="1"/>
  <c r="BA1137" i="1"/>
  <c r="AZ1137" i="1"/>
  <c r="AZ721" i="1"/>
  <c r="BA721" i="1"/>
  <c r="AZ1390" i="1"/>
  <c r="BA1390" i="1"/>
  <c r="BA4361" i="1"/>
  <c r="AZ4361" i="1"/>
  <c r="BA2100" i="1"/>
  <c r="AZ2100" i="1"/>
  <c r="AZ311" i="1"/>
  <c r="BA311" i="1"/>
  <c r="AZ1381" i="1"/>
  <c r="BA1381" i="1"/>
  <c r="BA4374" i="1"/>
  <c r="AZ4374" i="1"/>
  <c r="AZ2066" i="1"/>
  <c r="BA2066" i="1"/>
  <c r="BA444" i="1"/>
  <c r="AZ444" i="1"/>
  <c r="AZ239" i="1"/>
  <c r="BA239" i="1"/>
  <c r="BA1344" i="1"/>
  <c r="AZ1344" i="1"/>
  <c r="AZ4288" i="1"/>
  <c r="BA4288" i="1"/>
  <c r="AZ1562" i="1"/>
  <c r="BA1562" i="1"/>
  <c r="AZ89" i="1"/>
  <c r="BA89" i="1"/>
  <c r="BA1228" i="1"/>
  <c r="AZ1228" i="1"/>
  <c r="AZ4237" i="1"/>
  <c r="BA4237" i="1"/>
  <c r="AZ273" i="1"/>
  <c r="BA273" i="1"/>
  <c r="AZ386" i="1"/>
  <c r="BA386" i="1"/>
  <c r="AZ1350" i="1"/>
  <c r="BA1350" i="1"/>
  <c r="BA1514" i="1"/>
  <c r="AZ1514" i="1"/>
  <c r="AZ399" i="1"/>
  <c r="BA399" i="1"/>
  <c r="AZ1457" i="1"/>
  <c r="BA1457" i="1"/>
  <c r="AZ137" i="1"/>
  <c r="BA137" i="1"/>
  <c r="BA4378" i="1"/>
  <c r="AZ4378" i="1"/>
  <c r="AZ2094" i="1"/>
  <c r="BA2094" i="1"/>
  <c r="BA1407" i="1"/>
  <c r="AZ1407" i="1"/>
  <c r="BA2109" i="1"/>
  <c r="AZ2109" i="1"/>
  <c r="BA207" i="1"/>
  <c r="AZ207" i="1"/>
  <c r="BA1319" i="1"/>
  <c r="AZ1319" i="1"/>
  <c r="BA1896" i="1"/>
  <c r="AZ1896" i="1"/>
  <c r="AZ1640" i="1"/>
  <c r="BA1640" i="1"/>
  <c r="AZ2090" i="1"/>
  <c r="BA2090" i="1"/>
  <c r="AZ1789" i="1"/>
  <c r="BA1789" i="1"/>
  <c r="AZ1617" i="1"/>
  <c r="BA1617" i="1"/>
  <c r="AZ1860" i="1"/>
  <c r="BA1860" i="1"/>
  <c r="BA1833" i="1"/>
  <c r="AZ1833" i="1"/>
  <c r="AZ1792" i="1"/>
  <c r="BA1792" i="1"/>
  <c r="AZ1757" i="1"/>
  <c r="BA1757" i="1"/>
  <c r="AZ1899" i="1"/>
  <c r="BA1899" i="1"/>
  <c r="AZ1505" i="1"/>
  <c r="BA1505" i="1"/>
  <c r="AZ1686" i="1"/>
  <c r="BA1686" i="1"/>
  <c r="BA1587" i="1"/>
  <c r="AZ1587" i="1"/>
  <c r="BA1856" i="1"/>
  <c r="AZ1856" i="1"/>
  <c r="BA775" i="1"/>
  <c r="AZ775" i="1"/>
  <c r="BA1345" i="1"/>
  <c r="AZ1345" i="1"/>
  <c r="BA1560" i="1"/>
  <c r="AZ1560" i="1"/>
  <c r="BA759" i="1"/>
  <c r="AZ759" i="1"/>
  <c r="BA54" i="1"/>
  <c r="AZ54" i="1"/>
  <c r="AZ1473" i="1"/>
  <c r="BA1473" i="1"/>
  <c r="AZ407" i="1"/>
  <c r="BA407" i="1"/>
  <c r="BA1906" i="1"/>
  <c r="AZ1906" i="1"/>
  <c r="BA2240" i="1"/>
  <c r="AZ2240" i="1"/>
  <c r="AZ812" i="1"/>
  <c r="BA812" i="1"/>
  <c r="BA108" i="1"/>
  <c r="AZ108" i="1"/>
  <c r="BA1937" i="1"/>
  <c r="AZ1937" i="1"/>
  <c r="BA1055" i="1"/>
  <c r="AZ1055" i="1"/>
  <c r="AZ517" i="1"/>
  <c r="BA517" i="1"/>
  <c r="AZ1342" i="1"/>
  <c r="BA1342" i="1"/>
  <c r="BA1920" i="1"/>
  <c r="AZ1920" i="1"/>
  <c r="AZ547" i="1"/>
  <c r="BA547" i="1"/>
  <c r="AZ2262" i="1"/>
  <c r="BA2262" i="1"/>
  <c r="BA382" i="1"/>
  <c r="AZ382" i="1"/>
  <c r="BA1223" i="1"/>
  <c r="AZ1223" i="1"/>
  <c r="AZ872" i="1"/>
  <c r="BA872" i="1"/>
  <c r="AZ136" i="1"/>
  <c r="BA136" i="1"/>
  <c r="AZ2111" i="1"/>
  <c r="BA2111" i="1"/>
  <c r="AZ2225" i="1"/>
  <c r="BA2225" i="1"/>
  <c r="AZ243" i="1"/>
  <c r="BA243" i="1"/>
  <c r="BA1160" i="1"/>
  <c r="AZ1160" i="1"/>
  <c r="BA4294" i="1"/>
  <c r="AZ4294" i="1"/>
  <c r="BA1082" i="1"/>
  <c r="AZ1082" i="1"/>
  <c r="AZ242" i="1"/>
  <c r="BA242" i="1"/>
  <c r="BA1316" i="1"/>
  <c r="AZ1316" i="1"/>
  <c r="AZ2177" i="1"/>
  <c r="BA2177" i="1"/>
  <c r="BA991" i="1"/>
  <c r="AZ991" i="1"/>
  <c r="BA349" i="1"/>
  <c r="AZ349" i="1"/>
  <c r="AZ2077" i="1"/>
  <c r="BA2077" i="1"/>
  <c r="AZ845" i="1"/>
  <c r="BA845" i="1"/>
  <c r="BA333" i="1"/>
  <c r="AZ333" i="1"/>
  <c r="AZ1165" i="1"/>
  <c r="BA1165" i="1"/>
  <c r="BA2172" i="1"/>
  <c r="AZ2172" i="1"/>
  <c r="AZ1722" i="1"/>
  <c r="BA1722" i="1"/>
  <c r="AZ1784" i="1"/>
  <c r="BA1784" i="1"/>
  <c r="BA1825" i="1"/>
  <c r="AZ1825" i="1"/>
  <c r="AZ1649" i="1"/>
  <c r="BA1649" i="1"/>
  <c r="BA1815" i="1"/>
  <c r="AZ1815" i="1"/>
  <c r="BA388" i="1"/>
  <c r="AZ388" i="1"/>
  <c r="AZ1578" i="1"/>
  <c r="BA1578" i="1"/>
  <c r="BA2180" i="1"/>
  <c r="AZ2180" i="1"/>
  <c r="AZ4320" i="1"/>
  <c r="BA4320" i="1"/>
  <c r="AZ725" i="1"/>
  <c r="BA725" i="1"/>
  <c r="BA1307" i="1"/>
  <c r="AZ1307" i="1"/>
  <c r="BA2164" i="1"/>
  <c r="AZ2164" i="1"/>
  <c r="BA1187" i="1"/>
  <c r="AZ1187" i="1"/>
  <c r="AZ457" i="1"/>
  <c r="BA457" i="1"/>
  <c r="AZ2124" i="1"/>
  <c r="BA2124" i="1"/>
  <c r="BA2113" i="1"/>
  <c r="AZ2113" i="1"/>
  <c r="BA4381" i="1"/>
  <c r="AZ4381" i="1"/>
  <c r="AZ25" i="1"/>
  <c r="BA25" i="1"/>
  <c r="AZ857" i="1"/>
  <c r="BA857" i="1"/>
  <c r="BA1981" i="1"/>
  <c r="AZ1981" i="1"/>
  <c r="BA1432" i="1"/>
  <c r="AZ1432" i="1"/>
  <c r="BA2140" i="1"/>
  <c r="AZ2140" i="1"/>
  <c r="AZ1855" i="1"/>
  <c r="BA1855" i="1"/>
  <c r="BA983" i="1"/>
  <c r="AZ983" i="1"/>
  <c r="BA1184" i="1"/>
  <c r="AZ1184" i="1"/>
  <c r="AZ2184" i="1"/>
  <c r="BA2184" i="1"/>
  <c r="BA2151" i="1"/>
  <c r="AZ2151" i="1"/>
  <c r="AZ1029" i="1"/>
  <c r="BA1029" i="1"/>
  <c r="AZ918" i="1"/>
  <c r="BA918" i="1"/>
  <c r="BA429" i="1"/>
  <c r="AZ429" i="1"/>
  <c r="AZ1357" i="1"/>
  <c r="BA1357" i="1"/>
  <c r="BA1914" i="1"/>
  <c r="AZ1914" i="1"/>
  <c r="BA1070" i="1"/>
  <c r="AZ1070" i="1"/>
  <c r="BA1085" i="1"/>
  <c r="AZ1085" i="1"/>
  <c r="AZ645" i="1"/>
  <c r="BA645" i="1"/>
  <c r="AZ605" i="1"/>
  <c r="BA605" i="1"/>
  <c r="AZ2139" i="1"/>
  <c r="BA2139" i="1"/>
  <c r="AZ1702" i="1"/>
  <c r="BA1702" i="1"/>
  <c r="BA1904" i="1"/>
  <c r="AZ1904" i="1"/>
  <c r="AZ289" i="1"/>
  <c r="BA289" i="1"/>
  <c r="AZ1926" i="1"/>
  <c r="BA1926" i="1"/>
  <c r="AZ1006" i="1"/>
  <c r="BA1006" i="1"/>
  <c r="BA276" i="1"/>
  <c r="AZ276" i="1"/>
  <c r="AZ423" i="1"/>
  <c r="BA423" i="1"/>
  <c r="AZ1513" i="1"/>
  <c r="BA1513" i="1"/>
  <c r="AZ912" i="1"/>
  <c r="BA912" i="1"/>
  <c r="BA4" i="1"/>
  <c r="AZ4" i="1"/>
  <c r="AZ2182" i="1"/>
  <c r="BA2182" i="1"/>
  <c r="AZ451" i="1"/>
  <c r="BA451" i="1"/>
  <c r="BA392" i="1"/>
  <c r="AZ392" i="1"/>
  <c r="AZ500" i="1"/>
  <c r="BA500" i="1"/>
  <c r="AZ1000" i="1"/>
  <c r="BA1000" i="1"/>
  <c r="BA480" i="1"/>
  <c r="AZ480" i="1"/>
  <c r="AZ168" i="1"/>
  <c r="BA168" i="1"/>
  <c r="BA127" i="1"/>
  <c r="AZ127" i="1"/>
  <c r="BA60" i="1"/>
  <c r="AZ60" i="1"/>
  <c r="BA911" i="1"/>
  <c r="AZ911" i="1"/>
  <c r="BA1118" i="1"/>
  <c r="AZ1118" i="1"/>
  <c r="AZ2208" i="1"/>
  <c r="BA2208" i="1"/>
  <c r="AZ819" i="1"/>
  <c r="BA819" i="1"/>
  <c r="AZ678" i="1"/>
  <c r="BA678" i="1"/>
  <c r="AZ800" i="1"/>
  <c r="BA800" i="1"/>
  <c r="AY3316" i="1"/>
  <c r="AY3345" i="1"/>
  <c r="BA1401" i="1"/>
  <c r="AZ1401" i="1"/>
  <c r="AZ319" i="1"/>
  <c r="BA319" i="1"/>
  <c r="AZ351" i="1"/>
  <c r="BA351" i="1"/>
  <c r="AZ870" i="1"/>
  <c r="BA870" i="1"/>
  <c r="BA404" i="1"/>
  <c r="AZ404" i="1"/>
  <c r="AZ1104" i="1"/>
  <c r="BA1104" i="1"/>
  <c r="AZ805" i="1"/>
  <c r="BA805" i="1"/>
  <c r="AZ2186" i="1"/>
  <c r="BA2186" i="1"/>
  <c r="AZ650" i="1"/>
  <c r="BA650" i="1"/>
  <c r="AZ970" i="1"/>
  <c r="BA970" i="1"/>
  <c r="BA567" i="1"/>
  <c r="AZ567" i="1"/>
  <c r="AZ852" i="1"/>
  <c r="BA852" i="1"/>
  <c r="AZ1059" i="1"/>
  <c r="BA1059" i="1"/>
  <c r="BA711" i="1"/>
  <c r="AZ711" i="1"/>
  <c r="AZ787" i="1"/>
  <c r="BA787" i="1"/>
  <c r="AZ1002" i="1"/>
  <c r="BA1002" i="1"/>
  <c r="AZ2215" i="1"/>
  <c r="BA2215" i="1"/>
  <c r="AZ786" i="1"/>
  <c r="BA786" i="1"/>
  <c r="AZ526" i="1"/>
  <c r="BA526" i="1"/>
  <c r="AZ49" i="1"/>
  <c r="BA49" i="1"/>
  <c r="BA2034" i="1"/>
  <c r="AZ2034" i="1"/>
  <c r="AZ662" i="1"/>
  <c r="BA662" i="1"/>
  <c r="AZ1382" i="1"/>
  <c r="BA1382" i="1"/>
  <c r="BA4344" i="1"/>
  <c r="AZ4344" i="1"/>
  <c r="BA2091" i="1"/>
  <c r="AZ2091" i="1"/>
  <c r="AZ275" i="1"/>
  <c r="BA275" i="1"/>
  <c r="BA1367" i="1"/>
  <c r="AZ1367" i="1"/>
  <c r="BA4360" i="1"/>
  <c r="AZ4360" i="1"/>
  <c r="BA1584" i="1"/>
  <c r="AZ1584" i="1"/>
  <c r="AZ402" i="1"/>
  <c r="BA402" i="1"/>
  <c r="BA204" i="1"/>
  <c r="AZ204" i="1"/>
  <c r="AZ1330" i="1"/>
  <c r="BA1330" i="1"/>
  <c r="BA4274" i="1"/>
  <c r="AZ4274" i="1"/>
  <c r="BA1555" i="1"/>
  <c r="AZ1555" i="1"/>
  <c r="BA67" i="1"/>
  <c r="AZ67" i="1"/>
  <c r="AZ1206" i="1"/>
  <c r="BA1206" i="1"/>
  <c r="BA4404" i="1"/>
  <c r="AZ4404" i="1"/>
  <c r="AZ266" i="1"/>
  <c r="BA266" i="1"/>
  <c r="BA364" i="1"/>
  <c r="AZ364" i="1"/>
  <c r="AZ1314" i="1"/>
  <c r="BA1314" i="1"/>
  <c r="AZ1493" i="1"/>
  <c r="BA1493" i="1"/>
  <c r="AZ258" i="1"/>
  <c r="BA258" i="1"/>
  <c r="AZ1574" i="1"/>
  <c r="BA1574" i="1"/>
  <c r="BA94" i="1"/>
  <c r="AZ94" i="1"/>
  <c r="AZ4337" i="1"/>
  <c r="BA4337" i="1"/>
  <c r="BA2131" i="1"/>
  <c r="AZ2131" i="1"/>
  <c r="AZ1334" i="1"/>
  <c r="BA1334" i="1"/>
  <c r="AZ2116" i="1"/>
  <c r="BA2116" i="1"/>
  <c r="AZ193" i="1"/>
  <c r="BA193" i="1"/>
  <c r="BA1305" i="1"/>
  <c r="AZ1305" i="1"/>
  <c r="AZ1798" i="1"/>
  <c r="BA1798" i="1"/>
  <c r="BA2178" i="1"/>
  <c r="AZ2178" i="1"/>
  <c r="AZ1760" i="1"/>
  <c r="BA1760" i="1"/>
  <c r="BA1812" i="1"/>
  <c r="AZ1812" i="1"/>
  <c r="BA1811" i="1"/>
  <c r="AZ1811" i="1"/>
  <c r="BA1743" i="1"/>
  <c r="AZ1743" i="1"/>
  <c r="AZ1858" i="1"/>
  <c r="BA1858" i="1"/>
  <c r="BA1557" i="1"/>
  <c r="AZ1557" i="1"/>
  <c r="AZ1678" i="1"/>
  <c r="BA1678" i="1"/>
  <c r="BA1579" i="1"/>
  <c r="AZ1579" i="1"/>
  <c r="AZ1830" i="1"/>
  <c r="BA1830" i="1"/>
  <c r="AZ652" i="1"/>
  <c r="BA652" i="1"/>
  <c r="AZ1298" i="1"/>
  <c r="BA1298" i="1"/>
  <c r="AZ1552" i="1"/>
  <c r="BA1552" i="1"/>
  <c r="BA735" i="1"/>
  <c r="AZ735" i="1"/>
  <c r="BA46" i="1"/>
  <c r="AZ46" i="1"/>
  <c r="BA1922" i="1"/>
  <c r="AZ1922" i="1"/>
  <c r="BA376" i="1"/>
  <c r="AZ376" i="1"/>
  <c r="AZ1871" i="1"/>
  <c r="BA1871" i="1"/>
  <c r="BA2233" i="1"/>
  <c r="AZ2233" i="1"/>
  <c r="AZ765" i="1"/>
  <c r="BA765" i="1"/>
  <c r="AZ85" i="1"/>
  <c r="BA85" i="1"/>
  <c r="AZ1863" i="1"/>
  <c r="BA1863" i="1"/>
  <c r="AZ1041" i="1"/>
  <c r="BA1041" i="1"/>
  <c r="AZ509" i="1"/>
  <c r="BA509" i="1"/>
  <c r="AZ1326" i="1"/>
  <c r="BA1326" i="1"/>
  <c r="AZ1912" i="1"/>
  <c r="BA1912" i="1"/>
  <c r="AZ4347" i="1"/>
  <c r="BA4347" i="1"/>
  <c r="AZ2234" i="1"/>
  <c r="BA2234" i="1"/>
  <c r="BA366" i="1"/>
  <c r="AZ366" i="1"/>
  <c r="BA1191" i="1"/>
  <c r="AZ1191" i="1"/>
  <c r="AZ856" i="1"/>
  <c r="BA856" i="1"/>
  <c r="BA1372" i="1"/>
  <c r="AZ1372" i="1"/>
  <c r="BA2130" i="1"/>
  <c r="AZ2130" i="1"/>
  <c r="AZ2211" i="1"/>
  <c r="BA2211" i="1"/>
  <c r="AZ235" i="1"/>
  <c r="BA235" i="1"/>
  <c r="BA1152" i="1"/>
  <c r="AZ1152" i="1"/>
  <c r="AZ2289" i="1"/>
  <c r="BA2289" i="1"/>
  <c r="BA4239" i="1"/>
  <c r="AZ4239" i="1"/>
  <c r="AZ1046" i="1"/>
  <c r="BA1046" i="1"/>
  <c r="AZ227" i="1"/>
  <c r="BA227" i="1"/>
  <c r="BA1300" i="1"/>
  <c r="AZ1300" i="1"/>
  <c r="AZ2165" i="1"/>
  <c r="BA2165" i="1"/>
  <c r="AZ930" i="1"/>
  <c r="BA930" i="1"/>
  <c r="AZ297" i="1"/>
  <c r="BA297" i="1"/>
  <c r="AZ2059" i="1"/>
  <c r="BA2059" i="1"/>
  <c r="AZ837" i="1"/>
  <c r="BA837" i="1"/>
  <c r="BA318" i="1"/>
  <c r="AZ318" i="1"/>
  <c r="BA4362" i="1"/>
  <c r="AZ4362" i="1"/>
  <c r="BA1970" i="1"/>
  <c r="AZ1970" i="1"/>
  <c r="AZ1706" i="1"/>
  <c r="BA1706" i="1"/>
  <c r="AZ1776" i="1"/>
  <c r="BA1776" i="1"/>
  <c r="BA1799" i="1"/>
  <c r="AZ1799" i="1"/>
  <c r="AZ1804" i="1"/>
  <c r="BA1804" i="1"/>
  <c r="BA1821" i="1"/>
  <c r="AZ1821" i="1"/>
  <c r="BA341" i="1"/>
  <c r="AZ341" i="1"/>
  <c r="AZ1554" i="1"/>
  <c r="BA1554" i="1"/>
  <c r="BA1058" i="1"/>
  <c r="AZ1058" i="1"/>
  <c r="AZ4296" i="1"/>
  <c r="BA4296" i="1"/>
  <c r="AZ702" i="1"/>
  <c r="BA702" i="1"/>
  <c r="BA1283" i="1"/>
  <c r="AZ1283" i="1"/>
  <c r="BA1179" i="1"/>
  <c r="AZ1179" i="1"/>
  <c r="AZ221" i="1"/>
  <c r="BA221" i="1"/>
  <c r="AZ2134" i="1"/>
  <c r="BA2134" i="1"/>
  <c r="AZ1048" i="1"/>
  <c r="BA1048" i="1"/>
  <c r="BA2105" i="1"/>
  <c r="AZ2105" i="1"/>
  <c r="AZ1521" i="1"/>
  <c r="BA1521" i="1"/>
  <c r="BA4235" i="1"/>
  <c r="AZ4235" i="1"/>
  <c r="AZ849" i="1"/>
  <c r="BA849" i="1"/>
  <c r="BA1408" i="1"/>
  <c r="AZ1408" i="1"/>
  <c r="BA1865" i="1"/>
  <c r="AZ1865" i="1"/>
  <c r="BA967" i="1"/>
  <c r="AZ967" i="1"/>
  <c r="BA2048" i="1"/>
  <c r="AZ2048" i="1"/>
  <c r="AZ989" i="1"/>
  <c r="BA989" i="1"/>
  <c r="AZ1785" i="1"/>
  <c r="BA1785" i="1"/>
  <c r="AZ161" i="1"/>
  <c r="BA161" i="1"/>
  <c r="AZ769" i="1"/>
  <c r="BA769" i="1"/>
  <c r="AZ2299" i="1"/>
  <c r="BA2299" i="1"/>
  <c r="BA421" i="1"/>
  <c r="AZ421" i="1"/>
  <c r="AZ1325" i="1"/>
  <c r="BA1325" i="1"/>
  <c r="BA1870" i="1"/>
  <c r="AZ1870" i="1"/>
  <c r="BA1054" i="1"/>
  <c r="AZ1054" i="1"/>
  <c r="AZ933" i="1"/>
  <c r="BA933" i="1"/>
  <c r="BA4327" i="1"/>
  <c r="AZ4327" i="1"/>
  <c r="AZ637" i="1"/>
  <c r="BA637" i="1"/>
  <c r="AZ1624" i="1"/>
  <c r="BA1624" i="1"/>
  <c r="AZ779" i="1"/>
  <c r="BA779" i="1"/>
  <c r="AZ177" i="1"/>
  <c r="BA177" i="1"/>
  <c r="AZ1787" i="1"/>
  <c r="BA1787" i="1"/>
  <c r="BA1289" i="1"/>
  <c r="AZ1289" i="1"/>
  <c r="BA4225" i="1"/>
  <c r="AZ4225" i="1"/>
  <c r="BA2072" i="1"/>
  <c r="AZ2072" i="1"/>
  <c r="AZ534" i="1"/>
  <c r="BA534" i="1"/>
  <c r="AZ1635" i="1"/>
  <c r="BA1635" i="1"/>
  <c r="AZ362" i="1"/>
  <c r="BA362" i="1"/>
  <c r="BA1193" i="1"/>
  <c r="AZ1193" i="1"/>
  <c r="AZ4232" i="1"/>
  <c r="BA4232" i="1"/>
  <c r="AZ668" i="1"/>
  <c r="BA668" i="1"/>
  <c r="AZ644" i="1"/>
  <c r="BA644" i="1"/>
  <c r="AZ1995" i="1"/>
  <c r="BA1995" i="1"/>
  <c r="AZ862" i="1"/>
  <c r="BA862" i="1"/>
  <c r="AZ858" i="1"/>
  <c r="BA858" i="1"/>
  <c r="BA1361" i="1"/>
  <c r="AZ1361" i="1"/>
  <c r="AZ88" i="1"/>
  <c r="BA88" i="1"/>
  <c r="AZ201" i="1"/>
  <c r="BA201" i="1"/>
  <c r="BA1328" i="1"/>
  <c r="AZ1328" i="1"/>
  <c r="AZ174" i="1"/>
  <c r="BA174" i="1"/>
  <c r="BA110" i="1"/>
  <c r="AZ110" i="1"/>
  <c r="BA527" i="1"/>
  <c r="AZ527" i="1"/>
  <c r="BA575" i="1"/>
  <c r="AZ575" i="1"/>
  <c r="AZ466" i="1"/>
  <c r="BA466" i="1"/>
  <c r="AZ594" i="1"/>
  <c r="BA594" i="1"/>
  <c r="BA495" i="1"/>
  <c r="AZ495" i="1"/>
  <c r="BA175" i="1"/>
  <c r="AZ175" i="1"/>
  <c r="BA186" i="1"/>
  <c r="AZ186" i="1"/>
  <c r="AZ842" i="1"/>
  <c r="BA842" i="1"/>
  <c r="BA390" i="1"/>
  <c r="AZ390" i="1"/>
  <c r="AZ1042" i="1"/>
  <c r="BA1042" i="1"/>
  <c r="BA783" i="1"/>
  <c r="AZ783" i="1"/>
  <c r="AZ1116" i="1"/>
  <c r="BA1116" i="1"/>
  <c r="AZ636" i="1"/>
  <c r="BA636" i="1"/>
  <c r="AZ963" i="1"/>
  <c r="BA963" i="1"/>
  <c r="AZ532" i="1"/>
  <c r="BA532" i="1"/>
  <c r="BA831" i="1"/>
  <c r="AZ831" i="1"/>
  <c r="AZ1038" i="1"/>
  <c r="BA1038" i="1"/>
  <c r="BA703" i="1"/>
  <c r="AZ703" i="1"/>
  <c r="BA751" i="1"/>
  <c r="AZ751" i="1"/>
  <c r="AZ995" i="1"/>
  <c r="BA995" i="1"/>
  <c r="BA2196" i="1"/>
  <c r="AZ2196" i="1"/>
  <c r="AZ772" i="1"/>
  <c r="BA772" i="1"/>
  <c r="AZ482" i="1"/>
  <c r="BA482" i="1"/>
  <c r="AZ2004" i="1"/>
  <c r="BA2004" i="1"/>
  <c r="AZ4335" i="1"/>
  <c r="BA4335" i="1"/>
  <c r="AZ611" i="1"/>
  <c r="BA611" i="1"/>
  <c r="BA1368" i="1"/>
  <c r="AZ1368" i="1"/>
  <c r="BA4318" i="1"/>
  <c r="AZ4318" i="1"/>
  <c r="BA2128" i="1"/>
  <c r="AZ2128" i="1"/>
  <c r="BA254" i="1"/>
  <c r="AZ254" i="1"/>
  <c r="BA1353" i="1"/>
  <c r="AZ1353" i="1"/>
  <c r="BA4342" i="1"/>
  <c r="AZ4342" i="1"/>
  <c r="AZ1570" i="1"/>
  <c r="BA1570" i="1"/>
  <c r="BA352" i="1"/>
  <c r="AZ352" i="1"/>
  <c r="BA183" i="1"/>
  <c r="AZ183" i="1"/>
  <c r="BA1323" i="1"/>
  <c r="AZ1323" i="1"/>
  <c r="AZ4260" i="1"/>
  <c r="BA4260" i="1"/>
  <c r="BA2153" i="1"/>
  <c r="AZ2153" i="1"/>
  <c r="AZ32" i="1"/>
  <c r="BA32" i="1"/>
  <c r="BA1177" i="1"/>
  <c r="AZ1177" i="1"/>
  <c r="BA1515" i="1"/>
  <c r="AZ1515" i="1"/>
  <c r="BA238" i="1"/>
  <c r="AZ238" i="1"/>
  <c r="BA294" i="1"/>
  <c r="AZ294" i="1"/>
  <c r="BA1271" i="1"/>
  <c r="AZ1271" i="1"/>
  <c r="BA1458" i="1"/>
  <c r="AZ1458" i="1"/>
  <c r="BA38" i="1"/>
  <c r="AZ38" i="1"/>
  <c r="BA2157" i="1"/>
  <c r="AZ2157" i="1"/>
  <c r="BA30" i="1"/>
  <c r="AZ30" i="1"/>
  <c r="BA4307" i="1"/>
  <c r="AZ4307" i="1"/>
  <c r="BA448" i="1"/>
  <c r="AZ448" i="1"/>
  <c r="BA1320" i="1"/>
  <c r="AZ1320" i="1"/>
  <c r="AZ2195" i="1"/>
  <c r="BA2195" i="1"/>
  <c r="AZ178" i="1"/>
  <c r="BA178" i="1"/>
  <c r="AZ1254" i="1"/>
  <c r="BA1254" i="1"/>
  <c r="AZ1769" i="1"/>
  <c r="BA1769" i="1"/>
  <c r="AZ2145" i="1"/>
  <c r="BA2145" i="1"/>
  <c r="AZ1990" i="1"/>
  <c r="BA1990" i="1"/>
  <c r="AZ1746" i="1"/>
  <c r="BA1746" i="1"/>
  <c r="AZ1310" i="1"/>
  <c r="BA1310" i="1"/>
  <c r="AZ1795" i="1"/>
  <c r="BA1795" i="1"/>
  <c r="AZ1794" i="1"/>
  <c r="BA1794" i="1"/>
  <c r="AZ1729" i="1"/>
  <c r="BA1729" i="1"/>
  <c r="BA1832" i="1"/>
  <c r="AZ1832" i="1"/>
  <c r="BA2170" i="1"/>
  <c r="AZ2170" i="1"/>
  <c r="AZ1664" i="1"/>
  <c r="BA1664" i="1"/>
  <c r="AZ65" i="1"/>
  <c r="BA65" i="1"/>
  <c r="BA1823" i="1"/>
  <c r="AZ1823" i="1"/>
  <c r="AZ550" i="1"/>
  <c r="BA550" i="1"/>
  <c r="AZ1258" i="1"/>
  <c r="BA1258" i="1"/>
  <c r="BA2142" i="1"/>
  <c r="AZ2142" i="1"/>
  <c r="AZ697" i="1"/>
  <c r="BA697" i="1"/>
  <c r="AZ16" i="1"/>
  <c r="BA16" i="1"/>
  <c r="AZ331" i="1"/>
  <c r="BA331" i="1"/>
  <c r="BA2217" i="1"/>
  <c r="AZ2217" i="1"/>
  <c r="AZ742" i="1"/>
  <c r="BA742" i="1"/>
  <c r="AZ53" i="1"/>
  <c r="BA53" i="1"/>
  <c r="AZ1010" i="1"/>
  <c r="BA1010" i="1"/>
  <c r="BA413" i="1"/>
  <c r="AZ413" i="1"/>
  <c r="BA1303" i="1"/>
  <c r="AZ1303" i="1"/>
  <c r="BA1862" i="1"/>
  <c r="AZ1862" i="1"/>
  <c r="BA4319" i="1"/>
  <c r="AZ4319" i="1"/>
  <c r="AZ2227" i="1"/>
  <c r="BA2227" i="1"/>
  <c r="BA268" i="1"/>
  <c r="AZ268" i="1"/>
  <c r="BA1168" i="1"/>
  <c r="AZ1168" i="1"/>
  <c r="AZ840" i="1"/>
  <c r="BA840" i="1"/>
  <c r="BA4365" i="1"/>
  <c r="AZ4365" i="1"/>
  <c r="BA1965" i="1"/>
  <c r="AZ1965" i="1"/>
  <c r="AZ2202" i="1"/>
  <c r="BA2202" i="1"/>
  <c r="AZ189" i="1"/>
  <c r="BA189" i="1"/>
  <c r="AZ4279" i="1"/>
  <c r="BA4279" i="1"/>
  <c r="BA1090" i="1"/>
  <c r="AZ1090" i="1"/>
  <c r="BA1507" i="1"/>
  <c r="AZ1507" i="1"/>
  <c r="BA1023" i="1"/>
  <c r="AZ1023" i="1"/>
  <c r="AZ219" i="1"/>
  <c r="BA219" i="1"/>
  <c r="AZ1221" i="1"/>
  <c r="BA1221" i="1"/>
  <c r="BA1972" i="1"/>
  <c r="AZ1972" i="1"/>
  <c r="AZ915" i="1"/>
  <c r="BA915" i="1"/>
  <c r="AZ281" i="1"/>
  <c r="BA281" i="1"/>
  <c r="BA2101" i="1"/>
  <c r="AZ2101" i="1"/>
  <c r="AZ2248" i="1"/>
  <c r="BA2248" i="1"/>
  <c r="AZ830" i="1"/>
  <c r="BA830" i="1"/>
  <c r="BA296" i="1"/>
  <c r="AZ296" i="1"/>
  <c r="BA4352" i="1"/>
  <c r="AZ4352" i="1"/>
  <c r="BA357" i="1"/>
  <c r="AZ357" i="1"/>
  <c r="AZ1699" i="1"/>
  <c r="BA1699" i="1"/>
  <c r="AZ1768" i="1"/>
  <c r="BA1768" i="1"/>
  <c r="BA1783" i="1"/>
  <c r="AZ1783" i="1"/>
  <c r="BA1813" i="1"/>
  <c r="AZ1813" i="1"/>
  <c r="BA302" i="1"/>
  <c r="AZ302" i="1"/>
  <c r="BA1945" i="1"/>
  <c r="AZ1945" i="1"/>
  <c r="AZ955" i="1"/>
  <c r="BA955" i="1"/>
  <c r="AZ4280" i="1"/>
  <c r="BA4280" i="1"/>
  <c r="AZ630" i="1"/>
  <c r="BA630" i="1"/>
  <c r="BA1275" i="1"/>
  <c r="AZ1275" i="1"/>
  <c r="AZ693" i="1"/>
  <c r="BA693" i="1"/>
  <c r="AZ4295" i="1"/>
  <c r="BA4295" i="1"/>
  <c r="AZ205" i="1"/>
  <c r="BA205" i="1"/>
  <c r="AZ2168" i="1"/>
  <c r="BA2168" i="1"/>
  <c r="AZ921" i="1"/>
  <c r="BA921" i="1"/>
  <c r="AZ1902" i="1"/>
  <c r="BA1902" i="1"/>
  <c r="AZ1489" i="1"/>
  <c r="BA1489" i="1"/>
  <c r="BA1819" i="1"/>
  <c r="AZ1819" i="1"/>
  <c r="AZ841" i="1"/>
  <c r="BA841" i="1"/>
  <c r="BA1392" i="1"/>
  <c r="AZ1392" i="1"/>
  <c r="BA1849" i="1"/>
  <c r="AZ1849" i="1"/>
  <c r="AZ888" i="1"/>
  <c r="BA888" i="1"/>
  <c r="BA1573" i="1"/>
  <c r="AZ1573" i="1"/>
  <c r="AZ744" i="1"/>
  <c r="BA744" i="1"/>
  <c r="AZ1737" i="1"/>
  <c r="BA1737" i="1"/>
  <c r="AZ41" i="1"/>
  <c r="BA41" i="1"/>
  <c r="AZ681" i="1"/>
  <c r="BA681" i="1"/>
  <c r="BA2213" i="1"/>
  <c r="AZ2213" i="1"/>
  <c r="BA405" i="1"/>
  <c r="AZ405" i="1"/>
  <c r="AZ1317" i="1"/>
  <c r="BA1317" i="1"/>
  <c r="BA1818" i="1"/>
  <c r="AZ1818" i="1"/>
  <c r="AZ990" i="1"/>
  <c r="BA990" i="1"/>
  <c r="AZ925" i="1"/>
  <c r="BA925" i="1"/>
  <c r="BA4255" i="1"/>
  <c r="AZ4255" i="1"/>
  <c r="AZ629" i="1"/>
  <c r="BA629" i="1"/>
  <c r="AZ1306" i="1"/>
  <c r="BA1306" i="1"/>
  <c r="AZ747" i="1"/>
  <c r="BA747" i="1"/>
  <c r="AZ761" i="1"/>
  <c r="BA761" i="1"/>
  <c r="AZ145" i="1"/>
  <c r="BA145" i="1"/>
  <c r="AZ1755" i="1"/>
  <c r="BA1755" i="1"/>
  <c r="AZ335" i="1"/>
  <c r="BA335" i="1"/>
  <c r="AZ894" i="1"/>
  <c r="BA894" i="1"/>
  <c r="BA340" i="1"/>
  <c r="AZ340" i="1"/>
  <c r="AZ704" i="1"/>
  <c r="BA704" i="1"/>
  <c r="BA494" i="1"/>
  <c r="AZ494" i="1"/>
  <c r="BA1335" i="1"/>
  <c r="AZ1335" i="1"/>
  <c r="BA1848" i="1"/>
  <c r="AZ1848" i="1"/>
  <c r="BA1831" i="1"/>
  <c r="AZ1831" i="1"/>
  <c r="BA1336" i="1"/>
  <c r="AZ1336" i="1"/>
  <c r="BA2064" i="1"/>
  <c r="AZ2064" i="1"/>
  <c r="AZ57" i="1"/>
  <c r="BA57" i="1"/>
  <c r="BA126" i="1"/>
  <c r="AZ126" i="1"/>
  <c r="BA1117" i="1"/>
  <c r="AZ1117" i="1"/>
  <c r="AZ4350" i="1"/>
  <c r="BA4350" i="1"/>
  <c r="AZ1030" i="1"/>
  <c r="BA1030" i="1"/>
  <c r="AZ69" i="1"/>
  <c r="BA69" i="1"/>
  <c r="AZ1365" i="1"/>
  <c r="BA1365" i="1"/>
  <c r="AZ1499" i="1"/>
  <c r="BA1499" i="1"/>
  <c r="AZ1682" i="1"/>
  <c r="BA1682" i="1"/>
  <c r="AZ1056" i="1"/>
  <c r="BA1056" i="1"/>
  <c r="AZ686" i="1"/>
  <c r="BA686" i="1"/>
  <c r="BA1332" i="1"/>
  <c r="AZ1332" i="1"/>
  <c r="BA44" i="1"/>
  <c r="AZ44" i="1"/>
  <c r="AZ191" i="1"/>
  <c r="BA191" i="1"/>
  <c r="BA143" i="1"/>
  <c r="AZ143" i="1"/>
  <c r="AZ835" i="1"/>
  <c r="BA835" i="1"/>
  <c r="BA348" i="1"/>
  <c r="AZ348" i="1"/>
  <c r="BA1007" i="1"/>
  <c r="AZ1007" i="1"/>
  <c r="AZ762" i="1"/>
  <c r="BA762" i="1"/>
  <c r="BA1110" i="1"/>
  <c r="AZ1110" i="1"/>
  <c r="AZ609" i="1"/>
  <c r="BA609" i="1"/>
  <c r="AZ956" i="1"/>
  <c r="BA956" i="1"/>
  <c r="AZ518" i="1"/>
  <c r="BA518" i="1"/>
  <c r="AZ810" i="1"/>
  <c r="BA810" i="1"/>
  <c r="AZ1024" i="1"/>
  <c r="BA1024" i="1"/>
  <c r="AZ676" i="1"/>
  <c r="BA676" i="1"/>
  <c r="AZ730" i="1"/>
  <c r="BA730" i="1"/>
  <c r="AZ988" i="1"/>
  <c r="BA988" i="1"/>
  <c r="BA1119" i="1"/>
  <c r="AZ1119" i="1"/>
  <c r="BA647" i="1"/>
  <c r="AZ647" i="1"/>
  <c r="BA368" i="1"/>
  <c r="AZ368" i="1"/>
  <c r="BA1997" i="1"/>
  <c r="AZ1997" i="1"/>
  <c r="AZ4269" i="1"/>
  <c r="BA4269" i="1"/>
  <c r="BA396" i="1"/>
  <c r="AZ396" i="1"/>
  <c r="BA1360" i="1"/>
  <c r="AZ1360" i="1"/>
  <c r="AZ4304" i="1"/>
  <c r="BA4304" i="1"/>
  <c r="AZ2121" i="1"/>
  <c r="BA2121" i="1"/>
  <c r="BA240" i="1"/>
  <c r="AZ240" i="1"/>
  <c r="BA1295" i="1"/>
  <c r="AZ1295" i="1"/>
  <c r="AZ4332" i="1"/>
  <c r="BA4332" i="1"/>
  <c r="BA1556" i="1"/>
  <c r="AZ1556" i="1"/>
  <c r="AZ338" i="1"/>
  <c r="BA338" i="1"/>
  <c r="AZ160" i="1"/>
  <c r="BA160" i="1"/>
  <c r="BA1287" i="1"/>
  <c r="AZ1287" i="1"/>
  <c r="BA4252" i="1"/>
  <c r="AZ4252" i="1"/>
  <c r="AZ2098" i="1"/>
  <c r="BA2098" i="1"/>
  <c r="BA2001" i="1"/>
  <c r="AZ2001" i="1"/>
  <c r="BA1155" i="1"/>
  <c r="AZ1155" i="1"/>
  <c r="BA1487" i="1"/>
  <c r="AZ1487" i="1"/>
  <c r="BA196" i="1"/>
  <c r="AZ196" i="1"/>
  <c r="BA272" i="1"/>
  <c r="AZ272" i="1"/>
  <c r="BA1249" i="1"/>
  <c r="AZ1249" i="1"/>
  <c r="BA1450" i="1"/>
  <c r="AZ1450" i="1"/>
  <c r="AZ17" i="1"/>
  <c r="BA17" i="1"/>
  <c r="AZ2103" i="1"/>
  <c r="BA2103" i="1"/>
  <c r="BA10" i="1"/>
  <c r="AZ10" i="1"/>
  <c r="BA4299" i="1"/>
  <c r="AZ4299" i="1"/>
  <c r="AZ434" i="1"/>
  <c r="BA434" i="1"/>
  <c r="BA1312" i="1"/>
  <c r="AZ1312" i="1"/>
  <c r="AZ958" i="1"/>
  <c r="BA958" i="1"/>
  <c r="AZ150" i="1"/>
  <c r="BA150" i="1"/>
  <c r="BA1225" i="1"/>
  <c r="AZ1225" i="1"/>
  <c r="AZ1740" i="1"/>
  <c r="BA1740" i="1"/>
  <c r="BA1932" i="1"/>
  <c r="AZ1932" i="1"/>
  <c r="AZ1939" i="1"/>
  <c r="BA1939" i="1"/>
  <c r="AZ1732" i="1"/>
  <c r="BA1732" i="1"/>
  <c r="AZ2021" i="1"/>
  <c r="BA2021" i="1"/>
  <c r="AZ1788" i="1"/>
  <c r="BA1788" i="1"/>
  <c r="AZ1758" i="1"/>
  <c r="BA1758" i="1"/>
  <c r="AZ1715" i="1"/>
  <c r="BA1715" i="1"/>
  <c r="BA1807" i="1"/>
  <c r="AZ1807" i="1"/>
  <c r="BA2162" i="1"/>
  <c r="AZ2162" i="1"/>
  <c r="AZ1650" i="1"/>
  <c r="BA1650" i="1"/>
  <c r="AZ4227" i="1"/>
  <c r="BA4227" i="1"/>
  <c r="BA1816" i="1"/>
  <c r="AZ1816" i="1"/>
  <c r="AZ504" i="1"/>
  <c r="BA504" i="1"/>
  <c r="AZ1164" i="1"/>
  <c r="BA1164" i="1"/>
  <c r="BA2118" i="1"/>
  <c r="AZ2118" i="1"/>
  <c r="AZ690" i="1"/>
  <c r="BA690" i="1"/>
  <c r="AZ8" i="1"/>
  <c r="BA8" i="1"/>
  <c r="BA278" i="1"/>
  <c r="AZ278" i="1"/>
  <c r="BA2207" i="1"/>
  <c r="AZ2207" i="1"/>
  <c r="AZ666" i="1"/>
  <c r="BA666" i="1"/>
  <c r="AZ1429" i="1"/>
  <c r="BA1429" i="1"/>
  <c r="AZ941" i="1"/>
  <c r="BA941" i="1"/>
  <c r="AZ375" i="1"/>
  <c r="BA375" i="1"/>
  <c r="BA1224" i="1"/>
  <c r="AZ1224" i="1"/>
  <c r="AZ4311" i="1"/>
  <c r="BA4311" i="1"/>
  <c r="AZ2214" i="1"/>
  <c r="BA2214" i="1"/>
  <c r="BA260" i="1"/>
  <c r="AZ260" i="1"/>
  <c r="BA1145" i="1"/>
  <c r="AZ1145" i="1"/>
  <c r="AZ724" i="1"/>
  <c r="BA724" i="1"/>
  <c r="BA4336" i="1"/>
  <c r="AZ4336" i="1"/>
  <c r="BA1957" i="1"/>
  <c r="AZ1957" i="1"/>
  <c r="BA1106" i="1"/>
  <c r="AZ1106" i="1"/>
  <c r="AZ181" i="1"/>
  <c r="BA181" i="1"/>
  <c r="BA1532" i="1"/>
  <c r="AZ1532" i="1"/>
  <c r="AZ984" i="1"/>
  <c r="BA984" i="1"/>
  <c r="AZ1484" i="1"/>
  <c r="BA1484" i="1"/>
  <c r="AZ976" i="1"/>
  <c r="BA976" i="1"/>
  <c r="AZ211" i="1"/>
  <c r="BA211" i="1"/>
  <c r="AZ1213" i="1"/>
  <c r="BA1213" i="1"/>
  <c r="BA1933" i="1"/>
  <c r="AZ1933" i="1"/>
  <c r="AZ900" i="1"/>
  <c r="BA900" i="1"/>
  <c r="AZ157" i="1"/>
  <c r="BA157" i="1"/>
  <c r="BA2092" i="1"/>
  <c r="AZ2092" i="1"/>
  <c r="AZ2224" i="1"/>
  <c r="BA2224" i="1"/>
  <c r="BA799" i="1"/>
  <c r="AZ799" i="1"/>
  <c r="AZ257" i="1"/>
  <c r="BA257" i="1"/>
  <c r="BA4292" i="1"/>
  <c r="AZ4292" i="1"/>
  <c r="BA2144" i="1"/>
  <c r="AZ2144" i="1"/>
  <c r="AZ1675" i="1"/>
  <c r="BA1675" i="1"/>
  <c r="BA1775" i="1"/>
  <c r="AZ1775" i="1"/>
  <c r="BA1687" i="1"/>
  <c r="AZ1687" i="1"/>
  <c r="AZ1802" i="1"/>
  <c r="BA1802" i="1"/>
  <c r="BA286" i="1"/>
  <c r="AZ286" i="1"/>
  <c r="BA1913" i="1"/>
  <c r="AZ1913" i="1"/>
  <c r="AZ2012" i="1"/>
  <c r="BA2012" i="1"/>
  <c r="AZ813" i="1"/>
  <c r="BA813" i="1"/>
  <c r="BA1623" i="1"/>
  <c r="AZ1623" i="1"/>
  <c r="AZ411" i="1"/>
  <c r="BA411" i="1"/>
  <c r="AZ4248" i="1"/>
  <c r="BA4248" i="1"/>
  <c r="AZ685" i="1"/>
  <c r="BA685" i="1"/>
  <c r="BA1536" i="1"/>
  <c r="AZ1536" i="1"/>
  <c r="AZ173" i="1"/>
  <c r="BA173" i="1"/>
  <c r="AZ1796" i="1"/>
  <c r="BA1796" i="1"/>
  <c r="AZ803" i="1"/>
  <c r="BA803" i="1"/>
  <c r="AZ2082" i="1"/>
  <c r="BA2082" i="1"/>
  <c r="AZ818" i="1"/>
  <c r="BA818" i="1"/>
  <c r="BA461" i="1"/>
  <c r="AZ461" i="1"/>
  <c r="BA1384" i="1"/>
  <c r="AZ1384" i="1"/>
  <c r="AZ1786" i="1"/>
  <c r="BA1786" i="1"/>
  <c r="AZ809" i="1"/>
  <c r="BA809" i="1"/>
  <c r="BA1541" i="1"/>
  <c r="AZ1541" i="1"/>
  <c r="AZ2020" i="1"/>
  <c r="BA2020" i="1"/>
  <c r="AZ1721" i="1"/>
  <c r="BA1721" i="1"/>
  <c r="AZ1358" i="1"/>
  <c r="BA1358" i="1"/>
  <c r="AZ649" i="1"/>
  <c r="BA649" i="1"/>
  <c r="AZ1123" i="1"/>
  <c r="BA1123" i="1"/>
  <c r="BA389" i="1"/>
  <c r="AZ389" i="1"/>
  <c r="AZ1309" i="1"/>
  <c r="BA1309" i="1"/>
  <c r="BA1767" i="1"/>
  <c r="AZ1767" i="1"/>
  <c r="AZ942" i="1"/>
  <c r="BA942" i="1"/>
  <c r="AZ909" i="1"/>
  <c r="BA909" i="1"/>
  <c r="BA1490" i="1"/>
  <c r="AZ1490" i="1"/>
  <c r="AZ621" i="1"/>
  <c r="BA621" i="1"/>
  <c r="AZ1274" i="1"/>
  <c r="BA1274" i="1"/>
  <c r="AZ643" i="1"/>
  <c r="BA643" i="1"/>
  <c r="AZ578" i="1"/>
  <c r="BA578" i="1"/>
  <c r="AZ97" i="1"/>
  <c r="BA97" i="1"/>
  <c r="BA743" i="1"/>
  <c r="AZ743" i="1"/>
  <c r="AZ866" i="1"/>
  <c r="BA866" i="1"/>
  <c r="AZ1036" i="1"/>
  <c r="BA1036" i="1"/>
  <c r="BA4267" i="1"/>
  <c r="AZ4267" i="1"/>
  <c r="AZ1546" i="1"/>
  <c r="BA1546" i="1"/>
  <c r="AZ1637" i="1"/>
  <c r="BA1637" i="1"/>
  <c r="BA4306" i="1"/>
  <c r="AZ4306" i="1"/>
  <c r="BA583" i="1"/>
  <c r="AZ583" i="1"/>
  <c r="AZ745" i="1"/>
  <c r="BA745" i="1"/>
  <c r="AZ1627" i="1"/>
  <c r="BA1627" i="1"/>
  <c r="AZ893" i="1"/>
  <c r="BA893" i="1"/>
  <c r="AZ247" i="1"/>
  <c r="BA247" i="1"/>
  <c r="BA1215" i="1"/>
  <c r="AZ1215" i="1"/>
  <c r="AZ1492" i="1"/>
  <c r="BA1492" i="1"/>
  <c r="AY3375" i="1"/>
  <c r="BA1417" i="1"/>
  <c r="AZ1417" i="1"/>
  <c r="BA111" i="1"/>
  <c r="AZ111" i="1"/>
  <c r="AZ828" i="1"/>
  <c r="BA828" i="1"/>
  <c r="AZ307" i="1"/>
  <c r="BA307" i="1"/>
  <c r="AZ966" i="1"/>
  <c r="BA966" i="1"/>
  <c r="AZ755" i="1"/>
  <c r="BA755" i="1"/>
  <c r="AZ1075" i="1"/>
  <c r="BA1075" i="1"/>
  <c r="AZ595" i="1"/>
  <c r="BA595" i="1"/>
  <c r="AZ901" i="1"/>
  <c r="BA901" i="1"/>
  <c r="AZ490" i="1"/>
  <c r="BA490" i="1"/>
  <c r="BA767" i="1"/>
  <c r="AZ767" i="1"/>
  <c r="AZ948" i="1"/>
  <c r="BA948" i="1"/>
  <c r="AZ716" i="1"/>
  <c r="BA716" i="1"/>
  <c r="BA599" i="1"/>
  <c r="AZ599" i="1"/>
  <c r="AZ1092" i="1"/>
  <c r="BA1092" i="1"/>
  <c r="BA639" i="1"/>
  <c r="AZ639" i="1"/>
  <c r="AZ354" i="1"/>
  <c r="BA354" i="1"/>
  <c r="BA1433" i="1"/>
  <c r="AZ1433" i="1"/>
  <c r="BA4262" i="1"/>
  <c r="AZ4262" i="1"/>
  <c r="BA332" i="1"/>
  <c r="AZ332" i="1"/>
  <c r="BA1339" i="1"/>
  <c r="AZ1339" i="1"/>
  <c r="AZ4290" i="1"/>
  <c r="BA4290" i="1"/>
  <c r="AZ198" i="1"/>
  <c r="BA198" i="1"/>
  <c r="BA1288" i="1"/>
  <c r="AZ1288" i="1"/>
  <c r="BA4303" i="1"/>
  <c r="AZ4303" i="1"/>
  <c r="AZ1534" i="1"/>
  <c r="BA1534" i="1"/>
  <c r="BA324" i="1"/>
  <c r="AZ324" i="1"/>
  <c r="BA147" i="1"/>
  <c r="AZ147" i="1"/>
  <c r="BA1273" i="1"/>
  <c r="AZ1273" i="1"/>
  <c r="AZ4231" i="1"/>
  <c r="BA4231" i="1"/>
  <c r="BA2126" i="1"/>
  <c r="AZ2126" i="1"/>
  <c r="BA1409" i="1"/>
  <c r="AZ1409" i="1"/>
  <c r="AZ1141" i="1"/>
  <c r="BA1141" i="1"/>
  <c r="AZ1465" i="1"/>
  <c r="BA1465" i="1"/>
  <c r="AZ195" i="1"/>
  <c r="BA195" i="1"/>
  <c r="BA1227" i="1"/>
  <c r="AZ1227" i="1"/>
  <c r="AZ2085" i="1"/>
  <c r="BA2085" i="1"/>
  <c r="BA2007" i="1"/>
  <c r="AZ2007" i="1"/>
  <c r="BA2014" i="1"/>
  <c r="AZ2014" i="1"/>
  <c r="BA4271" i="1"/>
  <c r="AZ4271" i="1"/>
  <c r="BA406" i="1"/>
  <c r="AZ406" i="1"/>
  <c r="BA1291" i="1"/>
  <c r="AZ1291" i="1"/>
  <c r="AZ714" i="1"/>
  <c r="BA714" i="1"/>
  <c r="AZ128" i="1"/>
  <c r="BA128" i="1"/>
  <c r="AZ1188" i="1"/>
  <c r="BA1188" i="1"/>
  <c r="AZ1676" i="1"/>
  <c r="BA1676" i="1"/>
  <c r="AZ1918" i="1"/>
  <c r="BA1918" i="1"/>
  <c r="BA1903" i="1"/>
  <c r="AZ1903" i="1"/>
  <c r="AZ1718" i="1"/>
  <c r="BA1718" i="1"/>
  <c r="BA2138" i="1"/>
  <c r="AZ2138" i="1"/>
  <c r="AZ1781" i="1"/>
  <c r="BA1781" i="1"/>
  <c r="AZ1708" i="1"/>
  <c r="BA1708" i="1"/>
  <c r="AZ283" i="1"/>
  <c r="BA283" i="1"/>
  <c r="AZ1701" i="1"/>
  <c r="BA1701" i="1"/>
  <c r="AZ1793" i="1"/>
  <c r="BA1793" i="1"/>
  <c r="AZ1963" i="1"/>
  <c r="BA1963" i="1"/>
  <c r="AZ1621" i="1"/>
  <c r="BA1621" i="1"/>
  <c r="BA4397" i="1"/>
  <c r="AZ4397" i="1"/>
  <c r="BA1791" i="1"/>
  <c r="AZ1791" i="1"/>
  <c r="AZ2296" i="1"/>
  <c r="BA2296" i="1"/>
  <c r="AZ496" i="1"/>
  <c r="BA496" i="1"/>
  <c r="AZ1149" i="1"/>
  <c r="BA1149" i="1"/>
  <c r="BA1969" i="1"/>
  <c r="AZ1969" i="1"/>
  <c r="AZ682" i="1"/>
  <c r="BA682" i="1"/>
  <c r="AZ1430" i="1"/>
  <c r="BA1430" i="1"/>
  <c r="BA1391" i="1"/>
  <c r="AZ1391" i="1"/>
  <c r="AZ1124" i="1"/>
  <c r="BA1124" i="1"/>
  <c r="AZ651" i="1"/>
  <c r="BA651" i="1"/>
  <c r="AZ1421" i="1"/>
  <c r="BA1421" i="1"/>
  <c r="AZ926" i="1"/>
  <c r="BA926" i="1"/>
  <c r="BA308" i="1"/>
  <c r="AZ308" i="1"/>
  <c r="BA1192" i="1"/>
  <c r="AZ1192" i="1"/>
  <c r="BA1486" i="1"/>
  <c r="AZ1486" i="1"/>
  <c r="AZ2210" i="1"/>
  <c r="BA2210" i="1"/>
  <c r="BA252" i="1"/>
  <c r="AZ252" i="1"/>
  <c r="AZ4264" i="1"/>
  <c r="BA4264" i="1"/>
  <c r="BA671" i="1"/>
  <c r="AZ671" i="1"/>
  <c r="BA4326" i="1"/>
  <c r="AZ4326" i="1"/>
  <c r="AZ1076" i="1"/>
  <c r="BA1076" i="1"/>
  <c r="AZ166" i="1"/>
  <c r="BA166" i="1"/>
  <c r="BA1941" i="1"/>
  <c r="AZ1941" i="1"/>
  <c r="BA847" i="1"/>
  <c r="AZ847" i="1"/>
  <c r="AZ953" i="1"/>
  <c r="BA953" i="1"/>
  <c r="BA188" i="1"/>
  <c r="AZ188" i="1"/>
  <c r="AZ1205" i="1"/>
  <c r="BA1205" i="1"/>
  <c r="BA1925" i="1"/>
  <c r="AZ1925" i="1"/>
  <c r="AZ838" i="1"/>
  <c r="BA838" i="1"/>
  <c r="AZ104" i="1"/>
  <c r="BA104" i="1"/>
  <c r="BA2120" i="1"/>
  <c r="AZ2120" i="1"/>
  <c r="AZ2209" i="1"/>
  <c r="BA2209" i="1"/>
  <c r="AZ737" i="1"/>
  <c r="BA737" i="1"/>
  <c r="AZ241" i="1"/>
  <c r="BA241" i="1"/>
  <c r="BA4245" i="1"/>
  <c r="AZ4245" i="1"/>
  <c r="BA1820" i="1"/>
  <c r="AZ1820" i="1"/>
  <c r="AZ1652" i="1"/>
  <c r="BA1652" i="1"/>
  <c r="AZ1690" i="1"/>
  <c r="BA1690" i="1"/>
  <c r="AZ1648" i="1"/>
  <c r="BA1648" i="1"/>
  <c r="BA312" i="1"/>
  <c r="AZ312" i="1"/>
  <c r="AZ1763" i="1"/>
  <c r="BA1763" i="1"/>
  <c r="BA47" i="1"/>
  <c r="AZ47" i="1"/>
  <c r="BA1853" i="1"/>
  <c r="AZ1853" i="1"/>
  <c r="AZ1374" i="1"/>
  <c r="BA1374" i="1"/>
  <c r="AZ766" i="1"/>
  <c r="BA766" i="1"/>
  <c r="AZ395" i="1"/>
  <c r="BA395" i="1"/>
  <c r="AZ4240" i="1"/>
  <c r="BA4240" i="1"/>
  <c r="AZ661" i="1"/>
  <c r="BA661" i="1"/>
  <c r="AZ141" i="1"/>
  <c r="BA141" i="1"/>
  <c r="AZ1748" i="1"/>
  <c r="BA1748" i="1"/>
  <c r="AZ684" i="1"/>
  <c r="BA684" i="1"/>
  <c r="AZ2074" i="1"/>
  <c r="BA2074" i="1"/>
  <c r="AZ731" i="1"/>
  <c r="BA731" i="1"/>
  <c r="AZ9" i="1"/>
  <c r="BA9" i="1"/>
  <c r="AZ4380" i="1"/>
  <c r="BA4380" i="1"/>
  <c r="AZ1738" i="1"/>
  <c r="BA1738" i="1"/>
  <c r="AZ674" i="1"/>
  <c r="BA674" i="1"/>
  <c r="BA2158" i="1"/>
  <c r="AZ2158" i="1"/>
  <c r="AZ1713" i="1"/>
  <c r="BA1713" i="1"/>
  <c r="AZ549" i="1"/>
  <c r="BA549" i="1"/>
  <c r="BA1045" i="1"/>
  <c r="AZ1045" i="1"/>
  <c r="AZ1107" i="1"/>
  <c r="BA1107" i="1"/>
  <c r="BA365" i="1"/>
  <c r="AZ365" i="1"/>
  <c r="AZ1301" i="1"/>
  <c r="BA1301" i="1"/>
  <c r="BA1751" i="1"/>
  <c r="AZ1751" i="1"/>
  <c r="AZ726" i="1"/>
  <c r="BA726" i="1"/>
  <c r="AZ877" i="1"/>
  <c r="BA877" i="1"/>
  <c r="AZ1705" i="1"/>
  <c r="BA1705" i="1"/>
  <c r="BA486" i="1"/>
  <c r="AZ486" i="1"/>
  <c r="AZ1067" i="1"/>
  <c r="BA1067" i="1"/>
  <c r="AZ1162" i="1"/>
  <c r="BA1162" i="1"/>
  <c r="AZ627" i="1"/>
  <c r="BA627" i="1"/>
  <c r="AZ81" i="1"/>
  <c r="BA81" i="1"/>
  <c r="AY3337" i="1"/>
  <c r="AY3396" i="1"/>
  <c r="AY3378" i="1"/>
  <c r="AY3389" i="1"/>
  <c r="AY3323" i="1"/>
  <c r="AY3381" i="1"/>
  <c r="AY3358" i="1"/>
  <c r="AY3321" i="1"/>
  <c r="AY3339" i="1"/>
  <c r="AY3324" i="1"/>
  <c r="AY3392" i="1"/>
  <c r="AY3355" i="1"/>
  <c r="AY3288" i="1"/>
  <c r="AY3335" i="1"/>
  <c r="AY3310" i="1"/>
  <c r="AY3344" i="1"/>
  <c r="AY3346" i="1"/>
  <c r="AY3294" i="1"/>
  <c r="AY3350" i="1"/>
  <c r="AY3328" i="1"/>
  <c r="AY3330" i="1"/>
  <c r="AY3298" i="1"/>
  <c r="AY3312" i="1"/>
  <c r="AY3361" i="1"/>
  <c r="AY3304" i="1"/>
  <c r="AY3399" i="1"/>
  <c r="AY3307" i="1"/>
  <c r="AY3302" i="1"/>
  <c r="AY3347" i="1"/>
  <c r="AY3394" i="1"/>
  <c r="AY3383" i="1"/>
  <c r="AY3363" i="1"/>
  <c r="AY3314" i="1"/>
  <c r="AY3390" i="1"/>
  <c r="AY3306" i="1"/>
  <c r="AY3352" i="1"/>
  <c r="AY3391" i="1"/>
  <c r="AY3369" i="1"/>
  <c r="AY3315" i="1"/>
  <c r="AY3327" i="1"/>
  <c r="AY3397" i="1"/>
  <c r="AY3387" i="1"/>
  <c r="AY3360" i="1"/>
  <c r="AY3331" i="1"/>
  <c r="AY3318" i="1"/>
  <c r="AY3377" i="1"/>
  <c r="AY3386" i="1"/>
  <c r="AY3362" i="1"/>
  <c r="AY3365" i="1"/>
  <c r="AY3326" i="1"/>
  <c r="AY3299" i="1"/>
  <c r="AY3334" i="1"/>
  <c r="AY3367" i="1"/>
  <c r="AY3338" i="1"/>
  <c r="AY3348" i="1"/>
  <c r="AY3319" i="1"/>
  <c r="AY3373" i="1"/>
  <c r="AY3359" i="1"/>
  <c r="AY3313" i="1"/>
  <c r="AY3295" i="1"/>
  <c r="AY3342" i="1"/>
  <c r="AY3393" i="1"/>
  <c r="AY3400" i="1"/>
  <c r="AY3333" i="1"/>
  <c r="AY3308" i="1"/>
  <c r="AY3398" i="1"/>
  <c r="AY3317" i="1"/>
  <c r="AY3353" i="1"/>
  <c r="AY3388" i="1"/>
  <c r="AZ3336" i="1" l="1"/>
  <c r="BA3336" i="1"/>
  <c r="AZ3368" i="1"/>
  <c r="BA3368" i="1"/>
  <c r="AZ3372" i="1"/>
  <c r="BA3372" i="1"/>
  <c r="AZ3377" i="1"/>
  <c r="BA3377" i="1"/>
  <c r="AZ3391" i="1"/>
  <c r="BA3391" i="1"/>
  <c r="AZ3288" i="1"/>
  <c r="BA3288" i="1"/>
  <c r="AZ3376" i="1"/>
  <c r="BA3376" i="1"/>
  <c r="AZ3296" i="1"/>
  <c r="BA3296" i="1"/>
  <c r="AZ3298" i="1"/>
  <c r="BA3298" i="1"/>
  <c r="AZ3388" i="1"/>
  <c r="BA3388" i="1"/>
  <c r="AZ3342" i="1"/>
  <c r="BA3342" i="1"/>
  <c r="AZ3367" i="1"/>
  <c r="BA3367" i="1"/>
  <c r="AZ3318" i="1"/>
  <c r="BA3318" i="1"/>
  <c r="AZ3347" i="1"/>
  <c r="BA3347" i="1"/>
  <c r="AZ3330" i="1"/>
  <c r="BA3330" i="1"/>
  <c r="AZ3323" i="1"/>
  <c r="BA3323" i="1"/>
  <c r="AZ3353" i="1"/>
  <c r="BA3353" i="1"/>
  <c r="AZ3295" i="1"/>
  <c r="BA3295" i="1"/>
  <c r="AZ3334" i="1"/>
  <c r="BA3334" i="1"/>
  <c r="AZ3331" i="1"/>
  <c r="BA3331" i="1"/>
  <c r="AZ3352" i="1"/>
  <c r="BA3352" i="1"/>
  <c r="AZ3302" i="1"/>
  <c r="BA3302" i="1"/>
  <c r="AZ3328" i="1"/>
  <c r="BA3328" i="1"/>
  <c r="AZ3355" i="1"/>
  <c r="BA3355" i="1"/>
  <c r="AZ3389" i="1"/>
  <c r="BA3389" i="1"/>
  <c r="AZ3364" i="1"/>
  <c r="BA3364" i="1"/>
  <c r="AZ3382" i="1"/>
  <c r="BA3382" i="1"/>
  <c r="AZ3311" i="1"/>
  <c r="BA3311" i="1"/>
  <c r="AZ3338" i="1"/>
  <c r="BA3338" i="1"/>
  <c r="AZ3299" i="1"/>
  <c r="BA3299" i="1"/>
  <c r="AZ3349" i="1"/>
  <c r="BA3349" i="1"/>
  <c r="AZ3395" i="1"/>
  <c r="BA3395" i="1"/>
  <c r="AZ3380" i="1"/>
  <c r="BA3380" i="1"/>
  <c r="AZ3371" i="1"/>
  <c r="BA3371" i="1"/>
  <c r="AZ3341" i="1"/>
  <c r="BA3341" i="1"/>
  <c r="AZ3379" i="1"/>
  <c r="BA3379" i="1"/>
  <c r="AZ3393" i="1"/>
  <c r="BA3393" i="1"/>
  <c r="AZ3381" i="1"/>
  <c r="BA3381" i="1"/>
  <c r="AZ3313" i="1"/>
  <c r="BA3313" i="1"/>
  <c r="AZ3350" i="1"/>
  <c r="BA3350" i="1"/>
  <c r="AZ3378" i="1"/>
  <c r="BA3378" i="1"/>
  <c r="AZ3399" i="1"/>
  <c r="BA3399" i="1"/>
  <c r="AZ3375" i="1"/>
  <c r="BA3375" i="1"/>
  <c r="AZ3357" i="1"/>
  <c r="BA3357" i="1"/>
  <c r="AZ3401" i="1"/>
  <c r="BA3401" i="1"/>
  <c r="AZ3384" i="1"/>
  <c r="BA3384" i="1"/>
  <c r="AZ3369" i="1"/>
  <c r="BA3369" i="1"/>
  <c r="AZ3307" i="1"/>
  <c r="BA3307" i="1"/>
  <c r="AZ3326" i="1"/>
  <c r="BA3326" i="1"/>
  <c r="AZ3294" i="1"/>
  <c r="BA3294" i="1"/>
  <c r="AZ3396" i="1"/>
  <c r="BA3396" i="1"/>
  <c r="AZ3373" i="1"/>
  <c r="BA3373" i="1"/>
  <c r="AZ3314" i="1"/>
  <c r="BA3314" i="1"/>
  <c r="AZ3339" i="1"/>
  <c r="BA3339" i="1"/>
  <c r="AZ3345" i="1"/>
  <c r="BA3345" i="1"/>
  <c r="AZ3366" i="1"/>
  <c r="BA3366" i="1"/>
  <c r="AZ3293" i="1"/>
  <c r="BA3293" i="1"/>
  <c r="AZ3402" i="1"/>
  <c r="BA3402" i="1"/>
  <c r="AZ3354" i="1"/>
  <c r="BA3354" i="1"/>
  <c r="AZ3394" i="1"/>
  <c r="BA3394" i="1"/>
  <c r="AZ3317" i="1"/>
  <c r="BA3317" i="1"/>
  <c r="AZ3360" i="1"/>
  <c r="BA3360" i="1"/>
  <c r="AZ3392" i="1"/>
  <c r="BA3392" i="1"/>
  <c r="AZ3398" i="1"/>
  <c r="BA3398" i="1"/>
  <c r="AZ3390" i="1"/>
  <c r="BA3390" i="1"/>
  <c r="AZ3324" i="1"/>
  <c r="BA3324" i="1"/>
  <c r="AZ3308" i="1"/>
  <c r="BA3308" i="1"/>
  <c r="AZ3365" i="1"/>
  <c r="BA3365" i="1"/>
  <c r="AZ3397" i="1"/>
  <c r="BA3397" i="1"/>
  <c r="AZ3304" i="1"/>
  <c r="BA3304" i="1"/>
  <c r="AZ3346" i="1"/>
  <c r="BA3346" i="1"/>
  <c r="AZ3337" i="1"/>
  <c r="BA3337" i="1"/>
  <c r="AZ3333" i="1"/>
  <c r="BA3333" i="1"/>
  <c r="AZ3319" i="1"/>
  <c r="BA3319" i="1"/>
  <c r="AZ3362" i="1"/>
  <c r="BA3362" i="1"/>
  <c r="AZ3327" i="1"/>
  <c r="BA3327" i="1"/>
  <c r="AZ3363" i="1"/>
  <c r="BA3363" i="1"/>
  <c r="AZ3361" i="1"/>
  <c r="BA3361" i="1"/>
  <c r="AZ3344" i="1"/>
  <c r="BA3344" i="1"/>
  <c r="AZ3321" i="1"/>
  <c r="BA3321" i="1"/>
  <c r="AZ3316" i="1"/>
  <c r="BA3316" i="1"/>
  <c r="AZ3370" i="1"/>
  <c r="BA3370" i="1"/>
  <c r="AZ3340" i="1"/>
  <c r="BA3340" i="1"/>
  <c r="AZ3332" i="1"/>
  <c r="BA3332" i="1"/>
  <c r="AZ3320" i="1"/>
  <c r="BA3320" i="1"/>
  <c r="AZ3335" i="1"/>
  <c r="BA3335" i="1"/>
  <c r="AZ3306" i="1"/>
  <c r="BA3306" i="1"/>
  <c r="AZ3359" i="1"/>
  <c r="BA3359" i="1"/>
  <c r="AZ3387" i="1"/>
  <c r="BA3387" i="1"/>
  <c r="AZ3400" i="1"/>
  <c r="BA3400" i="1"/>
  <c r="AZ3348" i="1"/>
  <c r="BA3348" i="1"/>
  <c r="AZ3386" i="1"/>
  <c r="BA3386" i="1"/>
  <c r="AZ3315" i="1"/>
  <c r="BA3315" i="1"/>
  <c r="AZ3383" i="1"/>
  <c r="BA3383" i="1"/>
  <c r="AZ3312" i="1"/>
  <c r="BA3312" i="1"/>
  <c r="AZ3310" i="1"/>
  <c r="BA3310" i="1"/>
  <c r="AZ3358" i="1"/>
  <c r="BA3358" i="1"/>
  <c r="AZ3351" i="1"/>
  <c r="BA3351" i="1"/>
  <c r="AZ3356" i="1"/>
  <c r="BA3356" i="1"/>
  <c r="AZ3325" i="1"/>
  <c r="BA3325" i="1"/>
  <c r="AZ3374" i="1"/>
  <c r="BA3374" i="1"/>
  <c r="AZ3343" i="1"/>
  <c r="BA3343" i="1"/>
  <c r="AZ3385" i="1"/>
  <c r="BA3385" i="1"/>
  <c r="AO2869" i="1"/>
  <c r="AO2868" i="1"/>
  <c r="AO2867" i="1"/>
  <c r="AO2932" i="1"/>
  <c r="AO3170" i="1"/>
  <c r="AO3181" i="1"/>
  <c r="AO3169" i="1"/>
  <c r="AO3179" i="1"/>
  <c r="AO3157" i="1"/>
  <c r="AO3162" i="1"/>
  <c r="AO2226" i="1"/>
  <c r="AO2225" i="1"/>
  <c r="AO2320" i="1"/>
  <c r="AW3910" i="1" s="1"/>
  <c r="AY3910" i="1" s="1"/>
  <c r="AO3513" i="1"/>
  <c r="AO2701" i="1"/>
  <c r="AO2215" i="1"/>
  <c r="AO2323" i="1"/>
  <c r="AO2322" i="1"/>
  <c r="AO2325" i="1"/>
  <c r="AO2328" i="1"/>
  <c r="AO2330" i="1"/>
  <c r="AO3510" i="1"/>
  <c r="AO3540" i="1"/>
  <c r="AO3534" i="1"/>
  <c r="AO3874" i="1"/>
  <c r="AO2398" i="1"/>
  <c r="AO3112" i="1"/>
  <c r="AO3109" i="1"/>
  <c r="AQ3112" i="1"/>
  <c r="AQ3109" i="1"/>
  <c r="AO2604" i="1"/>
  <c r="AO3931" i="1"/>
  <c r="AQ2316" i="1"/>
  <c r="AQ3912" i="1"/>
  <c r="AW3751" i="1" s="1"/>
  <c r="AY3751" i="1" s="1"/>
  <c r="AQ3911" i="1"/>
  <c r="AW3738" i="1" s="1"/>
  <c r="AY3738" i="1" s="1"/>
  <c r="AQ3909" i="1"/>
  <c r="AW3736" i="1" s="1"/>
  <c r="AY3736" i="1" s="1"/>
  <c r="AQ3907" i="1"/>
  <c r="AW3734" i="1" s="1"/>
  <c r="AY3734" i="1" s="1"/>
  <c r="AQ3232" i="1"/>
  <c r="AQ2359" i="1"/>
  <c r="AQ2350" i="1"/>
  <c r="AW3404" i="1" s="1"/>
  <c r="AY3404" i="1" s="1"/>
  <c r="AQ2866" i="1"/>
  <c r="AO3732" i="1"/>
  <c r="AO3059" i="1"/>
  <c r="AQ3147" i="1"/>
  <c r="AO2230" i="1"/>
  <c r="AO2229" i="1"/>
  <c r="AO2232" i="1"/>
  <c r="AO2216" i="1"/>
  <c r="AO2334" i="1"/>
  <c r="AO3506" i="1"/>
  <c r="AO2703" i="1"/>
  <c r="AO3562" i="1"/>
  <c r="AO3555" i="1"/>
  <c r="AO2715" i="1"/>
  <c r="AQ2703" i="1"/>
  <c r="AQ2696" i="1"/>
  <c r="AO2696" i="1"/>
  <c r="AQ3563" i="1"/>
  <c r="AQ3544" i="1"/>
  <c r="AQ3540" i="1"/>
  <c r="AQ3534" i="1"/>
  <c r="AO3886" i="1"/>
  <c r="AO3902" i="1"/>
  <c r="AO3870" i="1"/>
  <c r="AO3893" i="1"/>
  <c r="AO2395" i="1"/>
  <c r="AO2399" i="1"/>
  <c r="AW3546" i="1" l="1"/>
  <c r="AY3546" i="1" s="1"/>
  <c r="AW3545" i="1"/>
  <c r="AY3545" i="1" s="1"/>
  <c r="BA3545" i="1" s="1"/>
  <c r="AW4217" i="1"/>
  <c r="AY4217" i="1" s="1"/>
  <c r="BA4217" i="1" s="1"/>
  <c r="AW4216" i="1"/>
  <c r="AY4216" i="1" s="1"/>
  <c r="AZ4216" i="1" s="1"/>
  <c r="AW3588" i="1"/>
  <c r="AY3588" i="1" s="1"/>
  <c r="BA3588" i="1" s="1"/>
  <c r="AZ3910" i="1"/>
  <c r="BA3910" i="1"/>
  <c r="AZ3546" i="1"/>
  <c r="BA3546" i="1"/>
  <c r="AZ3734" i="1"/>
  <c r="BA3734" i="1"/>
  <c r="AW3568" i="1"/>
  <c r="AY3568" i="1" s="1"/>
  <c r="BA3404" i="1"/>
  <c r="AZ3404" i="1"/>
  <c r="BA3736" i="1"/>
  <c r="AZ3736" i="1"/>
  <c r="AZ3751" i="1"/>
  <c r="BA3751" i="1"/>
  <c r="BA3738" i="1"/>
  <c r="AZ3738" i="1"/>
  <c r="AO3860" i="1"/>
  <c r="AW3548" i="1" s="1"/>
  <c r="AY3548" i="1" s="1"/>
  <c r="AQ2398" i="1"/>
  <c r="AW3487" i="1" s="1"/>
  <c r="AY3487" i="1" s="1"/>
  <c r="AQ2399" i="1"/>
  <c r="AW3489" i="1" s="1"/>
  <c r="AY3489" i="1" s="1"/>
  <c r="AQ2395" i="1"/>
  <c r="AW3490" i="1" s="1"/>
  <c r="AY3490" i="1" s="1"/>
  <c r="AO2401" i="1"/>
  <c r="AQ2401" i="1"/>
  <c r="AO2397" i="1"/>
  <c r="AQ2397" i="1"/>
  <c r="AQ3111" i="1"/>
  <c r="AQ3110" i="1"/>
  <c r="AO3111" i="1"/>
  <c r="AO3110" i="1"/>
  <c r="AQ3662" i="1"/>
  <c r="AO3662" i="1"/>
  <c r="AO3661" i="1"/>
  <c r="AW4206" i="1" s="1"/>
  <c r="AY4206" i="1" s="1"/>
  <c r="AQ2602" i="1"/>
  <c r="AQ2600" i="1"/>
  <c r="AO2602" i="1"/>
  <c r="AO2600" i="1"/>
  <c r="AQ2597" i="1"/>
  <c r="AQ2595" i="1"/>
  <c r="AO2597" i="1"/>
  <c r="AO2595" i="1"/>
  <c r="AQ2599" i="1"/>
  <c r="AQ2601" i="1"/>
  <c r="AO2599" i="1"/>
  <c r="AO2601" i="1"/>
  <c r="AQ2592" i="1"/>
  <c r="AQ2591" i="1"/>
  <c r="AO2592" i="1"/>
  <c r="AO2591" i="1"/>
  <c r="AQ2607" i="1"/>
  <c r="AQ2606" i="1"/>
  <c r="AO2607" i="1"/>
  <c r="AO2606" i="1"/>
  <c r="AQ2605" i="1"/>
  <c r="AQ2604" i="1"/>
  <c r="AW4187" i="1" s="1"/>
  <c r="AY4187" i="1" s="1"/>
  <c r="AO2605" i="1"/>
  <c r="AQ2871" i="1"/>
  <c r="AQ2868" i="1"/>
  <c r="AW4135" i="1" s="1"/>
  <c r="AY4135" i="1" s="1"/>
  <c r="AO2871" i="1"/>
  <c r="AQ2867" i="1"/>
  <c r="AW4121" i="1" s="1"/>
  <c r="AY4121" i="1" s="1"/>
  <c r="AO2866" i="1"/>
  <c r="AW4133" i="1" s="1"/>
  <c r="AY4133" i="1" s="1"/>
  <c r="AQ2870" i="1"/>
  <c r="AQ2869" i="1"/>
  <c r="AW4127" i="1" s="1"/>
  <c r="AY4127" i="1" s="1"/>
  <c r="AO2870" i="1"/>
  <c r="AQ2933" i="1"/>
  <c r="AQ2932" i="1"/>
  <c r="AW4055" i="1" s="1"/>
  <c r="AY4055" i="1" s="1"/>
  <c r="AO2933" i="1"/>
  <c r="AP3738" i="1"/>
  <c r="AQ3736" i="1"/>
  <c r="AO3738" i="1"/>
  <c r="AO3736" i="1"/>
  <c r="AQ3734" i="1"/>
  <c r="AQ3735" i="1"/>
  <c r="AO3734" i="1"/>
  <c r="AO3735" i="1"/>
  <c r="AQ3729" i="1"/>
  <c r="AQ3733" i="1"/>
  <c r="AO3729" i="1"/>
  <c r="AO3733" i="1"/>
  <c r="AQ3731" i="1"/>
  <c r="AQ3732" i="1"/>
  <c r="AW4046" i="1" s="1"/>
  <c r="AY4046" i="1" s="1"/>
  <c r="AO3731" i="1"/>
  <c r="AQ3057" i="1"/>
  <c r="AQ3055" i="1"/>
  <c r="AQ3058" i="1"/>
  <c r="AO3057" i="1"/>
  <c r="AO3055" i="1"/>
  <c r="AO3058" i="1"/>
  <c r="AQ3060" i="1"/>
  <c r="AQ3061" i="1"/>
  <c r="AQ3059" i="1"/>
  <c r="AW3977" i="1" s="1"/>
  <c r="AY3977" i="1" s="1"/>
  <c r="AO3060" i="1"/>
  <c r="AO3061" i="1"/>
  <c r="AQ3146" i="1"/>
  <c r="AO3147" i="1"/>
  <c r="AW3979" i="1" s="1"/>
  <c r="AY3979" i="1" s="1"/>
  <c r="AO3146" i="1"/>
  <c r="AQ3144" i="1"/>
  <c r="AQ3160" i="1"/>
  <c r="AO3144" i="1"/>
  <c r="AO3160" i="1"/>
  <c r="AQ3173" i="1"/>
  <c r="AQ3158" i="1"/>
  <c r="AO3173" i="1"/>
  <c r="AO3158" i="1"/>
  <c r="AQ3172" i="1"/>
  <c r="AQ3176" i="1"/>
  <c r="AO3172" i="1"/>
  <c r="AO3176" i="1"/>
  <c r="AQ3181" i="1"/>
  <c r="AW3963" i="1" s="1"/>
  <c r="AY3963" i="1" s="1"/>
  <c r="AQ3180" i="1"/>
  <c r="AO3180" i="1"/>
  <c r="AQ3170" i="1"/>
  <c r="AW3958" i="1" s="1"/>
  <c r="AY3958" i="1" s="1"/>
  <c r="AQ3178" i="1"/>
  <c r="AO3178" i="1"/>
  <c r="AQ3169" i="1"/>
  <c r="AW3953" i="1" s="1"/>
  <c r="AY3953" i="1" s="1"/>
  <c r="AQ3179" i="1"/>
  <c r="AW3959" i="1" s="1"/>
  <c r="AY3959" i="1" s="1"/>
  <c r="AQ3157" i="1"/>
  <c r="AW3960" i="1" s="1"/>
  <c r="AY3960" i="1" s="1"/>
  <c r="AQ3162" i="1"/>
  <c r="AW3955" i="1" s="1"/>
  <c r="AY3955" i="1" s="1"/>
  <c r="AQ2230" i="1"/>
  <c r="AW3933" i="1" s="1"/>
  <c r="AY3933" i="1" s="1"/>
  <c r="AQ2231" i="1"/>
  <c r="AO2231" i="1"/>
  <c r="AQ2226" i="1"/>
  <c r="AW3936" i="1" s="1"/>
  <c r="AY3936" i="1" s="1"/>
  <c r="AQ2229" i="1"/>
  <c r="AW3935" i="1" s="1"/>
  <c r="AY3935" i="1" s="1"/>
  <c r="AQ2233" i="1"/>
  <c r="AQ2232" i="1"/>
  <c r="AW3929" i="1" s="1"/>
  <c r="AY3929" i="1" s="1"/>
  <c r="AO2233" i="1"/>
  <c r="AQ2227" i="1"/>
  <c r="AQ2225" i="1"/>
  <c r="AW3926" i="1" s="1"/>
  <c r="AY3926" i="1" s="1"/>
  <c r="AO2227" i="1"/>
  <c r="AQ2219" i="1"/>
  <c r="AQ2218" i="1"/>
  <c r="AO2219" i="1"/>
  <c r="AO2218" i="1"/>
  <c r="AQ2222" i="1"/>
  <c r="AQ2221" i="1"/>
  <c r="AO2222" i="1"/>
  <c r="AO2221" i="1"/>
  <c r="AQ2217" i="1"/>
  <c r="AQ2216" i="1"/>
  <c r="AW3921" i="1" s="1"/>
  <c r="AY3921" i="1" s="1"/>
  <c r="AO2217" i="1"/>
  <c r="AQ2214" i="1"/>
  <c r="AQ2215" i="1"/>
  <c r="AW3920" i="1" s="1"/>
  <c r="AY3920" i="1" s="1"/>
  <c r="AO2214" i="1"/>
  <c r="AQ2326" i="1"/>
  <c r="AQ2321" i="1"/>
  <c r="AQ2324" i="1"/>
  <c r="AQ2323" i="1"/>
  <c r="AW3906" i="1" s="1"/>
  <c r="AY3906" i="1" s="1"/>
  <c r="AO2324" i="1"/>
  <c r="AO2321" i="1"/>
  <c r="AO2346" i="1"/>
  <c r="AW3909" i="1" s="1"/>
  <c r="AY3909" i="1" s="1"/>
  <c r="AO2326" i="1"/>
  <c r="AQ2337" i="1"/>
  <c r="AQ2336" i="1"/>
  <c r="AQ2332" i="1"/>
  <c r="AQ2327" i="1"/>
  <c r="AQ2322" i="1"/>
  <c r="AW3879" i="1" s="1"/>
  <c r="AY3879" i="1" s="1"/>
  <c r="AO2327" i="1"/>
  <c r="AO2332" i="1"/>
  <c r="AO2336" i="1"/>
  <c r="AO2345" i="1"/>
  <c r="AW3882" i="1" s="1"/>
  <c r="AY3882" i="1" s="1"/>
  <c r="AO2337" i="1"/>
  <c r="AQ2325" i="1"/>
  <c r="AW3897" i="1" s="1"/>
  <c r="AY3897" i="1" s="1"/>
  <c r="AQ2334" i="1"/>
  <c r="AW3894" i="1" s="1"/>
  <c r="AY3894" i="1" s="1"/>
  <c r="AQ2329" i="1"/>
  <c r="AQ2331" i="1"/>
  <c r="AQ2328" i="1"/>
  <c r="AW3892" i="1" s="1"/>
  <c r="AY3892" i="1" s="1"/>
  <c r="AO2331" i="1"/>
  <c r="AO2329" i="1"/>
  <c r="AO2344" i="1"/>
  <c r="AW3895" i="1" s="1"/>
  <c r="AY3895" i="1" s="1"/>
  <c r="AQ2335" i="1"/>
  <c r="AQ2338" i="1"/>
  <c r="AQ2341" i="1"/>
  <c r="AQ2340" i="1"/>
  <c r="AQ2330" i="1"/>
  <c r="AW3866" i="1" s="1"/>
  <c r="AY3866" i="1" s="1"/>
  <c r="AO2340" i="1"/>
  <c r="AO2341" i="1"/>
  <c r="AO2338" i="1"/>
  <c r="AO2343" i="1"/>
  <c r="AW3902" i="1" s="1"/>
  <c r="AY3902" i="1" s="1"/>
  <c r="AO2335" i="1"/>
  <c r="AQ3505" i="1"/>
  <c r="AQ3504" i="1"/>
  <c r="AQ3506" i="1"/>
  <c r="AW3865" i="1" s="1"/>
  <c r="AY3865" i="1" s="1"/>
  <c r="AO3505" i="1"/>
  <c r="AO3504" i="1"/>
  <c r="AQ3508" i="1"/>
  <c r="AQ3507" i="1"/>
  <c r="AQ3509" i="1"/>
  <c r="AO3508" i="1"/>
  <c r="AO3507" i="1"/>
  <c r="AO3509" i="1"/>
  <c r="AQ3515" i="1"/>
  <c r="AQ3512" i="1"/>
  <c r="AQ3511" i="1"/>
  <c r="AO3515" i="1"/>
  <c r="AO3512" i="1"/>
  <c r="AO3511" i="1"/>
  <c r="AQ3514" i="1"/>
  <c r="AQ3513" i="1"/>
  <c r="AW3871" i="1" s="1"/>
  <c r="AY3871" i="1" s="1"/>
  <c r="AQ3510" i="1"/>
  <c r="AW3869" i="1" s="1"/>
  <c r="AY3869" i="1" s="1"/>
  <c r="AO3514" i="1"/>
  <c r="AQ3932" i="1"/>
  <c r="AW3833" i="1" s="1"/>
  <c r="AY3833" i="1" s="1"/>
  <c r="AQ3931" i="1"/>
  <c r="AW3820" i="1" s="1"/>
  <c r="AY3820" i="1" s="1"/>
  <c r="AQ2261" i="1"/>
  <c r="AW3823" i="1" s="1"/>
  <c r="AY3823" i="1" s="1"/>
  <c r="AQ2255" i="1"/>
  <c r="AW3826" i="1" s="1"/>
  <c r="AY3826" i="1" s="1"/>
  <c r="AQ2262" i="1"/>
  <c r="AW3828" i="1" s="1"/>
  <c r="AY3828" i="1" s="1"/>
  <c r="AQ2309" i="1"/>
  <c r="AQ2314" i="1"/>
  <c r="AO2309" i="1"/>
  <c r="AO2314" i="1"/>
  <c r="AQ2318" i="1"/>
  <c r="AQ2313" i="1"/>
  <c r="AO2318" i="1"/>
  <c r="AO2313" i="1"/>
  <c r="AQ2312" i="1"/>
  <c r="AQ2311" i="1"/>
  <c r="AO2312" i="1"/>
  <c r="AO2311" i="1"/>
  <c r="AQ2315" i="1"/>
  <c r="AO2316" i="1"/>
  <c r="AW3794" i="1" s="1"/>
  <c r="AY3794" i="1" s="1"/>
  <c r="AO2315" i="1"/>
  <c r="AQ2763" i="1"/>
  <c r="AO2763" i="1"/>
  <c r="AO2769" i="1"/>
  <c r="AW3808" i="1" s="1"/>
  <c r="AY3808" i="1" s="1"/>
  <c r="AO2764" i="1"/>
  <c r="AW3805" i="1" s="1"/>
  <c r="AY3805" i="1" s="1"/>
  <c r="AO2775" i="1"/>
  <c r="AW3815" i="1" s="1"/>
  <c r="AY3815" i="1" s="1"/>
  <c r="AO2766" i="1"/>
  <c r="AW3818" i="1" s="1"/>
  <c r="AY3818" i="1" s="1"/>
  <c r="AO2774" i="1"/>
  <c r="AW3816" i="1" s="1"/>
  <c r="AY3816" i="1" s="1"/>
  <c r="AQ2777" i="1"/>
  <c r="AW3806" i="1" s="1"/>
  <c r="AY3806" i="1" s="1"/>
  <c r="AQ2267" i="1"/>
  <c r="AO2266" i="1"/>
  <c r="AW3788" i="1" s="1"/>
  <c r="AY3788" i="1" s="1"/>
  <c r="AO2272" i="1"/>
  <c r="AW3785" i="1" s="1"/>
  <c r="AY3785" i="1" s="1"/>
  <c r="AO2267" i="1"/>
  <c r="AQ3803" i="1"/>
  <c r="AW3741" i="1" s="1"/>
  <c r="AY3741" i="1" s="1"/>
  <c r="AQ3720" i="1"/>
  <c r="AW3703" i="1" s="1"/>
  <c r="AY3703" i="1" s="1"/>
  <c r="AQ3719" i="1"/>
  <c r="AW3702" i="1" s="1"/>
  <c r="AY3702" i="1" s="1"/>
  <c r="AQ2707" i="1"/>
  <c r="AQ2706" i="1"/>
  <c r="AQ2711" i="1"/>
  <c r="AQ2705" i="1"/>
  <c r="AQ2702" i="1"/>
  <c r="AQ2701" i="1"/>
  <c r="AW3595" i="1" s="1"/>
  <c r="AY3595" i="1" s="1"/>
  <c r="AO2702" i="1"/>
  <c r="AO2705" i="1"/>
  <c r="AO2711" i="1"/>
  <c r="AO2706" i="1"/>
  <c r="AO2707" i="1"/>
  <c r="AQ2713" i="1"/>
  <c r="AQ2709" i="1"/>
  <c r="AQ2699" i="1"/>
  <c r="AQ2712" i="1"/>
  <c r="AQ2708" i="1"/>
  <c r="AO2708" i="1"/>
  <c r="AO2712" i="1"/>
  <c r="AO2699" i="1"/>
  <c r="AO2709" i="1"/>
  <c r="AO2713" i="1"/>
  <c r="AQ2715" i="1"/>
  <c r="AW3580" i="1" s="1"/>
  <c r="AY3580" i="1" s="1"/>
  <c r="AQ2710" i="1"/>
  <c r="AQ2704" i="1"/>
  <c r="AQ2714" i="1"/>
  <c r="AQ2697" i="1"/>
  <c r="AO2710" i="1"/>
  <c r="AO2704" i="1"/>
  <c r="AO2714" i="1"/>
  <c r="AO2697" i="1"/>
  <c r="AQ3558" i="1"/>
  <c r="AQ3547" i="1"/>
  <c r="AQ3556" i="1"/>
  <c r="AQ3565" i="1"/>
  <c r="AQ3562" i="1"/>
  <c r="AW3566" i="1" s="1"/>
  <c r="AY3566" i="1" s="1"/>
  <c r="AQ3561" i="1"/>
  <c r="AO3565" i="1"/>
  <c r="AO3556" i="1"/>
  <c r="AO3547" i="1"/>
  <c r="AO3558" i="1"/>
  <c r="AO3561" i="1"/>
  <c r="AQ3554" i="1"/>
  <c r="AQ3549" i="1"/>
  <c r="AQ3553" i="1"/>
  <c r="AQ3564" i="1"/>
  <c r="AQ3555" i="1"/>
  <c r="AW3554" i="1" s="1"/>
  <c r="AY3554" i="1" s="1"/>
  <c r="AO3564" i="1"/>
  <c r="AO3563" i="1"/>
  <c r="AW3562" i="1" s="1"/>
  <c r="AY3562" i="1" s="1"/>
  <c r="AO3553" i="1"/>
  <c r="AO3549" i="1"/>
  <c r="AO3554" i="1"/>
  <c r="AQ3545" i="1"/>
  <c r="AQ3543" i="1"/>
  <c r="AQ3542" i="1"/>
  <c r="AQ3541" i="1"/>
  <c r="AO3541" i="1"/>
  <c r="AO3542" i="1"/>
  <c r="AO3543" i="1"/>
  <c r="AO3544" i="1"/>
  <c r="AW3553" i="1" s="1"/>
  <c r="AY3553" i="1" s="1"/>
  <c r="AO3545" i="1"/>
  <c r="AQ3552" i="1"/>
  <c r="AW3544" i="1" s="1"/>
  <c r="AY3544" i="1" s="1"/>
  <c r="AQ3551" i="1"/>
  <c r="AW3543" i="1" s="1"/>
  <c r="AY3543" i="1" s="1"/>
  <c r="AQ3557" i="1"/>
  <c r="AW3542" i="1" s="1"/>
  <c r="AY3542" i="1" s="1"/>
  <c r="AQ3537" i="1"/>
  <c r="AW3541" i="1" s="1"/>
  <c r="AY3541" i="1" s="1"/>
  <c r="AQ3539" i="1"/>
  <c r="AW3540" i="1" s="1"/>
  <c r="AY3540" i="1" s="1"/>
  <c r="AQ3535" i="1"/>
  <c r="AW3552" i="1" s="1"/>
  <c r="AY3552" i="1" s="1"/>
  <c r="AQ3546" i="1"/>
  <c r="AQ3548" i="1"/>
  <c r="AQ3550" i="1"/>
  <c r="AQ3536" i="1"/>
  <c r="AQ3538" i="1"/>
  <c r="AO3538" i="1"/>
  <c r="AO3536" i="1"/>
  <c r="AO3550" i="1"/>
  <c r="AO3548" i="1"/>
  <c r="AO3546" i="1"/>
  <c r="AQ3882" i="1"/>
  <c r="AQ3884" i="1"/>
  <c r="AQ3883" i="1"/>
  <c r="AQ3886" i="1"/>
  <c r="AW3534" i="1" s="1"/>
  <c r="AY3534" i="1" s="1"/>
  <c r="AQ3879" i="1"/>
  <c r="AO3883" i="1"/>
  <c r="AO3884" i="1"/>
  <c r="AO3882" i="1"/>
  <c r="AO3879" i="1"/>
  <c r="AQ3897" i="1"/>
  <c r="AQ3895" i="1"/>
  <c r="AQ3894" i="1"/>
  <c r="AQ3889" i="1"/>
  <c r="AQ3896" i="1"/>
  <c r="AQ3892" i="1"/>
  <c r="AQ3888" i="1"/>
  <c r="AQ3902" i="1"/>
  <c r="AW3524" i="1" s="1"/>
  <c r="AY3524" i="1" s="1"/>
  <c r="AO3888" i="1"/>
  <c r="AO3892" i="1"/>
  <c r="AO3896" i="1"/>
  <c r="AO3889" i="1"/>
  <c r="AO3894" i="1"/>
  <c r="AO3895" i="1"/>
  <c r="AO3897" i="1"/>
  <c r="AQ3877" i="1"/>
  <c r="AQ3861" i="1"/>
  <c r="AQ3873" i="1"/>
  <c r="AQ3866" i="1"/>
  <c r="AQ3872" i="1"/>
  <c r="AQ3878" i="1"/>
  <c r="AQ3865" i="1"/>
  <c r="AQ3864" i="1"/>
  <c r="AQ3863" i="1"/>
  <c r="AO3864" i="1"/>
  <c r="AO3865" i="1"/>
  <c r="AO3878" i="1"/>
  <c r="AO3872" i="1"/>
  <c r="AO3866" i="1"/>
  <c r="AO3873" i="1"/>
  <c r="AO3861" i="1"/>
  <c r="AO3877" i="1"/>
  <c r="AO3863" i="1"/>
  <c r="AO3862" i="1"/>
  <c r="AO3867" i="1"/>
  <c r="AO3868" i="1"/>
  <c r="AO3875" i="1"/>
  <c r="AO3876" i="1"/>
  <c r="AW3520" i="1" s="1"/>
  <c r="AY3520" i="1" s="1"/>
  <c r="AQ3875" i="1"/>
  <c r="AQ3868" i="1"/>
  <c r="AQ3867" i="1"/>
  <c r="AQ3862" i="1"/>
  <c r="AQ3871" i="1"/>
  <c r="AQ3869" i="1"/>
  <c r="AQ3870" i="1"/>
  <c r="AW3509" i="1" s="1"/>
  <c r="AY3509" i="1" s="1"/>
  <c r="AQ3874" i="1"/>
  <c r="AW3515" i="1" s="1"/>
  <c r="AY3515" i="1" s="1"/>
  <c r="AO3871" i="1"/>
  <c r="AO3869" i="1"/>
  <c r="AQ3899" i="1"/>
  <c r="AQ3893" i="1"/>
  <c r="AW3514" i="1" s="1"/>
  <c r="AY3514" i="1" s="1"/>
  <c r="AO3899" i="1"/>
  <c r="AO3898" i="1"/>
  <c r="AW3511" i="1" s="1"/>
  <c r="AY3511" i="1" s="1"/>
  <c r="AW3529" i="1" l="1"/>
  <c r="AY3529" i="1" s="1"/>
  <c r="AW3532" i="1"/>
  <c r="AY3532" i="1" s="1"/>
  <c r="AZ3588" i="1"/>
  <c r="AZ3545" i="1"/>
  <c r="AZ4217" i="1"/>
  <c r="BA4216" i="1"/>
  <c r="AW3521" i="1"/>
  <c r="AY3521" i="1" s="1"/>
  <c r="AZ3521" i="1" s="1"/>
  <c r="AW3523" i="1"/>
  <c r="AY3523" i="1" s="1"/>
  <c r="BA3523" i="1" s="1"/>
  <c r="AW3533" i="1"/>
  <c r="AY3533" i="1" s="1"/>
  <c r="BA3533" i="1" s="1"/>
  <c r="AW3793" i="1"/>
  <c r="AY3793" i="1" s="1"/>
  <c r="AZ3793" i="1" s="1"/>
  <c r="AW3528" i="1"/>
  <c r="AY3528" i="1" s="1"/>
  <c r="AZ3528" i="1" s="1"/>
  <c r="AW3559" i="1"/>
  <c r="AY3559" i="1" s="1"/>
  <c r="AZ3559" i="1" s="1"/>
  <c r="AW3809" i="1"/>
  <c r="AY3809" i="1" s="1"/>
  <c r="BA3809" i="1" s="1"/>
  <c r="AW3862" i="1"/>
  <c r="AY3862" i="1" s="1"/>
  <c r="BA3862" i="1" s="1"/>
  <c r="AW3579" i="1"/>
  <c r="AY3579" i="1" s="1"/>
  <c r="BA3579" i="1" s="1"/>
  <c r="AW3889" i="1"/>
  <c r="AY3889" i="1" s="1"/>
  <c r="AZ3889" i="1" s="1"/>
  <c r="AW3787" i="1"/>
  <c r="AY3787" i="1" s="1"/>
  <c r="BA3787" i="1" s="1"/>
  <c r="AW3923" i="1"/>
  <c r="AY3923" i="1" s="1"/>
  <c r="AZ3923" i="1" s="1"/>
  <c r="AW4189" i="1"/>
  <c r="AY4189" i="1" s="1"/>
  <c r="AZ4189" i="1" s="1"/>
  <c r="AW4195" i="1"/>
  <c r="AY4195" i="1" s="1"/>
  <c r="AZ4195" i="1" s="1"/>
  <c r="AW3957" i="1"/>
  <c r="AY3957" i="1" s="1"/>
  <c r="BA3957" i="1" s="1"/>
  <c r="AW3525" i="1"/>
  <c r="AY3525" i="1" s="1"/>
  <c r="AZ3525" i="1" s="1"/>
  <c r="AW3573" i="1"/>
  <c r="AY3573" i="1" s="1"/>
  <c r="BA3573" i="1" s="1"/>
  <c r="AW3491" i="1"/>
  <c r="AY3491" i="1" s="1"/>
  <c r="AZ3491" i="1" s="1"/>
  <c r="AW3896" i="1"/>
  <c r="AY3896" i="1" s="1"/>
  <c r="AW3531" i="1"/>
  <c r="AY3531" i="1" s="1"/>
  <c r="AZ3531" i="1" s="1"/>
  <c r="AW4045" i="1"/>
  <c r="AY4045" i="1" s="1"/>
  <c r="BA4045" i="1" s="1"/>
  <c r="AW3907" i="1"/>
  <c r="AY3907" i="1" s="1"/>
  <c r="BA3907" i="1" s="1"/>
  <c r="AW3984" i="1"/>
  <c r="AY3984" i="1" s="1"/>
  <c r="AZ3984" i="1" s="1"/>
  <c r="AW4053" i="1"/>
  <c r="AY4053" i="1" s="1"/>
  <c r="AZ4053" i="1" s="1"/>
  <c r="AW3872" i="1"/>
  <c r="AY3872" i="1" s="1"/>
  <c r="BA3872" i="1" s="1"/>
  <c r="AW3911" i="1"/>
  <c r="AY3911" i="1" s="1"/>
  <c r="BA3911" i="1" s="1"/>
  <c r="AW3970" i="1"/>
  <c r="AY3970" i="1" s="1"/>
  <c r="AZ3970" i="1" s="1"/>
  <c r="AW3584" i="1"/>
  <c r="AY3584" i="1" s="1"/>
  <c r="AZ3584" i="1" s="1"/>
  <c r="AW3557" i="1"/>
  <c r="AY3557" i="1" s="1"/>
  <c r="BA3557" i="1" s="1"/>
  <c r="AW3549" i="1"/>
  <c r="AY3549" i="1" s="1"/>
  <c r="AZ3549" i="1" s="1"/>
  <c r="AW3522" i="1"/>
  <c r="AY3522" i="1" s="1"/>
  <c r="AZ3522" i="1" s="1"/>
  <c r="AW3563" i="1"/>
  <c r="AY3563" i="1" s="1"/>
  <c r="BA3563" i="1" s="1"/>
  <c r="AW3551" i="1"/>
  <c r="AY3551" i="1" s="1"/>
  <c r="BA3551" i="1" s="1"/>
  <c r="AW3971" i="1"/>
  <c r="AY3971" i="1" s="1"/>
  <c r="AZ3971" i="1" s="1"/>
  <c r="AW3590" i="1"/>
  <c r="AY3590" i="1" s="1"/>
  <c r="BA3590" i="1" s="1"/>
  <c r="AW3537" i="1"/>
  <c r="AY3537" i="1" s="1"/>
  <c r="BA3537" i="1" s="1"/>
  <c r="AW3583" i="1"/>
  <c r="AY3583" i="1" s="1"/>
  <c r="AZ3583" i="1" s="1"/>
  <c r="AW3492" i="1"/>
  <c r="AY3492" i="1" s="1"/>
  <c r="BA3492" i="1" s="1"/>
  <c r="AZ3979" i="1"/>
  <c r="BA3979" i="1"/>
  <c r="AZ3553" i="1"/>
  <c r="BA3553" i="1"/>
  <c r="BA3562" i="1"/>
  <c r="AZ3562" i="1"/>
  <c r="BA3816" i="1"/>
  <c r="AZ3816" i="1"/>
  <c r="AZ3894" i="1"/>
  <c r="BA3894" i="1"/>
  <c r="AZ3906" i="1"/>
  <c r="BA3906" i="1"/>
  <c r="AZ3953" i="1"/>
  <c r="BA3953" i="1"/>
  <c r="AZ3548" i="1"/>
  <c r="BA3548" i="1"/>
  <c r="AZ3902" i="1"/>
  <c r="BA3902" i="1"/>
  <c r="AZ3897" i="1"/>
  <c r="BA3897" i="1"/>
  <c r="AW3913" i="1"/>
  <c r="AY3913" i="1" s="1"/>
  <c r="AW3927" i="1"/>
  <c r="AY3927" i="1" s="1"/>
  <c r="AW3966" i="1"/>
  <c r="AY3966" i="1" s="1"/>
  <c r="BA4055" i="1"/>
  <c r="AZ4055" i="1"/>
  <c r="AW4188" i="1"/>
  <c r="AY4188" i="1" s="1"/>
  <c r="AW4199" i="1"/>
  <c r="AY4199" i="1" s="1"/>
  <c r="AZ3794" i="1"/>
  <c r="BA3794" i="1"/>
  <c r="AZ3568" i="1"/>
  <c r="BA3568" i="1"/>
  <c r="AZ4206" i="1"/>
  <c r="BA4206" i="1"/>
  <c r="AZ4133" i="1"/>
  <c r="BA4133" i="1"/>
  <c r="AZ3926" i="1"/>
  <c r="BA3926" i="1"/>
  <c r="AZ3958" i="1"/>
  <c r="BA3958" i="1"/>
  <c r="AW4052" i="1"/>
  <c r="AY4052" i="1" s="1"/>
  <c r="BA3959" i="1"/>
  <c r="AZ3959" i="1"/>
  <c r="BA3815" i="1"/>
  <c r="AZ3815" i="1"/>
  <c r="AW3594" i="1"/>
  <c r="AY3594" i="1" s="1"/>
  <c r="BA3808" i="1"/>
  <c r="AZ3808" i="1"/>
  <c r="AW3792" i="1"/>
  <c r="AY3792" i="1" s="1"/>
  <c r="AW3875" i="1"/>
  <c r="AY3875" i="1" s="1"/>
  <c r="AW3928" i="1"/>
  <c r="AY3928" i="1" s="1"/>
  <c r="BA4127" i="1"/>
  <c r="AZ4127" i="1"/>
  <c r="AW4184" i="1"/>
  <c r="AY4184" i="1" s="1"/>
  <c r="AW4203" i="1"/>
  <c r="AY4203" i="1" s="1"/>
  <c r="AW3555" i="1"/>
  <c r="AY3555" i="1" s="1"/>
  <c r="AW3539" i="1"/>
  <c r="AY3539" i="1" s="1"/>
  <c r="AZ3566" i="1"/>
  <c r="BA3566" i="1"/>
  <c r="AW3581" i="1"/>
  <c r="AY3581" i="1" s="1"/>
  <c r="AW3790" i="1"/>
  <c r="AY3790" i="1" s="1"/>
  <c r="BA3866" i="1"/>
  <c r="AZ3866" i="1"/>
  <c r="AZ3920" i="1"/>
  <c r="BA3920" i="1"/>
  <c r="AW3961" i="1"/>
  <c r="AY3961" i="1" s="1"/>
  <c r="AW3985" i="1"/>
  <c r="AY3985" i="1" s="1"/>
  <c r="AW4117" i="1"/>
  <c r="AY4117" i="1" s="1"/>
  <c r="AW4185" i="1"/>
  <c r="AY4185" i="1" s="1"/>
  <c r="AW3586" i="1"/>
  <c r="AY3586" i="1" s="1"/>
  <c r="BA3515" i="1"/>
  <c r="AZ3515" i="1"/>
  <c r="AW3567" i="1"/>
  <c r="AY3567" i="1" s="1"/>
  <c r="AW3799" i="1"/>
  <c r="AY3799" i="1" s="1"/>
  <c r="BA3828" i="1"/>
  <c r="AZ3828" i="1"/>
  <c r="AW3873" i="1"/>
  <c r="AY3873" i="1" s="1"/>
  <c r="AW3919" i="1"/>
  <c r="AY3919" i="1" s="1"/>
  <c r="AZ3929" i="1"/>
  <c r="BA3929" i="1"/>
  <c r="AZ3963" i="1"/>
  <c r="BA3963" i="1"/>
  <c r="AW4047" i="1"/>
  <c r="AY4047" i="1" s="1"/>
  <c r="AZ3511" i="1"/>
  <c r="BA3511" i="1"/>
  <c r="AZ4046" i="1"/>
  <c r="BA4046" i="1"/>
  <c r="AW3558" i="1"/>
  <c r="AY3558" i="1" s="1"/>
  <c r="AW3560" i="1"/>
  <c r="AY3560" i="1" s="1"/>
  <c r="AZ3826" i="1"/>
  <c r="BA3826" i="1"/>
  <c r="AW3861" i="1"/>
  <c r="AY3861" i="1" s="1"/>
  <c r="AZ3879" i="1"/>
  <c r="BA3879" i="1"/>
  <c r="AW3934" i="1"/>
  <c r="AY3934" i="1" s="1"/>
  <c r="AW4050" i="1"/>
  <c r="AY4050" i="1" s="1"/>
  <c r="AZ4121" i="1"/>
  <c r="BA4121" i="1"/>
  <c r="AW4219" i="1"/>
  <c r="AY4219" i="1" s="1"/>
  <c r="AZ3595" i="1"/>
  <c r="BA3595" i="1"/>
  <c r="AZ3552" i="1"/>
  <c r="BA3552" i="1"/>
  <c r="AZ3541" i="1"/>
  <c r="BA3541" i="1"/>
  <c r="AW3571" i="1"/>
  <c r="AY3571" i="1" s="1"/>
  <c r="AW3585" i="1"/>
  <c r="AY3585" i="1" s="1"/>
  <c r="AZ3702" i="1"/>
  <c r="BA3702" i="1"/>
  <c r="BA3823" i="1"/>
  <c r="AZ3823" i="1"/>
  <c r="AW3876" i="1"/>
  <c r="AY3876" i="1" s="1"/>
  <c r="AW3877" i="1"/>
  <c r="AY3877" i="1" s="1"/>
  <c r="AW3886" i="1"/>
  <c r="AY3886" i="1" s="1"/>
  <c r="AZ3921" i="1"/>
  <c r="BA3921" i="1"/>
  <c r="BA3935" i="1"/>
  <c r="AZ3935" i="1"/>
  <c r="AZ3977" i="1"/>
  <c r="BA3977" i="1"/>
  <c r="AW4190" i="1"/>
  <c r="AY4190" i="1" s="1"/>
  <c r="AW4212" i="1"/>
  <c r="AY4212" i="1" s="1"/>
  <c r="BA3487" i="1"/>
  <c r="AZ3487" i="1"/>
  <c r="AW3535" i="1"/>
  <c r="AY3535" i="1" s="1"/>
  <c r="AZ3580" i="1"/>
  <c r="BA3580" i="1"/>
  <c r="AW3867" i="1"/>
  <c r="AY3867" i="1" s="1"/>
  <c r="AW3868" i="1"/>
  <c r="AY3868" i="1" s="1"/>
  <c r="AW3569" i="1"/>
  <c r="AY3569" i="1" s="1"/>
  <c r="AW3570" i="1"/>
  <c r="AY3570" i="1" s="1"/>
  <c r="AW3577" i="1"/>
  <c r="AY3577" i="1" s="1"/>
  <c r="AZ3703" i="1"/>
  <c r="BA3703" i="1"/>
  <c r="AW3795" i="1"/>
  <c r="AY3795" i="1" s="1"/>
  <c r="AZ3820" i="1"/>
  <c r="BA3820" i="1"/>
  <c r="AW3863" i="1"/>
  <c r="AY3863" i="1" s="1"/>
  <c r="AW3888" i="1"/>
  <c r="AY3888" i="1" s="1"/>
  <c r="AW3883" i="1"/>
  <c r="AY3883" i="1" s="1"/>
  <c r="AW3922" i="1"/>
  <c r="AY3922" i="1" s="1"/>
  <c r="AZ3936" i="1"/>
  <c r="BA3936" i="1"/>
  <c r="AW3962" i="1"/>
  <c r="AY3962" i="1" s="1"/>
  <c r="AW3969" i="1"/>
  <c r="AY3969" i="1" s="1"/>
  <c r="AZ4135" i="1"/>
  <c r="BA4135" i="1"/>
  <c r="AW4193" i="1"/>
  <c r="AY4193" i="1" s="1"/>
  <c r="BA3882" i="1"/>
  <c r="AZ3882" i="1"/>
  <c r="BA3540" i="1"/>
  <c r="AZ3540" i="1"/>
  <c r="AW3506" i="1"/>
  <c r="AY3506" i="1" s="1"/>
  <c r="AW3536" i="1"/>
  <c r="AY3536" i="1" s="1"/>
  <c r="AW3593" i="1"/>
  <c r="AY3593" i="1" s="1"/>
  <c r="AZ3895" i="1"/>
  <c r="BA3895" i="1"/>
  <c r="AW3884" i="1"/>
  <c r="AY3884" i="1" s="1"/>
  <c r="AW3965" i="1"/>
  <c r="AY3965" i="1" s="1"/>
  <c r="AW3978" i="1"/>
  <c r="AY3978" i="1" s="1"/>
  <c r="AW4049" i="1"/>
  <c r="AY4049" i="1" s="1"/>
  <c r="AW4136" i="1"/>
  <c r="AY4136" i="1" s="1"/>
  <c r="AZ3818" i="1"/>
  <c r="BA3818" i="1"/>
  <c r="AW3564" i="1"/>
  <c r="AY3564" i="1" s="1"/>
  <c r="AZ3805" i="1"/>
  <c r="BA3805" i="1"/>
  <c r="BA3509" i="1"/>
  <c r="AZ3509" i="1"/>
  <c r="AW3538" i="1"/>
  <c r="AY3538" i="1" s="1"/>
  <c r="AW3504" i="1"/>
  <c r="AY3504" i="1" s="1"/>
  <c r="AZ3554" i="1"/>
  <c r="BA3554" i="1"/>
  <c r="BA3833" i="1"/>
  <c r="AZ3833" i="1"/>
  <c r="AW3505" i="1"/>
  <c r="AY3505" i="1" s="1"/>
  <c r="AW3516" i="1"/>
  <c r="AY3516" i="1" s="1"/>
  <c r="AZ3524" i="1"/>
  <c r="BA3524" i="1"/>
  <c r="AW3550" i="1"/>
  <c r="AY3550" i="1" s="1"/>
  <c r="AZ3544" i="1"/>
  <c r="BA3544" i="1"/>
  <c r="AW3561" i="1"/>
  <c r="AY3561" i="1" s="1"/>
  <c r="AW3582" i="1"/>
  <c r="AY3582" i="1" s="1"/>
  <c r="AW3860" i="1"/>
  <c r="AY3860" i="1" s="1"/>
  <c r="AW3930" i="1"/>
  <c r="AY3930" i="1" s="1"/>
  <c r="AW4048" i="1"/>
  <c r="AY4048" i="1" s="1"/>
  <c r="AZ3514" i="1"/>
  <c r="BA3514" i="1"/>
  <c r="AW3786" i="1"/>
  <c r="AY3786" i="1" s="1"/>
  <c r="AZ3542" i="1"/>
  <c r="BA3542" i="1"/>
  <c r="AZ3543" i="1"/>
  <c r="BA3543" i="1"/>
  <c r="AZ3741" i="1"/>
  <c r="BA3741" i="1"/>
  <c r="AW3864" i="1"/>
  <c r="AY3864" i="1" s="1"/>
  <c r="AW3517" i="1"/>
  <c r="AY3517" i="1" s="1"/>
  <c r="AW3527" i="1"/>
  <c r="AY3527" i="1" s="1"/>
  <c r="AW3565" i="1"/>
  <c r="AY3565" i="1" s="1"/>
  <c r="AW3587" i="1"/>
  <c r="AY3587" i="1" s="1"/>
  <c r="BA3785" i="1"/>
  <c r="AZ3785" i="1"/>
  <c r="AW3797" i="1"/>
  <c r="AY3797" i="1" s="1"/>
  <c r="AZ3869" i="1"/>
  <c r="BA3869" i="1"/>
  <c r="AW3925" i="1"/>
  <c r="AY3925" i="1" s="1"/>
  <c r="AZ3933" i="1"/>
  <c r="BA3933" i="1"/>
  <c r="AZ4187" i="1"/>
  <c r="BA4187" i="1"/>
  <c r="AW4191" i="1"/>
  <c r="AY4191" i="1" s="1"/>
  <c r="AW3507" i="1"/>
  <c r="AY3507" i="1" s="1"/>
  <c r="AW3508" i="1"/>
  <c r="AY3508" i="1" s="1"/>
  <c r="AW3518" i="1"/>
  <c r="AY3518" i="1" s="1"/>
  <c r="AZ3788" i="1"/>
  <c r="BA3788" i="1"/>
  <c r="BA3871" i="1"/>
  <c r="AZ3871" i="1"/>
  <c r="BA3892" i="1"/>
  <c r="AZ3892" i="1"/>
  <c r="BA3909" i="1"/>
  <c r="AZ3909" i="1"/>
  <c r="AW3924" i="1"/>
  <c r="AY3924" i="1" s="1"/>
  <c r="AZ3955" i="1"/>
  <c r="BA3955" i="1"/>
  <c r="AW3964" i="1"/>
  <c r="AY3964" i="1" s="1"/>
  <c r="AW4192" i="1"/>
  <c r="AY4192" i="1" s="1"/>
  <c r="AW4194" i="1"/>
  <c r="AY4194" i="1" s="1"/>
  <c r="AZ3490" i="1"/>
  <c r="BA3490" i="1"/>
  <c r="BA3806" i="1"/>
  <c r="AZ3806" i="1"/>
  <c r="AW3512" i="1"/>
  <c r="AY3512" i="1" s="1"/>
  <c r="AZ3534" i="1"/>
  <c r="BA3534" i="1"/>
  <c r="BA3520" i="1"/>
  <c r="AZ3520" i="1"/>
  <c r="AW3526" i="1"/>
  <c r="AY3526" i="1" s="1"/>
  <c r="AW3556" i="1"/>
  <c r="AY3556" i="1" s="1"/>
  <c r="BA3865" i="1"/>
  <c r="AZ3865" i="1"/>
  <c r="AW3519" i="1"/>
  <c r="AY3519" i="1" s="1"/>
  <c r="AW3530" i="1"/>
  <c r="AY3530" i="1" s="1"/>
  <c r="AW3547" i="1"/>
  <c r="AY3547" i="1" s="1"/>
  <c r="AW3589" i="1"/>
  <c r="AY3589" i="1" s="1"/>
  <c r="AW3878" i="1"/>
  <c r="AY3878" i="1" s="1"/>
  <c r="AZ3960" i="1"/>
  <c r="BA3960" i="1"/>
  <c r="AW3967" i="1"/>
  <c r="AY3967" i="1" s="1"/>
  <c r="AW3973" i="1"/>
  <c r="AY3973" i="1" s="1"/>
  <c r="AW4051" i="1"/>
  <c r="AY4051" i="1" s="1"/>
  <c r="BA3489" i="1"/>
  <c r="AZ3489" i="1"/>
  <c r="AQ2396" i="1"/>
  <c r="AO2396" i="1"/>
  <c r="AQ2213" i="1"/>
  <c r="AW3476" i="1" s="1"/>
  <c r="AY3476" i="1" s="1"/>
  <c r="AQ2212" i="1"/>
  <c r="AW3474" i="1" s="1"/>
  <c r="AY3474" i="1" s="1"/>
  <c r="AQ3233" i="1"/>
  <c r="AQ3236" i="1"/>
  <c r="AO3233" i="1"/>
  <c r="AO3236" i="1"/>
  <c r="AQ2358" i="1"/>
  <c r="AW3412" i="1" s="1"/>
  <c r="AY3412" i="1" s="1"/>
  <c r="AQ2357" i="1"/>
  <c r="AO2357" i="1"/>
  <c r="AQ3231" i="1"/>
  <c r="AO3232" i="1"/>
  <c r="AW3413" i="1" s="1"/>
  <c r="AY3413" i="1" s="1"/>
  <c r="AO3231" i="1"/>
  <c r="AQ3235" i="1"/>
  <c r="AQ3234" i="1"/>
  <c r="AO3235" i="1"/>
  <c r="AO3234" i="1"/>
  <c r="AQ2356" i="1"/>
  <c r="AW3416" i="1" s="1"/>
  <c r="AY3416" i="1" s="1"/>
  <c r="AQ2355" i="1"/>
  <c r="AW3415" i="1" s="1"/>
  <c r="AY3415" i="1" s="1"/>
  <c r="AQ2354" i="1"/>
  <c r="AO2354" i="1"/>
  <c r="AO2359" i="1"/>
  <c r="AW3406" i="1" s="1"/>
  <c r="AY3406" i="1" s="1"/>
  <c r="BA3529" i="1" l="1"/>
  <c r="AZ3529" i="1"/>
  <c r="BA3532" i="1"/>
  <c r="AZ3532" i="1"/>
  <c r="BA3896" i="1"/>
  <c r="AZ3896" i="1"/>
  <c r="AZ4045" i="1"/>
  <c r="AZ3523" i="1"/>
  <c r="AZ3809" i="1"/>
  <c r="AZ3862" i="1"/>
  <c r="AZ3787" i="1"/>
  <c r="AZ3579" i="1"/>
  <c r="BA3521" i="1"/>
  <c r="BA3984" i="1"/>
  <c r="BA3793" i="1"/>
  <c r="BA3559" i="1"/>
  <c r="BA4053" i="1"/>
  <c r="BA3970" i="1"/>
  <c r="BA3889" i="1"/>
  <c r="AZ3590" i="1"/>
  <c r="BA3525" i="1"/>
  <c r="BA3923" i="1"/>
  <c r="AZ3872" i="1"/>
  <c r="AZ3533" i="1"/>
  <c r="BA4195" i="1"/>
  <c r="AZ3537" i="1"/>
  <c r="BA4189" i="1"/>
  <c r="AZ3573" i="1"/>
  <c r="BA3528" i="1"/>
  <c r="AZ3557" i="1"/>
  <c r="AZ3957" i="1"/>
  <c r="BA3584" i="1"/>
  <c r="AZ3492" i="1"/>
  <c r="BA3531" i="1"/>
  <c r="AZ3911" i="1"/>
  <c r="BA3491" i="1"/>
  <c r="AZ3907" i="1"/>
  <c r="BA3971" i="1"/>
  <c r="BA3583" i="1"/>
  <c r="BA3522" i="1"/>
  <c r="AZ3563" i="1"/>
  <c r="AZ3551" i="1"/>
  <c r="BA3549" i="1"/>
  <c r="AZ3978" i="1"/>
  <c r="BA3978" i="1"/>
  <c r="BA4193" i="1"/>
  <c r="AZ4193" i="1"/>
  <c r="AZ3577" i="1"/>
  <c r="BA3577" i="1"/>
  <c r="BA3594" i="1"/>
  <c r="AZ3594" i="1"/>
  <c r="AZ3913" i="1"/>
  <c r="BA3913" i="1"/>
  <c r="BA4049" i="1"/>
  <c r="AZ4049" i="1"/>
  <c r="BA3570" i="1"/>
  <c r="AZ3570" i="1"/>
  <c r="AW3493" i="1"/>
  <c r="AY3493" i="1" s="1"/>
  <c r="AZ3919" i="1"/>
  <c r="BA3919" i="1"/>
  <c r="BA3560" i="1"/>
  <c r="AZ3560" i="1"/>
  <c r="AZ3873" i="1"/>
  <c r="BA3873" i="1"/>
  <c r="AZ3539" i="1"/>
  <c r="BA3539" i="1"/>
  <c r="AZ3527" i="1"/>
  <c r="BA3527" i="1"/>
  <c r="BA3589" i="1"/>
  <c r="AZ3589" i="1"/>
  <c r="AZ3884" i="1"/>
  <c r="BA3884" i="1"/>
  <c r="BA3504" i="1"/>
  <c r="AZ3504" i="1"/>
  <c r="AZ3876" i="1"/>
  <c r="BA3876" i="1"/>
  <c r="AZ3558" i="1"/>
  <c r="BA3558" i="1"/>
  <c r="BA3555" i="1"/>
  <c r="AZ3555" i="1"/>
  <c r="AZ3927" i="1"/>
  <c r="BA3927" i="1"/>
  <c r="AZ3519" i="1"/>
  <c r="BA3519" i="1"/>
  <c r="AZ4051" i="1"/>
  <c r="BA4051" i="1"/>
  <c r="BA3593" i="1"/>
  <c r="AZ3593" i="1"/>
  <c r="AZ4185" i="1"/>
  <c r="BA4185" i="1"/>
  <c r="AZ3416" i="1"/>
  <c r="BA3416" i="1"/>
  <c r="AZ4191" i="1"/>
  <c r="BA4191" i="1"/>
  <c r="BA3973" i="1"/>
  <c r="AZ3973" i="1"/>
  <c r="BA3799" i="1"/>
  <c r="AZ3799" i="1"/>
  <c r="AZ4117" i="1"/>
  <c r="BA4117" i="1"/>
  <c r="BA3868" i="1"/>
  <c r="AZ3868" i="1"/>
  <c r="AZ3860" i="1"/>
  <c r="BA3860" i="1"/>
  <c r="BA4219" i="1"/>
  <c r="AZ4219" i="1"/>
  <c r="BA3985" i="1"/>
  <c r="AZ3985" i="1"/>
  <c r="BA4203" i="1"/>
  <c r="AZ4203" i="1"/>
  <c r="AZ3517" i="1"/>
  <c r="BA3517" i="1"/>
  <c r="AZ3530" i="1"/>
  <c r="BA3530" i="1"/>
  <c r="AZ4048" i="1"/>
  <c r="BA4048" i="1"/>
  <c r="BA3512" i="1"/>
  <c r="AZ3512" i="1"/>
  <c r="AZ3582" i="1"/>
  <c r="BA3582" i="1"/>
  <c r="BA3925" i="1"/>
  <c r="AZ3925" i="1"/>
  <c r="BA3883" i="1"/>
  <c r="AZ3883" i="1"/>
  <c r="BA3961" i="1"/>
  <c r="AZ3961" i="1"/>
  <c r="BA4184" i="1"/>
  <c r="AZ4184" i="1"/>
  <c r="BA3886" i="1"/>
  <c r="AZ3886" i="1"/>
  <c r="AZ3867" i="1"/>
  <c r="BA3867" i="1"/>
  <c r="AZ3536" i="1"/>
  <c r="BA3536" i="1"/>
  <c r="AZ3518" i="1"/>
  <c r="BA3518" i="1"/>
  <c r="AZ3412" i="1"/>
  <c r="BA3412" i="1"/>
  <c r="BA3888" i="1"/>
  <c r="AZ3888" i="1"/>
  <c r="BA3585" i="1"/>
  <c r="AZ3585" i="1"/>
  <c r="AZ3567" i="1"/>
  <c r="BA3567" i="1"/>
  <c r="BA4052" i="1"/>
  <c r="AZ4052" i="1"/>
  <c r="BA3547" i="1"/>
  <c r="AZ3547" i="1"/>
  <c r="AZ3877" i="1"/>
  <c r="BA3877" i="1"/>
  <c r="BA3413" i="1"/>
  <c r="AZ3413" i="1"/>
  <c r="AZ3556" i="1"/>
  <c r="BA3556" i="1"/>
  <c r="BA4192" i="1"/>
  <c r="AZ4192" i="1"/>
  <c r="AZ3863" i="1"/>
  <c r="BA3863" i="1"/>
  <c r="BA4212" i="1"/>
  <c r="AZ4212" i="1"/>
  <c r="BA3571" i="1"/>
  <c r="AZ3571" i="1"/>
  <c r="AZ4050" i="1"/>
  <c r="BA4050" i="1"/>
  <c r="BA4199" i="1"/>
  <c r="AZ4199" i="1"/>
  <c r="AZ3969" i="1"/>
  <c r="BA3969" i="1"/>
  <c r="BA3922" i="1"/>
  <c r="AZ3922" i="1"/>
  <c r="AZ3526" i="1"/>
  <c r="BA3526" i="1"/>
  <c r="BA3878" i="1"/>
  <c r="AZ3878" i="1"/>
  <c r="AZ3964" i="1"/>
  <c r="BA3964" i="1"/>
  <c r="BA4190" i="1"/>
  <c r="AZ4190" i="1"/>
  <c r="BA3934" i="1"/>
  <c r="AZ3934" i="1"/>
  <c r="AZ3928" i="1"/>
  <c r="BA3928" i="1"/>
  <c r="BA4188" i="1"/>
  <c r="AZ4188" i="1"/>
  <c r="AW3409" i="1"/>
  <c r="AY3409" i="1" s="1"/>
  <c r="AW3410" i="1"/>
  <c r="AY3410" i="1" s="1"/>
  <c r="BA3930" i="1"/>
  <c r="AZ3930" i="1"/>
  <c r="AZ3535" i="1"/>
  <c r="BA3535" i="1"/>
  <c r="BA4194" i="1"/>
  <c r="AZ4194" i="1"/>
  <c r="AZ3797" i="1"/>
  <c r="BA3797" i="1"/>
  <c r="AW3411" i="1"/>
  <c r="AY3411" i="1" s="1"/>
  <c r="AZ3786" i="1"/>
  <c r="BA3786" i="1"/>
  <c r="AZ3586" i="1"/>
  <c r="BA3586" i="1"/>
  <c r="AZ3875" i="1"/>
  <c r="BA3875" i="1"/>
  <c r="AZ3476" i="1"/>
  <c r="BA3476" i="1"/>
  <c r="AZ3965" i="1"/>
  <c r="BA3965" i="1"/>
  <c r="AZ3864" i="1"/>
  <c r="BA3864" i="1"/>
  <c r="BA3538" i="1"/>
  <c r="AZ3538" i="1"/>
  <c r="AW3417" i="1"/>
  <c r="AY3417" i="1" s="1"/>
  <c r="BA3506" i="1"/>
  <c r="AZ3506" i="1"/>
  <c r="BA3508" i="1"/>
  <c r="AZ3508" i="1"/>
  <c r="BA3507" i="1"/>
  <c r="AZ3507" i="1"/>
  <c r="AZ3550" i="1"/>
  <c r="BA3550" i="1"/>
  <c r="AW3414" i="1"/>
  <c r="AY3414" i="1" s="1"/>
  <c r="AZ3587" i="1"/>
  <c r="BA3587" i="1"/>
  <c r="AZ3516" i="1"/>
  <c r="BA3516" i="1"/>
  <c r="AZ3795" i="1"/>
  <c r="BA3795" i="1"/>
  <c r="BA4047" i="1"/>
  <c r="AZ4047" i="1"/>
  <c r="AZ3790" i="1"/>
  <c r="BA3790" i="1"/>
  <c r="BA3792" i="1"/>
  <c r="AZ3792" i="1"/>
  <c r="AZ3569" i="1"/>
  <c r="BA3569" i="1"/>
  <c r="AZ3962" i="1"/>
  <c r="BA3962" i="1"/>
  <c r="BA3967" i="1"/>
  <c r="AZ3967" i="1"/>
  <c r="AZ3561" i="1"/>
  <c r="BA3561" i="1"/>
  <c r="AW3408" i="1"/>
  <c r="AY3408" i="1" s="1"/>
  <c r="AZ3564" i="1"/>
  <c r="BA3564" i="1"/>
  <c r="BA3406" i="1"/>
  <c r="AZ3406" i="1"/>
  <c r="AW3407" i="1"/>
  <c r="AY3407" i="1" s="1"/>
  <c r="BA3415" i="1"/>
  <c r="AZ3415" i="1"/>
  <c r="AZ3474" i="1"/>
  <c r="BA3474" i="1"/>
  <c r="AZ3924" i="1"/>
  <c r="BA3924" i="1"/>
  <c r="BA3565" i="1"/>
  <c r="AZ3565" i="1"/>
  <c r="BA3505" i="1"/>
  <c r="AZ3505" i="1"/>
  <c r="BA4136" i="1"/>
  <c r="AZ4136" i="1"/>
  <c r="AZ3861" i="1"/>
  <c r="BA3861" i="1"/>
  <c r="BA3581" i="1"/>
  <c r="AZ3581" i="1"/>
  <c r="BA3966" i="1"/>
  <c r="AZ3966" i="1"/>
  <c r="AQ2590" i="1"/>
  <c r="AQ3810" i="1"/>
  <c r="AQ3791" i="1"/>
  <c r="AQ3910" i="1"/>
  <c r="AQ4074" i="1"/>
  <c r="AQ4079" i="1"/>
  <c r="AQ4081" i="1"/>
  <c r="AQ3885" i="1"/>
  <c r="AO2590" i="1"/>
  <c r="AO3810" i="1"/>
  <c r="AO3791" i="1"/>
  <c r="AO3910" i="1"/>
  <c r="AO4074" i="1"/>
  <c r="AO4079" i="1"/>
  <c r="AO4081" i="1"/>
  <c r="AO3885" i="1"/>
  <c r="AQ3519" i="1"/>
  <c r="AQ3714" i="1"/>
  <c r="AQ3891" i="1"/>
  <c r="AQ4078" i="1"/>
  <c r="AQ4077" i="1"/>
  <c r="AQ4014" i="1"/>
  <c r="AO3519" i="1"/>
  <c r="AO3714" i="1"/>
  <c r="AO3891" i="1"/>
  <c r="AO4078" i="1"/>
  <c r="AO4077" i="1"/>
  <c r="AO4014" i="1"/>
  <c r="AQ2598" i="1"/>
  <c r="AQ3518" i="1"/>
  <c r="AQ3796" i="1"/>
  <c r="AQ3789" i="1"/>
  <c r="AQ3715" i="1"/>
  <c r="AQ3890" i="1"/>
  <c r="AQ4082" i="1"/>
  <c r="AQ4069" i="1"/>
  <c r="AO2598" i="1"/>
  <c r="AO3518" i="1"/>
  <c r="AO3796" i="1"/>
  <c r="AO3789" i="1"/>
  <c r="AO3715" i="1"/>
  <c r="AO3890" i="1"/>
  <c r="AO4082" i="1"/>
  <c r="AO4069" i="1"/>
  <c r="AQ3517" i="1"/>
  <c r="AQ3713" i="1"/>
  <c r="AQ4073" i="1"/>
  <c r="AQ4075" i="1"/>
  <c r="AQ4012" i="1"/>
  <c r="AO3517" i="1"/>
  <c r="AO3713" i="1"/>
  <c r="AO4073" i="1"/>
  <c r="AO4075" i="1"/>
  <c r="AO4012" i="1"/>
  <c r="AW2263" i="1" l="1"/>
  <c r="AY2263" i="1" s="1"/>
  <c r="AW2261" i="1"/>
  <c r="AY2261" i="1" s="1"/>
  <c r="AW2268" i="1"/>
  <c r="AY2268" i="1" s="1"/>
  <c r="AW2271" i="1"/>
  <c r="AY2271" i="1" s="1"/>
  <c r="AW2257" i="1"/>
  <c r="AY2257" i="1" s="1"/>
  <c r="AW2275" i="1"/>
  <c r="AY2275" i="1" s="1"/>
  <c r="AW2277" i="1"/>
  <c r="AY2277" i="1" s="1"/>
  <c r="BA3414" i="1"/>
  <c r="AZ3414" i="1"/>
  <c r="BA3410" i="1"/>
  <c r="AZ3410" i="1"/>
  <c r="BA3409" i="1"/>
  <c r="AZ3409" i="1"/>
  <c r="AW2264" i="1"/>
  <c r="AY2264" i="1" s="1"/>
  <c r="AW2269" i="1"/>
  <c r="AY2269" i="1" s="1"/>
  <c r="BA3493" i="1"/>
  <c r="AZ3493" i="1"/>
  <c r="BA3411" i="1"/>
  <c r="AZ3411" i="1"/>
  <c r="BA3417" i="1"/>
  <c r="AZ3417" i="1"/>
  <c r="BA3407" i="1"/>
  <c r="AZ3407" i="1"/>
  <c r="BA3408" i="1"/>
  <c r="AZ3408" i="1"/>
  <c r="AW2283" i="1"/>
  <c r="AY2283" i="1" s="1"/>
  <c r="AW2265" i="1"/>
  <c r="AY2265" i="1" s="1"/>
  <c r="AW2279" i="1"/>
  <c r="AY2279" i="1" s="1"/>
  <c r="AW2278" i="1"/>
  <c r="AY2278" i="1" s="1"/>
  <c r="AW2276" i="1"/>
  <c r="AY2276" i="1" s="1"/>
  <c r="AW2284" i="1"/>
  <c r="AY2284" i="1" s="1"/>
  <c r="AW2282" i="1"/>
  <c r="AY2282" i="1" s="1"/>
  <c r="AW2285" i="1"/>
  <c r="AY2285" i="1" s="1"/>
  <c r="AW2267" i="1"/>
  <c r="AY2267" i="1" s="1"/>
  <c r="AW2273" i="1"/>
  <c r="AY2273" i="1" s="1"/>
  <c r="AW2272" i="1"/>
  <c r="AY2272" i="1" s="1"/>
  <c r="AW2274" i="1"/>
  <c r="AY2274" i="1" s="1"/>
  <c r="AW2286" i="1"/>
  <c r="AY2286" i="1" s="1"/>
  <c r="AW2266" i="1"/>
  <c r="AY2266" i="1" s="1"/>
  <c r="AW2280" i="1"/>
  <c r="AY2280" i="1" s="1"/>
  <c r="AW2288" i="1"/>
  <c r="AY2288" i="1" s="1"/>
  <c r="AW2281" i="1"/>
  <c r="AY2281" i="1" s="1"/>
  <c r="AW2287" i="1"/>
  <c r="AY2287" i="1" s="1"/>
  <c r="AG4383" i="1"/>
  <c r="AG4382" i="1"/>
  <c r="AG4381" i="1"/>
  <c r="AG4380" i="1"/>
  <c r="AG4379" i="1"/>
  <c r="AG4378" i="1"/>
  <c r="AG4377" i="1"/>
  <c r="AG4376" i="1"/>
  <c r="AG4375" i="1"/>
  <c r="AG4374" i="1"/>
  <c r="AG4373" i="1"/>
  <c r="AG4372" i="1"/>
  <c r="AG4371" i="1"/>
  <c r="AG4370" i="1"/>
  <c r="AG4369" i="1"/>
  <c r="AG4368" i="1"/>
  <c r="AG4367" i="1"/>
  <c r="AG4366" i="1"/>
  <c r="AG4365" i="1"/>
  <c r="AG4364" i="1"/>
  <c r="AG4363" i="1"/>
  <c r="AG4362" i="1"/>
  <c r="AG4361" i="1"/>
  <c r="AG4360" i="1"/>
  <c r="AG4359" i="1"/>
  <c r="AG4358" i="1"/>
  <c r="AG4357" i="1"/>
  <c r="AG4356" i="1"/>
  <c r="AG4355" i="1"/>
  <c r="AG4354" i="1"/>
  <c r="AG4353" i="1"/>
  <c r="AG4352" i="1"/>
  <c r="AG4351" i="1"/>
  <c r="AG4350" i="1"/>
  <c r="AG4349" i="1"/>
  <c r="AG4348" i="1"/>
  <c r="AG4347" i="1"/>
  <c r="AG4346" i="1"/>
  <c r="AG4345" i="1"/>
  <c r="AG4344" i="1"/>
  <c r="AG4343" i="1"/>
  <c r="AG4342" i="1"/>
  <c r="AG4341" i="1"/>
  <c r="AG4340" i="1"/>
  <c r="AG4339" i="1"/>
  <c r="AG4338" i="1"/>
  <c r="AG4337" i="1"/>
  <c r="AG4336" i="1"/>
  <c r="AG4335" i="1"/>
  <c r="AG4334" i="1"/>
  <c r="AG4333" i="1"/>
  <c r="AG4332" i="1"/>
  <c r="AG4331" i="1"/>
  <c r="AG4330" i="1"/>
  <c r="AG4329" i="1"/>
  <c r="AG4328" i="1"/>
  <c r="AG4327" i="1"/>
  <c r="AG4326" i="1"/>
  <c r="AG4325" i="1"/>
  <c r="AG4324" i="1"/>
  <c r="AG4323" i="1"/>
  <c r="AG4322" i="1"/>
  <c r="AG4321" i="1"/>
  <c r="AG4320" i="1"/>
  <c r="AG4319" i="1"/>
  <c r="AG4318" i="1"/>
  <c r="AG4317" i="1"/>
  <c r="AG4316" i="1"/>
  <c r="AG4315" i="1"/>
  <c r="AG4314" i="1"/>
  <c r="AG4313" i="1"/>
  <c r="AG4312" i="1"/>
  <c r="AG4311" i="1"/>
  <c r="AG4310" i="1"/>
  <c r="AG4309" i="1"/>
  <c r="AG4308" i="1"/>
  <c r="AG4307" i="1"/>
  <c r="AG4306" i="1"/>
  <c r="AG4305" i="1"/>
  <c r="AG4304" i="1"/>
  <c r="AG4303" i="1"/>
  <c r="AG4302" i="1"/>
  <c r="AG4301" i="1"/>
  <c r="AG4300" i="1"/>
  <c r="AG4299" i="1"/>
  <c r="AG4298" i="1"/>
  <c r="AG4297" i="1"/>
  <c r="AG4296" i="1"/>
  <c r="AG4295" i="1"/>
  <c r="AG4294" i="1"/>
  <c r="AG4293" i="1"/>
  <c r="AG4292" i="1"/>
  <c r="AG4291" i="1"/>
  <c r="AG4290" i="1"/>
  <c r="AG4289" i="1"/>
  <c r="AG4288" i="1"/>
  <c r="AG4287" i="1"/>
  <c r="AG4286" i="1"/>
  <c r="AG4285" i="1"/>
  <c r="AG4284" i="1"/>
  <c r="AG4283" i="1"/>
  <c r="AG4282" i="1"/>
  <c r="AG4281" i="1"/>
  <c r="AG4280" i="1"/>
  <c r="AG4279" i="1"/>
  <c r="AG4278" i="1"/>
  <c r="AG4277" i="1"/>
  <c r="AG4276" i="1"/>
  <c r="AG4275" i="1"/>
  <c r="AG4274" i="1"/>
  <c r="AG4273" i="1"/>
  <c r="AG4272" i="1"/>
  <c r="AG4271" i="1"/>
  <c r="AG4270" i="1"/>
  <c r="AG4269" i="1"/>
  <c r="AG4268" i="1"/>
  <c r="AG4267" i="1"/>
  <c r="AG4266" i="1"/>
  <c r="AG4265" i="1"/>
  <c r="AG4264" i="1"/>
  <c r="AG4263" i="1"/>
  <c r="AG4262" i="1"/>
  <c r="AG4261" i="1"/>
  <c r="AG4260" i="1"/>
  <c r="AG4259" i="1"/>
  <c r="AG4258" i="1"/>
  <c r="AG4257" i="1"/>
  <c r="AG4256" i="1"/>
  <c r="AG4255" i="1"/>
  <c r="AG4254" i="1"/>
  <c r="AG4253" i="1"/>
  <c r="AG4252" i="1"/>
  <c r="AG4251" i="1"/>
  <c r="AG4250" i="1"/>
  <c r="AG4249" i="1"/>
  <c r="AG4248" i="1"/>
  <c r="AG4247" i="1"/>
  <c r="AG4246" i="1"/>
  <c r="AG4245" i="1"/>
  <c r="AG4244" i="1"/>
  <c r="AG4243" i="1"/>
  <c r="AG4242" i="1"/>
  <c r="AG4241" i="1"/>
  <c r="AG4240" i="1"/>
  <c r="AG4239" i="1"/>
  <c r="AG4238" i="1"/>
  <c r="AG4237" i="1"/>
  <c r="AG4236" i="1"/>
  <c r="AG4235" i="1"/>
  <c r="AG4234" i="1"/>
  <c r="AG4233" i="1"/>
  <c r="AG4232" i="1"/>
  <c r="AG4231" i="1"/>
  <c r="AG4230" i="1"/>
  <c r="AG4229" i="1"/>
  <c r="AG4228" i="1"/>
  <c r="AG4227" i="1"/>
  <c r="AG4226" i="1"/>
  <c r="AG4225" i="1"/>
  <c r="AG4224" i="1"/>
  <c r="AG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223"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21"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5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130" i="1"/>
  <c r="AZ2282" i="1" l="1"/>
  <c r="BA2282" i="1"/>
  <c r="BA2284" i="1"/>
  <c r="AZ2284" i="1"/>
  <c r="AZ2269" i="1"/>
  <c r="BA2269" i="1"/>
  <c r="AZ2276" i="1"/>
  <c r="BA2276" i="1"/>
  <c r="AZ2264" i="1"/>
  <c r="BA2264" i="1"/>
  <c r="AZ2278" i="1"/>
  <c r="BA2278" i="1"/>
  <c r="AZ2279" i="1"/>
  <c r="BA2279" i="1"/>
  <c r="AZ2287" i="1"/>
  <c r="BA2287" i="1"/>
  <c r="AZ2265" i="1"/>
  <c r="BA2265" i="1"/>
  <c r="AZ2281" i="1"/>
  <c r="BA2281" i="1"/>
  <c r="AZ2283" i="1"/>
  <c r="BA2283" i="1"/>
  <c r="AZ2288" i="1"/>
  <c r="BA2288" i="1"/>
  <c r="AZ2280" i="1"/>
  <c r="BA2280" i="1"/>
  <c r="BA2266" i="1"/>
  <c r="AZ2266" i="1"/>
  <c r="AZ2277" i="1"/>
  <c r="BA2277" i="1"/>
  <c r="AZ2286" i="1"/>
  <c r="BA2286" i="1"/>
  <c r="AZ2275" i="1"/>
  <c r="BA2275" i="1"/>
  <c r="AZ2274" i="1"/>
  <c r="BA2274" i="1"/>
  <c r="BA2257" i="1"/>
  <c r="AZ2257" i="1"/>
  <c r="AZ2272" i="1"/>
  <c r="BA2272" i="1"/>
  <c r="AZ2271" i="1"/>
  <c r="BA2271" i="1"/>
  <c r="BA2273" i="1"/>
  <c r="AZ2273" i="1"/>
  <c r="AZ2268" i="1"/>
  <c r="BA2268" i="1"/>
  <c r="AZ2267" i="1"/>
  <c r="BA2267" i="1"/>
  <c r="AZ2261" i="1"/>
  <c r="BA2261" i="1"/>
  <c r="AZ2285" i="1"/>
  <c r="BA2285" i="1"/>
  <c r="AZ2263" i="1"/>
  <c r="BA2263"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442" i="1"/>
  <c r="AG1527" i="1"/>
  <c r="AG1528" i="1"/>
  <c r="AG1529"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26" i="1"/>
  <c r="AT2051"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49" i="1"/>
  <c r="AG4404" i="1" l="1"/>
  <c r="AG4403" i="1"/>
  <c r="AG4398" i="1"/>
  <c r="AG4397" i="1"/>
  <c r="AS2001" i="1"/>
  <c r="AT2001" i="1"/>
  <c r="AS2002" i="1"/>
  <c r="AT2002" i="1"/>
  <c r="AS2003" i="1"/>
  <c r="AT2003" i="1"/>
  <c r="AS2004" i="1"/>
  <c r="AT2004" i="1"/>
  <c r="AS2005" i="1"/>
  <c r="AT2005" i="1"/>
  <c r="AS2006" i="1"/>
  <c r="AT2006" i="1"/>
  <c r="AS2007" i="1"/>
  <c r="AT2007" i="1"/>
  <c r="AS2008" i="1"/>
  <c r="AT2008" i="1"/>
  <c r="AS2009" i="1"/>
  <c r="AT2009" i="1"/>
  <c r="AS2010" i="1"/>
  <c r="AT2010" i="1"/>
  <c r="AS2011" i="1"/>
  <c r="AT2011" i="1"/>
  <c r="AS2012" i="1"/>
  <c r="AT2012" i="1"/>
  <c r="AS2013" i="1"/>
  <c r="AT2013" i="1"/>
  <c r="AS2014" i="1"/>
  <c r="AT2014" i="1"/>
  <c r="AS2015" i="1"/>
  <c r="AT2015" i="1"/>
  <c r="AS2016" i="1"/>
  <c r="AT2016" i="1"/>
  <c r="AS2017" i="1"/>
  <c r="AT2017" i="1"/>
  <c r="AS2018" i="1"/>
  <c r="AT2018" i="1"/>
  <c r="AS2019" i="1"/>
  <c r="AT2019" i="1"/>
  <c r="AS2020" i="1"/>
  <c r="AT2020" i="1"/>
  <c r="AS2000" i="1"/>
  <c r="AT2000" i="1"/>
  <c r="AS1321" i="1" l="1"/>
  <c r="AT1321" i="1"/>
  <c r="AS1322" i="1"/>
  <c r="AT1322" i="1"/>
  <c r="AS1323" i="1"/>
  <c r="AT1323" i="1"/>
  <c r="AS1324" i="1"/>
  <c r="AT1324" i="1"/>
  <c r="AS1325" i="1"/>
  <c r="AT1325" i="1"/>
  <c r="AS1326" i="1"/>
  <c r="AT1326" i="1"/>
  <c r="AS1327" i="1"/>
  <c r="AT1327" i="1"/>
  <c r="AS1328" i="1"/>
  <c r="AT1328" i="1"/>
  <c r="AS1329" i="1"/>
  <c r="AT1329" i="1"/>
  <c r="AS1330" i="1"/>
  <c r="AT1330" i="1"/>
  <c r="AS1331" i="1"/>
  <c r="AT1331" i="1"/>
  <c r="AS1332" i="1"/>
  <c r="AT1332" i="1"/>
  <c r="AS1333" i="1"/>
  <c r="AT1333" i="1"/>
  <c r="AS1334" i="1"/>
  <c r="AT1334" i="1"/>
  <c r="AS1335" i="1"/>
  <c r="AT1335" i="1"/>
  <c r="AS1336" i="1"/>
  <c r="AT1336" i="1"/>
  <c r="AS1337" i="1"/>
  <c r="AT1337" i="1"/>
  <c r="AS1338" i="1"/>
  <c r="AT1338" i="1"/>
  <c r="AS1339" i="1"/>
  <c r="AT1339" i="1"/>
  <c r="AS1340" i="1"/>
  <c r="AT1340" i="1"/>
  <c r="AS1341" i="1"/>
  <c r="AT1341" i="1"/>
  <c r="AS1342" i="1"/>
  <c r="AT1342" i="1"/>
  <c r="AS1343" i="1"/>
  <c r="AT1343" i="1"/>
  <c r="AS1344" i="1"/>
  <c r="AT1344" i="1"/>
  <c r="AS1345" i="1"/>
  <c r="AT1345" i="1"/>
  <c r="AS1346" i="1"/>
  <c r="AT1346" i="1"/>
  <c r="AS1347" i="1"/>
  <c r="AT1347" i="1"/>
  <c r="AS1348" i="1"/>
  <c r="AT1348" i="1"/>
  <c r="AS1349" i="1"/>
  <c r="AT1349" i="1"/>
  <c r="AS1350" i="1"/>
  <c r="AT1350" i="1"/>
  <c r="AS1351" i="1"/>
  <c r="AT1351" i="1"/>
  <c r="AS1352" i="1"/>
  <c r="AT1352" i="1"/>
  <c r="AS1353" i="1"/>
  <c r="AT1353" i="1"/>
  <c r="AS1354" i="1"/>
  <c r="AT1354" i="1"/>
  <c r="AS1355" i="1"/>
  <c r="AT1355" i="1"/>
  <c r="AS1356" i="1"/>
  <c r="AT1356" i="1"/>
  <c r="AS1357" i="1"/>
  <c r="AT1357" i="1"/>
  <c r="AS1358" i="1"/>
  <c r="AT1358" i="1"/>
  <c r="AS1359" i="1"/>
  <c r="AT1359" i="1"/>
  <c r="AS1360" i="1"/>
  <c r="AT1360" i="1"/>
  <c r="AS1361" i="1"/>
  <c r="AT1361" i="1"/>
  <c r="AS1362" i="1"/>
  <c r="AT1362" i="1"/>
  <c r="AS1363" i="1"/>
  <c r="AT1363" i="1"/>
  <c r="AS1364" i="1"/>
  <c r="AT1364" i="1"/>
  <c r="AS1365" i="1"/>
  <c r="AT1365" i="1"/>
  <c r="AS1366" i="1"/>
  <c r="AT1366" i="1"/>
  <c r="AS1367" i="1"/>
  <c r="AT1367" i="1"/>
  <c r="AS1368" i="1"/>
  <c r="AT1368" i="1"/>
  <c r="AS1369" i="1"/>
  <c r="AT1369" i="1"/>
  <c r="AS1370" i="1"/>
  <c r="AT1370" i="1"/>
  <c r="AS1371" i="1"/>
  <c r="AT1371" i="1"/>
  <c r="AS1372" i="1"/>
  <c r="AT1372" i="1"/>
  <c r="AS1373" i="1"/>
  <c r="AT1373" i="1"/>
  <c r="AS1374" i="1"/>
  <c r="AT1374" i="1"/>
  <c r="AS1375" i="1"/>
  <c r="AT1375" i="1"/>
  <c r="AS1376" i="1"/>
  <c r="AT1376" i="1"/>
  <c r="AS1377" i="1"/>
  <c r="AT1377" i="1"/>
  <c r="AS1378" i="1"/>
  <c r="AT1378" i="1"/>
  <c r="AS1379" i="1"/>
  <c r="AT1379" i="1"/>
  <c r="AS1380" i="1"/>
  <c r="AT1380" i="1"/>
  <c r="AS1381" i="1"/>
  <c r="AT1381" i="1"/>
  <c r="AS1382" i="1"/>
  <c r="AT1382" i="1"/>
  <c r="AS1383" i="1"/>
  <c r="AT1383" i="1"/>
  <c r="AS1384" i="1"/>
  <c r="AT1384" i="1"/>
  <c r="AS1385" i="1"/>
  <c r="AT1385" i="1"/>
  <c r="AS1386" i="1"/>
  <c r="AT1386" i="1"/>
  <c r="AS1387" i="1"/>
  <c r="AT1387" i="1"/>
  <c r="AS1388" i="1"/>
  <c r="AT1388" i="1"/>
  <c r="AS1389" i="1"/>
  <c r="AT1389" i="1"/>
  <c r="AS1390" i="1"/>
  <c r="AT1390" i="1"/>
  <c r="AS1391" i="1"/>
  <c r="AT1391" i="1"/>
  <c r="AS1392" i="1"/>
  <c r="AT1392" i="1"/>
  <c r="AS1393" i="1"/>
  <c r="AT1393" i="1"/>
  <c r="AS1394" i="1"/>
  <c r="AT1394" i="1"/>
  <c r="AS1395" i="1"/>
  <c r="AT1395" i="1"/>
  <c r="AS1396" i="1"/>
  <c r="AT1396" i="1"/>
  <c r="AS1397" i="1"/>
  <c r="AT1397" i="1"/>
  <c r="AS1398" i="1"/>
  <c r="AT1398" i="1"/>
  <c r="AS1399" i="1"/>
  <c r="AT1399" i="1"/>
  <c r="AS1400" i="1"/>
  <c r="AT1400" i="1"/>
  <c r="AS1401" i="1"/>
  <c r="AT1401" i="1"/>
  <c r="AS1402" i="1"/>
  <c r="AT1402" i="1"/>
  <c r="AS1403" i="1"/>
  <c r="AT1403" i="1"/>
  <c r="AS1404" i="1"/>
  <c r="AT1404" i="1"/>
  <c r="AS1405" i="1"/>
  <c r="AT1405" i="1"/>
  <c r="AS1406" i="1"/>
  <c r="AT1406" i="1"/>
  <c r="AS1407" i="1"/>
  <c r="AT1407" i="1"/>
  <c r="AS1408" i="1"/>
  <c r="AT1408" i="1"/>
  <c r="AS1409" i="1"/>
  <c r="AT1409" i="1"/>
  <c r="AS1410" i="1"/>
  <c r="AT1410" i="1"/>
  <c r="AS1411" i="1"/>
  <c r="AT1411" i="1"/>
  <c r="AS1412" i="1"/>
  <c r="AT1412" i="1"/>
  <c r="AS1413" i="1"/>
  <c r="AT1413" i="1"/>
  <c r="AS1414" i="1"/>
  <c r="AT1414" i="1"/>
  <c r="AS1415" i="1"/>
  <c r="AT1415" i="1"/>
  <c r="AS1416" i="1"/>
  <c r="AT1416" i="1"/>
  <c r="AS1417" i="1"/>
  <c r="AT1417" i="1"/>
  <c r="AS1418" i="1"/>
  <c r="AT1418" i="1"/>
  <c r="AS1419" i="1"/>
  <c r="AT1419" i="1"/>
  <c r="AS1420" i="1"/>
  <c r="AT1420" i="1"/>
  <c r="AS1421" i="1"/>
  <c r="AT1421" i="1"/>
  <c r="AS1422" i="1"/>
  <c r="AT1422" i="1"/>
  <c r="AS1423" i="1"/>
  <c r="AT1423" i="1"/>
  <c r="AS1424" i="1"/>
  <c r="AT1424" i="1"/>
  <c r="AS1425" i="1"/>
  <c r="AT1425" i="1"/>
  <c r="AS1426" i="1"/>
  <c r="AT1426" i="1"/>
  <c r="AS1427" i="1"/>
  <c r="AT1427" i="1"/>
  <c r="AS1428" i="1"/>
  <c r="AT1428" i="1"/>
  <c r="AS1429" i="1"/>
  <c r="AT1429" i="1"/>
  <c r="AS1430" i="1"/>
  <c r="AT1430" i="1"/>
  <c r="AS1431" i="1"/>
  <c r="AT1431" i="1"/>
  <c r="AS1432" i="1"/>
  <c r="AT1432" i="1"/>
  <c r="AS1433" i="1"/>
  <c r="AT1433" i="1"/>
  <c r="AS1434" i="1"/>
  <c r="AT1434" i="1"/>
  <c r="AS1435" i="1"/>
  <c r="AT1435" i="1"/>
  <c r="AS1436" i="1"/>
  <c r="AT1436" i="1"/>
  <c r="AS1437" i="1"/>
  <c r="AT1437" i="1"/>
  <c r="AS1438" i="1"/>
  <c r="AT1438" i="1"/>
  <c r="AS1439" i="1"/>
  <c r="AT1439" i="1"/>
  <c r="AS1440" i="1"/>
  <c r="AT1440" i="1"/>
  <c r="AS1441" i="1"/>
  <c r="AT1441" i="1"/>
  <c r="AS1263" i="1"/>
  <c r="AT1263" i="1"/>
  <c r="AS1264" i="1"/>
  <c r="AT1264" i="1"/>
  <c r="AS1265" i="1"/>
  <c r="AT1265" i="1"/>
  <c r="AS1266" i="1"/>
  <c r="AT1266" i="1"/>
  <c r="AS1267" i="1"/>
  <c r="AT1267" i="1"/>
  <c r="AS1268" i="1"/>
  <c r="AT1268" i="1"/>
  <c r="AS1269" i="1"/>
  <c r="AT1269" i="1"/>
  <c r="AS1270" i="1"/>
  <c r="AT1270" i="1"/>
  <c r="AS1271" i="1"/>
  <c r="AT1271" i="1"/>
  <c r="AS1272" i="1"/>
  <c r="AT1272" i="1"/>
  <c r="AS1273" i="1"/>
  <c r="AT1273" i="1"/>
  <c r="AS1274" i="1"/>
  <c r="AT1274" i="1"/>
  <c r="AS1275" i="1"/>
  <c r="AT1275" i="1"/>
  <c r="AS1276" i="1"/>
  <c r="AT1276" i="1"/>
  <c r="AS1277" i="1"/>
  <c r="AT1277" i="1"/>
  <c r="AS1278" i="1"/>
  <c r="AT1278" i="1"/>
  <c r="AS1279" i="1"/>
  <c r="AT1279" i="1"/>
  <c r="AS1280" i="1"/>
  <c r="AT1280" i="1"/>
  <c r="AS1281" i="1"/>
  <c r="AT1281" i="1"/>
  <c r="AS1282" i="1"/>
  <c r="AT1282" i="1"/>
  <c r="AS1283" i="1"/>
  <c r="AT1283" i="1"/>
  <c r="AS1284" i="1"/>
  <c r="AT1284" i="1"/>
  <c r="AS1285" i="1"/>
  <c r="AT1285" i="1"/>
  <c r="AS1286" i="1"/>
  <c r="AT1286" i="1"/>
  <c r="AS1287" i="1"/>
  <c r="AT1287" i="1"/>
  <c r="AS1288" i="1"/>
  <c r="AT1288" i="1"/>
  <c r="AS1289" i="1"/>
  <c r="AT1289" i="1"/>
  <c r="AS1290" i="1"/>
  <c r="AT1290" i="1"/>
  <c r="AS1291" i="1"/>
  <c r="AT1291" i="1"/>
  <c r="AS1292" i="1"/>
  <c r="AT1292" i="1"/>
  <c r="AS1293" i="1"/>
  <c r="AT1293" i="1"/>
  <c r="AS1294" i="1"/>
  <c r="AT1294" i="1"/>
  <c r="AS1295" i="1"/>
  <c r="AT1295" i="1"/>
  <c r="AS1296" i="1"/>
  <c r="AT1296" i="1"/>
  <c r="AS1297" i="1"/>
  <c r="AT1297" i="1"/>
  <c r="AS1298" i="1"/>
  <c r="AT1298" i="1"/>
  <c r="AS1299" i="1"/>
  <c r="AT1299" i="1"/>
  <c r="AS1300" i="1"/>
  <c r="AT1300" i="1"/>
  <c r="AS1301" i="1"/>
  <c r="AT1301" i="1"/>
  <c r="AS1302" i="1"/>
  <c r="AT1302" i="1"/>
  <c r="AS1303" i="1"/>
  <c r="AT1303" i="1"/>
  <c r="AS1304" i="1"/>
  <c r="AT1304" i="1"/>
  <c r="AS1305" i="1"/>
  <c r="AT1305" i="1"/>
  <c r="AS1306" i="1"/>
  <c r="AT1306" i="1"/>
  <c r="AS1307" i="1"/>
  <c r="AT1307" i="1"/>
  <c r="AS1308" i="1"/>
  <c r="AT1308" i="1"/>
  <c r="AS1309" i="1"/>
  <c r="AT1309" i="1"/>
  <c r="AS1310" i="1"/>
  <c r="AT1310" i="1"/>
  <c r="AS1311" i="1"/>
  <c r="AT1311" i="1"/>
  <c r="AS1312" i="1"/>
  <c r="AT1312" i="1"/>
  <c r="AS1313" i="1"/>
  <c r="AT1313" i="1"/>
  <c r="AS1314" i="1"/>
  <c r="AT1314" i="1"/>
  <c r="AS1315" i="1"/>
  <c r="AT1315" i="1"/>
  <c r="AS1316" i="1"/>
  <c r="AT1316" i="1"/>
  <c r="AS1317" i="1"/>
  <c r="AT1317" i="1"/>
  <c r="AS1318" i="1"/>
  <c r="AT1318" i="1"/>
  <c r="AS1319" i="1"/>
  <c r="AT1319" i="1"/>
  <c r="AS1320" i="1"/>
  <c r="AT1320" i="1"/>
  <c r="AS1251" i="1"/>
  <c r="AT1251" i="1"/>
  <c r="AS1252" i="1"/>
  <c r="AT1252" i="1"/>
  <c r="AS1253" i="1"/>
  <c r="AT1253" i="1"/>
  <c r="AS1254" i="1"/>
  <c r="AT1254" i="1"/>
  <c r="AS1255" i="1"/>
  <c r="AT1255" i="1"/>
  <c r="AS1256" i="1"/>
  <c r="AT1256" i="1"/>
  <c r="AS1257" i="1"/>
  <c r="AT1257" i="1"/>
  <c r="AS1258" i="1"/>
  <c r="AT1258" i="1"/>
  <c r="AS1259" i="1"/>
  <c r="AT1259" i="1"/>
  <c r="AS1260" i="1"/>
  <c r="AT1260" i="1"/>
  <c r="AS1261" i="1"/>
  <c r="AT1261" i="1"/>
  <c r="AS1262" i="1"/>
  <c r="AT1262" i="1"/>
  <c r="AS1199" i="1"/>
  <c r="AT1199" i="1"/>
  <c r="AS1200" i="1"/>
  <c r="AT1200" i="1"/>
  <c r="AS1201" i="1"/>
  <c r="AT1201" i="1"/>
  <c r="AS1202" i="1"/>
  <c r="AT1202" i="1"/>
  <c r="AS1203" i="1"/>
  <c r="AT1203" i="1"/>
  <c r="AS1204" i="1"/>
  <c r="AT1204" i="1"/>
  <c r="AS1205" i="1"/>
  <c r="AT1205" i="1"/>
  <c r="AS1206" i="1"/>
  <c r="AT1206" i="1"/>
  <c r="AS1207" i="1"/>
  <c r="AT1207" i="1"/>
  <c r="AS1208" i="1"/>
  <c r="AT1208" i="1"/>
  <c r="AS1209" i="1"/>
  <c r="AT1209" i="1"/>
  <c r="AS1210" i="1"/>
  <c r="AT1210" i="1"/>
  <c r="AS1211" i="1"/>
  <c r="AT1211" i="1"/>
  <c r="AS1212" i="1"/>
  <c r="AT1212" i="1"/>
  <c r="AS1213" i="1"/>
  <c r="AT1213" i="1"/>
  <c r="AS1214" i="1"/>
  <c r="AT1214" i="1"/>
  <c r="AS1215" i="1"/>
  <c r="AT1215" i="1"/>
  <c r="AS1216" i="1"/>
  <c r="AT1216" i="1"/>
  <c r="AS1217" i="1"/>
  <c r="AT1217" i="1"/>
  <c r="AS1218" i="1"/>
  <c r="AT1218" i="1"/>
  <c r="AS1219" i="1"/>
  <c r="AT1219" i="1"/>
  <c r="AS1220" i="1"/>
  <c r="AT1220" i="1"/>
  <c r="AS1221" i="1"/>
  <c r="AT1221" i="1"/>
  <c r="AS1222" i="1"/>
  <c r="AT1222" i="1"/>
  <c r="AS1223" i="1"/>
  <c r="AT1223" i="1"/>
  <c r="AS1224" i="1"/>
  <c r="AT1224" i="1"/>
  <c r="AS1225" i="1"/>
  <c r="AT1225" i="1"/>
  <c r="AS1226" i="1"/>
  <c r="AT1226" i="1"/>
  <c r="AS1227" i="1"/>
  <c r="AT1227" i="1"/>
  <c r="AS1228" i="1"/>
  <c r="AT1228" i="1"/>
  <c r="AS1229" i="1"/>
  <c r="AT1229" i="1"/>
  <c r="AS1230" i="1"/>
  <c r="AT1230" i="1"/>
  <c r="AS1231" i="1"/>
  <c r="AT1231" i="1"/>
  <c r="AS1232" i="1"/>
  <c r="AT1232" i="1"/>
  <c r="AS1233" i="1"/>
  <c r="AT1233" i="1"/>
  <c r="AS1234" i="1"/>
  <c r="AT1234" i="1"/>
  <c r="AS1235" i="1"/>
  <c r="AT1235" i="1"/>
  <c r="AS1236" i="1"/>
  <c r="AT1236" i="1"/>
  <c r="AS1237" i="1"/>
  <c r="AT1237" i="1"/>
  <c r="AS1238" i="1"/>
  <c r="AT1238" i="1"/>
  <c r="AS1239" i="1"/>
  <c r="AT1239" i="1"/>
  <c r="AS1240" i="1"/>
  <c r="AT1240" i="1"/>
  <c r="AS1241" i="1"/>
  <c r="AT1241" i="1"/>
  <c r="AS1242" i="1"/>
  <c r="AT1242" i="1"/>
  <c r="AS1243" i="1"/>
  <c r="AT1243" i="1"/>
  <c r="AS1244" i="1"/>
  <c r="AT1244" i="1"/>
  <c r="AS1245" i="1"/>
  <c r="AT1245" i="1"/>
  <c r="AS1246" i="1"/>
  <c r="AT1246" i="1"/>
  <c r="AS1247" i="1"/>
  <c r="AT1247" i="1"/>
  <c r="AS1248" i="1"/>
  <c r="AT1248" i="1"/>
  <c r="AS1249" i="1"/>
  <c r="AT1249" i="1"/>
  <c r="AS1250" i="1"/>
  <c r="AT1250" i="1"/>
  <c r="AS1153" i="1"/>
  <c r="AT1153" i="1"/>
  <c r="AS1154" i="1"/>
  <c r="AT1154" i="1"/>
  <c r="AS1155" i="1"/>
  <c r="AT1155" i="1"/>
  <c r="AS1156" i="1"/>
  <c r="AT1156" i="1"/>
  <c r="AS1157" i="1"/>
  <c r="AT1157" i="1"/>
  <c r="AS1158" i="1"/>
  <c r="AT1158" i="1"/>
  <c r="AS1159" i="1"/>
  <c r="AT1159" i="1"/>
  <c r="AS1160" i="1"/>
  <c r="AT1160" i="1"/>
  <c r="AS1161" i="1"/>
  <c r="AT1161" i="1"/>
  <c r="AS1162" i="1"/>
  <c r="AT1162" i="1"/>
  <c r="AS1163" i="1"/>
  <c r="AT1163" i="1"/>
  <c r="AS1164" i="1"/>
  <c r="AT1164" i="1"/>
  <c r="AS1165" i="1"/>
  <c r="AT1165" i="1"/>
  <c r="AS1166" i="1"/>
  <c r="AT1166" i="1"/>
  <c r="AS1167" i="1"/>
  <c r="AT1167" i="1"/>
  <c r="AS1168" i="1"/>
  <c r="AT1168" i="1"/>
  <c r="AS1169" i="1"/>
  <c r="AT1169" i="1"/>
  <c r="AS1170" i="1"/>
  <c r="AT1170" i="1"/>
  <c r="AS1171" i="1"/>
  <c r="AT1171" i="1"/>
  <c r="AS1172" i="1"/>
  <c r="AT1172" i="1"/>
  <c r="AS1173" i="1"/>
  <c r="AT1173" i="1"/>
  <c r="AS1174" i="1"/>
  <c r="AT1174" i="1"/>
  <c r="AS1175" i="1"/>
  <c r="AT1175" i="1"/>
  <c r="AS1176" i="1"/>
  <c r="AT1176" i="1"/>
  <c r="AS1177" i="1"/>
  <c r="AT1177" i="1"/>
  <c r="AS1178" i="1"/>
  <c r="AT1178" i="1"/>
  <c r="AS1179" i="1"/>
  <c r="AT1179" i="1"/>
  <c r="AS1180" i="1"/>
  <c r="AT1180" i="1"/>
  <c r="AS1181" i="1"/>
  <c r="AT1181" i="1"/>
  <c r="AS1182" i="1"/>
  <c r="AT1182" i="1"/>
  <c r="AS1183" i="1"/>
  <c r="AT1183" i="1"/>
  <c r="AS1184" i="1"/>
  <c r="AT1184" i="1"/>
  <c r="AS1185" i="1"/>
  <c r="AT1185" i="1"/>
  <c r="AS1186" i="1"/>
  <c r="AT1186" i="1"/>
  <c r="AS1187" i="1"/>
  <c r="AT1187" i="1"/>
  <c r="AS1188" i="1"/>
  <c r="AT1188" i="1"/>
  <c r="AS1189" i="1"/>
  <c r="AT1189" i="1"/>
  <c r="AS1190" i="1"/>
  <c r="AT1190" i="1"/>
  <c r="AS1191" i="1"/>
  <c r="AT1191" i="1"/>
  <c r="AS1192" i="1"/>
  <c r="AT1192" i="1"/>
  <c r="AS1193" i="1"/>
  <c r="AT1193" i="1"/>
  <c r="AS1194" i="1"/>
  <c r="AT1194" i="1"/>
  <c r="AS1195" i="1"/>
  <c r="AT1195" i="1"/>
  <c r="AS1196" i="1"/>
  <c r="AT1196" i="1"/>
  <c r="AS1197" i="1"/>
  <c r="AT1197" i="1"/>
  <c r="AS1198" i="1"/>
  <c r="AT1198" i="1"/>
  <c r="AS1152" i="1"/>
  <c r="AT1152" i="1"/>
  <c r="AT1151" i="1"/>
  <c r="AS1151" i="1"/>
  <c r="AT1150" i="1"/>
  <c r="AS1150" i="1"/>
  <c r="AT1149" i="1"/>
  <c r="AS1149" i="1"/>
  <c r="AT1148" i="1"/>
  <c r="AS1148" i="1"/>
  <c r="AT1147" i="1"/>
  <c r="AS1147" i="1"/>
  <c r="AT1146" i="1"/>
  <c r="AS1146" i="1"/>
  <c r="AT1145" i="1"/>
  <c r="AS1145" i="1"/>
  <c r="AT1144" i="1"/>
  <c r="AS1144" i="1"/>
  <c r="AT1143" i="1"/>
  <c r="AS1143" i="1"/>
  <c r="AT1142" i="1"/>
  <c r="AS1142" i="1"/>
  <c r="AT1141" i="1"/>
  <c r="AS1141" i="1"/>
  <c r="AT1140" i="1"/>
  <c r="AS1140" i="1"/>
  <c r="AT1139" i="1"/>
  <c r="AS1139" i="1"/>
  <c r="AT1138" i="1"/>
  <c r="AS1138" i="1"/>
  <c r="AT1137" i="1"/>
  <c r="AS1137" i="1"/>
  <c r="AT1136" i="1"/>
  <c r="AS1136" i="1"/>
  <c r="AT1135" i="1"/>
  <c r="AS1135" i="1"/>
  <c r="AT1134" i="1"/>
  <c r="AS1134" i="1"/>
  <c r="AT1133" i="1"/>
  <c r="AS1133" i="1"/>
  <c r="AT1132" i="1"/>
  <c r="AS1132" i="1"/>
  <c r="AT1131" i="1"/>
  <c r="AS1131" i="1"/>
  <c r="AT1130" i="1"/>
  <c r="AS1130" i="1"/>
  <c r="AS1991" i="1"/>
  <c r="AS4366" i="1"/>
  <c r="AS4367" i="1"/>
  <c r="AS4368" i="1"/>
  <c r="AS4369" i="1"/>
  <c r="AS4370" i="1"/>
  <c r="AS4371" i="1"/>
  <c r="AS4372" i="1"/>
  <c r="AS4373" i="1"/>
  <c r="AS4374" i="1"/>
  <c r="AS4375" i="1"/>
  <c r="AS4376" i="1"/>
  <c r="AS4377" i="1"/>
  <c r="AS4378" i="1"/>
  <c r="AS4379" i="1"/>
  <c r="AS4380" i="1"/>
  <c r="AS4381" i="1"/>
  <c r="AS4382" i="1"/>
  <c r="AS4383" i="1"/>
  <c r="AS4365" i="1"/>
  <c r="AT4365" i="1"/>
  <c r="AT4366" i="1"/>
  <c r="AT4367" i="1"/>
  <c r="AT4368" i="1"/>
  <c r="AT4369" i="1"/>
  <c r="AT4370" i="1"/>
  <c r="AT4371" i="1"/>
  <c r="AT4372" i="1"/>
  <c r="AT4373" i="1"/>
  <c r="AT4374" i="1"/>
  <c r="AT4375" i="1"/>
  <c r="AT4376" i="1"/>
  <c r="AT4377" i="1"/>
  <c r="AT4378" i="1"/>
  <c r="AT4379" i="1"/>
  <c r="AT4380" i="1"/>
  <c r="AT4381" i="1"/>
  <c r="AT4382" i="1"/>
  <c r="AT4383" i="1"/>
  <c r="AS4329" i="1"/>
  <c r="AS4330" i="1"/>
  <c r="AS4331" i="1"/>
  <c r="AS4332" i="1"/>
  <c r="AS4333" i="1"/>
  <c r="AS4335" i="1"/>
  <c r="AS4336" i="1"/>
  <c r="AS4337" i="1"/>
  <c r="AS4338" i="1"/>
  <c r="AS4339" i="1"/>
  <c r="AS4340" i="1"/>
  <c r="AS4341" i="1"/>
  <c r="AS4342" i="1"/>
  <c r="AS4343" i="1"/>
  <c r="AS4344" i="1"/>
  <c r="AS4345" i="1"/>
  <c r="AS4346" i="1"/>
  <c r="AS4347" i="1"/>
  <c r="AS4348" i="1"/>
  <c r="AS4349" i="1"/>
  <c r="AS4350" i="1"/>
  <c r="AS4351" i="1"/>
  <c r="AS4352" i="1"/>
  <c r="AS4353" i="1"/>
  <c r="AS4354" i="1"/>
  <c r="AS4355" i="1"/>
  <c r="AS4356" i="1"/>
  <c r="AS4357" i="1"/>
  <c r="AS4358" i="1"/>
  <c r="AS4359" i="1"/>
  <c r="AS4360" i="1"/>
  <c r="AS4361" i="1"/>
  <c r="AS4362" i="1"/>
  <c r="AS4363" i="1"/>
  <c r="AS4364" i="1"/>
  <c r="AS4328" i="1"/>
  <c r="AT4328" i="1"/>
  <c r="AT4329" i="1"/>
  <c r="AT4330" i="1"/>
  <c r="AT4331" i="1"/>
  <c r="AT4332" i="1"/>
  <c r="AT4333" i="1"/>
  <c r="AT4335" i="1"/>
  <c r="AT4336" i="1"/>
  <c r="AT4337" i="1"/>
  <c r="AT4338" i="1"/>
  <c r="AT4339" i="1"/>
  <c r="AT4340" i="1"/>
  <c r="AT4341" i="1"/>
  <c r="AT4342" i="1"/>
  <c r="AT4343" i="1"/>
  <c r="AT4344" i="1"/>
  <c r="AT4345" i="1"/>
  <c r="AT4346" i="1"/>
  <c r="AT4347" i="1"/>
  <c r="AT4348" i="1"/>
  <c r="AT4349" i="1"/>
  <c r="AT4350" i="1"/>
  <c r="AT4351" i="1"/>
  <c r="AT4352" i="1"/>
  <c r="AT4353" i="1"/>
  <c r="AT4354" i="1"/>
  <c r="AT4355" i="1"/>
  <c r="AT4356" i="1"/>
  <c r="AT4357" i="1"/>
  <c r="AT4358" i="1"/>
  <c r="AT4359" i="1"/>
  <c r="AT4360" i="1"/>
  <c r="AT4361" i="1"/>
  <c r="AT4362" i="1"/>
  <c r="AT4363" i="1"/>
  <c r="AT4364" i="1"/>
  <c r="AP4334" i="1"/>
  <c r="AS4269" i="1"/>
  <c r="AT4269" i="1"/>
  <c r="AS4270" i="1"/>
  <c r="AT4270" i="1"/>
  <c r="AS4271" i="1"/>
  <c r="AT4271" i="1"/>
  <c r="AS4272" i="1"/>
  <c r="AT4272" i="1"/>
  <c r="AS4273" i="1"/>
  <c r="AT4273" i="1"/>
  <c r="AS4274" i="1"/>
  <c r="AT4274" i="1"/>
  <c r="AS4275" i="1"/>
  <c r="AT4275" i="1"/>
  <c r="AS4276" i="1"/>
  <c r="AT4276" i="1"/>
  <c r="AS4277" i="1"/>
  <c r="AT4277" i="1"/>
  <c r="AS4278" i="1"/>
  <c r="AT4278" i="1"/>
  <c r="AS4279" i="1"/>
  <c r="AT4279" i="1"/>
  <c r="AS4280" i="1"/>
  <c r="AT4280" i="1"/>
  <c r="AS4281" i="1"/>
  <c r="AT4281" i="1"/>
  <c r="AS4282" i="1"/>
  <c r="AT4282" i="1"/>
  <c r="AS4283" i="1"/>
  <c r="AT4283" i="1"/>
  <c r="AS4284" i="1"/>
  <c r="AT4284" i="1"/>
  <c r="AS4285" i="1"/>
  <c r="AT4285" i="1"/>
  <c r="AS4286" i="1"/>
  <c r="AT4286" i="1"/>
  <c r="AS4287" i="1"/>
  <c r="AT4287" i="1"/>
  <c r="AS4288" i="1"/>
  <c r="AT4288" i="1"/>
  <c r="AS4289" i="1"/>
  <c r="AT4289" i="1"/>
  <c r="AS4290" i="1"/>
  <c r="AT4290" i="1"/>
  <c r="AS4291" i="1"/>
  <c r="AT4291" i="1"/>
  <c r="AS4292" i="1"/>
  <c r="AT4292" i="1"/>
  <c r="AS4293" i="1"/>
  <c r="AT4293" i="1"/>
  <c r="AS4294" i="1"/>
  <c r="AT4294" i="1"/>
  <c r="AS4295" i="1"/>
  <c r="AT4295" i="1"/>
  <c r="AS4296" i="1"/>
  <c r="AT4296" i="1"/>
  <c r="AS4297" i="1"/>
  <c r="AT4297" i="1"/>
  <c r="AS4298" i="1"/>
  <c r="AT4298" i="1"/>
  <c r="AS4299" i="1"/>
  <c r="AT4299" i="1"/>
  <c r="AS4300" i="1"/>
  <c r="AT4300" i="1"/>
  <c r="AS4301" i="1"/>
  <c r="AT4301" i="1"/>
  <c r="AS4302" i="1"/>
  <c r="AT4302" i="1"/>
  <c r="AS4303" i="1"/>
  <c r="AT4303" i="1"/>
  <c r="AS4304" i="1"/>
  <c r="AT4304" i="1"/>
  <c r="AS4305" i="1"/>
  <c r="AT4305" i="1"/>
  <c r="AS4306" i="1"/>
  <c r="AT4306" i="1"/>
  <c r="AS4307" i="1"/>
  <c r="AT4307" i="1"/>
  <c r="AS4308" i="1"/>
  <c r="AT4308" i="1"/>
  <c r="AS4309" i="1"/>
  <c r="AT4309" i="1"/>
  <c r="AS4310" i="1"/>
  <c r="AT4310" i="1"/>
  <c r="AS4311" i="1"/>
  <c r="AT4311" i="1"/>
  <c r="AS4312" i="1"/>
  <c r="AT4312" i="1"/>
  <c r="AS4313" i="1"/>
  <c r="AT4313" i="1"/>
  <c r="AS4314" i="1"/>
  <c r="AT4314" i="1"/>
  <c r="AS4315" i="1"/>
  <c r="AT4315" i="1"/>
  <c r="AS4316" i="1"/>
  <c r="AT4316" i="1"/>
  <c r="AS4317" i="1"/>
  <c r="AT4317" i="1"/>
  <c r="AS4318" i="1"/>
  <c r="AT4318" i="1"/>
  <c r="AS4319" i="1"/>
  <c r="AT4319" i="1"/>
  <c r="AS4320" i="1"/>
  <c r="AT4320" i="1"/>
  <c r="AS4321" i="1"/>
  <c r="AT4321" i="1"/>
  <c r="AS4322" i="1"/>
  <c r="AT4322" i="1"/>
  <c r="AS4323" i="1"/>
  <c r="AT4323" i="1"/>
  <c r="AS4324" i="1"/>
  <c r="AT4324" i="1"/>
  <c r="AS4325" i="1"/>
  <c r="AT4325" i="1"/>
  <c r="AS4326" i="1"/>
  <c r="AT4326" i="1"/>
  <c r="AS4327" i="1"/>
  <c r="AT4327" i="1"/>
  <c r="AS4268" i="1"/>
  <c r="AT4268" i="1"/>
  <c r="AS4224" i="1"/>
  <c r="AS4225" i="1"/>
  <c r="AS4226" i="1"/>
  <c r="AS4227" i="1"/>
  <c r="AS4228" i="1"/>
  <c r="AS4229" i="1"/>
  <c r="AS4230" i="1"/>
  <c r="AS4231" i="1"/>
  <c r="AS4232" i="1"/>
  <c r="AS4233" i="1"/>
  <c r="AS4234" i="1"/>
  <c r="AS4235" i="1"/>
  <c r="AS4236" i="1"/>
  <c r="AS4237" i="1"/>
  <c r="AS4238" i="1"/>
  <c r="AS4239" i="1"/>
  <c r="AS4240" i="1"/>
  <c r="AS4241" i="1"/>
  <c r="AS4242" i="1"/>
  <c r="AS4243" i="1"/>
  <c r="AS4244" i="1"/>
  <c r="AS4245" i="1"/>
  <c r="AS4246" i="1"/>
  <c r="AS4247" i="1"/>
  <c r="AS4248" i="1"/>
  <c r="AS4249" i="1"/>
  <c r="AS4250" i="1"/>
  <c r="AS4251" i="1"/>
  <c r="AS4252" i="1"/>
  <c r="AS4253" i="1"/>
  <c r="AS4254" i="1"/>
  <c r="AS4255" i="1"/>
  <c r="AS4256" i="1"/>
  <c r="AS4257" i="1"/>
  <c r="AS4258" i="1"/>
  <c r="AS4259" i="1"/>
  <c r="AS4260" i="1"/>
  <c r="AS4261" i="1"/>
  <c r="AS4262" i="1"/>
  <c r="AS4263" i="1"/>
  <c r="AS4264" i="1"/>
  <c r="AS4265" i="1"/>
  <c r="AS4266" i="1"/>
  <c r="AS4267" i="1"/>
  <c r="AS4223" i="1"/>
  <c r="AT4267" i="1"/>
  <c r="AT4266" i="1"/>
  <c r="AT4265" i="1"/>
  <c r="AT4264" i="1"/>
  <c r="AT4263" i="1"/>
  <c r="AT4262" i="1"/>
  <c r="AT4261" i="1"/>
  <c r="AT4260" i="1"/>
  <c r="AT4259" i="1"/>
  <c r="AT4258" i="1"/>
  <c r="AT4257" i="1"/>
  <c r="AT4256" i="1"/>
  <c r="AT4255" i="1"/>
  <c r="AT4254" i="1"/>
  <c r="AT4253" i="1"/>
  <c r="AT4252" i="1"/>
  <c r="AT4251" i="1"/>
  <c r="AT4250" i="1"/>
  <c r="AT4249" i="1"/>
  <c r="AT4248" i="1"/>
  <c r="AT4247" i="1"/>
  <c r="AT4246" i="1"/>
  <c r="AT4245" i="1"/>
  <c r="AT4244" i="1"/>
  <c r="AT4243" i="1"/>
  <c r="AT4242" i="1"/>
  <c r="AT4241" i="1"/>
  <c r="AT4240" i="1"/>
  <c r="AT4239" i="1"/>
  <c r="AT4238" i="1"/>
  <c r="AT4237" i="1"/>
  <c r="AT4236" i="1"/>
  <c r="AT4235" i="1"/>
  <c r="AT4234" i="1"/>
  <c r="AT4233" i="1"/>
  <c r="AT4232" i="1"/>
  <c r="AT4231" i="1"/>
  <c r="AT4230" i="1"/>
  <c r="AT4229" i="1"/>
  <c r="AT4228" i="1"/>
  <c r="AT4227" i="1"/>
  <c r="AT4226" i="1"/>
  <c r="AT4225" i="1"/>
  <c r="AT4224" i="1"/>
  <c r="AT4223" i="1"/>
  <c r="AS1442" i="1"/>
  <c r="AT1442" i="1"/>
  <c r="AS1443" i="1"/>
  <c r="AT1443" i="1"/>
  <c r="AS1444" i="1"/>
  <c r="AT1444" i="1"/>
  <c r="AS1445" i="1"/>
  <c r="AT1445" i="1"/>
  <c r="AS1446" i="1"/>
  <c r="AT1446" i="1"/>
  <c r="AS1447" i="1"/>
  <c r="AT1447" i="1"/>
  <c r="AS1448" i="1"/>
  <c r="AT1448" i="1"/>
  <c r="AS1449" i="1"/>
  <c r="AT1449" i="1"/>
  <c r="AS1450" i="1"/>
  <c r="AT1450" i="1"/>
  <c r="AS1451" i="1"/>
  <c r="AT1451" i="1"/>
  <c r="AS1452" i="1"/>
  <c r="AT1452" i="1"/>
  <c r="AS1453" i="1"/>
  <c r="AT1453" i="1"/>
  <c r="AS1454" i="1"/>
  <c r="AT1454" i="1"/>
  <c r="AS1455" i="1"/>
  <c r="AT1455" i="1"/>
  <c r="AS1456" i="1"/>
  <c r="AT1456" i="1"/>
  <c r="AS1457" i="1"/>
  <c r="AT1457" i="1"/>
  <c r="AS1458" i="1"/>
  <c r="AT1458" i="1"/>
  <c r="AS1459" i="1"/>
  <c r="AT1459" i="1"/>
  <c r="AS1460" i="1"/>
  <c r="AT1460" i="1"/>
  <c r="AS1461" i="1"/>
  <c r="AT1461" i="1"/>
  <c r="AS1462" i="1"/>
  <c r="AT1462" i="1"/>
  <c r="AS1463" i="1"/>
  <c r="AT1463" i="1"/>
  <c r="AS1464" i="1"/>
  <c r="AT1464" i="1"/>
  <c r="AS1465" i="1"/>
  <c r="AT1465" i="1"/>
  <c r="AS1466" i="1"/>
  <c r="AT1466" i="1"/>
  <c r="AS1467" i="1"/>
  <c r="AT1467" i="1"/>
  <c r="AS1468" i="1"/>
  <c r="AT1468" i="1"/>
  <c r="AS1469" i="1"/>
  <c r="AT1469" i="1"/>
  <c r="AS1470" i="1"/>
  <c r="AT1470" i="1"/>
  <c r="AS1471" i="1"/>
  <c r="AT1471" i="1"/>
  <c r="AS1472" i="1"/>
  <c r="AT1472" i="1"/>
  <c r="AS1473" i="1"/>
  <c r="AT1473" i="1"/>
  <c r="AS1474" i="1"/>
  <c r="AT1474" i="1"/>
  <c r="AS1475" i="1"/>
  <c r="AT1475" i="1"/>
  <c r="AS1476" i="1"/>
  <c r="AT1476" i="1"/>
  <c r="AS1477" i="1"/>
  <c r="AT1477" i="1"/>
  <c r="AS1478" i="1"/>
  <c r="AT1478" i="1"/>
  <c r="AS1479" i="1"/>
  <c r="AT1479" i="1"/>
  <c r="AS1480" i="1"/>
  <c r="AT1480" i="1"/>
  <c r="AS1481" i="1"/>
  <c r="AT1481" i="1"/>
  <c r="AS1482" i="1"/>
  <c r="AT1482" i="1"/>
  <c r="AS1483" i="1"/>
  <c r="AT1483" i="1"/>
  <c r="AS1484" i="1"/>
  <c r="AT1484" i="1"/>
  <c r="AS1485" i="1"/>
  <c r="AT1485" i="1"/>
  <c r="AS1486" i="1"/>
  <c r="AT1486" i="1"/>
  <c r="AS1487" i="1"/>
  <c r="AT1487" i="1"/>
  <c r="AS1488" i="1"/>
  <c r="AT1488" i="1"/>
  <c r="AS1489" i="1"/>
  <c r="AT1489" i="1"/>
  <c r="AS1490" i="1"/>
  <c r="AT1490" i="1"/>
  <c r="AS1491" i="1"/>
  <c r="AT1491" i="1"/>
  <c r="AS1492" i="1"/>
  <c r="AT1492" i="1"/>
  <c r="AS1493" i="1"/>
  <c r="AT1493" i="1"/>
  <c r="AS1494" i="1"/>
  <c r="AT1494" i="1"/>
  <c r="AS1495" i="1"/>
  <c r="AT1495" i="1"/>
  <c r="AS1496" i="1"/>
  <c r="AT1496" i="1"/>
  <c r="AS1497" i="1"/>
  <c r="AT1497" i="1"/>
  <c r="AS1498" i="1"/>
  <c r="AT1498" i="1"/>
  <c r="AS1499" i="1"/>
  <c r="AT1499" i="1"/>
  <c r="AS1500" i="1"/>
  <c r="AT1500" i="1"/>
  <c r="AS1501" i="1"/>
  <c r="AT1501" i="1"/>
  <c r="AS1502" i="1"/>
  <c r="AT1502" i="1"/>
  <c r="AS1503" i="1"/>
  <c r="AT1503" i="1"/>
  <c r="AS1504" i="1"/>
  <c r="AT1504" i="1"/>
  <c r="AS1505" i="1"/>
  <c r="AT1505" i="1"/>
  <c r="AS1506" i="1"/>
  <c r="AT1506" i="1"/>
  <c r="AS1507" i="1"/>
  <c r="AT1507" i="1"/>
  <c r="AS1508" i="1"/>
  <c r="AT1508" i="1"/>
  <c r="AS1509" i="1"/>
  <c r="AT1509" i="1"/>
  <c r="AS1510" i="1"/>
  <c r="AT1510" i="1"/>
  <c r="AS1511" i="1"/>
  <c r="AT1511" i="1"/>
  <c r="AS1512" i="1"/>
  <c r="AT1512" i="1"/>
  <c r="AS1513" i="1"/>
  <c r="AT1513" i="1"/>
  <c r="AS1514" i="1"/>
  <c r="AT1514" i="1"/>
  <c r="AS1515" i="1"/>
  <c r="AT1515" i="1"/>
  <c r="AS1516" i="1"/>
  <c r="AT1516" i="1"/>
  <c r="AS1517" i="1"/>
  <c r="AT1517" i="1"/>
  <c r="AS1518" i="1"/>
  <c r="AT1518" i="1"/>
  <c r="AS1519" i="1"/>
  <c r="AT1519" i="1"/>
  <c r="AS1520" i="1"/>
  <c r="AT1520" i="1"/>
  <c r="AS1521" i="1"/>
  <c r="AT1521" i="1"/>
  <c r="AS1522" i="1"/>
  <c r="AT1522" i="1"/>
  <c r="AS1523" i="1"/>
  <c r="AT1523" i="1"/>
  <c r="AS1524" i="1"/>
  <c r="AT1524" i="1"/>
  <c r="AS1525" i="1"/>
  <c r="AT1525" i="1"/>
  <c r="AT2090" i="1"/>
  <c r="AS2090" i="1"/>
  <c r="AT2089" i="1"/>
  <c r="AS2089" i="1"/>
  <c r="AT2088" i="1"/>
  <c r="AS2088" i="1"/>
  <c r="AT2087" i="1"/>
  <c r="AS2087" i="1"/>
  <c r="AT2086" i="1"/>
  <c r="AS2086" i="1"/>
  <c r="AT2085" i="1"/>
  <c r="AS2085" i="1"/>
  <c r="AT2084" i="1"/>
  <c r="AS2084" i="1"/>
  <c r="AT2083" i="1"/>
  <c r="AS2083" i="1"/>
  <c r="AT2082" i="1"/>
  <c r="AS2082" i="1"/>
  <c r="AT2081" i="1"/>
  <c r="AS2081" i="1"/>
  <c r="AT2080" i="1"/>
  <c r="AS2080" i="1"/>
  <c r="AT2079" i="1"/>
  <c r="AS2079" i="1"/>
  <c r="AT2078" i="1"/>
  <c r="AS2078" i="1"/>
  <c r="AT2077" i="1"/>
  <c r="AS2077" i="1"/>
  <c r="AT2076" i="1"/>
  <c r="AS2076" i="1"/>
  <c r="AT2075" i="1"/>
  <c r="AS2075" i="1"/>
  <c r="AT2074" i="1"/>
  <c r="AS2074" i="1"/>
  <c r="AT2073" i="1"/>
  <c r="AS2073" i="1"/>
  <c r="AT2072" i="1"/>
  <c r="AS2072" i="1"/>
  <c r="AT2071" i="1"/>
  <c r="AS2071" i="1"/>
  <c r="AT2070" i="1"/>
  <c r="AS2070" i="1"/>
  <c r="AT2069" i="1"/>
  <c r="AS2069" i="1"/>
  <c r="AT2068" i="1"/>
  <c r="AS2068" i="1"/>
  <c r="AT2067" i="1"/>
  <c r="AS2067" i="1"/>
  <c r="AT2066" i="1"/>
  <c r="AS2066" i="1"/>
  <c r="AT2065" i="1"/>
  <c r="AS2065" i="1"/>
  <c r="AT2064" i="1"/>
  <c r="AS2064" i="1"/>
  <c r="AT2063" i="1"/>
  <c r="AS2063" i="1"/>
  <c r="AT2062" i="1"/>
  <c r="AS2062" i="1"/>
  <c r="AT2061" i="1"/>
  <c r="AS2061" i="1"/>
  <c r="AT2060" i="1"/>
  <c r="AS2060" i="1"/>
  <c r="AT2059" i="1"/>
  <c r="AS2059" i="1"/>
  <c r="AT2058" i="1"/>
  <c r="AS2058" i="1"/>
  <c r="AT2057" i="1"/>
  <c r="AS2057" i="1"/>
  <c r="AT2056" i="1"/>
  <c r="AS2056" i="1"/>
  <c r="AT2055" i="1"/>
  <c r="AS2055" i="1"/>
  <c r="AT2054" i="1"/>
  <c r="AS2054" i="1"/>
  <c r="AT2053" i="1"/>
  <c r="AS2053" i="1"/>
  <c r="AT2052" i="1"/>
  <c r="AS2052" i="1"/>
  <c r="AS2051" i="1"/>
  <c r="AT2050" i="1"/>
  <c r="AS2050" i="1"/>
  <c r="AT2049" i="1"/>
  <c r="AS2049" i="1"/>
  <c r="AT1651" i="1"/>
  <c r="AT1991" i="1"/>
  <c r="AS1611" i="1"/>
  <c r="AT1990" i="1"/>
  <c r="AT1989" i="1"/>
  <c r="AT1988" i="1"/>
  <c r="AT1987" i="1"/>
  <c r="AT1986" i="1"/>
  <c r="AT1985" i="1"/>
  <c r="AT1984" i="1"/>
  <c r="AT1983" i="1"/>
  <c r="AT1982" i="1"/>
  <c r="AT1981" i="1"/>
  <c r="AT1980" i="1"/>
  <c r="AT1979" i="1"/>
  <c r="AT1978" i="1"/>
  <c r="AT1977" i="1"/>
  <c r="AT1976" i="1"/>
  <c r="AT1975" i="1"/>
  <c r="AT1974" i="1"/>
  <c r="AT1973" i="1"/>
  <c r="AT1972" i="1"/>
  <c r="AT1971" i="1"/>
  <c r="AT1970" i="1"/>
  <c r="AT1969" i="1"/>
  <c r="AT1968" i="1"/>
  <c r="AT1967" i="1"/>
  <c r="AT1966" i="1"/>
  <c r="AT1965" i="1"/>
  <c r="AT1964" i="1"/>
  <c r="AT1963" i="1"/>
  <c r="AT1962" i="1"/>
  <c r="AT1961" i="1"/>
  <c r="AT1960" i="1"/>
  <c r="AT1959" i="1"/>
  <c r="AT1958" i="1"/>
  <c r="AT1957" i="1"/>
  <c r="AT1956" i="1"/>
  <c r="AT1955" i="1"/>
  <c r="AT1954" i="1"/>
  <c r="AT1953" i="1"/>
  <c r="AT1952" i="1"/>
  <c r="AT1951" i="1"/>
  <c r="AT1950" i="1"/>
  <c r="AT1949" i="1"/>
  <c r="AT1948" i="1"/>
  <c r="AT1947" i="1"/>
  <c r="AT1946" i="1"/>
  <c r="AT1945" i="1"/>
  <c r="AT1944" i="1"/>
  <c r="AT1943" i="1"/>
  <c r="AT1942" i="1"/>
  <c r="AT1941" i="1"/>
  <c r="AT1940" i="1"/>
  <c r="AT1939" i="1"/>
  <c r="AT1938" i="1"/>
  <c r="AT1937" i="1"/>
  <c r="AT1936" i="1"/>
  <c r="AT1935" i="1"/>
  <c r="AT1934" i="1"/>
  <c r="AT1933" i="1"/>
  <c r="AT1932" i="1"/>
  <c r="AT1931" i="1"/>
  <c r="AT1930" i="1"/>
  <c r="AT1929" i="1"/>
  <c r="AT1928" i="1"/>
  <c r="AT1927" i="1"/>
  <c r="AT1926" i="1"/>
  <c r="AT1925" i="1"/>
  <c r="AT1924" i="1"/>
  <c r="AT1923" i="1"/>
  <c r="AT1922" i="1"/>
  <c r="AT1921" i="1"/>
  <c r="AT1920" i="1"/>
  <c r="AT1919" i="1"/>
  <c r="AT1918" i="1"/>
  <c r="AT1917" i="1"/>
  <c r="AT1916" i="1"/>
  <c r="AT1915" i="1"/>
  <c r="AT1914" i="1"/>
  <c r="AT1913" i="1"/>
  <c r="AT1912" i="1"/>
  <c r="AT1911" i="1"/>
  <c r="AT1910" i="1"/>
  <c r="AT1909" i="1"/>
  <c r="AT1908" i="1"/>
  <c r="AT1907" i="1"/>
  <c r="AT1906" i="1"/>
  <c r="AT1905" i="1"/>
  <c r="AT1904" i="1"/>
  <c r="AT1903" i="1"/>
  <c r="AT1902" i="1"/>
  <c r="AT1901" i="1"/>
  <c r="AT1900" i="1"/>
  <c r="AT1899" i="1"/>
  <c r="AT1898" i="1"/>
  <c r="AT1897" i="1"/>
  <c r="AT1896" i="1"/>
  <c r="AT1895" i="1"/>
  <c r="AT1894" i="1"/>
  <c r="AT1893" i="1"/>
  <c r="AT1892" i="1"/>
  <c r="AT1891" i="1"/>
  <c r="AT1890" i="1"/>
  <c r="AT1889" i="1"/>
  <c r="AT1888" i="1"/>
  <c r="AT1887" i="1"/>
  <c r="AT1886" i="1"/>
  <c r="AT1885" i="1"/>
  <c r="AT1884" i="1"/>
  <c r="AT1883" i="1"/>
  <c r="AT1882" i="1"/>
  <c r="AT1881" i="1"/>
  <c r="AT1880" i="1"/>
  <c r="AT1879" i="1"/>
  <c r="AT1878" i="1"/>
  <c r="AT1877" i="1"/>
  <c r="AT1876" i="1"/>
  <c r="AT1875" i="1"/>
  <c r="AT1874" i="1"/>
  <c r="AT1873" i="1"/>
  <c r="AT1872" i="1"/>
  <c r="AT1871" i="1"/>
  <c r="AT1870" i="1"/>
  <c r="AT1869" i="1"/>
  <c r="AT1868" i="1"/>
  <c r="AT1867" i="1"/>
  <c r="AT1866" i="1"/>
  <c r="AT1865" i="1"/>
  <c r="AT1864" i="1"/>
  <c r="AT1863" i="1"/>
  <c r="AT1862" i="1"/>
  <c r="AT1861" i="1"/>
  <c r="AT1860" i="1"/>
  <c r="AT1859" i="1"/>
  <c r="AT1858" i="1"/>
  <c r="AT1857" i="1"/>
  <c r="AT1856" i="1"/>
  <c r="AT1855" i="1"/>
  <c r="AT1854" i="1"/>
  <c r="AT1853" i="1"/>
  <c r="AT1852" i="1"/>
  <c r="AT1851" i="1"/>
  <c r="AT1850" i="1"/>
  <c r="AT1849" i="1"/>
  <c r="AT1848" i="1"/>
  <c r="AT1847" i="1"/>
  <c r="AT1846" i="1"/>
  <c r="AT1845" i="1"/>
  <c r="AT1844" i="1"/>
  <c r="AT1843" i="1"/>
  <c r="AT1842" i="1"/>
  <c r="AT1841" i="1"/>
  <c r="AT1840" i="1"/>
  <c r="AT1839" i="1"/>
  <c r="AT1838" i="1"/>
  <c r="AT1837" i="1"/>
  <c r="AT1836" i="1"/>
  <c r="AT1835" i="1"/>
  <c r="AT1834" i="1"/>
  <c r="AT1833" i="1"/>
  <c r="AT1832" i="1"/>
  <c r="AT1831" i="1"/>
  <c r="AT1830" i="1"/>
  <c r="AT1829" i="1"/>
  <c r="AT1828" i="1"/>
  <c r="AT1827" i="1"/>
  <c r="AT1826" i="1"/>
  <c r="AT1825" i="1"/>
  <c r="AT1824" i="1"/>
  <c r="AT1823" i="1"/>
  <c r="AT1822" i="1"/>
  <c r="AT1821" i="1"/>
  <c r="AT1820" i="1"/>
  <c r="AT1819" i="1"/>
  <c r="AT1818" i="1"/>
  <c r="AT1817" i="1"/>
  <c r="AT1816" i="1"/>
  <c r="AT1815" i="1"/>
  <c r="AT1814" i="1"/>
  <c r="AT1813" i="1"/>
  <c r="AT1812" i="1"/>
  <c r="AT1811" i="1"/>
  <c r="AT1810" i="1"/>
  <c r="AT1809" i="1"/>
  <c r="AT1808" i="1"/>
  <c r="AT1807" i="1"/>
  <c r="AT1806" i="1"/>
  <c r="AT1805" i="1"/>
  <c r="AT1804" i="1"/>
  <c r="AT1803" i="1"/>
  <c r="AT1802" i="1"/>
  <c r="AT1801" i="1"/>
  <c r="AT1800" i="1"/>
  <c r="AT1799" i="1"/>
  <c r="AT1798" i="1"/>
  <c r="AT1797" i="1"/>
  <c r="AT1796" i="1"/>
  <c r="AT1795" i="1"/>
  <c r="AT1794" i="1"/>
  <c r="AT1793" i="1"/>
  <c r="AT1792" i="1"/>
  <c r="AT1791" i="1"/>
  <c r="AT1790" i="1"/>
  <c r="AT1789" i="1"/>
  <c r="AT1788" i="1"/>
  <c r="AT1787" i="1"/>
  <c r="AT1786" i="1"/>
  <c r="AT1785" i="1"/>
  <c r="AT1784" i="1"/>
  <c r="AT1783" i="1"/>
  <c r="AT1782" i="1"/>
  <c r="AT1781" i="1"/>
  <c r="AT1780" i="1"/>
  <c r="AT1779" i="1"/>
  <c r="AT1778" i="1"/>
  <c r="AT1777" i="1"/>
  <c r="AT1776" i="1"/>
  <c r="AT1775" i="1"/>
  <c r="AT1774" i="1"/>
  <c r="AT1773" i="1"/>
  <c r="AT1772" i="1"/>
  <c r="AT1771" i="1"/>
  <c r="AT1770" i="1"/>
  <c r="AT1769" i="1"/>
  <c r="AT1768" i="1"/>
  <c r="AT1767" i="1"/>
  <c r="AT1766" i="1"/>
  <c r="AT1765" i="1"/>
  <c r="AT1764" i="1"/>
  <c r="AT1763" i="1"/>
  <c r="AT1762" i="1"/>
  <c r="AT1761" i="1"/>
  <c r="AT1760" i="1"/>
  <c r="AT1759" i="1"/>
  <c r="AT1758" i="1"/>
  <c r="AT1757" i="1"/>
  <c r="AT1756" i="1"/>
  <c r="AT1755" i="1"/>
  <c r="AT1754" i="1"/>
  <c r="AT1753" i="1"/>
  <c r="AT1752" i="1"/>
  <c r="AT1751" i="1"/>
  <c r="AT1750" i="1"/>
  <c r="AT1749" i="1"/>
  <c r="AT1748" i="1"/>
  <c r="AT1747" i="1"/>
  <c r="AT1746" i="1"/>
  <c r="AT1745" i="1"/>
  <c r="AT1744" i="1"/>
  <c r="AT1743" i="1"/>
  <c r="AT1742" i="1"/>
  <c r="AT1741" i="1"/>
  <c r="AT1740" i="1"/>
  <c r="AT1739" i="1"/>
  <c r="AT1738" i="1"/>
  <c r="AT1737" i="1"/>
  <c r="AT1736" i="1"/>
  <c r="AT1735" i="1"/>
  <c r="AT1734" i="1"/>
  <c r="AT1733" i="1"/>
  <c r="AT1732" i="1"/>
  <c r="AT1731" i="1"/>
  <c r="AT1730" i="1"/>
  <c r="AT1729" i="1"/>
  <c r="AT1728" i="1"/>
  <c r="AT1727" i="1"/>
  <c r="AT1726" i="1"/>
  <c r="AT1725" i="1"/>
  <c r="AT1724" i="1"/>
  <c r="AT1723" i="1"/>
  <c r="AT1722" i="1"/>
  <c r="AT1721" i="1"/>
  <c r="AT1720" i="1"/>
  <c r="AT1719" i="1"/>
  <c r="AT1718" i="1"/>
  <c r="AT1717" i="1"/>
  <c r="AT1716" i="1"/>
  <c r="AT1715" i="1"/>
  <c r="AT1714" i="1"/>
  <c r="AT1713" i="1"/>
  <c r="AT1712" i="1"/>
  <c r="AT1711" i="1"/>
  <c r="AT1710" i="1"/>
  <c r="AT1709" i="1"/>
  <c r="AT1708" i="1"/>
  <c r="AT1707" i="1"/>
  <c r="AT1706" i="1"/>
  <c r="AT1705" i="1"/>
  <c r="AT1704" i="1"/>
  <c r="AT1703" i="1"/>
  <c r="AT1702" i="1"/>
  <c r="AT1701" i="1"/>
  <c r="AT1700" i="1"/>
  <c r="AT1699" i="1"/>
  <c r="AT1698" i="1"/>
  <c r="AT1697" i="1"/>
  <c r="AT1696" i="1"/>
  <c r="AT1695" i="1"/>
  <c r="AT1694" i="1"/>
  <c r="AT1693" i="1"/>
  <c r="AT1692" i="1"/>
  <c r="AT1691" i="1"/>
  <c r="AT1690" i="1"/>
  <c r="AT1689" i="1"/>
  <c r="AT1688" i="1"/>
  <c r="AT1687" i="1"/>
  <c r="AT1686" i="1"/>
  <c r="AT1685" i="1"/>
  <c r="AT1684" i="1"/>
  <c r="AT1683" i="1"/>
  <c r="AT1682" i="1"/>
  <c r="AT1681" i="1"/>
  <c r="AT1680" i="1"/>
  <c r="AT1679" i="1"/>
  <c r="AT1678" i="1"/>
  <c r="AT1677" i="1"/>
  <c r="AT1676" i="1"/>
  <c r="AT1675" i="1"/>
  <c r="AT1674" i="1"/>
  <c r="AT1673" i="1"/>
  <c r="AT1672" i="1"/>
  <c r="AT1671" i="1"/>
  <c r="AT1670" i="1"/>
  <c r="AT1669" i="1"/>
  <c r="AT1668" i="1"/>
  <c r="AT1667" i="1"/>
  <c r="AT1666" i="1"/>
  <c r="AT1665" i="1"/>
  <c r="AT1664" i="1"/>
  <c r="AT1663" i="1"/>
  <c r="AT1662" i="1"/>
  <c r="AT1661" i="1"/>
  <c r="AT1660" i="1"/>
  <c r="AT1659" i="1"/>
  <c r="AT1658" i="1"/>
  <c r="AT1657" i="1"/>
  <c r="AT1656" i="1"/>
  <c r="AT1655" i="1"/>
  <c r="AT1654" i="1"/>
  <c r="AT1653" i="1"/>
  <c r="AT1652" i="1"/>
  <c r="AT1650" i="1"/>
  <c r="AT1649" i="1"/>
  <c r="AT1648" i="1"/>
  <c r="AT1647" i="1"/>
  <c r="AT1646" i="1"/>
  <c r="AT1645" i="1"/>
  <c r="AT1644" i="1"/>
  <c r="AT1643" i="1"/>
  <c r="AT1642" i="1"/>
  <c r="AT1641" i="1"/>
  <c r="AT1640" i="1"/>
  <c r="AT1639" i="1"/>
  <c r="AT1638" i="1"/>
  <c r="AT1637" i="1"/>
  <c r="AT1636" i="1"/>
  <c r="AT1635" i="1"/>
  <c r="AT1634" i="1"/>
  <c r="AT1633" i="1"/>
  <c r="AT1632" i="1"/>
  <c r="AT1631" i="1"/>
  <c r="AT1630" i="1"/>
  <c r="AT1629" i="1"/>
  <c r="AT1628" i="1"/>
  <c r="AT1627" i="1"/>
  <c r="AT1626" i="1"/>
  <c r="AT1625" i="1"/>
  <c r="AT1624" i="1"/>
  <c r="AT1623" i="1"/>
  <c r="AT1622" i="1"/>
  <c r="AT1621" i="1"/>
  <c r="AT1620" i="1"/>
  <c r="AT1619" i="1"/>
  <c r="AT1618" i="1"/>
  <c r="AT1617" i="1"/>
  <c r="AT1616" i="1"/>
  <c r="AT1615" i="1"/>
  <c r="AT1614" i="1"/>
  <c r="AT1613" i="1"/>
  <c r="AT1612" i="1"/>
  <c r="AT1611" i="1"/>
  <c r="AT1610" i="1"/>
  <c r="AT1609" i="1"/>
  <c r="AT1608" i="1"/>
  <c r="AT1607" i="1"/>
  <c r="AT1606" i="1"/>
  <c r="AT1605" i="1"/>
  <c r="AT1604" i="1"/>
  <c r="AT1603" i="1"/>
  <c r="AT1602" i="1"/>
  <c r="AT1601" i="1"/>
  <c r="AT1600" i="1"/>
  <c r="AT1599" i="1"/>
  <c r="AT1598" i="1"/>
  <c r="AT1597" i="1"/>
  <c r="AT1596" i="1"/>
  <c r="AT1595" i="1"/>
  <c r="AT1594" i="1"/>
  <c r="AT1593" i="1"/>
  <c r="AT1592" i="1"/>
  <c r="AT1591" i="1"/>
  <c r="AT1590" i="1"/>
  <c r="AT1589" i="1"/>
  <c r="AS1990" i="1"/>
  <c r="AS1989" i="1"/>
  <c r="AS1988" i="1"/>
  <c r="AS1987" i="1"/>
  <c r="AS1986" i="1"/>
  <c r="AS1985" i="1"/>
  <c r="AS1984" i="1"/>
  <c r="AS1983" i="1"/>
  <c r="AS1982" i="1"/>
  <c r="AS1981" i="1"/>
  <c r="AS1980" i="1"/>
  <c r="AS1979" i="1"/>
  <c r="AS1978" i="1"/>
  <c r="AS1977" i="1"/>
  <c r="AS1976" i="1"/>
  <c r="AS1975" i="1"/>
  <c r="AS1974" i="1"/>
  <c r="AS1973" i="1"/>
  <c r="AS1972" i="1"/>
  <c r="AS1971" i="1"/>
  <c r="AS1970" i="1"/>
  <c r="AS1969" i="1"/>
  <c r="AS1968" i="1"/>
  <c r="AS1967" i="1"/>
  <c r="AS1966" i="1"/>
  <c r="AS1965" i="1"/>
  <c r="AS1964" i="1"/>
  <c r="AS1963" i="1"/>
  <c r="AS1962" i="1"/>
  <c r="AS1961" i="1"/>
  <c r="AS1960" i="1"/>
  <c r="AS1959" i="1"/>
  <c r="AS1958" i="1"/>
  <c r="AS1957" i="1"/>
  <c r="AS1956" i="1"/>
  <c r="AS1955" i="1"/>
  <c r="AS1954" i="1"/>
  <c r="AS1953" i="1"/>
  <c r="AS1952" i="1"/>
  <c r="AS1951" i="1"/>
  <c r="AS1950" i="1"/>
  <c r="AS1949" i="1"/>
  <c r="AS1948" i="1"/>
  <c r="AS1947" i="1"/>
  <c r="AS1946" i="1"/>
  <c r="AS1945" i="1"/>
  <c r="AS1944" i="1"/>
  <c r="AS1943" i="1"/>
  <c r="AS1942" i="1"/>
  <c r="AS1941" i="1"/>
  <c r="AS1940" i="1"/>
  <c r="AS1939" i="1"/>
  <c r="AS1938" i="1"/>
  <c r="AS1937" i="1"/>
  <c r="AS1936" i="1"/>
  <c r="AS1935" i="1"/>
  <c r="AS1934" i="1"/>
  <c r="AS1933" i="1"/>
  <c r="AS1932" i="1"/>
  <c r="AS1931" i="1"/>
  <c r="AS1930" i="1"/>
  <c r="AS1929" i="1"/>
  <c r="AS1928" i="1"/>
  <c r="AS1927" i="1"/>
  <c r="AS1926" i="1"/>
  <c r="AS1925" i="1"/>
  <c r="AS1924" i="1"/>
  <c r="AS1923" i="1"/>
  <c r="AS1922" i="1"/>
  <c r="AS1921" i="1"/>
  <c r="AS1920" i="1"/>
  <c r="AS1919" i="1"/>
  <c r="AS1918" i="1"/>
  <c r="AS1917" i="1"/>
  <c r="AS1916" i="1"/>
  <c r="AS1915" i="1"/>
  <c r="AS1914" i="1"/>
  <c r="AS1913" i="1"/>
  <c r="AS1912" i="1"/>
  <c r="AS1911" i="1"/>
  <c r="AS1910" i="1"/>
  <c r="AS1909" i="1"/>
  <c r="AS1908" i="1"/>
  <c r="AS1907" i="1"/>
  <c r="AS1906" i="1"/>
  <c r="AS1905" i="1"/>
  <c r="AS1904" i="1"/>
  <c r="AS1903" i="1"/>
  <c r="AS1902" i="1"/>
  <c r="AS1901" i="1"/>
  <c r="AS1900" i="1"/>
  <c r="AS1899" i="1"/>
  <c r="AS1898" i="1"/>
  <c r="AS1897" i="1"/>
  <c r="AS1896" i="1"/>
  <c r="AS1895" i="1"/>
  <c r="AS1894" i="1"/>
  <c r="AS1893" i="1"/>
  <c r="AS1892" i="1"/>
  <c r="AS1891" i="1"/>
  <c r="AS1890" i="1"/>
  <c r="AS1889" i="1"/>
  <c r="AS1888" i="1"/>
  <c r="AS1887" i="1"/>
  <c r="AS1886" i="1"/>
  <c r="AS1885" i="1"/>
  <c r="AS1884" i="1"/>
  <c r="AS1883" i="1"/>
  <c r="AS1882" i="1"/>
  <c r="AS1881" i="1"/>
  <c r="AS1880" i="1"/>
  <c r="AS1879" i="1"/>
  <c r="AS1878" i="1"/>
  <c r="AS1877" i="1"/>
  <c r="AS1876" i="1"/>
  <c r="AS1875" i="1"/>
  <c r="AS1874" i="1"/>
  <c r="AS1873" i="1"/>
  <c r="AS1872" i="1"/>
  <c r="AS1871" i="1"/>
  <c r="AS1870" i="1"/>
  <c r="AS1869" i="1"/>
  <c r="AS1868" i="1"/>
  <c r="AS1867" i="1"/>
  <c r="AS1866" i="1"/>
  <c r="AS1865" i="1"/>
  <c r="AS1864" i="1"/>
  <c r="AS1863" i="1"/>
  <c r="AS1862" i="1"/>
  <c r="AS1861" i="1"/>
  <c r="AS1860" i="1"/>
  <c r="AS1859" i="1"/>
  <c r="AS1858" i="1"/>
  <c r="AS1857" i="1"/>
  <c r="AS1856" i="1"/>
  <c r="AS1855" i="1"/>
  <c r="AS1854" i="1"/>
  <c r="AS1853" i="1"/>
  <c r="AS1852" i="1"/>
  <c r="AS1851" i="1"/>
  <c r="AS1850" i="1"/>
  <c r="AS1849" i="1"/>
  <c r="AS1848" i="1"/>
  <c r="AS1847" i="1"/>
  <c r="AS1846" i="1"/>
  <c r="AS1845" i="1"/>
  <c r="AS1844" i="1"/>
  <c r="AS1843" i="1"/>
  <c r="AS1842" i="1"/>
  <c r="AS1841" i="1"/>
  <c r="AS1840" i="1"/>
  <c r="AS1839" i="1"/>
  <c r="AS1838" i="1"/>
  <c r="AS1837" i="1"/>
  <c r="AS1836" i="1"/>
  <c r="AS1835" i="1"/>
  <c r="AS1834" i="1"/>
  <c r="AS1833" i="1"/>
  <c r="AS1832" i="1"/>
  <c r="AS1831" i="1"/>
  <c r="AS1830" i="1"/>
  <c r="AS1829" i="1"/>
  <c r="AS1828" i="1"/>
  <c r="AS1827" i="1"/>
  <c r="AS1826" i="1"/>
  <c r="AS1825" i="1"/>
  <c r="AS1824" i="1"/>
  <c r="AS1823" i="1"/>
  <c r="AS1822" i="1"/>
  <c r="AS1821" i="1"/>
  <c r="AS1820" i="1"/>
  <c r="AS1819" i="1"/>
  <c r="AS1818" i="1"/>
  <c r="AS1817" i="1"/>
  <c r="AS1816" i="1"/>
  <c r="AS1815" i="1"/>
  <c r="AS1814" i="1"/>
  <c r="AS1813" i="1"/>
  <c r="AS1812" i="1"/>
  <c r="AS1811" i="1"/>
  <c r="AS1810" i="1"/>
  <c r="AS1809" i="1"/>
  <c r="AS1808" i="1"/>
  <c r="AS1807" i="1"/>
  <c r="AS1806" i="1"/>
  <c r="AS1805" i="1"/>
  <c r="AS1804" i="1"/>
  <c r="AS1803" i="1"/>
  <c r="AS1802" i="1"/>
  <c r="AS1801" i="1"/>
  <c r="AS1800" i="1"/>
  <c r="AS1799" i="1"/>
  <c r="AS1798" i="1"/>
  <c r="AS1797" i="1"/>
  <c r="AS1796" i="1"/>
  <c r="AS1795" i="1"/>
  <c r="AS1794" i="1"/>
  <c r="AS1793" i="1"/>
  <c r="AS1792" i="1"/>
  <c r="AS1791" i="1"/>
  <c r="AS1790" i="1"/>
  <c r="AS1789" i="1"/>
  <c r="AS1788" i="1"/>
  <c r="AS1787" i="1"/>
  <c r="AS1786" i="1"/>
  <c r="AS1785" i="1"/>
  <c r="AS1784" i="1"/>
  <c r="AS1783" i="1"/>
  <c r="AS1782" i="1"/>
  <c r="AS1781" i="1"/>
  <c r="AS1780" i="1"/>
  <c r="AS1779" i="1"/>
  <c r="AS1778" i="1"/>
  <c r="AS1777" i="1"/>
  <c r="AS1776" i="1"/>
  <c r="AS1775" i="1"/>
  <c r="AS1774" i="1"/>
  <c r="AS1773" i="1"/>
  <c r="AS1772" i="1"/>
  <c r="AS1771" i="1"/>
  <c r="AS1770" i="1"/>
  <c r="AS1769" i="1"/>
  <c r="AS1768" i="1"/>
  <c r="AS1767" i="1"/>
  <c r="AS1766" i="1"/>
  <c r="AS1765" i="1"/>
  <c r="AS1764" i="1"/>
  <c r="AS1763" i="1"/>
  <c r="AS1762" i="1"/>
  <c r="AS1761" i="1"/>
  <c r="AS1760" i="1"/>
  <c r="AS1759" i="1"/>
  <c r="AS1758" i="1"/>
  <c r="AS1757" i="1"/>
  <c r="AS1756" i="1"/>
  <c r="AS1755" i="1"/>
  <c r="AS1754" i="1"/>
  <c r="AS1753" i="1"/>
  <c r="AS1752" i="1"/>
  <c r="AS1751" i="1"/>
  <c r="AS1750" i="1"/>
  <c r="AS1749" i="1"/>
  <c r="AS1748" i="1"/>
  <c r="AS1747" i="1"/>
  <c r="AS1746" i="1"/>
  <c r="AS1745" i="1"/>
  <c r="AS1744" i="1"/>
  <c r="AS1743" i="1"/>
  <c r="AS1742" i="1"/>
  <c r="AS1741" i="1"/>
  <c r="AS1740" i="1"/>
  <c r="AS1739" i="1"/>
  <c r="AS1738" i="1"/>
  <c r="AS1737" i="1"/>
  <c r="AS1736" i="1"/>
  <c r="AS1735" i="1"/>
  <c r="AS1734" i="1"/>
  <c r="AS1733" i="1"/>
  <c r="AS1732" i="1"/>
  <c r="AS1731" i="1"/>
  <c r="AS1730" i="1"/>
  <c r="AS1729" i="1"/>
  <c r="AS1728" i="1"/>
  <c r="AS1727" i="1"/>
  <c r="AS1726" i="1"/>
  <c r="AS1725" i="1"/>
  <c r="AS1724" i="1"/>
  <c r="AS1723" i="1"/>
  <c r="AS1722" i="1"/>
  <c r="AS1721" i="1"/>
  <c r="AS1720" i="1"/>
  <c r="AS1719" i="1"/>
  <c r="AS1718" i="1"/>
  <c r="AS1717" i="1"/>
  <c r="AS1716" i="1"/>
  <c r="AS1715" i="1"/>
  <c r="AS1714" i="1"/>
  <c r="AS1713" i="1"/>
  <c r="AS1712" i="1"/>
  <c r="AS1711" i="1"/>
  <c r="AS1710" i="1"/>
  <c r="AS1709" i="1"/>
  <c r="AS1708" i="1"/>
  <c r="AS1707" i="1"/>
  <c r="AS1706" i="1"/>
  <c r="AS1705" i="1"/>
  <c r="AS1704" i="1"/>
  <c r="AS1703" i="1"/>
  <c r="AS1702" i="1"/>
  <c r="AS1701" i="1"/>
  <c r="AS1700" i="1"/>
  <c r="AS1699" i="1"/>
  <c r="AS1698" i="1"/>
  <c r="AS1697" i="1"/>
  <c r="AS1696" i="1"/>
  <c r="AS1695" i="1"/>
  <c r="AS1694" i="1"/>
  <c r="AS1693" i="1"/>
  <c r="AS1692" i="1"/>
  <c r="AS1691" i="1"/>
  <c r="AS1690" i="1"/>
  <c r="AS1689" i="1"/>
  <c r="AS1688" i="1"/>
  <c r="AS1687" i="1"/>
  <c r="AS1686" i="1"/>
  <c r="AS1685" i="1"/>
  <c r="AS1684" i="1"/>
  <c r="AS1683" i="1"/>
  <c r="AS1682" i="1"/>
  <c r="AS1681" i="1"/>
  <c r="AS1680" i="1"/>
  <c r="AS1679" i="1"/>
  <c r="AS1678" i="1"/>
  <c r="AS1677" i="1"/>
  <c r="AS1676" i="1"/>
  <c r="AS1675" i="1"/>
  <c r="AS1674" i="1"/>
  <c r="AS1673" i="1"/>
  <c r="AS1672" i="1"/>
  <c r="AS1671" i="1"/>
  <c r="AS1670" i="1"/>
  <c r="AS1669" i="1"/>
  <c r="AS1668" i="1"/>
  <c r="AS1667" i="1"/>
  <c r="AS1666" i="1"/>
  <c r="AS1665" i="1"/>
  <c r="AS1664" i="1"/>
  <c r="AS1663" i="1"/>
  <c r="AS1662" i="1"/>
  <c r="AS1661" i="1"/>
  <c r="AS1660" i="1"/>
  <c r="AS1659" i="1"/>
  <c r="AS1658" i="1"/>
  <c r="AS1657" i="1"/>
  <c r="AS1656" i="1"/>
  <c r="AS1655" i="1"/>
  <c r="AS1654" i="1"/>
  <c r="AS1653" i="1"/>
  <c r="AS1652" i="1"/>
  <c r="AS1651" i="1"/>
  <c r="AS1650" i="1"/>
  <c r="AS1649" i="1"/>
  <c r="AS1648" i="1"/>
  <c r="AS1647" i="1"/>
  <c r="AS1646" i="1"/>
  <c r="AS1645" i="1"/>
  <c r="AS1644" i="1"/>
  <c r="AS1643" i="1"/>
  <c r="AS1642" i="1"/>
  <c r="AS1641" i="1"/>
  <c r="AS1640" i="1"/>
  <c r="AS1639" i="1"/>
  <c r="AS1638" i="1"/>
  <c r="AS1637" i="1"/>
  <c r="AS1636" i="1"/>
  <c r="AS1635" i="1"/>
  <c r="AS1634" i="1"/>
  <c r="AS1633" i="1"/>
  <c r="AS1632" i="1"/>
  <c r="AS1631" i="1"/>
  <c r="AS1630" i="1"/>
  <c r="AS1629" i="1"/>
  <c r="AS1628" i="1"/>
  <c r="AS1627" i="1"/>
  <c r="AS1626" i="1"/>
  <c r="AS1625" i="1"/>
  <c r="AS1624" i="1"/>
  <c r="AS1623" i="1"/>
  <c r="AS1622" i="1"/>
  <c r="AS1621" i="1"/>
  <c r="AS1620" i="1"/>
  <c r="AS1619" i="1"/>
  <c r="AS1618" i="1"/>
  <c r="AS1617" i="1"/>
  <c r="AS1616" i="1"/>
  <c r="AS1615" i="1"/>
  <c r="AS1614" i="1"/>
  <c r="AS1613" i="1"/>
  <c r="AS1612" i="1"/>
  <c r="AS1610" i="1"/>
  <c r="AS1609" i="1"/>
  <c r="AS1608" i="1"/>
  <c r="AS1607" i="1"/>
  <c r="AS1606" i="1"/>
  <c r="AS1605" i="1"/>
  <c r="AS1604" i="1"/>
  <c r="AS1603" i="1"/>
  <c r="AS1602" i="1"/>
  <c r="AS1601" i="1"/>
  <c r="AS1600" i="1"/>
  <c r="AS1599" i="1"/>
  <c r="AS1598" i="1"/>
  <c r="AS1597" i="1"/>
  <c r="AS1596" i="1"/>
  <c r="AS1595" i="1"/>
  <c r="AS1594" i="1"/>
  <c r="AS1593" i="1"/>
  <c r="AS1592" i="1"/>
  <c r="AS1591" i="1"/>
  <c r="AS1590" i="1"/>
  <c r="AS1589" i="1"/>
  <c r="AT4334" i="1" l="1"/>
  <c r="AW4334" i="1"/>
  <c r="AY4334" i="1" s="1"/>
  <c r="AS4334" i="1"/>
  <c r="BA4334" i="1" l="1"/>
  <c r="AZ43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tc={24E0FC36-D866-4E29-8012-7C5E62D32F6D}</author>
    <author>tc={03FB5374-F1AB-4B74-A2E4-BE3F89DC0BDA}</author>
    <author>tc={3317272A-B055-45A8-9A76-E75B7E1CD65B}</author>
  </authors>
  <commentList>
    <comment ref="AJ1624" authorId="0" shapeId="0" xr:uid="{24E0FC36-D866-4E29-8012-7C5E62D32F6D}">
      <text>
        <t>[Threaded comment]
Your version of Excel allows you to read this threaded comment; however, any edits to it will get removed if the file is opened in a newer version of Excel. Learn more: https://go.microsoft.com/fwlink/?linkid=870924
Comment:
    Converted from Survival to Reproduction</t>
      </text>
    </comment>
    <comment ref="J1637" authorId="1" shapeId="0" xr:uid="{03FB5374-F1AB-4B74-A2E4-BE3F89DC0BDA}">
      <text>
        <t>[Threaded comment]
Your version of Excel allows you to read this threaded comment; however, any edits to it will get removed if the file is opened in a newer version of Excel. Learn more: https://go.microsoft.com/fwlink/?linkid=870924
Comment:
    Recheck this article with Ant
Reply:
    Because there are several zooplankton species ehre</t>
      </text>
    </comment>
    <comment ref="AE1699" authorId="2" shapeId="0" xr:uid="{3317272A-B055-45A8-9A76-E75B7E1CD65B}">
      <text>
        <t>[Threaded comment]
Your version of Excel allows you to read this threaded comment; however, any edits to it will get removed if the file is opened in a newer version of Excel. Learn more: https://go.microsoft.com/fwlink/?linkid=870924
Comment:
    The early-summer experiment have different ppm tho</t>
      </text>
    </comment>
  </commentList>
</comments>
</file>

<file path=xl/sharedStrings.xml><?xml version="1.0" encoding="utf-8"?>
<sst xmlns="http://schemas.openxmlformats.org/spreadsheetml/2006/main" count="54295" uniqueCount="5132">
  <si>
    <t>ES_ID</t>
  </si>
  <si>
    <t>Study_ID</t>
  </si>
  <si>
    <t>pos</t>
  </si>
  <si>
    <t>Num_ID</t>
  </si>
  <si>
    <t>Author</t>
  </si>
  <si>
    <t>Year</t>
  </si>
  <si>
    <t>Title</t>
  </si>
  <si>
    <t>Country</t>
  </si>
  <si>
    <t>Site</t>
  </si>
  <si>
    <t xml:space="preserve">Ecosystem </t>
  </si>
  <si>
    <t>Ecosystem_category</t>
  </si>
  <si>
    <t>Ecosystem_type</t>
  </si>
  <si>
    <t>Latitude</t>
  </si>
  <si>
    <t>Longitude</t>
  </si>
  <si>
    <t>Treatment</t>
  </si>
  <si>
    <t>Duration</t>
  </si>
  <si>
    <t>Replication unit</t>
  </si>
  <si>
    <t>N_C</t>
  </si>
  <si>
    <t>N_T</t>
  </si>
  <si>
    <t>Other moderators</t>
  </si>
  <si>
    <t>C_value_CO2</t>
  </si>
  <si>
    <t>T_value_CO2</t>
  </si>
  <si>
    <t>Common_id</t>
  </si>
  <si>
    <t>CO2_LOG</t>
  </si>
  <si>
    <t>T_ambient</t>
  </si>
  <si>
    <t>Response_Biota</t>
  </si>
  <si>
    <t>Response_category</t>
  </si>
  <si>
    <t>Biota_Group</t>
  </si>
  <si>
    <t>Trophic_Level</t>
  </si>
  <si>
    <t>Biota_C</t>
  </si>
  <si>
    <t>Biota_C_sd</t>
  </si>
  <si>
    <t>Biota_T</t>
  </si>
  <si>
    <t>Biota_T_sd</t>
  </si>
  <si>
    <t>Data source</t>
  </si>
  <si>
    <t>China</t>
  </si>
  <si>
    <t>marine</t>
  </si>
  <si>
    <t>Marine</t>
  </si>
  <si>
    <t>Laboratory incubation</t>
  </si>
  <si>
    <t>eCO2</t>
  </si>
  <si>
    <t>Independent Experiment</t>
  </si>
  <si>
    <t>Growth</t>
  </si>
  <si>
    <t>Figure 4</t>
  </si>
  <si>
    <t>Metabolism</t>
  </si>
  <si>
    <t>Figure 5</t>
  </si>
  <si>
    <t>Figure 1</t>
  </si>
  <si>
    <t>Figure 3</t>
  </si>
  <si>
    <t>Norway</t>
  </si>
  <si>
    <t>Outdoor</t>
  </si>
  <si>
    <t>Figure 2</t>
  </si>
  <si>
    <t>USA</t>
  </si>
  <si>
    <t>Growth rate</t>
  </si>
  <si>
    <t>Sweden</t>
  </si>
  <si>
    <t>S106</t>
  </si>
  <si>
    <t>R9</t>
  </si>
  <si>
    <t>Meyers, Morgan T. et al., 2019</t>
  </si>
  <si>
    <t>Effect of ocean acidification on the nutritional quality of marine phytoplankton for copepod reproduction</t>
  </si>
  <si>
    <t>New Zealand</t>
  </si>
  <si>
    <t>Department of Botany, University of Otago, Dunedin, New Zealand</t>
  </si>
  <si>
    <t xml:space="preserve"> Copepod egg production rate (eggs female-1d-1) </t>
  </si>
  <si>
    <t>Reproduction</t>
  </si>
  <si>
    <t>Zooplankton</t>
  </si>
  <si>
    <t>Consumer</t>
  </si>
  <si>
    <t>S107</t>
  </si>
  <si>
    <t xml:space="preserve"> Copepod egg production rate (eggs female-1d-1)</t>
  </si>
  <si>
    <t>S108</t>
  </si>
  <si>
    <t xml:space="preserve"> Copepod percent hatching success(%)</t>
  </si>
  <si>
    <t>S109</t>
  </si>
  <si>
    <t>S110</t>
  </si>
  <si>
    <t xml:space="preserve"> Copepod naupliar survival</t>
  </si>
  <si>
    <t>Survival</t>
  </si>
  <si>
    <t>S111</t>
  </si>
  <si>
    <t>Table 2</t>
  </si>
  <si>
    <t>Australia</t>
  </si>
  <si>
    <t>Figure 6</t>
  </si>
  <si>
    <t>coastal</t>
  </si>
  <si>
    <t>Figure 7</t>
  </si>
  <si>
    <t>Repeated Measures</t>
  </si>
  <si>
    <t>S264</t>
  </si>
  <si>
    <t>R17</t>
  </si>
  <si>
    <t>Maas, Amy E. et al., 2018</t>
  </si>
  <si>
    <t>Exposure to CO2 influences metabolism, calcification and gene expression of the thecosome pteropod Limacina retroversa</t>
  </si>
  <si>
    <t>Woods Hole Oceanographic Institution</t>
  </si>
  <si>
    <t xml:space="preserve">Respiration rate </t>
  </si>
  <si>
    <t>S265</t>
  </si>
  <si>
    <t>S266</t>
  </si>
  <si>
    <t>S267</t>
  </si>
  <si>
    <t>S268</t>
  </si>
  <si>
    <t>S269</t>
  </si>
  <si>
    <t>S270</t>
  </si>
  <si>
    <t>S271</t>
  </si>
  <si>
    <t>Sample</t>
  </si>
  <si>
    <t>Biomass</t>
  </si>
  <si>
    <t>Spain</t>
  </si>
  <si>
    <t>Abundance</t>
  </si>
  <si>
    <t>Figure 8</t>
  </si>
  <si>
    <t>-</t>
  </si>
  <si>
    <t>R25</t>
  </si>
  <si>
    <t>Taucher, Jan et al., 2017</t>
  </si>
  <si>
    <t>Influence of ocean acidification on plankton community structure during a winter-to-summer succession: An imaging approach indicates that copepods can benefit from elevated CO2 via indirect food web effects</t>
  </si>
  <si>
    <t>Gullmar Fjord (Sweden)</t>
  </si>
  <si>
    <t>S435</t>
  </si>
  <si>
    <t>Biomass-Copepod total</t>
  </si>
  <si>
    <t>R27</t>
  </si>
  <si>
    <t>Meunier, Cedric L. et al., 2017</t>
  </si>
  <si>
    <t>Direct and indirect effects of near-future pCO2 levels on zooplankton dynamics</t>
  </si>
  <si>
    <t>Germany</t>
  </si>
  <si>
    <t>Alfred-Wegener-Institut Helmholtz-Zentrum fu¨r Polar- und Meeresforschung, Biologische Anstalt Helgoland, Germany.</t>
  </si>
  <si>
    <t>S466</t>
  </si>
  <si>
    <t>Respiration rate</t>
  </si>
  <si>
    <t>S467</t>
  </si>
  <si>
    <t>Table 1</t>
  </si>
  <si>
    <t>Finland</t>
  </si>
  <si>
    <t>S521</t>
  </si>
  <si>
    <t>R33</t>
  </si>
  <si>
    <t>Alguero-Muniz, Maria et al., 2017</t>
  </si>
  <si>
    <t>Ocean acidification effects on mesozooplankton community development: Results from a long-term mesocosm experiment</t>
  </si>
  <si>
    <t xml:space="preserve">Gullmar Fjord on the Swedish Skagerrak coast </t>
  </si>
  <si>
    <t>Respiration Rate</t>
  </si>
  <si>
    <t>S522</t>
  </si>
  <si>
    <t>S523</t>
  </si>
  <si>
    <t>hatching success</t>
  </si>
  <si>
    <t>S524</t>
  </si>
  <si>
    <t>S525</t>
  </si>
  <si>
    <t>R34</t>
  </si>
  <si>
    <t>Vehmaa, Anu et al., 2016</t>
  </si>
  <si>
    <t>Ocean acidification challenges copepod phenotypic plasticity</t>
  </si>
  <si>
    <t>Tv?rminne Zoological Station on the south-western coast of Finland</t>
  </si>
  <si>
    <t>Egg Production</t>
  </si>
  <si>
    <t>S526</t>
  </si>
  <si>
    <t>S527</t>
  </si>
  <si>
    <t>S528</t>
  </si>
  <si>
    <t>S529</t>
  </si>
  <si>
    <t>S530</t>
  </si>
  <si>
    <t>Prosome length</t>
  </si>
  <si>
    <t>S531</t>
  </si>
  <si>
    <t>S532</t>
  </si>
  <si>
    <t>S533</t>
  </si>
  <si>
    <t>S534</t>
  </si>
  <si>
    <t>S535</t>
  </si>
  <si>
    <t>R35</t>
  </si>
  <si>
    <t>Towle, Erica K. et al., 2016</t>
  </si>
  <si>
    <t>Preconditioning to high CO2 exacerbates the response of the Caribbean branching coral Porites porites to high temperature stress</t>
  </si>
  <si>
    <t>Corals and Climate Change Facility at the University of Miami’s Rosenstiel School of Marine and Atmospheric Science on Virginia Key, Florida,</t>
  </si>
  <si>
    <t>Individuals</t>
  </si>
  <si>
    <t>calcification rates</t>
  </si>
  <si>
    <t>R38</t>
  </si>
  <si>
    <t>Horn, Henriette G. et al., 2016</t>
  </si>
  <si>
    <t>Low CO2 sensitivity of microzooplankton communities in the Gullmar Fjord, Skagerrak: Evidence from a long-term mesocosm study</t>
  </si>
  <si>
    <t>Gullmar Fjord, Sweden</t>
  </si>
  <si>
    <t>S679</t>
  </si>
  <si>
    <t xml:space="preserve">Biomass-Ciliate </t>
  </si>
  <si>
    <t>S680</t>
  </si>
  <si>
    <t>S681</t>
  </si>
  <si>
    <t>S682</t>
  </si>
  <si>
    <t>S683</t>
  </si>
  <si>
    <t>S684</t>
  </si>
  <si>
    <t>S685</t>
  </si>
  <si>
    <t>S686</t>
  </si>
  <si>
    <t>S687</t>
  </si>
  <si>
    <t>S688</t>
  </si>
  <si>
    <t>S689</t>
  </si>
  <si>
    <t>S690</t>
  </si>
  <si>
    <t>Japan</t>
  </si>
  <si>
    <t>R42</t>
  </si>
  <si>
    <t>Bermudez, Rafael et al., 2016</t>
  </si>
  <si>
    <t>Effect of ocean acidification on the structure and fatty acid composition of a natural plankton community in the Baltic Sea</t>
  </si>
  <si>
    <t>Tv?rminne Zoological Station at the entrance to the Gulf of Finland</t>
  </si>
  <si>
    <t>S775</t>
  </si>
  <si>
    <t>Fatty Acids-PUFA-Acartia bifilosa</t>
  </si>
  <si>
    <t>S776</t>
  </si>
  <si>
    <t>S777</t>
  </si>
  <si>
    <t>S778</t>
  </si>
  <si>
    <t>S779</t>
  </si>
  <si>
    <t>S780</t>
  </si>
  <si>
    <t>Fatty Acids-MUFA-Acartia bifilosa</t>
  </si>
  <si>
    <t>S781</t>
  </si>
  <si>
    <t>S782</t>
  </si>
  <si>
    <t>S783</t>
  </si>
  <si>
    <t>S784</t>
  </si>
  <si>
    <t>S785</t>
  </si>
  <si>
    <t>Fatty Acids-PUFA-Eurytemora affinis</t>
  </si>
  <si>
    <t>S786</t>
  </si>
  <si>
    <t>S787</t>
  </si>
  <si>
    <t>S788</t>
  </si>
  <si>
    <t>S789</t>
  </si>
  <si>
    <t>S790</t>
  </si>
  <si>
    <t>Fatty Acids-MUFA-Eurytemora affinis</t>
  </si>
  <si>
    <t>S791</t>
  </si>
  <si>
    <t>S792</t>
  </si>
  <si>
    <t>S793</t>
  </si>
  <si>
    <t>S794</t>
  </si>
  <si>
    <t>R43</t>
  </si>
  <si>
    <t>Bermudez, J. Rafael et al., 2016</t>
  </si>
  <si>
    <t>Ocean acidification reduces transfer  of essential biomolecules in a  natural plankton community</t>
  </si>
  <si>
    <t xml:space="preserve">Norway </t>
  </si>
  <si>
    <t xml:space="preserve">Raunefjord, southern Norway </t>
  </si>
  <si>
    <t>S816</t>
  </si>
  <si>
    <t>Fatty Acids-PUFA-copepod Calanus finmarchicus</t>
  </si>
  <si>
    <t>S817</t>
  </si>
  <si>
    <t>S818</t>
  </si>
  <si>
    <t>S819</t>
  </si>
  <si>
    <t>S820</t>
  </si>
  <si>
    <t>S821</t>
  </si>
  <si>
    <t>S822</t>
  </si>
  <si>
    <t>S823</t>
  </si>
  <si>
    <t>R44</t>
  </si>
  <si>
    <t>Almen, Anna-Karin et al., 2016</t>
  </si>
  <si>
    <t>Negligible effects of ocean acidification on Eurytemora affinis (Copepoda) offspring production</t>
  </si>
  <si>
    <t xml:space="preserve">Storfj?rden, an offshore pelagic area in the vicinity of Tv?rminne Zoological Station (University of Helsinki) Baltic Sea </t>
  </si>
  <si>
    <t>Production- nauplii</t>
  </si>
  <si>
    <t>S824</t>
  </si>
  <si>
    <t>S825</t>
  </si>
  <si>
    <t>S826</t>
  </si>
  <si>
    <t>S827</t>
  </si>
  <si>
    <t>S828</t>
  </si>
  <si>
    <t>S829</t>
  </si>
  <si>
    <t>S830</t>
  </si>
  <si>
    <t>S831</t>
  </si>
  <si>
    <t>S832</t>
  </si>
  <si>
    <t>S833</t>
  </si>
  <si>
    <t>S834</t>
  </si>
  <si>
    <t>S835</t>
  </si>
  <si>
    <t>S836</t>
  </si>
  <si>
    <t>S837</t>
  </si>
  <si>
    <t>S838</t>
  </si>
  <si>
    <t>S839</t>
  </si>
  <si>
    <t>S840</t>
  </si>
  <si>
    <t>S841</t>
  </si>
  <si>
    <t>S842</t>
  </si>
  <si>
    <t>Canada</t>
  </si>
  <si>
    <t>S934</t>
  </si>
  <si>
    <t>R52</t>
  </si>
  <si>
    <t>Onitsuka, Toshihiro et al., 2014</t>
  </si>
  <si>
    <t>Effects of ocean acidification on the early developmental stages of the horned turban, Turbo cornutus</t>
  </si>
  <si>
    <t xml:space="preserve">National research  Institute of aquaculture (Y okosuka Station; nrIa)Y okosuka, Kanagawa, Japan. </t>
  </si>
  <si>
    <t>Shell length of veliger larvae of T. cornutus</t>
  </si>
  <si>
    <t>Invertebrate</t>
  </si>
  <si>
    <t>S935</t>
  </si>
  <si>
    <t>S936</t>
  </si>
  <si>
    <t>S937</t>
  </si>
  <si>
    <t>S938</t>
  </si>
  <si>
    <t>S939</t>
  </si>
  <si>
    <t>S940</t>
  </si>
  <si>
    <t>S941</t>
  </si>
  <si>
    <t>R56</t>
  </si>
  <si>
    <t>Troedsson, Christofer et al., 2013</t>
  </si>
  <si>
    <t>Effects of ocean acidification, temperature and nutrient regimes on the appendicularian Oikopleura dioica: a mesocosm study</t>
  </si>
  <si>
    <t>University of Bergen biological field station, Espegrend, Norway</t>
  </si>
  <si>
    <t>S1020</t>
  </si>
  <si>
    <t>Abundance-polychaetes</t>
  </si>
  <si>
    <t>S1021</t>
  </si>
  <si>
    <t>Abundance-rotifers</t>
  </si>
  <si>
    <t>S1022</t>
  </si>
  <si>
    <t>Abundance-harpacticoids</t>
  </si>
  <si>
    <t>S1023</t>
  </si>
  <si>
    <t>Abundance-cyclopoids</t>
  </si>
  <si>
    <t>S1024</t>
  </si>
  <si>
    <t>Abundance-calanoid copepodites</t>
  </si>
  <si>
    <t>S1025</t>
  </si>
  <si>
    <t xml:space="preserve">Abundance-all nauplii </t>
  </si>
  <si>
    <t>S1026</t>
  </si>
  <si>
    <t xml:space="preserve">Abundance-others </t>
  </si>
  <si>
    <t>S1027</t>
  </si>
  <si>
    <t>S1028</t>
  </si>
  <si>
    <t>S1029</t>
  </si>
  <si>
    <t>S1030</t>
  </si>
  <si>
    <t>S1031</t>
  </si>
  <si>
    <t>S1032</t>
  </si>
  <si>
    <t>Kongsfjorden on the west coast of Spitsbergen</t>
  </si>
  <si>
    <t>R59</t>
  </si>
  <si>
    <t>Schoo, Katherina L. et al., 2013</t>
  </si>
  <si>
    <t>Increased carbon dioxide availability alters phytoplankton stoichiometry and affects carbon cycling and growth of a marine planktonic herbivore</t>
  </si>
  <si>
    <t>Alfred-Wegener-Institute for Polar and Marine Research, Biologische Anstalt Helgoland, Postbox 180, 27483 Helgoland, Germany</t>
  </si>
  <si>
    <t>S1052</t>
  </si>
  <si>
    <t>Respiration rate-juvenile copepodites</t>
  </si>
  <si>
    <t>S1053</t>
  </si>
  <si>
    <t>S1054</t>
  </si>
  <si>
    <t>Respiration rate-adult copepod</t>
  </si>
  <si>
    <t>S1055</t>
  </si>
  <si>
    <t>S1056</t>
  </si>
  <si>
    <t>S1057</t>
  </si>
  <si>
    <t>S1058</t>
  </si>
  <si>
    <t>R60</t>
  </si>
  <si>
    <t>Niehoff, B. et al., 2013</t>
  </si>
  <si>
    <t>Mesozooplankton community development at elevated CO2 concentrations: results from a mesocosm experiment in an Arctic fjord</t>
  </si>
  <si>
    <t>S1059</t>
  </si>
  <si>
    <t>S1060</t>
  </si>
  <si>
    <t>S1061</t>
  </si>
  <si>
    <t>S1062</t>
  </si>
  <si>
    <t>S1063</t>
  </si>
  <si>
    <t>S1064</t>
  </si>
  <si>
    <t>S1119</t>
  </si>
  <si>
    <t>R62</t>
  </si>
  <si>
    <t>Lewis, Ceri N. et al., 2013</t>
  </si>
  <si>
    <t>Sensitivity to ocean acidification parallels natural Pco2 gradients experienced by Arctic copepods under winter sea ice</t>
  </si>
  <si>
    <t>Deer Bay, off Ellef Ringnes Island in the high Canadian Arctic</t>
  </si>
  <si>
    <t>Survival- adult Calanus spp</t>
  </si>
  <si>
    <t>S1120</t>
  </si>
  <si>
    <t>S1121</t>
  </si>
  <si>
    <t>Survival- adult O. similis</t>
  </si>
  <si>
    <t>S1122</t>
  </si>
  <si>
    <t>S1123</t>
  </si>
  <si>
    <t>Survival- large (&gt;250 μm) nauplii</t>
  </si>
  <si>
    <t>S1124</t>
  </si>
  <si>
    <t>S1125</t>
  </si>
  <si>
    <t>Survival- small (&lt;60 μm) nauplii</t>
  </si>
  <si>
    <t>S1126</t>
  </si>
  <si>
    <t>Korea</t>
  </si>
  <si>
    <t>R80</t>
  </si>
  <si>
    <t>McLaskey, Anna K. et al., 2019</t>
  </si>
  <si>
    <t>Direct and indirect effects of elevated CO2 are revealed through shifts in phytoplankton, copepod development, and fatty acid accumulation</t>
  </si>
  <si>
    <t>Shannon Point Marine Center (SPMC) in Anacortes,Washington</t>
  </si>
  <si>
    <t>S1604</t>
  </si>
  <si>
    <t>Fatty acid content of A. hudsonica TOTAL</t>
  </si>
  <si>
    <t>S1605</t>
  </si>
  <si>
    <t>S1606</t>
  </si>
  <si>
    <t>Fatty acid content of A. hudsonica MUFA</t>
  </si>
  <si>
    <t>S1607</t>
  </si>
  <si>
    <t>S1608</t>
  </si>
  <si>
    <t>Fatty acid content of A. hudsonica PUFA</t>
  </si>
  <si>
    <t>S1609</t>
  </si>
  <si>
    <t>S1610</t>
  </si>
  <si>
    <t xml:space="preserve">Ingestion rate - Ingestion rate of A. hudsonica females on R. salina acclimated to 400 μatm pCO2 </t>
  </si>
  <si>
    <t>S1611</t>
  </si>
  <si>
    <t>S1612</t>
  </si>
  <si>
    <t>Ingestion rate -  on R. salina acclimated to the same target pCO2 as the copepods</t>
  </si>
  <si>
    <t>S1613</t>
  </si>
  <si>
    <t>S1614</t>
  </si>
  <si>
    <t>Respiration rate of adult female A. hudsonica</t>
  </si>
  <si>
    <t>S1615</t>
  </si>
  <si>
    <t>S1616</t>
  </si>
  <si>
    <t>S1617</t>
  </si>
  <si>
    <t>S1618</t>
  </si>
  <si>
    <t>Egg production</t>
  </si>
  <si>
    <t xml:space="preserve">Table 4 </t>
  </si>
  <si>
    <t>S1619</t>
  </si>
  <si>
    <t>S1620</t>
  </si>
  <si>
    <t>S1621</t>
  </si>
  <si>
    <t>S1782</t>
  </si>
  <si>
    <t>R87</t>
  </si>
  <si>
    <t>Hammill, Edd et al., 2018</t>
  </si>
  <si>
    <t>Ocean acidification alters zooplankton communities and increases top-down pressure of a cubozoan predator</t>
  </si>
  <si>
    <t>Chowder Bay in Sydney Harbour, Australia</t>
  </si>
  <si>
    <t>Abundances-Calanoida copepods</t>
  </si>
  <si>
    <t>S1783</t>
  </si>
  <si>
    <t>S1784</t>
  </si>
  <si>
    <t>Abundances-Pleocyemata</t>
  </si>
  <si>
    <t>S1785</t>
  </si>
  <si>
    <t>S1786</t>
  </si>
  <si>
    <t>Abundances-Dendrobranchiata</t>
  </si>
  <si>
    <t>S1787</t>
  </si>
  <si>
    <t>Abundances-Amphipoda</t>
  </si>
  <si>
    <t>S1788</t>
  </si>
  <si>
    <t>Fish</t>
  </si>
  <si>
    <t>R90</t>
  </si>
  <si>
    <t>Wang, Tifeng et al., 2017</t>
  </si>
  <si>
    <t>The fatty acid content of plankton is changing in subtropical coastal waters as a result of OA: Results from a mesocosm study</t>
  </si>
  <si>
    <t>Wuyuan Bay</t>
  </si>
  <si>
    <t>S1847</t>
  </si>
  <si>
    <t>Total FA</t>
  </si>
  <si>
    <t>S1848</t>
  </si>
  <si>
    <t>MUFA</t>
  </si>
  <si>
    <t>S1849</t>
  </si>
  <si>
    <t>PUFA</t>
  </si>
  <si>
    <t>S2357</t>
  </si>
  <si>
    <t>R105</t>
  </si>
  <si>
    <t>Pedersen, S. A. et al., 2014</t>
  </si>
  <si>
    <t>Effects of elevated carbon dioxide (CO2) concentrations on early developmental stages of the marine copepod Calanus finmarchicus Gunnerus (Copepoda: Calanoidae)</t>
  </si>
  <si>
    <t>NTNU Centre of Fisheries and Aquaculture research facility (SeaLab)</t>
  </si>
  <si>
    <t>Experiment 1</t>
  </si>
  <si>
    <t>Hatching success of eggs-Calanus finmarchicus</t>
  </si>
  <si>
    <t>S2358</t>
  </si>
  <si>
    <t>S2359</t>
  </si>
  <si>
    <t>S2360</t>
  </si>
  <si>
    <t>Experiment 2</t>
  </si>
  <si>
    <t xml:space="preserve">Survival of hatched nauplii </t>
  </si>
  <si>
    <t>S2361</t>
  </si>
  <si>
    <t>S2362</t>
  </si>
  <si>
    <t>S2363</t>
  </si>
  <si>
    <t xml:space="preserve">Survival of nauplii (N III) </t>
  </si>
  <si>
    <t>S2364</t>
  </si>
  <si>
    <t>S2365</t>
  </si>
  <si>
    <t>S2528</t>
  </si>
  <si>
    <t>R120</t>
  </si>
  <si>
    <t>Kurihara, H. et al., 2008</t>
  </si>
  <si>
    <t>Effects of high CO2 seawater on the copepod (Acartia tsuensis) through all life stages and subsequent generations</t>
  </si>
  <si>
    <t>Institute for East China Sea Research, Nagasaki University, 1551-7 Tairamachi, Nagasaki 851-2213, Japan</t>
  </si>
  <si>
    <t>Survival rate of the Acartia tsuensi</t>
  </si>
  <si>
    <t>S2529</t>
  </si>
  <si>
    <t>S2530</t>
  </si>
  <si>
    <t>S2531</t>
  </si>
  <si>
    <t>S2532</t>
  </si>
  <si>
    <t>Promosome length - each developmental stage of Acartia tsuensis copepods</t>
  </si>
  <si>
    <t>S2533</t>
  </si>
  <si>
    <t>S2534</t>
  </si>
  <si>
    <t>S2535</t>
  </si>
  <si>
    <t>S2536</t>
  </si>
  <si>
    <t>S2537</t>
  </si>
  <si>
    <t>S2538</t>
  </si>
  <si>
    <t>S2539</t>
  </si>
  <si>
    <t>S2540</t>
  </si>
  <si>
    <t>S2541</t>
  </si>
  <si>
    <t>S2542</t>
  </si>
  <si>
    <t>S2543</t>
  </si>
  <si>
    <t>S2544</t>
  </si>
  <si>
    <t>S2545</t>
  </si>
  <si>
    <t xml:space="preserve">0 generations </t>
  </si>
  <si>
    <t>Egg production rate of female Acartia tsuensis</t>
  </si>
  <si>
    <t>S2546</t>
  </si>
  <si>
    <t>1 generations</t>
  </si>
  <si>
    <t>S2547</t>
  </si>
  <si>
    <t>2 generations</t>
  </si>
  <si>
    <t>S2548</t>
  </si>
  <si>
    <t>Hatching rate of eggs</t>
  </si>
  <si>
    <t>S2549</t>
  </si>
  <si>
    <t>S2550</t>
  </si>
  <si>
    <t>R123</t>
  </si>
  <si>
    <t>Bach, L. T. et al., 2019</t>
  </si>
  <si>
    <t>Effects of elevated CO2 on a natural diatom community in the subtropical NE Atlantic</t>
  </si>
  <si>
    <t>Taliarte harbor, on the eastern coast of Gran Canaria (Canary Islands)</t>
  </si>
  <si>
    <t>S2615</t>
  </si>
  <si>
    <t>Abundance-CP calanus</t>
  </si>
  <si>
    <t>S2616</t>
  </si>
  <si>
    <t>S2617</t>
  </si>
  <si>
    <t>S2618</t>
  </si>
  <si>
    <t>S2619</t>
  </si>
  <si>
    <t>S2620</t>
  </si>
  <si>
    <t>R124</t>
  </si>
  <si>
    <t>Westwood, K. J. et al., 2018</t>
  </si>
  <si>
    <t>Ocean acidification impacts primary and bacterial production in Antarctic coastal waters during austral summer</t>
  </si>
  <si>
    <t>Antarctica</t>
  </si>
  <si>
    <t xml:space="preserve">Davis Station, East Antarctica </t>
  </si>
  <si>
    <t>Experiment 1 (early summer)</t>
  </si>
  <si>
    <t>Experiment 1 (early summer)-tank A</t>
  </si>
  <si>
    <t>Experiment 1 (early summer)-tank B</t>
  </si>
  <si>
    <t>Experiment 2 (mid summer)</t>
  </si>
  <si>
    <t>Experiment 2 (mid summer)-tank A</t>
  </si>
  <si>
    <t>Experiment 2 (mid summer)-tank B</t>
  </si>
  <si>
    <t>Experiment 3 (late summer)</t>
  </si>
  <si>
    <t>Experiment 3 (late summer)-tank A</t>
  </si>
  <si>
    <t>Experiment 3 (late summer)-tank B</t>
  </si>
  <si>
    <t>S2681</t>
  </si>
  <si>
    <t>Abundance-heterotrophic nanoflagellate</t>
  </si>
  <si>
    <t>S2682</t>
  </si>
  <si>
    <t>S2683</t>
  </si>
  <si>
    <t>S2684</t>
  </si>
  <si>
    <t>S2685</t>
  </si>
  <si>
    <t>S2686</t>
  </si>
  <si>
    <t>S2687</t>
  </si>
  <si>
    <t>S2688</t>
  </si>
  <si>
    <t>S2689</t>
  </si>
  <si>
    <t>S2690</t>
  </si>
  <si>
    <t>S2691</t>
  </si>
  <si>
    <t>S2692</t>
  </si>
  <si>
    <t>S2693</t>
  </si>
  <si>
    <t>S2694</t>
  </si>
  <si>
    <t>S2695</t>
  </si>
  <si>
    <t>Davis Station, Antarctica</t>
  </si>
  <si>
    <t>R135</t>
  </si>
  <si>
    <t>Thomson, P. G. et al., 2016</t>
  </si>
  <si>
    <t>Increasing CO2 changes community composition of pico- and nano-sized protists and prokaryotes at a coastal Antarctic site</t>
  </si>
  <si>
    <t>Experiment 3</t>
  </si>
  <si>
    <t>S2895</t>
  </si>
  <si>
    <t>Abundance-heterotrophic nanoflagellates</t>
  </si>
  <si>
    <t>S2896</t>
  </si>
  <si>
    <t>S2897</t>
  </si>
  <si>
    <t>S2898</t>
  </si>
  <si>
    <t>S2899</t>
  </si>
  <si>
    <t>S2900</t>
  </si>
  <si>
    <t>S2901</t>
  </si>
  <si>
    <t>S2902</t>
  </si>
  <si>
    <t>S2903</t>
  </si>
  <si>
    <t>S2904</t>
  </si>
  <si>
    <t>S2969</t>
  </si>
  <si>
    <t>R140</t>
  </si>
  <si>
    <t>Kurihara, H. et al., 2004</t>
  </si>
  <si>
    <t>Sub-lethal effects of elevated concentration of CO2 on planktonic copepods and sea urchins</t>
  </si>
  <si>
    <t>Seto Marine Biological Laboratoryof Kyoto University</t>
  </si>
  <si>
    <t>Survial rate-Acartia steueri</t>
  </si>
  <si>
    <t>S2970</t>
  </si>
  <si>
    <t>S2971</t>
  </si>
  <si>
    <t>S2972</t>
  </si>
  <si>
    <t>S2973</t>
  </si>
  <si>
    <t>S2974</t>
  </si>
  <si>
    <t>S2975</t>
  </si>
  <si>
    <t>S2976</t>
  </si>
  <si>
    <t>S2977</t>
  </si>
  <si>
    <t>Egg production rate-Acartia steueri</t>
  </si>
  <si>
    <t>S2978</t>
  </si>
  <si>
    <t>S2979</t>
  </si>
  <si>
    <t>S2980</t>
  </si>
  <si>
    <t>S2981</t>
  </si>
  <si>
    <t>Growth-sea urchin embryos-Echinometra mathaei</t>
  </si>
  <si>
    <t>S2982</t>
  </si>
  <si>
    <t>Fertilization rate-Hemicentrotus pulcherrimus</t>
  </si>
  <si>
    <t>S2983</t>
  </si>
  <si>
    <t>S2984</t>
  </si>
  <si>
    <t>S2985</t>
  </si>
  <si>
    <t>S2986</t>
  </si>
  <si>
    <t>S2987</t>
  </si>
  <si>
    <t>Fertilization rate-Echinometra mathaei</t>
  </si>
  <si>
    <t>S2988</t>
  </si>
  <si>
    <t>S2989</t>
  </si>
  <si>
    <t>S2990</t>
  </si>
  <si>
    <t>S2991</t>
  </si>
  <si>
    <t>S3061</t>
  </si>
  <si>
    <t>R150</t>
  </si>
  <si>
    <t>Kurihara, H. et al., 2005</t>
  </si>
  <si>
    <t>Effects of increased atmospheric CO2 on sea urchin early development</t>
  </si>
  <si>
    <t>Seto Marine Biological Laboratory, Field Science Education and Research Center, Kyoto University, Wakayama, Japan</t>
  </si>
  <si>
    <t>Fertilization-Hemicentrotus pulcherrimus</t>
  </si>
  <si>
    <t>S3062</t>
  </si>
  <si>
    <t>S3063</t>
  </si>
  <si>
    <t>S3064</t>
  </si>
  <si>
    <t>S3065</t>
  </si>
  <si>
    <t>S3066</t>
  </si>
  <si>
    <t>Fertilization-Echinometra mathaei</t>
  </si>
  <si>
    <t>S3067</t>
  </si>
  <si>
    <t>S3068</t>
  </si>
  <si>
    <t>S3069</t>
  </si>
  <si>
    <t>S3070</t>
  </si>
  <si>
    <t>S3088</t>
  </si>
  <si>
    <t>R154</t>
  </si>
  <si>
    <t>Effects of raised CO2 concentration on the egg production rate and early development of two marine copepods (Acartia steueri and Acartia erythraea)</t>
  </si>
  <si>
    <t>Seto Marine Biological Laboratory of Kyoto University</t>
  </si>
  <si>
    <t>Survival rate-Acartia steueri</t>
  </si>
  <si>
    <t>S3089</t>
  </si>
  <si>
    <t>S3090</t>
  </si>
  <si>
    <t>S3091</t>
  </si>
  <si>
    <t>S3092</t>
  </si>
  <si>
    <t>S3093</t>
  </si>
  <si>
    <t>S3094</t>
  </si>
  <si>
    <t>Survival rate-Acartia erythraea</t>
  </si>
  <si>
    <t>S3095</t>
  </si>
  <si>
    <t>S3096</t>
  </si>
  <si>
    <t>S3097</t>
  </si>
  <si>
    <t>S3098</t>
  </si>
  <si>
    <t>S3099</t>
  </si>
  <si>
    <t>S3100</t>
  </si>
  <si>
    <t>S3101</t>
  </si>
  <si>
    <t>S3102</t>
  </si>
  <si>
    <t>S3103</t>
  </si>
  <si>
    <t>S3104</t>
  </si>
  <si>
    <t>Egg production rate-Acartia erythraea</t>
  </si>
  <si>
    <t>S3105</t>
  </si>
  <si>
    <t>S3106</t>
  </si>
  <si>
    <t>S3107</t>
  </si>
  <si>
    <t>S3108</t>
  </si>
  <si>
    <t>S3109</t>
  </si>
  <si>
    <t>S3110</t>
  </si>
  <si>
    <t>Hatch rate-Acartia erythraea</t>
  </si>
  <si>
    <t>S3111</t>
  </si>
  <si>
    <t>S3112</t>
  </si>
  <si>
    <t>S3113</t>
  </si>
  <si>
    <t>Mortality-Acartia erythraea nauplii</t>
  </si>
  <si>
    <t>S3114</t>
  </si>
  <si>
    <t>S3115</t>
  </si>
  <si>
    <t>S3122</t>
  </si>
  <si>
    <t>R157</t>
  </si>
  <si>
    <t>Kikkawa, T. et al., 2003</t>
  </si>
  <si>
    <t>Acute CO2 tolerance during the early developmental stages of four marine teleosts</t>
  </si>
  <si>
    <t>Central Laboratory, Marine Ecology Research Institute, Onjuku, Chiba 299-5105, Japan</t>
  </si>
  <si>
    <t>Survival-Pagrus major</t>
  </si>
  <si>
    <t>S3123</t>
  </si>
  <si>
    <t>S3124</t>
  </si>
  <si>
    <t>S3149</t>
  </si>
  <si>
    <t>S3150</t>
  </si>
  <si>
    <t>S3151</t>
  </si>
  <si>
    <t>S3152</t>
  </si>
  <si>
    <t>S3153</t>
  </si>
  <si>
    <t>S3154</t>
  </si>
  <si>
    <t>S3155</t>
  </si>
  <si>
    <t>S3156</t>
  </si>
  <si>
    <t>S3157</t>
  </si>
  <si>
    <t>S3158</t>
  </si>
  <si>
    <t>S3159</t>
  </si>
  <si>
    <t>S3160</t>
  </si>
  <si>
    <t>S3161</t>
  </si>
  <si>
    <t>Survival-Sillago japonica</t>
  </si>
  <si>
    <t>S3162</t>
  </si>
  <si>
    <t>S3163</t>
  </si>
  <si>
    <t>S3164</t>
  </si>
  <si>
    <t>S3165</t>
  </si>
  <si>
    <t>S3166</t>
  </si>
  <si>
    <t>S3167</t>
  </si>
  <si>
    <t>S3168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</si>
  <si>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</si>
  <si>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</si>
  <si>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</si>
  <si>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</si>
  <si>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</si>
  <si>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</si>
  <si>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</si>
  <si>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</si>
  <si>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</si>
  <si>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</si>
  <si>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</si>
  <si>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</si>
  <si>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</si>
  <si>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</si>
  <si>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</si>
  <si>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</si>
  <si>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</si>
  <si>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</si>
  <si>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</si>
  <si>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</si>
  <si>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</si>
  <si>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</si>
  <si>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</si>
  <si>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</si>
  <si>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</si>
  <si>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</si>
  <si>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</si>
  <si>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</si>
  <si>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</si>
  <si>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</si>
  <si>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S3243</t>
  </si>
  <si>
    <t>R166</t>
  </si>
  <si>
    <t>Dam, H. G., et al., 2021</t>
  </si>
  <si>
    <t>Rapid, but limited, zooplankton adaptation to simultaneous warming and acidification</t>
  </si>
  <si>
    <t>Esker Point Beach in Groton, Connecticut, USA</t>
  </si>
  <si>
    <t>0 generation</t>
  </si>
  <si>
    <t>Egg production rate</t>
  </si>
  <si>
    <t>S3244</t>
  </si>
  <si>
    <t>3 generation</t>
  </si>
  <si>
    <t>S3245</t>
  </si>
  <si>
    <t>6 generation</t>
  </si>
  <si>
    <t>S3246</t>
  </si>
  <si>
    <t>9 generation</t>
  </si>
  <si>
    <t>S3247</t>
  </si>
  <si>
    <t>12 generation</t>
  </si>
  <si>
    <t>S3248</t>
  </si>
  <si>
    <t>15 generation</t>
  </si>
  <si>
    <t>S3249</t>
  </si>
  <si>
    <t>25 generation</t>
  </si>
  <si>
    <t>S3250</t>
  </si>
  <si>
    <t>Egg hatching success</t>
  </si>
  <si>
    <t>S3251</t>
  </si>
  <si>
    <t>S3252</t>
  </si>
  <si>
    <t>S3253</t>
  </si>
  <si>
    <t>S3254</t>
  </si>
  <si>
    <t>S3255</t>
  </si>
  <si>
    <t>S3256</t>
  </si>
  <si>
    <t>S3257</t>
  </si>
  <si>
    <t>S3258</t>
  </si>
  <si>
    <t>S3259</t>
  </si>
  <si>
    <t>S3260</t>
  </si>
  <si>
    <t>S3261</t>
  </si>
  <si>
    <t>S3262</t>
  </si>
  <si>
    <t>R168</t>
  </si>
  <si>
    <t>Murphy, G. E. P., et al., 2020</t>
  </si>
  <si>
    <t>Cascading effects of climate change on plankton community structure</t>
  </si>
  <si>
    <t>Prospect, Nova Scotia, Canada</t>
  </si>
  <si>
    <t>S3269</t>
  </si>
  <si>
    <t>S3270</t>
  </si>
  <si>
    <t>S3282</t>
  </si>
  <si>
    <t>R172</t>
  </si>
  <si>
    <t>Garzke, G., et al., 2020</t>
  </si>
  <si>
    <t>Zooplankton growth and survival differentially respond to interactive warming and acidification effects</t>
  </si>
  <si>
    <t>GEOMAR Helmholtz Centre for Ocean Research Kiel</t>
  </si>
  <si>
    <t>abundance</t>
  </si>
  <si>
    <t>S3283</t>
  </si>
  <si>
    <t>S3284</t>
  </si>
  <si>
    <t>S3285</t>
  </si>
  <si>
    <t>S3286</t>
  </si>
  <si>
    <t>Calcification rate</t>
  </si>
  <si>
    <t>S3296</t>
  </si>
  <si>
    <t>R176</t>
  </si>
  <si>
    <t>Pedersen, S. A., et al., 2018</t>
  </si>
  <si>
    <t>Ocean acidification ameliorates harmful effects of warming in primary consumer</t>
  </si>
  <si>
    <t>Department of Biology, Faculty of Natural Sciences and Technology, NTNU—Norwegian University of Science and Technology, Trondheim, Norway</t>
  </si>
  <si>
    <t>Body volume</t>
  </si>
  <si>
    <t>S3297</t>
  </si>
  <si>
    <t>S3298</t>
  </si>
  <si>
    <t>S3299</t>
  </si>
  <si>
    <t>S3300</t>
  </si>
  <si>
    <t>S3301</t>
  </si>
  <si>
    <t>Hatching success</t>
  </si>
  <si>
    <t>S3302</t>
  </si>
  <si>
    <t>S3303</t>
  </si>
  <si>
    <t>S3304</t>
  </si>
  <si>
    <t>S3311</t>
  </si>
  <si>
    <t>R179</t>
  </si>
  <si>
    <t>Bouquet, J et al., 2018</t>
  </si>
  <si>
    <t>Increased fitness of a key appendicularian zooplankton species under warmer, acidified seawater conditions</t>
  </si>
  <si>
    <t>University ofBergen marine station, Raunefjord, Norway</t>
  </si>
  <si>
    <t>Body length-Oikopleura dioica</t>
  </si>
  <si>
    <t>S3312</t>
  </si>
  <si>
    <t>S3313</t>
  </si>
  <si>
    <t>S3314</t>
  </si>
  <si>
    <t>S3315</t>
  </si>
  <si>
    <t>S3316</t>
  </si>
  <si>
    <t>S3317</t>
  </si>
  <si>
    <t>Fertilization rate-Oikopleura dioica</t>
  </si>
  <si>
    <t>S3318</t>
  </si>
  <si>
    <t>S3319</t>
  </si>
  <si>
    <t>S3320</t>
  </si>
  <si>
    <t>S3321</t>
  </si>
  <si>
    <t>S3322</t>
  </si>
  <si>
    <t>S3323</t>
  </si>
  <si>
    <t>S3324</t>
  </si>
  <si>
    <t>S3325</t>
  </si>
  <si>
    <t>S3326</t>
  </si>
  <si>
    <t>S3327</t>
  </si>
  <si>
    <t>R186</t>
  </si>
  <si>
    <t>Paul, C., et al., 2016</t>
  </si>
  <si>
    <t>Effects of increased CO2 concentration on nutrient limited coastal summer plankton depend on temperature</t>
  </si>
  <si>
    <t>Baltic Sea</t>
  </si>
  <si>
    <t>Kiel Fjord, Baltic Sea</t>
  </si>
  <si>
    <t>Bloom</t>
  </si>
  <si>
    <t>Post-bloom</t>
  </si>
  <si>
    <t>S3366</t>
  </si>
  <si>
    <t>S3367</t>
  </si>
  <si>
    <t>S3368</t>
  </si>
  <si>
    <t>S3369</t>
  </si>
  <si>
    <t>S3370</t>
  </si>
  <si>
    <t>S3371</t>
  </si>
  <si>
    <t>S3372</t>
  </si>
  <si>
    <t>S3373</t>
  </si>
  <si>
    <t>S3374</t>
  </si>
  <si>
    <t>S3375</t>
  </si>
  <si>
    <t>S3376</t>
  </si>
  <si>
    <t>R187</t>
  </si>
  <si>
    <t>Horn, H. G., et al., 2016</t>
  </si>
  <si>
    <t>Effects of high CO2 and warming on a Baltic Sea microzooplankton community</t>
  </si>
  <si>
    <t>GEOMAR, Kiel, Germany</t>
  </si>
  <si>
    <t>Ciliate biomass</t>
  </si>
  <si>
    <t>S3377</t>
  </si>
  <si>
    <t>S3378</t>
  </si>
  <si>
    <t>S3379</t>
  </si>
  <si>
    <t>S3380</t>
  </si>
  <si>
    <t>S3381</t>
  </si>
  <si>
    <t>S3382</t>
  </si>
  <si>
    <t>S3383</t>
  </si>
  <si>
    <t>S3384</t>
  </si>
  <si>
    <t>S3385</t>
  </si>
  <si>
    <t>R188</t>
  </si>
  <si>
    <t>Garzke, J., et al., 2016</t>
  </si>
  <si>
    <t>Combined effects of ocean warming and acidification on copepod abundance, body size and fatty acid content</t>
  </si>
  <si>
    <t>Kiel Fjord</t>
  </si>
  <si>
    <t>Nauplii</t>
  </si>
  <si>
    <t>S3386</t>
  </si>
  <si>
    <t>Copepodites</t>
  </si>
  <si>
    <t>S3387</t>
  </si>
  <si>
    <t>Adults</t>
  </si>
  <si>
    <t>S3388</t>
  </si>
  <si>
    <t xml:space="preserve">Total fatty acid </t>
  </si>
  <si>
    <t>S3622</t>
  </si>
  <si>
    <t>R212</t>
  </si>
  <si>
    <t>Ramaekers, L., et al., 2023</t>
  </si>
  <si>
    <t>Elevated dissolved carbon dioxide and associated acidiﬁcation delaysmaturation and decreases calciﬁcation and survival in the freshwatercrustacean Daphnia magna</t>
  </si>
  <si>
    <t xml:space="preserve">America </t>
  </si>
  <si>
    <t xml:space="preserve">Europeand North-America </t>
  </si>
  <si>
    <t>Average calcium con-tent</t>
  </si>
  <si>
    <t>S3623</t>
  </si>
  <si>
    <t>Growth rate-Average juvenile</t>
  </si>
  <si>
    <t>S3624</t>
  </si>
  <si>
    <t>Growth rate-Average adult s</t>
  </si>
  <si>
    <t>S3625</t>
  </si>
  <si>
    <t xml:space="preserve">offspring body size </t>
  </si>
  <si>
    <t>S3629</t>
  </si>
  <si>
    <t>R214</t>
  </si>
  <si>
    <t>Mayo,J. A., et al., 2023</t>
  </si>
  <si>
    <t>Simultaneous warming and acidificationlimit population fitness and revealphenotype costs for a marine copepod</t>
  </si>
  <si>
    <t xml:space="preserve"> Long Island Sound, CT, USA </t>
  </si>
  <si>
    <t>S3630</t>
  </si>
  <si>
    <t>4 generations</t>
  </si>
  <si>
    <t>S3631</t>
  </si>
  <si>
    <t>S3632</t>
  </si>
  <si>
    <t>S3633</t>
  </si>
  <si>
    <t>Development</t>
  </si>
  <si>
    <t>S3634</t>
  </si>
  <si>
    <t>S3641</t>
  </si>
  <si>
    <t>R216</t>
  </si>
  <si>
    <t>Chen, W. J., et al., 2024</t>
  </si>
  <si>
    <t>The copepod Acartia spinicauda feeds less and dies more under the influences of solar ultraviolet radiation and elevated Pco2</t>
  </si>
  <si>
    <t xml:space="preserve">Xiamen Wutong Wharf </t>
  </si>
  <si>
    <t>11 generations</t>
  </si>
  <si>
    <t>P (PAR)</t>
  </si>
  <si>
    <t>S3642</t>
  </si>
  <si>
    <t>PA (PAR + UV-A)</t>
  </si>
  <si>
    <t>S3643</t>
  </si>
  <si>
    <t>PAB (PAR + UV-A + UV-B)</t>
  </si>
  <si>
    <t>S3644</t>
  </si>
  <si>
    <t>S3645</t>
  </si>
  <si>
    <t>S3646</t>
  </si>
  <si>
    <t>Chen, W. J., et al., 2022</t>
  </si>
  <si>
    <t xml:space="preserve">Survival </t>
  </si>
  <si>
    <t>S3664</t>
  </si>
  <si>
    <t>R220</t>
  </si>
  <si>
    <t>Oh, J. H., et al., 2022</t>
  </si>
  <si>
    <t>Effect of Different pCO2 Concentrations in Seawater on Meiofauna: Abundance of Communities in Sediment and Survival Rate of Harpacticoid Copepods</t>
  </si>
  <si>
    <t>Marine Ecosystem Research Center, Korea Institute of Ocean Science and Technology, Busan, 49111, Republic of Korea</t>
  </si>
  <si>
    <t>S3667</t>
  </si>
  <si>
    <t>Effect of different pCO2 concentrations in seawater on meiofauna: abundance of communities in sediment and survival rate of harpacticoid copepods</t>
  </si>
  <si>
    <t>Link</t>
  </si>
  <si>
    <t>https://www.sciencedirect.com/science/article/abs/pii/S1011134424001805</t>
  </si>
  <si>
    <t>Group</t>
  </si>
  <si>
    <t>Species</t>
  </si>
  <si>
    <t>Acartia spinicauda</t>
  </si>
  <si>
    <t>Daphnia magna</t>
  </si>
  <si>
    <t>Cladoceran</t>
  </si>
  <si>
    <t xml:space="preserve">https://aslopubs.onlinelibrary.wiley.com/doi/10.1002/lno.12372 </t>
  </si>
  <si>
    <t xml:space="preserve">https://royalsocietypublishing.org/doi/10.1098/rspb.2023.1033 </t>
  </si>
  <si>
    <t>Acartia hudsonica</t>
  </si>
  <si>
    <t xml:space="preserve">https://link.springer.com/article/10.1007/s12601-022-00066-y </t>
  </si>
  <si>
    <t>Harpacticoid Copepod </t>
  </si>
  <si>
    <t>Acartia tonsa</t>
  </si>
  <si>
    <t xml:space="preserve">https://www.nature.com/articles/s41558-021-01131-5 </t>
  </si>
  <si>
    <t>https://www.sciencedirect.com/science/article/abs/pii/S0025326X04001663</t>
  </si>
  <si>
    <t>Acartia steueri</t>
  </si>
  <si>
    <t>Acartia steueri and Acartia erythraea</t>
  </si>
  <si>
    <t xml:space="preserve">https://link.springer.com/article/10.1007/s10872-004-5766-x </t>
  </si>
  <si>
    <t xml:space="preserve">https://www.sciencedirect.com/science/article/abs/pii/S0025326X08001781 </t>
  </si>
  <si>
    <t>Acartia tsuensis</t>
  </si>
  <si>
    <t xml:space="preserve">https://onlinelibrary.wiley.com/doi/full/10.1002/ece3.6055 </t>
  </si>
  <si>
    <t xml:space="preserve">https://academic.oup.com/plankt/article-abstract/42/2/189/5771213?redirectedFrom=fulltext </t>
  </si>
  <si>
    <t xml:space="preserve">https://journals.plos.org/plosone/article?id=10.1371/journal.pone.0217047 </t>
  </si>
  <si>
    <t>https://journals.plos.org/plosone/article?id=10.1371/journal.pone.0213931</t>
  </si>
  <si>
    <t> Acartia hudsonica </t>
  </si>
  <si>
    <t xml:space="preserve">https://www.frontiersin.org/journals/marine-science/articles/10.3389/fmars.2019.00075/full </t>
  </si>
  <si>
    <t>Clausocalanus and Paracalanus</t>
  </si>
  <si>
    <t>Pteropod</t>
  </si>
  <si>
    <t>https://pubmed.ncbi.nlm.nih.gov/29191863/</t>
  </si>
  <si>
    <t>Limacina retroversa</t>
  </si>
  <si>
    <t xml:space="preserve">https://pubmed.ncbi.nlm.nih.gov/28850765/ </t>
  </si>
  <si>
    <t>Amphipod</t>
  </si>
  <si>
    <t>Decapod</t>
  </si>
  <si>
    <t>Calanoid copepod</t>
  </si>
  <si>
    <t>Pleocyemata</t>
  </si>
  <si>
    <t>Dendrobranchiata</t>
  </si>
  <si>
    <t>Amphipoda</t>
  </si>
  <si>
    <t>https://www.sciencedirect.com/science/article/abs/pii/S0022098116303707</t>
  </si>
  <si>
    <t>Heterotrophic nanoflagellate</t>
  </si>
  <si>
    <t>Protozooplankton</t>
  </si>
  <si>
    <t>https://pubmed.ncbi.nlm.nih.gov/29321880/</t>
  </si>
  <si>
    <t>Calanus finmarchicus</t>
  </si>
  <si>
    <t xml:space="preserve">https://journals.plos.org/plosone/article?id=10.1371/journal.pone.0190625 </t>
  </si>
  <si>
    <t>Oikopleura dioica</t>
  </si>
  <si>
    <t>Appendiculrian</t>
  </si>
  <si>
    <t xml:space="preserve">https://journals.plos.org/plosone/article?id=10.1371/journal.pone.0169737 </t>
  </si>
  <si>
    <t>Different size classes of copepods</t>
  </si>
  <si>
    <t xml:space="preserve">https://www.pnas.org/doi/10.1073/pnas.1315162110 </t>
  </si>
  <si>
    <t>Adult Calanus</t>
  </si>
  <si>
    <t>Adult Oithona</t>
  </si>
  <si>
    <t>&lt;60 um nauplii</t>
  </si>
  <si>
    <t>&gt;250 um nauplii</t>
  </si>
  <si>
    <t xml:space="preserve">https://bg.copernicus.org/articles/10/1391/2013/ </t>
  </si>
  <si>
    <t>Total zooplankton</t>
  </si>
  <si>
    <t>Other zooplankton</t>
  </si>
  <si>
    <t xml:space="preserve">https://bg.copernicus.org/articles/13/6625/ </t>
  </si>
  <si>
    <t>Acartia bifilosa</t>
  </si>
  <si>
    <t>Eurytemora affinis</t>
  </si>
  <si>
    <t xml:space="preserve">https://journals.plos.org/plosone/article?id=10.1371/journal.pone.0165800 </t>
  </si>
  <si>
    <t>Strombidium sp</t>
  </si>
  <si>
    <t>Ciliate</t>
  </si>
  <si>
    <t xml:space="preserve">https://pubmed.ncbi.nlm.nih.gov/24754390/ </t>
  </si>
  <si>
    <t>nauplii</t>
  </si>
  <si>
    <t xml:space="preserve">https://link.springer.com/article/10.1007/s00227-012-2137-9 </t>
  </si>
  <si>
    <t>Polychaetes</t>
  </si>
  <si>
    <t>Rotifers</t>
  </si>
  <si>
    <t>Harpacticoids</t>
  </si>
  <si>
    <t>Cyclopoids</t>
  </si>
  <si>
    <t>Calanoid copepodites</t>
  </si>
  <si>
    <t xml:space="preserve">All nauplii </t>
  </si>
  <si>
    <t xml:space="preserve">Others </t>
  </si>
  <si>
    <t>Annelid worm</t>
  </si>
  <si>
    <t>Rotifer</t>
  </si>
  <si>
    <t>Non-calanoid copepod</t>
  </si>
  <si>
    <t xml:space="preserve">https://link.springer.com/article/10.1007/s00227-012-2121-4 </t>
  </si>
  <si>
    <t xml:space="preserve">https://bg.copernicus.org/articles/13/1037/2016/ </t>
  </si>
  <si>
    <t xml:space="preserve">https://www.int-res.com/abstracts/meps/v554/meps11803 </t>
  </si>
  <si>
    <t>Heterotrophic nanoflagellates</t>
  </si>
  <si>
    <t xml:space="preserve">https://aslopubs.onlinelibrary.wiley.com/doi/10.1002/lno.10256 </t>
  </si>
  <si>
    <t xml:space="preserve">https://academic.oup.com/icesjms/article/73/3/772/2458875 </t>
  </si>
  <si>
    <t xml:space="preserve">https://bg.copernicus.org/articles/13/6171/2016/ </t>
  </si>
  <si>
    <t xml:space="preserve">https://www.nature.com/articles/srep27749 </t>
  </si>
  <si>
    <t xml:space="preserve">https://journals.plos.org/plosone/article?id=10.1371/journal.pone.0155952 </t>
  </si>
  <si>
    <t>Paracalanus sp.</t>
  </si>
  <si>
    <t>copepodites</t>
  </si>
  <si>
    <t>adults</t>
  </si>
  <si>
    <t xml:space="preserve">https://journals.plos.org/plosone/article?id=10.1371/journal.pone.0175851 </t>
  </si>
  <si>
    <t>P. acuspes</t>
  </si>
  <si>
    <t>https://www.publish.csiro.au/mf/MF15296</t>
  </si>
  <si>
    <t xml:space="preserve">https://www.sciencedirect.com/science/article/pii/S0141113617303586 </t>
  </si>
  <si>
    <t>Mesozooplankton</t>
  </si>
  <si>
    <t>https://www.int-res.com/abstracts/meps/v546/meps11655</t>
  </si>
  <si>
    <t>coral nubbin</t>
  </si>
  <si>
    <t>Fish larvae</t>
  </si>
  <si>
    <t xml:space="preserve">https://onlinelibrary.wiley.com/doi/10.1002/tox.10139 </t>
  </si>
  <si>
    <t>Juveniles - Paragrus major</t>
  </si>
  <si>
    <t>Cleavage - Sillago japonica</t>
  </si>
  <si>
    <t>Embryo - Sillago japonica</t>
  </si>
  <si>
    <t>Post-flexion larvae - Sillago japonica</t>
  </si>
  <si>
    <t>Juveniles - Sillago japonica</t>
  </si>
  <si>
    <t>Juvenile stage - Paragrus major</t>
  </si>
  <si>
    <t>Include</t>
  </si>
  <si>
    <t>Notes</t>
  </si>
  <si>
    <t>Broad_subgroup</t>
  </si>
  <si>
    <t>Holoplankton</t>
  </si>
  <si>
    <t>Meroplankton</t>
  </si>
  <si>
    <t>Old_Biota_Group</t>
  </si>
  <si>
    <t>ei</t>
  </si>
  <si>
    <t>vei</t>
  </si>
  <si>
    <t>Physiology</t>
  </si>
  <si>
    <t>pH</t>
  </si>
  <si>
    <t>Old_Treatment</t>
  </si>
  <si>
    <t>T</t>
  </si>
  <si>
    <t>Jian et al. 2025</t>
  </si>
  <si>
    <t>Pseudocalanus newmani</t>
  </si>
  <si>
    <t>Lee et al., 2003</t>
  </si>
  <si>
    <t>Cnidaria</t>
  </si>
  <si>
    <t>Pandalus borealis</t>
  </si>
  <si>
    <t>Calanus sinicus</t>
  </si>
  <si>
    <t>No</t>
  </si>
  <si>
    <t>Lee et al. 2004</t>
  </si>
  <si>
    <t>Suckling et al. 2015</t>
  </si>
  <si>
    <t>Nguyen et al. 2012</t>
  </si>
  <si>
    <t>Parvez et al. 2018</t>
  </si>
  <si>
    <t>Uthicke et al. 2015</t>
  </si>
  <si>
    <t>Ling et al. 2008</t>
  </si>
  <si>
    <t>Li et al. 2010</t>
  </si>
  <si>
    <t>Li et al. 2011</t>
  </si>
  <si>
    <t>McEdward 1985</t>
  </si>
  <si>
    <t>Balogh and Byrne 2020</t>
  </si>
  <si>
    <t>Gall et al. 2021</t>
  </si>
  <si>
    <t>Lamare et al. 2014</t>
  </si>
  <si>
    <t>Benitez Villalobos et al. 2006</t>
  </si>
  <si>
    <t>Tyler et al. 2000</t>
  </si>
  <si>
    <t>Mos et al. 2011</t>
  </si>
  <si>
    <t>Lang et al. 2023</t>
  </si>
  <si>
    <t>9AZ</t>
  </si>
  <si>
    <t>15AZ</t>
  </si>
  <si>
    <t>16AZ</t>
  </si>
  <si>
    <t>19AZ</t>
  </si>
  <si>
    <t>21AZ</t>
  </si>
  <si>
    <t>22AZ</t>
  </si>
  <si>
    <t>25AZ</t>
  </si>
  <si>
    <t>26AZ</t>
  </si>
  <si>
    <t>30AZ</t>
  </si>
  <si>
    <t>31AZ</t>
  </si>
  <si>
    <t>33AZ</t>
  </si>
  <si>
    <t>34AZ</t>
  </si>
  <si>
    <t>75AZ</t>
  </si>
  <si>
    <t>82AZ</t>
  </si>
  <si>
    <t>85AZ</t>
  </si>
  <si>
    <t>Echinoderm</t>
  </si>
  <si>
    <t>Asterias amurensis</t>
  </si>
  <si>
    <t>Sterechinus neumayeri</t>
  </si>
  <si>
    <t>Meridiastra calcar</t>
  </si>
  <si>
    <t>Tripneustes gratilla</t>
  </si>
  <si>
    <t xml:space="preserve">Acanthaster sp. </t>
  </si>
  <si>
    <t>Centrostephanus rodgersii</t>
  </si>
  <si>
    <t>Apostichopus japonicus</t>
  </si>
  <si>
    <t>Dendraster excentricus</t>
  </si>
  <si>
    <t>Parvulastra exigua</t>
  </si>
  <si>
    <t>Heliocidaris erythrogramma</t>
  </si>
  <si>
    <t>Asterias rubens</t>
  </si>
  <si>
    <t>Normal larvae (%)</t>
  </si>
  <si>
    <t>Survival (%)</t>
  </si>
  <si>
    <t>Mortality  day 3 (%)</t>
  </si>
  <si>
    <t>Mortality day 3 (%)</t>
  </si>
  <si>
    <t>Mortality day 5 (%)</t>
  </si>
  <si>
    <t>Larval length (um)</t>
  </si>
  <si>
    <t xml:space="preserve">Time to reach 2 cell stage (h) </t>
  </si>
  <si>
    <t>Larval length prism (um)</t>
  </si>
  <si>
    <t>Larval width prism (um)</t>
  </si>
  <si>
    <t>Larval length 4-arm (um)</t>
  </si>
  <si>
    <t>Post-oral arm length 4-arm (um)</t>
  </si>
  <si>
    <t>Body length 4 arm (um)</t>
  </si>
  <si>
    <t>Anterior lateral arm length 4-arm (um)</t>
  </si>
  <si>
    <t>Mid-late brachiolaria day 10 (%)</t>
  </si>
  <si>
    <t>Mid-late brachiolaria day 17 (%)</t>
  </si>
  <si>
    <t>Yield advanced two-arm plutei (%)</t>
  </si>
  <si>
    <t>Settlement (%)</t>
  </si>
  <si>
    <t>Survival day 1 pre-feeding (%)</t>
  </si>
  <si>
    <t>Survival day 3 pre-feeding  (%)</t>
  </si>
  <si>
    <t>Survival day 3 pre-feeding (%)</t>
  </si>
  <si>
    <t>Growth rate  day 1 pre-feeding (um/d)</t>
  </si>
  <si>
    <t>Growth rate  day 3 pre-feeding (um/d)</t>
  </si>
  <si>
    <t>Survival day 5 feeding (%)</t>
  </si>
  <si>
    <t>Survival day 8 feeding  (%)</t>
  </si>
  <si>
    <t>Survival day 8 feeding (%)</t>
  </si>
  <si>
    <t>Growth rate  day 5 feeding (um/d)</t>
  </si>
  <si>
    <t>Growth rate  day 8 feeding (um/d)</t>
  </si>
  <si>
    <t>Ciliated band length (mm)</t>
  </si>
  <si>
    <t>Symmetry (ratio)</t>
  </si>
  <si>
    <t>Protein content (ng larvae-1)</t>
  </si>
  <si>
    <t>Survival day 10 (%)</t>
  </si>
  <si>
    <t>Metamorphosing into juveniles 5 days (%)</t>
  </si>
  <si>
    <t>Metamorphosing into juveniles 10 days (%)</t>
  </si>
  <si>
    <t>Bipinnaria 72 hrs (%)</t>
  </si>
  <si>
    <t>Larval width (um)</t>
  </si>
  <si>
    <t>Early bipinnaria swimming 24 hrs (%)</t>
  </si>
  <si>
    <t>Survival of prisms (%)</t>
  </si>
  <si>
    <t>Survival of 4-arm plutei (%)</t>
  </si>
  <si>
    <t>Settlement with spine development (%)</t>
  </si>
  <si>
    <t>Byrne M et al</t>
  </si>
  <si>
    <t xml:space="preserve">Nguyen H D et al </t>
  </si>
  <si>
    <t xml:space="preserve">Parker L M et al </t>
  </si>
  <si>
    <t xml:space="preserve">Comeau S et al </t>
  </si>
  <si>
    <t>Davis A R et al</t>
  </si>
  <si>
    <t>Manno et al</t>
  </si>
  <si>
    <t>Doo et al</t>
  </si>
  <si>
    <t>Wong &amp; Hofmann</t>
  </si>
  <si>
    <t>Alessi et al</t>
  </si>
  <si>
    <t>1JYP</t>
  </si>
  <si>
    <t>Saccostrea glomerata</t>
  </si>
  <si>
    <t>Limacina helicina</t>
  </si>
  <si>
    <t>Bembicium nanum</t>
  </si>
  <si>
    <t>Dolabrifera brazieri</t>
  </si>
  <si>
    <t>Neogloboquadrina pachyderma</t>
  </si>
  <si>
    <t>Marginopora vertebralis</t>
  </si>
  <si>
    <t>Mesocentrotus franciscanus</t>
  </si>
  <si>
    <t>Dendropoma cristatum</t>
  </si>
  <si>
    <t>TpH</t>
  </si>
  <si>
    <t>% of fertilization</t>
  </si>
  <si>
    <t>% of gastrulation</t>
  </si>
  <si>
    <t>Mean % hatched</t>
  </si>
  <si>
    <t>Mean % mortality day 5</t>
  </si>
  <si>
    <t>Mean % normal larvae</t>
  </si>
  <si>
    <t>Mean lenght</t>
  </si>
  <si>
    <t>% Fertilization of gamets</t>
  </si>
  <si>
    <t>% of gamets to reach D-veliger after 48h</t>
  </si>
  <si>
    <t>Mean shell length of D-veliger larvae after 48h</t>
  </si>
  <si>
    <t>Active absorbation of CaCO3</t>
  </si>
  <si>
    <t>mortality</t>
  </si>
  <si>
    <t xml:space="preserve">Mean developmental stage </t>
  </si>
  <si>
    <t>CaCO3 contents, adults</t>
  </si>
  <si>
    <t>growth (g-1.day-1)</t>
  </si>
  <si>
    <t>mg CaCO3 day-1</t>
  </si>
  <si>
    <t>Gastrula length (mm)</t>
  </si>
  <si>
    <t>shell length (mm)</t>
  </si>
  <si>
    <t>CaO %</t>
  </si>
  <si>
    <t>O2 consumption</t>
  </si>
  <si>
    <t>Hu et al. 2024</t>
  </si>
  <si>
    <t>H. R. Clark, C. J. Gobler, Diurnal fluctuations in CO2 and dissolved oxygen concentrations do not provide a refuge from hypoxia and acidification for early-life-stage bivalves. Marine Ecology Progress Series 558, 1-14 (2016).</t>
  </si>
  <si>
    <t>M. J. S. Apines-Amar et al., Effects of Water Quality, Stocking Density, Water Exchange Frequency, and Food, on Growth and Survival of the Green Mussel, Perna viridis Larvae. Israeli Journal of Aquaculture-Bamidgeh 72, (2020).</t>
  </si>
  <si>
    <t>J. Q. Li et al., The potential of ocean acidification on suppressing larval development in the Pacific oyster Crassostrea gigas and blood cockle Arca inflata Reeve. Chinese Journal of Oceanology and Limnology 32, 1307-1313 (2014).</t>
  </si>
  <si>
    <t>Kruft Welton et al. 2024</t>
  </si>
  <si>
    <t>1KYP</t>
  </si>
  <si>
    <t>2KYP</t>
  </si>
  <si>
    <t>3KYP</t>
  </si>
  <si>
    <t>4KYP</t>
  </si>
  <si>
    <t>5KYP</t>
  </si>
  <si>
    <t>6KYP</t>
  </si>
  <si>
    <t>7KYP</t>
  </si>
  <si>
    <t>8KYP</t>
  </si>
  <si>
    <t>9KYP</t>
  </si>
  <si>
    <t>10KYP</t>
  </si>
  <si>
    <t>11KYP</t>
  </si>
  <si>
    <t>12KYP</t>
  </si>
  <si>
    <t>13KYP</t>
  </si>
  <si>
    <t>14KYP</t>
  </si>
  <si>
    <t>15KYP</t>
  </si>
  <si>
    <t>16KYP</t>
  </si>
  <si>
    <t>17KYP</t>
  </si>
  <si>
    <t>18KYP</t>
  </si>
  <si>
    <t>19KYP</t>
  </si>
  <si>
    <t>20KYP</t>
  </si>
  <si>
    <t>21KYP</t>
  </si>
  <si>
    <t>22KYP</t>
  </si>
  <si>
    <t>23KYP</t>
  </si>
  <si>
    <t>24KYP</t>
  </si>
  <si>
    <t>25KYP</t>
  </si>
  <si>
    <t>26KYP</t>
  </si>
  <si>
    <t>27KYP</t>
  </si>
  <si>
    <t>Donax ohesulus</t>
  </si>
  <si>
    <t>Crassostrea virginica</t>
  </si>
  <si>
    <t>Argopecten irradians</t>
  </si>
  <si>
    <t>Mercenaria mercenaria</t>
  </si>
  <si>
    <t>Paphia undulate</t>
  </si>
  <si>
    <t>Perna viridis</t>
  </si>
  <si>
    <t>Panopea japonica</t>
  </si>
  <si>
    <t>Macoma balthica</t>
  </si>
  <si>
    <t>Mytilus californianus</t>
  </si>
  <si>
    <t>Mactra veneriformis</t>
  </si>
  <si>
    <t>Mytilus galloprovincialis</t>
  </si>
  <si>
    <t>Magallana gigas</t>
  </si>
  <si>
    <t>Arca inflata</t>
  </si>
  <si>
    <t>Donax trunculus</t>
  </si>
  <si>
    <t>Callista chione</t>
  </si>
  <si>
    <t>Macoma balthica / Limecola balthica</t>
  </si>
  <si>
    <t>Mytilus edulis</t>
  </si>
  <si>
    <t>Ruditapes philippinarum</t>
  </si>
  <si>
    <t>Ostrea edulis</t>
  </si>
  <si>
    <t>O2</t>
  </si>
  <si>
    <t>pH + O2</t>
  </si>
  <si>
    <t>salinity</t>
  </si>
  <si>
    <t>growth um/day</t>
  </si>
  <si>
    <t>larval shell length um</t>
  </si>
  <si>
    <t>shell length ?m</t>
  </si>
  <si>
    <t>shell height ?m</t>
  </si>
  <si>
    <t>relative growth rate %</t>
  </si>
  <si>
    <t>shell length um</t>
  </si>
  <si>
    <t>shell height um</t>
  </si>
  <si>
    <t>larval length ?m</t>
  </si>
  <si>
    <t>diameter</t>
  </si>
  <si>
    <t>length</t>
  </si>
  <si>
    <t>growth rate</t>
  </si>
  <si>
    <t>larval length um</t>
  </si>
  <si>
    <t>diameter um</t>
  </si>
  <si>
    <t>shell size um</t>
  </si>
  <si>
    <t>Mean area</t>
  </si>
  <si>
    <t>Average shell length</t>
  </si>
  <si>
    <t>um</t>
  </si>
  <si>
    <t>Shell length</t>
  </si>
  <si>
    <t>Lombardi et al., 2011</t>
  </si>
  <si>
    <t>Aganlt et al., 2013</t>
  </si>
  <si>
    <t>Arnold et al., 2009</t>
  </si>
  <si>
    <t>Bechmann et al., 2011</t>
  </si>
  <si>
    <t>Cripps et al., 2014a</t>
  </si>
  <si>
    <t>Cripps et al., 2014b</t>
  </si>
  <si>
    <t>Eriander et al., 2016</t>
  </si>
  <si>
    <t>Mayor et al., 2012</t>
  </si>
  <si>
    <t>McConville et al., 2013</t>
  </si>
  <si>
    <t>Runge et al., 2016</t>
  </si>
  <si>
    <t>Schiffer et al., 2014</t>
  </si>
  <si>
    <t>Sperfeld et al., 2014</t>
  </si>
  <si>
    <t>Styf et al., 2013</t>
  </si>
  <si>
    <t>Thor and Dupont 2015</t>
  </si>
  <si>
    <t>Whiteley et al., 2018</t>
  </si>
  <si>
    <t>Wood et al., 2015</t>
  </si>
  <si>
    <t>Chan et al., 2015</t>
  </si>
  <si>
    <t>Martin et al., 2011</t>
  </si>
  <si>
    <t>Moulin et al., 2011</t>
  </si>
  <si>
    <t>Comeau et al., 2010</t>
  </si>
  <si>
    <t>Gazeau et al., 2010</t>
  </si>
  <si>
    <t>Jansson et al., 2016</t>
  </si>
  <si>
    <t>Munari et al., 2016</t>
  </si>
  <si>
    <t>Noisette et al., 2014</t>
  </si>
  <si>
    <t>Pereira et al., 2016a</t>
  </si>
  <si>
    <t>Prado et al., 2016</t>
  </si>
  <si>
    <t>Van Colen et al., 2012</t>
  </si>
  <si>
    <t>Campbell et al., 2014</t>
  </si>
  <si>
    <t>Lewis et al., 2013</t>
  </si>
  <si>
    <t>Hoppit et al. 2022</t>
  </si>
  <si>
    <t>Schizoporella errata</t>
  </si>
  <si>
    <t>Homarus gammarus</t>
  </si>
  <si>
    <t>Balanus improvisus</t>
  </si>
  <si>
    <t>Calanus helgolandicus</t>
  </si>
  <si>
    <t>Temora longicornis</t>
  </si>
  <si>
    <t>Centropages typicus</t>
  </si>
  <si>
    <t xml:space="preserve">Hyas araneus </t>
  </si>
  <si>
    <t>Nyctiphanes couchii</t>
  </si>
  <si>
    <t>Nephrops norvegicus</t>
  </si>
  <si>
    <t>Pseudocalanus acuspes</t>
  </si>
  <si>
    <t>Cancer pagurus</t>
  </si>
  <si>
    <t>Paracentrotus lividus</t>
  </si>
  <si>
    <t>Pomatoceros lamrckii</t>
  </si>
  <si>
    <t>Metabolic response</t>
  </si>
  <si>
    <t>Calcification</t>
  </si>
  <si>
    <t>1KRI</t>
  </si>
  <si>
    <t>2KRI</t>
  </si>
  <si>
    <t>3KRI</t>
  </si>
  <si>
    <t>4KRI</t>
  </si>
  <si>
    <t>5KRI</t>
  </si>
  <si>
    <t>6KRI</t>
  </si>
  <si>
    <t>7KRI</t>
  </si>
  <si>
    <t>8KRI</t>
  </si>
  <si>
    <t>9KRI</t>
  </si>
  <si>
    <t>10KRI</t>
  </si>
  <si>
    <t>11KRI</t>
  </si>
  <si>
    <t>12KRI</t>
  </si>
  <si>
    <t>13KRI</t>
  </si>
  <si>
    <t>14KRI</t>
  </si>
  <si>
    <t>15KRI</t>
  </si>
  <si>
    <t>16KRI</t>
  </si>
  <si>
    <t>17KRI</t>
  </si>
  <si>
    <t>18KRI</t>
  </si>
  <si>
    <t>19KRI</t>
  </si>
  <si>
    <t>20KRI</t>
  </si>
  <si>
    <t>21KRI</t>
  </si>
  <si>
    <t>22KRI</t>
  </si>
  <si>
    <t>23KRI</t>
  </si>
  <si>
    <t>24KRI</t>
  </si>
  <si>
    <t>25KRI</t>
  </si>
  <si>
    <t>26KRI</t>
  </si>
  <si>
    <t>27KRI</t>
  </si>
  <si>
    <t>28KRI</t>
  </si>
  <si>
    <t>29KRI</t>
  </si>
  <si>
    <t>30KRI</t>
  </si>
  <si>
    <t>Rynkowski et al. 2025</t>
  </si>
  <si>
    <t>Talmage</t>
  </si>
  <si>
    <t>Griffith</t>
  </si>
  <si>
    <t>Wang</t>
  </si>
  <si>
    <t>2JYP</t>
  </si>
  <si>
    <t>3JYP</t>
  </si>
  <si>
    <t>4JYP</t>
  </si>
  <si>
    <t>5JYP</t>
  </si>
  <si>
    <t>6JYP</t>
  </si>
  <si>
    <t>7JYP</t>
  </si>
  <si>
    <t>8JYP</t>
  </si>
  <si>
    <t>9JYP</t>
  </si>
  <si>
    <t>Crassostrea.virginica</t>
  </si>
  <si>
    <t>Argopecten.irradians</t>
  </si>
  <si>
    <t>Mercenaria.mercenaria</t>
  </si>
  <si>
    <t>Mytilus.coruscus</t>
  </si>
  <si>
    <t>24.2.1</t>
  </si>
  <si>
    <t>24.2.2</t>
  </si>
  <si>
    <t>HarmfulAlga.Acidification</t>
  </si>
  <si>
    <t>calculated using chatgpt using the formula of Hu et al. 2024</t>
  </si>
  <si>
    <t>Metamorphosis</t>
  </si>
  <si>
    <t>Diameter</t>
  </si>
  <si>
    <t>Lipid.content</t>
  </si>
  <si>
    <t>Length</t>
  </si>
  <si>
    <t>Fertilisation.rate</t>
  </si>
  <si>
    <t>Cleavage.rate</t>
  </si>
  <si>
    <t>Embryo.deformity.rate</t>
  </si>
  <si>
    <t>Height</t>
  </si>
  <si>
    <t>Watson et al. 2009</t>
  </si>
  <si>
    <t>Parker et al. 2012</t>
  </si>
  <si>
    <t>Parker et al. 2015</t>
  </si>
  <si>
    <t>Parker et al. 2017</t>
  </si>
  <si>
    <t>Gibbs et al. 2021a</t>
  </si>
  <si>
    <t>Gibbs et al. 2021b</t>
  </si>
  <si>
    <t>Gibbs et al. 2021c</t>
  </si>
  <si>
    <t>Ross et al. 2024</t>
  </si>
  <si>
    <t>1YES</t>
  </si>
  <si>
    <t>2YES</t>
  </si>
  <si>
    <t>3YES</t>
  </si>
  <si>
    <t>4YES</t>
  </si>
  <si>
    <t>5YES</t>
  </si>
  <si>
    <t>6YES</t>
  </si>
  <si>
    <t>Parker et al. 2021_ExB</t>
  </si>
  <si>
    <t>flip sign because we are looking at mortality, instead of survival</t>
  </si>
  <si>
    <t>1YESB</t>
  </si>
  <si>
    <t>2YESB</t>
  </si>
  <si>
    <t>3YESB</t>
  </si>
  <si>
    <t>4YESB</t>
  </si>
  <si>
    <t>5YESB</t>
  </si>
  <si>
    <t>6YESB</t>
  </si>
  <si>
    <t>7YESB</t>
  </si>
  <si>
    <t>Parker et al. 2009</t>
  </si>
  <si>
    <t>Parker 2010</t>
  </si>
  <si>
    <t>Parker et al. 2017a</t>
  </si>
  <si>
    <t>1NO</t>
  </si>
  <si>
    <t>2NO</t>
  </si>
  <si>
    <t>3NO</t>
  </si>
  <si>
    <t>1YEHO</t>
  </si>
  <si>
    <t>2YEHO</t>
  </si>
  <si>
    <t>Yes</t>
  </si>
  <si>
    <t>Kindinger et al. 2022</t>
  </si>
  <si>
    <t>1YIP</t>
  </si>
  <si>
    <t>2YIP</t>
  </si>
  <si>
    <t>3YIP</t>
  </si>
  <si>
    <t>4YIP</t>
  </si>
  <si>
    <t>5YIP</t>
  </si>
  <si>
    <t>6YIP</t>
  </si>
  <si>
    <t>7YIP</t>
  </si>
  <si>
    <t>8YIP</t>
  </si>
  <si>
    <t>9YIP</t>
  </si>
  <si>
    <t>10YIP</t>
  </si>
  <si>
    <t>11YIP</t>
  </si>
  <si>
    <t>Acartia</t>
  </si>
  <si>
    <t>tonsa</t>
  </si>
  <si>
    <t>Calanus</t>
  </si>
  <si>
    <t>glacialis</t>
  </si>
  <si>
    <t>Centropages</t>
  </si>
  <si>
    <t>tenuiremis</t>
  </si>
  <si>
    <t>Tigriopus</t>
  </si>
  <si>
    <t>japonicus</t>
  </si>
  <si>
    <t>hudsonica</t>
  </si>
  <si>
    <t>Eutintinnus</t>
  </si>
  <si>
    <t>sp.</t>
  </si>
  <si>
    <t>Schmidingerella</t>
  </si>
  <si>
    <t>Oxyrrhis</t>
  </si>
  <si>
    <t>marina</t>
  </si>
  <si>
    <t>Thysanoessa</t>
  </si>
  <si>
    <t>inermis</t>
  </si>
  <si>
    <t>finmarchicus</t>
  </si>
  <si>
    <t>Euphausia</t>
  </si>
  <si>
    <t>superba</t>
  </si>
  <si>
    <t>Pseudocalanus</t>
  </si>
  <si>
    <t>acuspes</t>
  </si>
  <si>
    <t>ingestion rate</t>
  </si>
  <si>
    <t>daily ingestion rate</t>
  </si>
  <si>
    <t>feeding rate</t>
  </si>
  <si>
    <t>ingested cells</t>
  </si>
  <si>
    <t>Behaviour</t>
  </si>
  <si>
    <t>Hamraj et al. 2021</t>
  </si>
  <si>
    <t>Isla et al., 2008</t>
  </si>
  <si>
    <t>Isla et al., 2008-2</t>
  </si>
  <si>
    <t>Isla et al., 2008-3</t>
  </si>
  <si>
    <t>Mathews et al., 2018</t>
  </si>
  <si>
    <t>Mathews et al., 2018-2</t>
  </si>
  <si>
    <t>Mathews et al., 2018-3</t>
  </si>
  <si>
    <t>Mathews et al., 2018-4</t>
  </si>
  <si>
    <t>Mathews et al., 2018-5</t>
  </si>
  <si>
    <t>Mathews et al., 2018-6</t>
  </si>
  <si>
    <t>Mathews et al., 2018-7</t>
  </si>
  <si>
    <t>Mathews et al., 2018-8</t>
  </si>
  <si>
    <t>Van-Dihn et al., 2019</t>
  </si>
  <si>
    <t>Van-Dihn et al., 2019-2</t>
  </si>
  <si>
    <t>Durbin and Durbin 1992</t>
  </si>
  <si>
    <t>Durbin and Durbin 1992-2</t>
  </si>
  <si>
    <t>Durbin and Durbin 1992-3</t>
  </si>
  <si>
    <t>Garrido et al., 2013</t>
  </si>
  <si>
    <t>Garrido et al., 2013-2</t>
  </si>
  <si>
    <t>Garrido et al., 2013-3</t>
  </si>
  <si>
    <t>Li et al., 2008</t>
  </si>
  <si>
    <t>Li et al., 2008-2</t>
  </si>
  <si>
    <t>Li et al., 2008-3</t>
  </si>
  <si>
    <t>Li et al., 2008-4</t>
  </si>
  <si>
    <t>Pseudocalanus sp</t>
  </si>
  <si>
    <t>Parvocalanus crassiorostris</t>
  </si>
  <si>
    <t>Centropages chierchiae</t>
  </si>
  <si>
    <t>Schmackeria dubia</t>
  </si>
  <si>
    <t>Feeding rate</t>
  </si>
  <si>
    <t>1HELLO</t>
  </si>
  <si>
    <t>2HELLO</t>
  </si>
  <si>
    <t>3HELLO</t>
  </si>
  <si>
    <t>4HELLO</t>
  </si>
  <si>
    <t>5HELLO</t>
  </si>
  <si>
    <t>6HELLO</t>
  </si>
  <si>
    <t>Mollusc</t>
  </si>
  <si>
    <t>Cruz et al., 2013</t>
  </si>
  <si>
    <t>Hildebrandt et al., 2014</t>
  </si>
  <si>
    <t>Scheffler et al., 2019</t>
  </si>
  <si>
    <t>Almeda et al.,2011</t>
  </si>
  <si>
    <t>Castellani et al., 2005</t>
  </si>
  <si>
    <t>Lechette et al 2016</t>
  </si>
  <si>
    <t>Isla et al 2004</t>
  </si>
  <si>
    <t>Cass and Daly 2014</t>
  </si>
  <si>
    <t>Calanus hyperboreus</t>
  </si>
  <si>
    <t>Tigriopus californicus</t>
  </si>
  <si>
    <t>Oithona davisae</t>
  </si>
  <si>
    <t>Oithona similis</t>
  </si>
  <si>
    <t>Pseudodiaptomus annandalei</t>
  </si>
  <si>
    <t>Pseudodiaptomus hessei</t>
  </si>
  <si>
    <t>Eucalanus inermis</t>
  </si>
  <si>
    <t>Rhincalanus rostrifrons</t>
  </si>
  <si>
    <t>Subeucalanus subtenuis</t>
  </si>
  <si>
    <t>Respiration</t>
  </si>
  <si>
    <t>Kang et al., 2016</t>
  </si>
  <si>
    <t>Grenvald et al., 2012</t>
  </si>
  <si>
    <t>Grenvald et al., 2012-2</t>
  </si>
  <si>
    <t>Grenvald et al., 2012-3</t>
  </si>
  <si>
    <t>Grenvald et al., 2012-4</t>
  </si>
  <si>
    <t>Karlsson et al., 2018</t>
  </si>
  <si>
    <t>Karlsson et al., 2018-2</t>
  </si>
  <si>
    <t>Bao et al., 2008</t>
  </si>
  <si>
    <t>Garzke et al., 2015</t>
  </si>
  <si>
    <t>Han et al., 2018</t>
  </si>
  <si>
    <t>Han et al., 2018-2</t>
  </si>
  <si>
    <t>Han et al., 2018-3</t>
  </si>
  <si>
    <t>Han et al., 2018-4</t>
  </si>
  <si>
    <t>Han et al., 2018-5</t>
  </si>
  <si>
    <t>Han et al., 2018-6</t>
  </si>
  <si>
    <t>Han et al., 2018-7</t>
  </si>
  <si>
    <t>Han et al., 2018-8</t>
  </si>
  <si>
    <t>Han et al., 2018-10</t>
  </si>
  <si>
    <t>Han et al., 2018-11</t>
  </si>
  <si>
    <t>Han et al., 2018-12</t>
  </si>
  <si>
    <t>Han et al., 2018-13</t>
  </si>
  <si>
    <t>Han et al., 2018-14</t>
  </si>
  <si>
    <t>Han et al., 2018-15</t>
  </si>
  <si>
    <t>Han et al., 2018-16</t>
  </si>
  <si>
    <t>Han et al., 2018-17</t>
  </si>
  <si>
    <t>Han et al., 2018-18</t>
  </si>
  <si>
    <t>Han et al., 2018-19</t>
  </si>
  <si>
    <t>Chinnery and Williams 2004</t>
  </si>
  <si>
    <t>Chinnery and Williams 2004-2</t>
  </si>
  <si>
    <t>Chinnery and Williams 2004-3</t>
  </si>
  <si>
    <t>Chinnery and Williams 2004-4</t>
  </si>
  <si>
    <t>Chinnery and Williams 2004-5</t>
  </si>
  <si>
    <t>Chinnery and Williams 2004-6</t>
  </si>
  <si>
    <t>Anzueto-Sanchez et al., 2014</t>
  </si>
  <si>
    <t>Anzueto-Sanchez et al., 2014-2</t>
  </si>
  <si>
    <t>Anzueto-Sanchez et al., 2014-3</t>
  </si>
  <si>
    <t>Anzueto-Sanchez et al., 2014-4</t>
  </si>
  <si>
    <t>Beyrend-Dur et al., 2011</t>
  </si>
  <si>
    <t>Beyrend-Dur et al., 2011-2</t>
  </si>
  <si>
    <t>Hammock et al., 2015</t>
  </si>
  <si>
    <t>Hammock et al., 2015-2</t>
  </si>
  <si>
    <t>Hammock et al., 2015-3</t>
  </si>
  <si>
    <t>Rhyne et al., 2009</t>
  </si>
  <si>
    <t>Rhyne et al., 2009-2</t>
  </si>
  <si>
    <t>Rhyne et al., 2009-3</t>
  </si>
  <si>
    <t>Rhyne et al., 2009-4</t>
  </si>
  <si>
    <t>Rhyne et al., 2009-5</t>
  </si>
  <si>
    <t>souissi et al 2016</t>
  </si>
  <si>
    <t>7HELLO</t>
  </si>
  <si>
    <t>8HELLO</t>
  </si>
  <si>
    <t>11HELLO</t>
  </si>
  <si>
    <t>9HELLO</t>
  </si>
  <si>
    <t>10HELLO</t>
  </si>
  <si>
    <t>14HELLO</t>
  </si>
  <si>
    <t>12HELLO</t>
  </si>
  <si>
    <t>13HELLO</t>
  </si>
  <si>
    <t>15HELLO</t>
  </si>
  <si>
    <t>16HELLO</t>
  </si>
  <si>
    <t>17HELLO</t>
  </si>
  <si>
    <t>18HELLO</t>
  </si>
  <si>
    <t>19HELLO</t>
  </si>
  <si>
    <t>20HELLO</t>
  </si>
  <si>
    <t>21HELLO</t>
  </si>
  <si>
    <t>22HELLO</t>
  </si>
  <si>
    <t>23HELLO</t>
  </si>
  <si>
    <t>24HELLO</t>
  </si>
  <si>
    <t>25HELLO</t>
  </si>
  <si>
    <t>26HELLO</t>
  </si>
  <si>
    <t>27HELLO</t>
  </si>
  <si>
    <t>28HELLO</t>
  </si>
  <si>
    <t>Calanus glacialis</t>
  </si>
  <si>
    <t>Tigriopus japonicus</t>
  </si>
  <si>
    <t>Acartia sp</t>
  </si>
  <si>
    <t>Tigriopus kingsejongensis</t>
  </si>
  <si>
    <t>Parvocalanus crassirostris</t>
  </si>
  <si>
    <t>Acartia clausi</t>
  </si>
  <si>
    <t>Acartia discaudata</t>
  </si>
  <si>
    <t>Pseudodiaptomus euryhalinus</t>
  </si>
  <si>
    <t>Pseudodiaptomus pelagicus</t>
  </si>
  <si>
    <t xml:space="preserve">not sure which specific metric was looked into </t>
  </si>
  <si>
    <t>cruz et al., 2013</t>
  </si>
  <si>
    <t>cruz et al., 2013-2</t>
  </si>
  <si>
    <t>cruz et al., 2013-3</t>
  </si>
  <si>
    <t>cruz et al., 2013-4</t>
  </si>
  <si>
    <t>Doan et al., 2019</t>
  </si>
  <si>
    <t>Doan et al., 2019-2</t>
  </si>
  <si>
    <t>Doan et al., 2019-3</t>
  </si>
  <si>
    <t>Kang yet al., 2016</t>
  </si>
  <si>
    <t>Hjorth and Nielsen 2011</t>
  </si>
  <si>
    <t>Hjorth and Nielsen 2011-2</t>
  </si>
  <si>
    <t>Hjorth and Nielsen 2011-3</t>
  </si>
  <si>
    <t>Hjorth and Nielsen 2011-4</t>
  </si>
  <si>
    <t>Karlsson et 2018</t>
  </si>
  <si>
    <t>Preziosi and Runge 2014</t>
  </si>
  <si>
    <t>Preziosi and Runge 2014-2</t>
  </si>
  <si>
    <t>Preziosi and Runge 2014-3</t>
  </si>
  <si>
    <t>Preziosi and Runge 2014-4</t>
  </si>
  <si>
    <t>Preziosi and Runge 2014-5</t>
  </si>
  <si>
    <t>Preziosi and Runge 2014-6</t>
  </si>
  <si>
    <t>Preziosi and Runge 2014-7</t>
  </si>
  <si>
    <t>Mayor et al., 2012-2</t>
  </si>
  <si>
    <t>preziosi et al., 2017</t>
  </si>
  <si>
    <t>preziosi et al., 2017-2</t>
  </si>
  <si>
    <t>preziosi et al., 2017-3</t>
  </si>
  <si>
    <t>preziosi et al., 2017-4</t>
  </si>
  <si>
    <t>Vehmaa et al., 2012</t>
  </si>
  <si>
    <t>Vehmaa et al., 2012-2</t>
  </si>
  <si>
    <t>Vehmaa et al., 2012-3</t>
  </si>
  <si>
    <t>zervoudaki et al., 2014</t>
  </si>
  <si>
    <t>Chinnery and williams 2003</t>
  </si>
  <si>
    <t>Chinnery and williams 2003-2</t>
  </si>
  <si>
    <t>Chinnery and williams 2003-3</t>
  </si>
  <si>
    <t>Chinnery and williams 2003-4</t>
  </si>
  <si>
    <t>Chinnery and williams 2003-5</t>
  </si>
  <si>
    <t>Chinnery and williams 2003-6</t>
  </si>
  <si>
    <t>Chinnery and williams 2003-7</t>
  </si>
  <si>
    <t>Chinnery and williams 2003-8</t>
  </si>
  <si>
    <t>Hansen et al., 2010</t>
  </si>
  <si>
    <t>Hansen et al., 2010-2</t>
  </si>
  <si>
    <t>Hansen et al., 2010-3</t>
  </si>
  <si>
    <t>Hansen et al., 2010-4</t>
  </si>
  <si>
    <t>Brugnano et al., 2009</t>
  </si>
  <si>
    <t>Brugnano et al., 2009-2</t>
  </si>
  <si>
    <t>Brugnano et al., 2009-3</t>
  </si>
  <si>
    <t>Brugnano et al., 2009-4</t>
  </si>
  <si>
    <t>Hemraj et al., 2018</t>
  </si>
  <si>
    <t>Milione and Zheng 2008</t>
  </si>
  <si>
    <t>Milione and Zheng 2008-2</t>
  </si>
  <si>
    <t>Milione and Zheng 2008-3</t>
  </si>
  <si>
    <t>Milione and Zheng 2008-4</t>
  </si>
  <si>
    <t>Milione and Zheng 2008-5</t>
  </si>
  <si>
    <t>Milione and Zheng 2008-6</t>
  </si>
  <si>
    <t>Milione and Zheng 2008-7</t>
  </si>
  <si>
    <t>Nielsen et al 2007</t>
  </si>
  <si>
    <t>Nielsen et al 2007-2</t>
  </si>
  <si>
    <t>Nielsen et al 2007-3</t>
  </si>
  <si>
    <t>Ozaki and Ikeda 1997</t>
  </si>
  <si>
    <t>Ozaki and Ikeda 1997-2</t>
  </si>
  <si>
    <t>Peck et al., 2015</t>
  </si>
  <si>
    <t>Peck et al., 2015-2</t>
  </si>
  <si>
    <t>Peck et al., 2015-3</t>
  </si>
  <si>
    <t>Peck et al., 2015-4</t>
  </si>
  <si>
    <t>Peck et al., 2015-5</t>
  </si>
  <si>
    <t>Peck et al., 2015-6</t>
  </si>
  <si>
    <t>Peck et al., 2015-7</t>
  </si>
  <si>
    <t>Peck et al., 2015-8</t>
  </si>
  <si>
    <t>29HELLO</t>
  </si>
  <si>
    <t>30HELLO</t>
  </si>
  <si>
    <t>31HELLO</t>
  </si>
  <si>
    <t>32HELLO</t>
  </si>
  <si>
    <t>33HELLO</t>
  </si>
  <si>
    <t>34HELLO</t>
  </si>
  <si>
    <t>35HELLO</t>
  </si>
  <si>
    <t>36HELLO</t>
  </si>
  <si>
    <t>37HELLO</t>
  </si>
  <si>
    <t>38HELLO</t>
  </si>
  <si>
    <t>39HELLO</t>
  </si>
  <si>
    <t>40HELLO</t>
  </si>
  <si>
    <t>41HELLO</t>
  </si>
  <si>
    <t>42HELLO</t>
  </si>
  <si>
    <t>43HELLO</t>
  </si>
  <si>
    <t>44HELLO</t>
  </si>
  <si>
    <t>45HELLO</t>
  </si>
  <si>
    <t>46HELLO</t>
  </si>
  <si>
    <t>47HELLO</t>
  </si>
  <si>
    <t xml:space="preserve">Egg hatching </t>
  </si>
  <si>
    <t>Pseudocyclops xiphophorus</t>
  </si>
  <si>
    <t>Acartia fancetti</t>
  </si>
  <si>
    <t>Acartia sinjiensis</t>
  </si>
  <si>
    <t>Paraeuchaeta elongata</t>
  </si>
  <si>
    <t>Koch et al., 2017</t>
  </si>
  <si>
    <t>Koch et al., 2017-2</t>
  </si>
  <si>
    <t>Kjellrup et al., 2012</t>
  </si>
  <si>
    <t>Kjellrup et al., 2012-2</t>
  </si>
  <si>
    <t>Kjellrup et al., 2012-3</t>
  </si>
  <si>
    <t>Kjellrup et al., 2012-4</t>
  </si>
  <si>
    <t>Kjellrup et al., 2012-5</t>
  </si>
  <si>
    <t>Kjellrup et al., 2012-6</t>
  </si>
  <si>
    <t>Kjellrup et al., 2012-7</t>
  </si>
  <si>
    <t>Kjellrup et al., 2012-8</t>
  </si>
  <si>
    <t>Kjellrup et al., 2012-9</t>
  </si>
  <si>
    <t>Kjellrup et al., 2012-10</t>
  </si>
  <si>
    <t>Kjellrup et al., 2012-11</t>
  </si>
  <si>
    <t>Kjellrup et al., 2012-12</t>
  </si>
  <si>
    <t>Kjellrup et al., 2012-13</t>
  </si>
  <si>
    <t>Kjellrup et al., 2012-14</t>
  </si>
  <si>
    <t>Kjellrup et al., 2012-15</t>
  </si>
  <si>
    <t>Kjellrup et al., 2012-16</t>
  </si>
  <si>
    <t>Kjellrup et al., 2012-17</t>
  </si>
  <si>
    <t>Kjellrup et al., 2012-18</t>
  </si>
  <si>
    <t>Kjellrup et al., 2012-19</t>
  </si>
  <si>
    <t>Kjellrup et al., 2012-20</t>
  </si>
  <si>
    <t>Kjellrup et al., 2012-21</t>
  </si>
  <si>
    <t>Kjellrup et al., 2012-22</t>
  </si>
  <si>
    <t>Kjellrup et al., 2012-23</t>
  </si>
  <si>
    <t>Kjellrup et al., 2012-24</t>
  </si>
  <si>
    <t>Pasternak et al., 2012</t>
  </si>
  <si>
    <t>Pasternak et al., 2012-2</t>
  </si>
  <si>
    <t>Pasternak et al., 2012-3</t>
  </si>
  <si>
    <t>Pasternak et al., 2012-4</t>
  </si>
  <si>
    <t>Pasternak et al., 2012-5</t>
  </si>
  <si>
    <t>Pasternak et al., 2012-6</t>
  </si>
  <si>
    <t>Pasternak et al., 2012-7</t>
  </si>
  <si>
    <t>Pasternak et al., 2012-8</t>
  </si>
  <si>
    <t>Pasternak et al., 2012-9</t>
  </si>
  <si>
    <t>Pasternak et al., 2012-10</t>
  </si>
  <si>
    <t>Pasternak et al., 2012-11</t>
  </si>
  <si>
    <t>Pasternak et al., 2012-12</t>
  </si>
  <si>
    <t>Pasternak et al., 2012-13</t>
  </si>
  <si>
    <t>Pasternak et al., 2012-14</t>
  </si>
  <si>
    <t>Pasternak et al., 2012-15</t>
  </si>
  <si>
    <t>Pasternak et al., 2012-16</t>
  </si>
  <si>
    <t>Pasternak et al., 2012-17</t>
  </si>
  <si>
    <t>Pasternak et al., 2012-18</t>
  </si>
  <si>
    <t>Pasternak et al., 2012-19</t>
  </si>
  <si>
    <t>Pasternak et al., 2012-20</t>
  </si>
  <si>
    <t>Pasternak et al., 2012-21</t>
  </si>
  <si>
    <t>Pasternak et al., 2012-22</t>
  </si>
  <si>
    <t>Pasternak et al., 2012-23</t>
  </si>
  <si>
    <t>Pasternak et al., 2012-24</t>
  </si>
  <si>
    <t>Pasternak et al., 2012-25</t>
  </si>
  <si>
    <t>Pasternak et al., 2012-26</t>
  </si>
  <si>
    <t>Pasternak et al., 2012-27</t>
  </si>
  <si>
    <t>Pasternak et al., 2012-28</t>
  </si>
  <si>
    <t>Ara, 2001</t>
  </si>
  <si>
    <t>Ara, 2001-2</t>
  </si>
  <si>
    <t>Ara, 2001-3</t>
  </si>
  <si>
    <t>Ara, 2001-4</t>
  </si>
  <si>
    <t>Devreker et al., 2009</t>
  </si>
  <si>
    <t>Hall and Burn 2001</t>
  </si>
  <si>
    <t>Hall and Burn 2002</t>
  </si>
  <si>
    <t>Hall and Burn 2002-2</t>
  </si>
  <si>
    <t>Koski and Kuosa 1999</t>
  </si>
  <si>
    <t>Koski and Kuosa 1999-2</t>
  </si>
  <si>
    <t>Koski and Kuosa 1999-3</t>
  </si>
  <si>
    <t>Koski and Kuosa 1999-4</t>
  </si>
  <si>
    <t>Lee et al., 2003-2</t>
  </si>
  <si>
    <t>Lee et al., 2003-3</t>
  </si>
  <si>
    <t>Souissi et al., 2016</t>
  </si>
  <si>
    <t>Ward and Hirst 2007</t>
  </si>
  <si>
    <t>Ward and Hirst 2007-2</t>
  </si>
  <si>
    <t>Ward and Hirst 2007-3</t>
  </si>
  <si>
    <t>Ward and Hirst 2007-4</t>
  </si>
  <si>
    <t>Ward and Hirst 2007-5</t>
  </si>
  <si>
    <t>Ward and Hirst 2007-6</t>
  </si>
  <si>
    <t>Ward and Hirst 2007-7</t>
  </si>
  <si>
    <t>Ward and Hirst 2007-8</t>
  </si>
  <si>
    <t>Ward and Hirst 2007-9</t>
  </si>
  <si>
    <t>Ward and Hirst 2007-10</t>
  </si>
  <si>
    <t>Ward and Hirst 2007-11</t>
  </si>
  <si>
    <t>Ward and Hirst 2007-12</t>
  </si>
  <si>
    <t>Ward and Hirst 2007-13</t>
  </si>
  <si>
    <t>Vehmaa et al., 2016</t>
  </si>
  <si>
    <t>Vehmaa et al., 2016-2</t>
  </si>
  <si>
    <t>Aguilera et al 2019</t>
  </si>
  <si>
    <t>Aguilera et al 2019-2</t>
  </si>
  <si>
    <t>Nitocra spinipes</t>
  </si>
  <si>
    <t>Acartia lilljeborgi</t>
  </si>
  <si>
    <t>Boeckella hamata</t>
  </si>
  <si>
    <t>Gladioferens pectinatus</t>
  </si>
  <si>
    <t>48HELLO</t>
  </si>
  <si>
    <t>49HELLO</t>
  </si>
  <si>
    <t>51HELLO</t>
  </si>
  <si>
    <t>56HELLO</t>
  </si>
  <si>
    <t>50HELLO</t>
  </si>
  <si>
    <t>52HELLO</t>
  </si>
  <si>
    <t>62HELLO</t>
  </si>
  <si>
    <t>53HELLO</t>
  </si>
  <si>
    <t>54HELLO</t>
  </si>
  <si>
    <t>59HELLO</t>
  </si>
  <si>
    <t>55HELLO</t>
  </si>
  <si>
    <t>57HELLO</t>
  </si>
  <si>
    <t>58HELLO</t>
  </si>
  <si>
    <t>64HELLO</t>
  </si>
  <si>
    <t>60HELLO</t>
  </si>
  <si>
    <t>61HELLO</t>
  </si>
  <si>
    <t>65HELLO</t>
  </si>
  <si>
    <t>63HELLO</t>
  </si>
  <si>
    <t>66HELLO</t>
  </si>
  <si>
    <t>68HELLO</t>
  </si>
  <si>
    <t>69HELLO</t>
  </si>
  <si>
    <t>67HELLO</t>
  </si>
  <si>
    <t>Meta-analysis Reference</t>
  </si>
  <si>
    <t>Reference</t>
  </si>
  <si>
    <t xml:space="preserve">Jian, Z., Zhong, M., Li, R., Su, H., Rao, Q., Wang, Y., Wang, C., Sun, S., Chen, J., &amp; Xie, P. (2025). Warming enhances the effects of acidification on aquatic biota: A global meta-analysis. Global Ecology and Biogeography, 34(6), e70080. </t>
  </si>
  <si>
    <t>https://doi.org/10.1111/geb.70080</t>
  </si>
  <si>
    <t>Jian et al.</t>
  </si>
  <si>
    <t xml:space="preserve">Alter et al. </t>
  </si>
  <si>
    <t xml:space="preserve">Alter, S. E., Grebe, C., Jensen, O. P., &amp; Satterthwaite, E. V. (2024). Marine biodiversity shows global recovery despite ongoing pressures. Nature Communications, 15, 2590. </t>
  </si>
  <si>
    <t>https://doi.org/10.1038/s41467-024-47064-3</t>
  </si>
  <si>
    <t xml:space="preserve">Rynkowski et al. </t>
  </si>
  <si>
    <t xml:space="preserve">Rynkowski, L., Ellis, J. I., Needham, H. R., &amp; Pilditch, C. A. (2025). A systematic review and meta-analysis of the cumulative effects of multiple stressors on marine bivalves. Marine Biology, 172, 96. </t>
  </si>
  <si>
    <t xml:space="preserve">Lang et al. </t>
  </si>
  <si>
    <t xml:space="preserve">Lang, B. J., Donelson, J. M., Bairos-Novak, K. R., Wheeler, C. R., Caballes, C. F., Uthicke, S., &amp; Pratchett, M. S. (2023). Impacts of ocean warming on echinoderms: A meta-analysis. Ecology and Evolution, 13(8), e10307. </t>
  </si>
  <si>
    <t>https://pmc.ncbi.nlm.nih.gov/articles/PMC10409743/</t>
  </si>
  <si>
    <t xml:space="preserve">Kruft Welton, R. A., Hoppit, G., Schmidt, D. N., Witts, J. D., &amp; Moon, B. C. (2024). Reviews and syntheses: The clam before the storm – a meta-analysis showing the effect of combined climate change stressors on bivalves. Biogeosciences, 21, 223–239. </t>
  </si>
  <si>
    <t>Kruft Welton et al.</t>
  </si>
  <si>
    <t>https://doi.org/10.1038/s41467-024-47563-3</t>
  </si>
  <si>
    <t>Hu et al.</t>
  </si>
  <si>
    <t xml:space="preserve">Hamraj et al. </t>
  </si>
  <si>
    <t xml:space="preserve">Kindinger et al. </t>
  </si>
  <si>
    <t xml:space="preserve">Ross et al. </t>
  </si>
  <si>
    <t>Hoppit &amp; Schmidt</t>
  </si>
  <si>
    <t xml:space="preserve">Hoppit, G., &amp; Schmidt, D. N. (2022). A regional view of the response to climate change: A meta-analysis of European benthic organisms’ responses. Frontiers in Marine Science, 9, Article 896157. </t>
  </si>
  <si>
    <t>https://doi.org/10.3389/fmars.2022.896157</t>
  </si>
  <si>
    <t>https://doi.org/10.1201/9781003138846-8</t>
  </si>
  <si>
    <t>https://doi.org/10.1073/pnas.2108878119</t>
  </si>
  <si>
    <t>https://doi.org/10.1016/j.isci.2024.110673</t>
  </si>
  <si>
    <t>Meta_analysis_reference</t>
  </si>
  <si>
    <t>1. The database structure follows Jian et al. 2025. As data were added from other databases (which had their own structures), only those columns that were relevant were transferred here. Hence, some additional data that existed in other databases do not appear here.</t>
  </si>
  <si>
    <t xml:space="preserve">2. The calculation of lnrr (ei) and its variance (vei) follows the calculation of Alter et al. 2024, which is the simplest approach. Hence, other effects (in-between, etc) may have not been considered when pooling all the lnrr across studies. Jian et al. 2025, for instance, considered other factors when calculating lnrr. </t>
  </si>
  <si>
    <t>Useful links</t>
  </si>
  <si>
    <t>Turbo cornutus</t>
  </si>
  <si>
    <t>Echinometra mathaei</t>
  </si>
  <si>
    <t>Hemicentrotus pucherrimus</t>
  </si>
  <si>
    <t>Column</t>
  </si>
  <si>
    <t>Units</t>
  </si>
  <si>
    <t>Description</t>
  </si>
  <si>
    <t>text</t>
  </si>
  <si>
    <t>Unique identifier for each paper screened and/or included</t>
  </si>
  <si>
    <t>Row identifier</t>
  </si>
  <si>
    <t>Unique identifier of each paper in each trophic level</t>
  </si>
  <si>
    <t>Row identifier of each trophic level</t>
  </si>
  <si>
    <t>First author of paper and year published</t>
  </si>
  <si>
    <t>The year of publication</t>
  </si>
  <si>
    <t>Title of study</t>
  </si>
  <si>
    <t>The country in which the experiment was conducted</t>
  </si>
  <si>
    <t>The specific location of the experiment</t>
  </si>
  <si>
    <t>Specific habitat type (e.g. lake, river, coast)</t>
  </si>
  <si>
    <t>Realm type (Freshwater or Marine)</t>
  </si>
  <si>
    <t>Outdoor or Laboratory incubation</t>
  </si>
  <si>
    <t>Latitude of the site</t>
  </si>
  <si>
    <t>Longitude of the site</t>
  </si>
  <si>
    <t>days</t>
  </si>
  <si>
    <t>Length of  experiment</t>
  </si>
  <si>
    <t xml:space="preserve">The type of replication unit (Independent Experiment, Repeated Measures, Sample, Pseudoreplicate Samples and Individuals) </t>
  </si>
  <si>
    <t>integer</t>
  </si>
  <si>
    <t>Number of replicate control plots</t>
  </si>
  <si>
    <t>Number of replicate treatment plots</t>
  </si>
  <si>
    <t>Other.moderators</t>
  </si>
  <si>
    <t>descriptive note</t>
  </si>
  <si>
    <t>numeric</t>
  </si>
  <si>
    <t>Mean CO2 concentration in control plots</t>
  </si>
  <si>
    <t>Mean CO2 concentration in treatment plots</t>
  </si>
  <si>
    <t>Code to indicate which data points share a common control experiment within a study</t>
  </si>
  <si>
    <t>Log value of CO2 concentration in the treatment plot.</t>
  </si>
  <si>
    <t>℃</t>
  </si>
  <si>
    <t>Experimental water temperature</t>
  </si>
  <si>
    <t>Specific types of response to nutritional fortification (e.g. Survival, Fertilization, Biomass, Growth rate, primary production)</t>
  </si>
  <si>
    <t>Response type to nutrient enrichment (Growth, Metabolism, Reproduction, Survival)</t>
  </si>
  <si>
    <t>Trophic level of studied (Producer, Consumer, Decomposer)</t>
  </si>
  <si>
    <t>Mean measurement in control plots</t>
  </si>
  <si>
    <t>Standard deviation of measurement in control plots</t>
  </si>
  <si>
    <t>Mean measurement in experiment plots</t>
  </si>
  <si>
    <t>Standard deviation of measurement in treatment plots</t>
  </si>
  <si>
    <t>Describe where in the reports data were collected from (e.g. text or figures)</t>
  </si>
  <si>
    <t>Cole VJ, Parker LM, O'Connor SJ, O'Connor WA, Scanes E, Byrne M, Ross PM</t>
  </si>
  <si>
    <t>Foster T, Gilmour JP, Chua CM, Falter J, Mccullouch M</t>
  </si>
  <si>
    <t>Padilla-Gamiño JL, Kelly MW, Evans TJ, Hofmann GE</t>
  </si>
  <si>
    <t>Putnam HM, Mayfield AB, Fan TY, Chen CS, Gates RD</t>
  </si>
  <si>
    <t>Rivest EB, Hofmann GE</t>
  </si>
  <si>
    <t>Small DP, Calosi P, Boothroyd D, Widdicombe S, Spicer J</t>
  </si>
  <si>
    <t>Walther K, Anger K, Pörtner HO</t>
  </si>
  <si>
    <t>Fonseca JG, Laranjeiro F, Freitas DB, Oliveira IB, Rocha RJM, Machado J, Hinzmann M, Barroso CM, Galante-Oliveira S</t>
  </si>
  <si>
    <t>Garcia E, Clemente S, Hernandez JC</t>
  </si>
  <si>
    <t>Anlauf H, D´Croz L, O`Dea A</t>
  </si>
  <si>
    <t>Sheppard Brennand H, Soars N, Dworjanyn SA, Davis AR, Byrne M</t>
  </si>
  <si>
    <t>Visconti G, Gianguzza F, Butera E, Costa V, Vizzini S, Byrne M, Gianguzza P</t>
  </si>
  <si>
    <t>Rivest EB, Chen CS, Fan TY, Li HH, Hofmann GE</t>
  </si>
  <si>
    <t>Byrne M, Gonzalez-Bernat M, Doo S, Foo S, Soars N, Lamare M</t>
  </si>
  <si>
    <t>Byrne M, Foo S, Soars NA, Wolfe KDL, Nguyen HD, Hardy N, Dworjanyn SA</t>
  </si>
  <si>
    <t>Findlay HS, Kendall MA, Spicer JI, Widdicombe S</t>
  </si>
  <si>
    <t>Hardy NA,  Byrne M</t>
  </si>
  <si>
    <t>Ko GWK, Dineshram R, Campanati C, Chan VBS, Havenhand J, Thiyagarajan V</t>
  </si>
  <si>
    <t>Pitts KA, Campbell JE, Figueiredo J, Fogarty ND</t>
  </si>
  <si>
    <t>Bylenga CH, Cummings VJ, Ryan KG</t>
  </si>
  <si>
    <t>Byrne M, Ho M, Wong E, Soars NA, Selvakumaraswamy P, Shepard-Brennand H, Dworjanyn SA, Davis AR</t>
  </si>
  <si>
    <t>Zakroff CJ, Mooney TA</t>
  </si>
  <si>
    <t>Rivest EB, Kelly MW, DeBiasse MB, Hofmann GE</t>
  </si>
  <si>
    <t>Gravinese PM, Enochs IC, Manzello DP, van Woesik R</t>
  </si>
  <si>
    <t>Mos B, Dworjanyn SA, Mamo LT, Kelaher BP</t>
  </si>
  <si>
    <t>Byrne M, Ho MA, Koleits L, Price C, King CK, Virtue P, Tilbrook B, Lamare M</t>
  </si>
  <si>
    <t>Rosa R, Trübenbach K, Pimentel MS, Boavida-Portugal J, Faleiro F, Baptista M, Dionisio G, Calado R, Pörtner HO, Repolho T</t>
  </si>
  <si>
    <t>Chua CM, Leggat W, Moya A, Baird AH</t>
  </si>
  <si>
    <t>Pansch C, Nasrolahi A, Appelhans YS, Wahl M</t>
  </si>
  <si>
    <t>Jiang L, Sun YF, Zhang YY, Tian Y, Lei XM, Zhou GW, Yuan T, Yuan XC, Liu S, Huang H</t>
  </si>
  <si>
    <t>Arnberg M, Calosi P, Spicer JI, Tandberg AHS, Nilsen M, Westerlund S, Bechmann RK</t>
  </si>
  <si>
    <t>Baragi LV, Anil AC</t>
  </si>
  <si>
    <t>Kamya PZ, Dworjanyn SA, Hardy N, Mos B, Uthicke S, Byrne M</t>
  </si>
  <si>
    <t>Baria MVB, Kurihara H, Harii S</t>
  </si>
  <si>
    <t>Walther, Sartoris, Pörtner</t>
  </si>
  <si>
    <t>Dong, Sun</t>
  </si>
  <si>
    <t>Parker, Ross, O'Connor</t>
  </si>
  <si>
    <t>Sparks, Foo, Uthicke, Byrne, Lamare</t>
  </si>
  <si>
    <t>Armstrong, Allen, Beltrand, Dubousquet, Stillman, Mills</t>
  </si>
  <si>
    <t>Byrne M, Soars N, Selvykumaraswamy P, Dworjanyn SA, Davis AR</t>
  </si>
  <si>
    <t>Van Colen C, Jansson A, Saunier A, Lacoue-Labathe T, Vincx M</t>
  </si>
  <si>
    <t>Schutter M, Nozawa Y, Kurihara H</t>
  </si>
  <si>
    <t>Pecorino D, Barker MF, Dworjanyn SA, Byrne M, Lamare MD</t>
  </si>
  <si>
    <t>Leiva NV, Manriquez PH, Aguilera VM, Gonzalez MT</t>
  </si>
  <si>
    <t>Garcia E, Hernandez JC, Clemente S</t>
  </si>
  <si>
    <t>Karelitz SE, Uthicke S, Foo SA, Barker MF, Byrne M, Pecorino D, Lamare MD</t>
  </si>
  <si>
    <t>Ericson JA, Ho MA, Miskelly A, King CK, Virtue P, Tilbrook B, Byrne M</t>
  </si>
  <si>
    <t>Gianguzza P, Visconti G, Gianguzza F, Vizzini S, Sara G, Dupont S</t>
  </si>
  <si>
    <t>Byrne M, Soars NA, Ho MA, Wong E, McElroy D, Selvakumaraswamy P, Dworjanyn SA, Davis AR</t>
  </si>
  <si>
    <t>Pardo, Costa</t>
  </si>
  <si>
    <t>Chakravarti, Jarrold, Gibbin, Christen, Massamba-N'Siala, Blier, Calosi</t>
  </si>
  <si>
    <t>Mollusca</t>
  </si>
  <si>
    <t>Arthropoda</t>
  </si>
  <si>
    <t>Plathyelminthes</t>
  </si>
  <si>
    <t>Annelida</t>
  </si>
  <si>
    <t>Ostrea angasi</t>
  </si>
  <si>
    <t>Acropora spicifera</t>
  </si>
  <si>
    <t>Strongylocentrotus purpuratus</t>
  </si>
  <si>
    <t>Pocillopora damicornis </t>
  </si>
  <si>
    <t>Pocillopora damicornis</t>
  </si>
  <si>
    <t>Homarus americanus</t>
  </si>
  <si>
    <t>Hyas araneus</t>
  </si>
  <si>
    <t>Tritia reticulata</t>
  </si>
  <si>
    <t>Porites panamensis</t>
  </si>
  <si>
    <t>Arbacia lixula</t>
  </si>
  <si>
    <t>Patiriella regularis</t>
  </si>
  <si>
    <t>Heliocidaris tuberculata</t>
  </si>
  <si>
    <t>Semibalanus balanoides</t>
  </si>
  <si>
    <t>Elminius modestus</t>
  </si>
  <si>
    <t>Crassostrea gigas</t>
  </si>
  <si>
    <t>Orbicella faveolata</t>
  </si>
  <si>
    <t>Laternula elliptica</t>
  </si>
  <si>
    <t>Haliotis coccoradiata</t>
  </si>
  <si>
    <t>Doryteuthis pealeii</t>
  </si>
  <si>
    <t>Menippe mercenaria</t>
  </si>
  <si>
    <t>Loligo vulgaris</t>
  </si>
  <si>
    <t>Acropora millepora</t>
  </si>
  <si>
    <t>Acropora tenuis</t>
  </si>
  <si>
    <t>Amphibalanus improvisus</t>
  </si>
  <si>
    <t>Pandalus Borealis</t>
  </si>
  <si>
    <t>Balanus amphitrite</t>
  </si>
  <si>
    <t>Acanthaster planci</t>
  </si>
  <si>
    <t>Fungia fungites</t>
  </si>
  <si>
    <t>Lithophyllon repanda</t>
  </si>
  <si>
    <t>Aurelia coerulea</t>
  </si>
  <si>
    <t>Stylocheilus striatus</t>
  </si>
  <si>
    <t>Limecola balthica</t>
  </si>
  <si>
    <t>Acropora hyacinthus</t>
  </si>
  <si>
    <t>Platygyra contorta</t>
  </si>
  <si>
    <t>Echinostomatidae sp</t>
  </si>
  <si>
    <t>Philophthalmidae sp</t>
  </si>
  <si>
    <t>Sphaerechinus granularis</t>
  </si>
  <si>
    <t>Diadema africanum</t>
  </si>
  <si>
    <t>Odontaster validus</t>
  </si>
  <si>
    <t>Fellaster zelandiae</t>
  </si>
  <si>
    <t>Arachnoides placenta</t>
  </si>
  <si>
    <t>Leptuca thayeri</t>
  </si>
  <si>
    <t>Ophryotrocha labronica</t>
  </si>
  <si>
    <t>Feeding</t>
  </si>
  <si>
    <t>survival</t>
  </si>
  <si>
    <t>Normal</t>
  </si>
  <si>
    <t>Settlement</t>
  </si>
  <si>
    <t>Oxygen consumption rate</t>
  </si>
  <si>
    <t>RNA/DNA ratio</t>
  </si>
  <si>
    <t>Heat shock protein 70</t>
  </si>
  <si>
    <t>Enzyme activity</t>
  </si>
  <si>
    <t>Calcium content</t>
  </si>
  <si>
    <t>Developmental time</t>
  </si>
  <si>
    <t>Weight</t>
  </si>
  <si>
    <t>C:N ratio</t>
  </si>
  <si>
    <t>Activity</t>
  </si>
  <si>
    <t>skeletal mass</t>
  </si>
  <si>
    <t>Protein content</t>
  </si>
  <si>
    <t>Symbiont density</t>
  </si>
  <si>
    <t>Lipid index</t>
  </si>
  <si>
    <t>Shell damage</t>
  </si>
  <si>
    <t>Yolk area</t>
  </si>
  <si>
    <t>Molt stage duration Z5</t>
  </si>
  <si>
    <t>Size</t>
  </si>
  <si>
    <t>Critical thermal maximum</t>
  </si>
  <si>
    <t>Oxidative stress marker</t>
  </si>
  <si>
    <t>Life-stage</t>
  </si>
  <si>
    <t>developmental success</t>
  </si>
  <si>
    <t>Fertilization</t>
  </si>
  <si>
    <t>Mean larval emergence</t>
  </si>
  <si>
    <t>Alter et al. 2024</t>
  </si>
  <si>
    <t>Final Categories</t>
  </si>
  <si>
    <t>Working definition</t>
  </si>
  <si>
    <t>Growth </t>
  </si>
  <si>
    <t>Development </t>
  </si>
  <si>
    <r>
      <t xml:space="preserve">Change in body size or mass over time. </t>
    </r>
    <r>
      <rPr>
        <i/>
        <sz val="11"/>
        <color rgb="FF000000"/>
        <rFont val="Arial"/>
        <family val="2"/>
      </rPr>
      <t>(e.g., length, biomass, growth rate)</t>
    </r>
  </si>
  <si>
    <t>Observable actions/performance affecting feeding, movement, or risk. (e.g., time active %, Ucrit, swimming speed, foraging/escape responses)</t>
  </si>
  <si>
    <r>
      <t xml:space="preserve">Internal functional state and processes maintaining homeostasis. </t>
    </r>
    <r>
      <rPr>
        <i/>
        <sz val="11"/>
        <color rgb="FF000000"/>
        <rFont val="Arial"/>
        <family val="2"/>
      </rPr>
      <t>(e.g., respiration/ṀO₂, CO₂ production, acid–base/pH/HCO₃⁻, calcification, ion balance, cardiac/ventilation rate, thermal tolerance, antioxidant/immune markers)</t>
    </r>
  </si>
  <si>
    <r>
      <t xml:space="preserve">Gamete production and success from fertilisation to early offspring. </t>
    </r>
    <r>
      <rPr>
        <i/>
        <sz val="11"/>
        <color rgb="FF000000"/>
        <rFont val="Arial"/>
        <family val="2"/>
      </rPr>
      <t>(e.g., fecundity, egg/nauplii production, fertilisation %, hatching success)</t>
    </r>
  </si>
  <si>
    <t>Involves progressing through life-history stages or time to milestones. (e.g., time to hatch/flexion, % at flexion, stage duration)</t>
  </si>
  <si>
    <r>
      <t xml:space="preserve">Probability of survival over a period. </t>
    </r>
    <r>
      <rPr>
        <i/>
        <sz val="11"/>
        <color rgb="FF000000"/>
        <rFont val="Arial"/>
        <family val="2"/>
      </rPr>
      <t>(e.g., % survival, mortality rate n·d⁻¹)</t>
    </r>
  </si>
  <si>
    <t>Metrics</t>
  </si>
  <si>
    <t>Body length</t>
  </si>
  <si>
    <t>Offspring body size</t>
  </si>
  <si>
    <t>Ingestion rate</t>
  </si>
  <si>
    <t>Fatty acids — Total</t>
  </si>
  <si>
    <t>Fatty acids — MUFA</t>
  </si>
  <si>
    <t>Fatty acids — PUFA</t>
  </si>
  <si>
    <t>Average calcium content</t>
  </si>
  <si>
    <t>Hatching success / hatch rate</t>
  </si>
  <si>
    <t>Fertilization rate</t>
  </si>
  <si>
    <t>Nauplii production</t>
  </si>
  <si>
    <t>Development time (repro stage)</t>
  </si>
  <si>
    <t>Percent survival </t>
  </si>
  <si>
    <t>Survival rate</t>
  </si>
  <si>
    <t>Hatching success </t>
  </si>
  <si>
    <t>Mortality </t>
  </si>
  <si>
    <t>Calcification rate </t>
  </si>
  <si>
    <t>Recoded</t>
  </si>
  <si>
    <t>Number of algal cells cleared/12 hr — mL⁻¹</t>
  </si>
  <si>
    <t>Activity — s min⁻¹</t>
  </si>
  <si>
    <t>Number of artemia eaten — ind h⁻¹</t>
  </si>
  <si>
    <t>Number of lines crossed — s min⁻¹</t>
  </si>
  <si>
    <t>Carapace [Ca²⁺] — mmol mg⁻¹</t>
  </si>
  <si>
    <t>Net calcification rate — µmol mg_shell⁻¹ d⁻¹</t>
  </si>
  <si>
    <t>Shell damage — % area</t>
  </si>
  <si>
    <t>Calcium content — mg L⁻¹ mg FW⁻¹</t>
  </si>
  <si>
    <t>Abnormalities — %</t>
  </si>
  <si>
    <t>Arm asymmetry — µm, mm</t>
  </si>
  <si>
    <t>Asymmetry — µm</t>
  </si>
  <si>
    <t>Calcified larvae — %</t>
  </si>
  <si>
    <t>Developmental period zoea 2 — days</t>
  </si>
  <si>
    <t>Gastrulation — %</t>
  </si>
  <si>
    <t>Larval duration — days</t>
  </si>
  <si>
    <t>Larval stage — %</t>
  </si>
  <si>
    <t>Malformation — %</t>
  </si>
  <si>
    <t>Mean larval emergence — NA</t>
  </si>
  <si>
    <t>Metamorphosis — %</t>
  </si>
  <si>
    <t>Molt stage duration Z5 — days</t>
  </si>
  <si>
    <t>Normal — %</t>
  </si>
  <si>
    <t>Normal larvae — %</t>
  </si>
  <si>
    <t>Settlement — %, % total planulae</t>
  </si>
  <si>
    <t>Settlement success — %</t>
  </si>
  <si>
    <t>Veliger stage — %</t>
  </si>
  <si>
    <t>Yolk-sac volume — mm³</t>
  </si>
  <si>
    <t>Arm length — µm</t>
  </si>
  <si>
    <t>Biomass — µg·polyp⁻¹</t>
  </si>
  <si>
    <t>Body length — µm</t>
  </si>
  <si>
    <t>Dorsal mantle length — mm</t>
  </si>
  <si>
    <t>Dry weight M14 — µg ind⁻¹</t>
  </si>
  <si>
    <t>Growth at PII — µm</t>
  </si>
  <si>
    <t>Growth rate — mm; µm; µm·d⁻¹·10³</t>
  </si>
  <si>
    <t>Larval area — mm²</t>
  </si>
  <si>
    <t>Larval length — µm</t>
  </si>
  <si>
    <t>Larval size — mm²; %/d</t>
  </si>
  <si>
    <t>Length — mm; µm</t>
  </si>
  <si>
    <t>Length (change after 1 day) — mm</t>
  </si>
  <si>
    <t>Length:width ratio — NA</t>
  </si>
  <si>
    <t>Mean daily growth rate — µm·d⁻¹</t>
  </si>
  <si>
    <t>Shell length — µm</t>
  </si>
  <si>
    <t>Skeletal mass — µg·polyp⁻¹</t>
  </si>
  <si>
    <t>Test diameter — µm</t>
  </si>
  <si>
    <t>RNA:DNA ratio — ratio (often treated as unitless; some rows NA)</t>
  </si>
  <si>
    <t>Host HSP70 expression — NA</t>
  </si>
  <si>
    <t>CS activity (Day 11) — µmol larva⁻¹ min⁻¹</t>
  </si>
  <si>
    <t>C:N ratio — NA (unitless)</t>
  </si>
  <si>
    <t>Total protein (change after 1 day) — µg larva⁻¹</t>
  </si>
  <si>
    <t>Symbiont density (change after 1 day) — 10³ cells larva⁻¹</t>
  </si>
  <si>
    <t>Lipid index — NA</t>
  </si>
  <si>
    <t>Symbiodinium density — 10³ cells larva⁻¹</t>
  </si>
  <si>
    <t>Total protein — µg larva⁻¹</t>
  </si>
  <si>
    <t>LT100 (critical thermal maximum) — °C</t>
  </si>
  <si>
    <t>Heat shock protein levels (HSP70) — ng mg⁻¹ wet mass</t>
  </si>
  <si>
    <t>Malondialdehyde (oxidative stress marker) — nmol mg⁻¹ (P) (as in your sheet; typically per mg protein)</t>
  </si>
  <si>
    <t>Respiration — pmol O₂ larva⁻¹ h⁻¹; nmol O₂ larva⁻¹ min⁻¹</t>
  </si>
  <si>
    <r>
      <t xml:space="preserve">O₂ consumption (Day 11) — nmol larva⁻¹ min⁻¹ </t>
    </r>
    <r>
      <rPr>
        <i/>
        <sz val="11"/>
        <color rgb="FF000000"/>
        <rFont val="Arial"/>
        <family val="2"/>
      </rPr>
      <t>(same rate, O₂ implied)</t>
    </r>
  </si>
  <si>
    <t>Oxygen consumption — nmol O₂ h⁻¹ mg DW⁻¹</t>
  </si>
  <si>
    <t>Survival — %</t>
  </si>
  <si>
    <t>Mortality — %; % total planulae</t>
  </si>
  <si>
    <t>Density — larvae mL⁻¹</t>
  </si>
  <si>
    <t>Hatching success — %</t>
  </si>
  <si>
    <t>Alter et al. 2024: Fish [LARVAE AND EMBRYO]</t>
  </si>
  <si>
    <t>Aerobic scope respiration</t>
  </si>
  <si>
    <t>aerobic scope — mg kg⁻¹ hr⁻¹</t>
  </si>
  <si>
    <t>Time Active — %</t>
  </si>
  <si>
    <t>Ucrit — BL/sec</t>
  </si>
  <si>
    <t>otolith area — mm²</t>
  </si>
  <si>
    <t>Saggitae diameter at hatch — µm/cm</t>
  </si>
  <si>
    <t>Eye diameter (42 days) — µm</t>
  </si>
  <si>
    <t>Abnormal larvae — %</t>
  </si>
  <si>
    <t>Total abnormalities — % </t>
  </si>
  <si>
    <t>Yolk area at 1 dph — mm²</t>
  </si>
  <si>
    <t>Yolk area — mm²</t>
  </si>
  <si>
    <t>Yolk sac area — mm²</t>
  </si>
  <si>
    <t>Deformities / Normal (reported as “% hatched larvae”) — % hatched larvae</t>
  </si>
  <si>
    <t>Developmental time — days</t>
  </si>
  <si>
    <t>Hatching time — days</t>
  </si>
  <si>
    <t>Time to hatch — days</t>
  </si>
  <si>
    <t>Instantaneous growth rate — none</t>
  </si>
  <si>
    <t>Standard length at 21 dph — mm</t>
  </si>
  <si>
    <t>Length — mm</t>
  </si>
  <si>
    <t>Growth rate — % d⁻¹; mm d⁻¹</t>
  </si>
  <si>
    <t>Mass — g</t>
  </si>
  <si>
    <t>Total length at 11 dph — cm</t>
  </si>
  <si>
    <t>Length at hatch — mm</t>
  </si>
  <si>
    <t>hatching length - mm2</t>
  </si>
  <si>
    <t>length at hatch - mm</t>
  </si>
  <si>
    <t>egg volume - mm3</t>
  </si>
  <si>
    <t>growth rate - % day-1</t>
  </si>
  <si>
    <t>ipc-cover - % of yolk sac area</t>
  </si>
  <si>
    <t>mass - mm2</t>
  </si>
  <si>
    <t>Enzyme activity — µmol ATP mg⁻¹ protein h⁻¹</t>
  </si>
  <si>
    <t>Heart rates — beats min⁻¹</t>
  </si>
  <si>
    <t>Routine heart rates — beats min⁻¹</t>
  </si>
  <si>
    <t>Citrate synthase activity — U mg protein⁻¹</t>
  </si>
  <si>
    <t>Critical thermal maximum (postlarva) — °C</t>
  </si>
  <si>
    <t>C:N ratios (42 days) — NA</t>
  </si>
  <si>
    <t>Critical thermal maximum (hatchling) — °C</t>
  </si>
  <si>
    <t>Osmolarity — mosmol kg⁻¹</t>
  </si>
  <si>
    <t>Heart rates — %</t>
  </si>
  <si>
    <t>ETS mitochondrial capacity — nmol O₂ (eggs·h)⁻¹</t>
  </si>
  <si>
    <t>Fertilization success - %</t>
  </si>
  <si>
    <t>Resting metabolic rate — mg kg⁻¹ hr⁻¹</t>
  </si>
  <si>
    <t>Oxygen consumption rate — µmol O₂ g⁻¹ h⁻¹; µmol O₂ h⁻¹ mg WW⁻¹</t>
  </si>
  <si>
    <r>
      <t xml:space="preserve">oxygen consumption rates (hatchling) — µmol </t>
    </r>
    <r>
      <rPr>
        <b/>
        <sz val="11"/>
        <color rgb="FF000000"/>
        <rFont val="Arial"/>
        <family val="2"/>
      </rPr>
      <t>O₂</t>
    </r>
    <r>
      <rPr>
        <sz val="11"/>
        <color rgb="FF000000"/>
        <rFont val="Arial"/>
        <family val="2"/>
      </rPr>
      <t xml:space="preserve"> g⁻¹ h⁻¹ (wet weight)</t>
    </r>
  </si>
  <si>
    <r>
      <t xml:space="preserve">routine metabolic rate (pre-hatching embryo) — mmol </t>
    </r>
    <r>
      <rPr>
        <b/>
        <sz val="11"/>
        <color rgb="FF000000"/>
        <rFont val="Arial"/>
        <family val="2"/>
      </rPr>
      <t>O₂</t>
    </r>
    <r>
      <rPr>
        <sz val="11"/>
        <color rgb="FF000000"/>
        <rFont val="Arial"/>
        <family val="2"/>
      </rPr>
      <t xml:space="preserve"> embryo⁻¹ h⁻¹</t>
    </r>
  </si>
  <si>
    <t>Ln O₂ consumption rates — nmol ind⁻¹ h⁻¹</t>
  </si>
  <si>
    <r>
      <t xml:space="preserve">MO₂ — nmol </t>
    </r>
    <r>
      <rPr>
        <b/>
        <sz val="11"/>
        <color rgb="FF000000"/>
        <rFont val="Arial"/>
        <family val="2"/>
      </rPr>
      <t>O₂</t>
    </r>
    <r>
      <rPr>
        <sz val="11"/>
        <color rgb="FF000000"/>
        <rFont val="Arial"/>
        <family val="2"/>
      </rPr>
      <t xml:space="preserve"> (eggs·h)⁻¹</t>
    </r>
  </si>
  <si>
    <t>Daily mortality rate — n d⁻¹</t>
  </si>
  <si>
    <t>Flexion — %</t>
  </si>
  <si>
    <t>Survival from 1 to 25 dph — %</t>
  </si>
  <si>
    <t>Larval survival — %</t>
  </si>
  <si>
    <t>Survival — Percent hatch</t>
  </si>
  <si>
    <t>Survival at 1 dph — %</t>
  </si>
  <si>
    <t>Eggs that survived to hatching — %</t>
  </si>
  <si>
    <t>Total embryo mortality — %</t>
  </si>
  <si>
    <t>Survival </t>
  </si>
  <si>
    <t>Recoded where</t>
  </si>
  <si>
    <t>Alter et al. 2024: Invertebrates [LARVAE, POSTLARVA, AND SOME EMBRYO]</t>
  </si>
  <si>
    <t>Notes: I made these categories when I built the database myself. This is open to discussion for further re-categorisation or if certain metrics may be more appropriate in other categories.</t>
  </si>
  <si>
    <r>
      <t xml:space="preserve">Hu, N., Bourdeau, P. E., &amp; Hollander, J. (2024). Responses of marine trophic levels to the combined effects of ocean acidification and warming. </t>
    </r>
    <r>
      <rPr>
        <i/>
        <sz val="11"/>
        <color theme="1"/>
        <rFont val="Arial"/>
        <family val="2"/>
      </rPr>
      <t>Nature Communications, 15</t>
    </r>
    <r>
      <rPr>
        <sz val="11"/>
        <color theme="1"/>
        <rFont val="Arial"/>
        <family val="2"/>
      </rPr>
      <t xml:space="preserve">, Article 3400. </t>
    </r>
  </si>
  <si>
    <r>
      <t xml:space="preserve">Hemraj, D. A., Gaitán-Espitia, J. D., &amp; Russell, B. D. (2021). Species’ distribution and evolutionary history influence the responses of marine copepods to climate change: A global meta-analysis. In S. J. Hawkins (Ed.), </t>
    </r>
    <r>
      <rPr>
        <i/>
        <sz val="11"/>
        <color theme="1"/>
        <rFont val="Arial"/>
        <family val="2"/>
      </rPr>
      <t>Oceanography and Marine Biology: An Annual Review</t>
    </r>
    <r>
      <rPr>
        <sz val="11"/>
        <color theme="1"/>
        <rFont val="Arial"/>
        <family val="2"/>
      </rPr>
      <t xml:space="preserve"> (Vol. 59, pp. 559–584). CRC Press. </t>
    </r>
  </si>
  <si>
    <r>
      <t xml:space="preserve">Kindinger, T. L., Toy, J. A., &amp; Kroeker, K. J. (2022). Emergent effects of global change on consumption depend on consumers and their resources in marine systems. </t>
    </r>
    <r>
      <rPr>
        <i/>
        <sz val="11"/>
        <color theme="1"/>
        <rFont val="Arial"/>
        <family val="2"/>
      </rPr>
      <t>Proceedings of the National Academy of Sciences of the United States of America, 119</t>
    </r>
    <r>
      <rPr>
        <sz val="11"/>
        <color theme="1"/>
        <rFont val="Arial"/>
        <family val="2"/>
      </rPr>
      <t xml:space="preserve">(18), e2108878119. </t>
    </r>
  </si>
  <si>
    <r>
      <t xml:space="preserve">Ross, P. M., Pine, C., Scanes, E., Byrne, M., O’Connor, W. A., Gibbs, M., &amp; Parker, L. M. (2024). Meta-analyses reveal climate change impacts on an ecologically and economically significant oyster in Australia. </t>
    </r>
    <r>
      <rPr>
        <i/>
        <sz val="11"/>
        <color theme="1"/>
        <rFont val="Arial"/>
        <family val="2"/>
      </rPr>
      <t>iScience, 27</t>
    </r>
    <r>
      <rPr>
        <sz val="11"/>
        <color theme="1"/>
        <rFont val="Arial"/>
        <family val="2"/>
      </rPr>
      <t xml:space="preserve">(12), 110673. </t>
    </r>
  </si>
  <si>
    <t>3.  When I inputted data into the database using data from other meta-analysis, I prioritised columns that were useful for R script  I was writing. Hence, the data here that comes from other meta-analysis does not reflect the data that was captured in those studies. You can refer to the original meta-analysis if you are interested in other data that are not reflected here but may exist there.</t>
  </si>
  <si>
    <t>Murray CS, Baumann H</t>
  </si>
  <si>
    <t>Miller GM, Kroon FJ, Metcalfe S, Munday PL</t>
  </si>
  <si>
    <t>Alter K, Peck MA</t>
  </si>
  <si>
    <t xml:space="preserve">Pope EC, Ellis RP, Scolamacchia M, Scolding JWS, Keay A, Chingombe P, Shields RJ, Wilcox R, Speirs DC, Wilson RW, Lewis C, Flynn KJ </t>
  </si>
  <si>
    <t>Pimentel MS, Faleiro F, Dionísio G, Repolho T, Pousão P, Machado J, Rosa R</t>
  </si>
  <si>
    <t>Murray CS, Wiley D, Baumann H</t>
  </si>
  <si>
    <t>Sswat M, Stiasny MH, Jutfelt F, Riebesell U, Clemmesen C</t>
  </si>
  <si>
    <t>Dahlke F, Lucassen M, Bickmeyer U, Wohlrab S, Puvanendran V, Mortensen A, Chierici M, Pörtner HO, Storch D</t>
  </si>
  <si>
    <t>Bignami, Sponaugle, Hauff, Cowen</t>
  </si>
  <si>
    <t>Laubenstein TD, Jodie L. Rummer, Simon Nicol, Darren M. Parsons, Stephen M. J. Pether, Stephen Pope, Neville Smith and Philip L. Munday</t>
  </si>
  <si>
    <t>Pimentel, Filipa Faleiro, Mário Diniz, Jorge Machado, Pedro Pousão-
Ferreira, Myron A. Peck, Hans O. Pörtner, Rui Rosa</t>
  </si>
  <si>
    <t>Watson SA, Bridie J. M. Allan, David E. McQueen, Simon Nicol, Darren M. Parsons, Stephen M. J. Pether, Stephen Pope, Alvin N. Setiawan, Neville Smith, Carly Wilson, Philip L. Munday</t>
  </si>
  <si>
    <t>Gobler CJ, Merlo LR, Morrell BK and Griffith AW</t>
  </si>
  <si>
    <t>Frommel AY, Colin J. Brauner, Bridie J.M. Allan, Simon Nicol, Darren M. Parsons, Steve M.J. Pether, Alvin N. Setiawan, Neville Smith and Philip L. Munday</t>
  </si>
  <si>
    <t>Pimentel MS, Faleiro F, Machado J, Pousao-Ferreira P, Rosa R</t>
  </si>
  <si>
    <t>Pimentel MS, Faleiro F, Machado J, Pousão-Ferreira P, Rosa R</t>
  </si>
  <si>
    <t>Leo E, Dahlke FT, Storch D, Pörtner HO, Mark FC</t>
  </si>
  <si>
    <t>Flynn EE, Bjelde BE, Miller NA, Todgham AE</t>
  </si>
  <si>
    <t>Dahlke FT, Leo E, Mark FC, Portner HO, Bickmeyer U, Frickenhaus S, Storch D</t>
  </si>
  <si>
    <t>Menidia menidia</t>
  </si>
  <si>
    <t>Amphiprion melanopus</t>
  </si>
  <si>
    <t>Belone belone</t>
  </si>
  <si>
    <t>Dicentrarchus labrax</t>
  </si>
  <si>
    <t>Solea senegalensis</t>
  </si>
  <si>
    <t>Ammodytes dubius</t>
  </si>
  <si>
    <t>Clupea harengus</t>
  </si>
  <si>
    <t>Gadus morhua</t>
  </si>
  <si>
    <t>Rachycentron canadum</t>
  </si>
  <si>
    <t>Seriola lalandi</t>
  </si>
  <si>
    <t>Menidia beryllina</t>
  </si>
  <si>
    <t>Sparus aurata</t>
  </si>
  <si>
    <t>Gymnodraco acuticeps</t>
  </si>
  <si>
    <t>inverted ratio because negative metric (not a % so couldnot beconverted to a survival rate)</t>
  </si>
  <si>
    <t xml:space="preserve">vei set to 0.0001 because original value to low for R </t>
  </si>
  <si>
    <t>hatching length</t>
  </si>
  <si>
    <t>daily mortality rate</t>
  </si>
  <si>
    <t>otolith area</t>
  </si>
  <si>
    <t xml:space="preserve">Hatch length </t>
  </si>
  <si>
    <t>hatching succes</t>
  </si>
  <si>
    <t>Instantaneous growth rate</t>
  </si>
  <si>
    <t xml:space="preserve">Enzyme activity </t>
  </si>
  <si>
    <t>critical thermal maximum (hatchling)</t>
  </si>
  <si>
    <t>oxygen consumption rates (hatchling)</t>
  </si>
  <si>
    <t>Flextion</t>
  </si>
  <si>
    <t xml:space="preserve">Time Active </t>
  </si>
  <si>
    <t>Oxygen consumption rate at 30 dph</t>
  </si>
  <si>
    <t>oxygen consumption rates (postlarva)</t>
  </si>
  <si>
    <t>Standard length at 21dph</t>
  </si>
  <si>
    <t>Ucrit</t>
  </si>
  <si>
    <t>Hatch length</t>
  </si>
  <si>
    <t>Fertilization success</t>
  </si>
  <si>
    <t>Mass</t>
  </si>
  <si>
    <t>Yolk area at 1 dph</t>
  </si>
  <si>
    <t>Total length at 11 dph</t>
  </si>
  <si>
    <t>Egg volume</t>
  </si>
  <si>
    <t>Heart rates</t>
  </si>
  <si>
    <t>yolk area</t>
  </si>
  <si>
    <t>Routine heart rates</t>
  </si>
  <si>
    <t>Deformities</t>
  </si>
  <si>
    <t>Resting metabolic rate</t>
  </si>
  <si>
    <t>Total embryo mortality</t>
  </si>
  <si>
    <t>Abnormal larvae</t>
  </si>
  <si>
    <t>Citrate synthase activity</t>
  </si>
  <si>
    <t>Osmolarity</t>
  </si>
  <si>
    <t>Saggitae diameter at hatch</t>
  </si>
  <si>
    <t>Hatch duration</t>
  </si>
  <si>
    <t>Survival from 1 to 25 dph</t>
  </si>
  <si>
    <t>critical thermal maximum (postlarva)</t>
  </si>
  <si>
    <t>C:N ratios (42 days)</t>
  </si>
  <si>
    <t>Length at hatch</t>
  </si>
  <si>
    <t>Ln O2 consumption rates</t>
  </si>
  <si>
    <t xml:space="preserve">Yolk sac area </t>
  </si>
  <si>
    <t>IPC-cover</t>
  </si>
  <si>
    <t>eye diameter (42 days)</t>
  </si>
  <si>
    <t>Time to hatch</t>
  </si>
  <si>
    <t>Survival at 1 dph</t>
  </si>
  <si>
    <t>larval survival</t>
  </si>
  <si>
    <t>MO2</t>
  </si>
  <si>
    <t>aerobic scope</t>
  </si>
  <si>
    <t>eggs that survived to hatching</t>
  </si>
  <si>
    <t>total anormalities</t>
  </si>
  <si>
    <t>mass</t>
  </si>
  <si>
    <t>ETS mitochondrial capacity</t>
  </si>
  <si>
    <t>4. The minimum values I used were: mean_T, mean_C, n_T, n_C, SD_T, SD_C. These were essential for calculating lnrr, if the study did not provide lnrr directly.</t>
  </si>
  <si>
    <t>Meta-analysis_reference</t>
  </si>
  <si>
    <t xml:space="preserve">First author of the the meta-analysis reference </t>
  </si>
  <si>
    <t>Indicates whether data point was included in the meta-analysis</t>
  </si>
  <si>
    <t>Hyperlink to the paper</t>
  </si>
  <si>
    <t>Biota the data point belongs to, in this case, it should be 'Zooplankton'</t>
  </si>
  <si>
    <t>Holoplankton or Meroplankton</t>
  </si>
  <si>
    <t>Subgroup the zooplankton further belongs to (e.g., calanoid copepod, mollusca, fish larvae, etc.)</t>
  </si>
  <si>
    <t>Species epiphet</t>
  </si>
  <si>
    <t>Either ph, T, TpH</t>
  </si>
  <si>
    <t>The calculated variance of lnRR</t>
  </si>
  <si>
    <t>Any additional information</t>
  </si>
  <si>
    <t>The calculted lnRR, which is ln(Biota_T) - ln(Biota_C)</t>
  </si>
  <si>
    <t>74_LANG</t>
  </si>
  <si>
    <t>75_LANG</t>
  </si>
  <si>
    <t>107_LANG</t>
  </si>
  <si>
    <t>108_LANG</t>
  </si>
  <si>
    <t>111_LANG</t>
  </si>
  <si>
    <t>112_LANG</t>
  </si>
  <si>
    <t>113_LANG</t>
  </si>
  <si>
    <t>114_LANG</t>
  </si>
  <si>
    <t>115_LANG</t>
  </si>
  <si>
    <t>116_LANG</t>
  </si>
  <si>
    <t>117_LANG</t>
  </si>
  <si>
    <t>126_LANG</t>
  </si>
  <si>
    <t>127_LANG</t>
  </si>
  <si>
    <t>128_LANG</t>
  </si>
  <si>
    <t>129_LANG</t>
  </si>
  <si>
    <t>130_LANG</t>
  </si>
  <si>
    <t>131_LANG</t>
  </si>
  <si>
    <t>132_LANG</t>
  </si>
  <si>
    <t>135_LANG</t>
  </si>
  <si>
    <t>136_LANG</t>
  </si>
  <si>
    <t>137_LANG</t>
  </si>
  <si>
    <t>138_LANG</t>
  </si>
  <si>
    <t>147_LANG</t>
  </si>
  <si>
    <t>148_LANG</t>
  </si>
  <si>
    <t>149_LANG</t>
  </si>
  <si>
    <t>150_LANG</t>
  </si>
  <si>
    <t>151_LANG</t>
  </si>
  <si>
    <t>152_LANG</t>
  </si>
  <si>
    <t>153_LANG</t>
  </si>
  <si>
    <t>154_LANG</t>
  </si>
  <si>
    <t>168_LANG</t>
  </si>
  <si>
    <t>169_LANG</t>
  </si>
  <si>
    <t>170_LANG</t>
  </si>
  <si>
    <t>171_LANG</t>
  </si>
  <si>
    <t>172_LANG</t>
  </si>
  <si>
    <t>173_LANG</t>
  </si>
  <si>
    <t>174_LANG</t>
  </si>
  <si>
    <t>175_LANG</t>
  </si>
  <si>
    <t>176_LANG</t>
  </si>
  <si>
    <t>177_LANG</t>
  </si>
  <si>
    <t>178_LANG</t>
  </si>
  <si>
    <t>179_LANG</t>
  </si>
  <si>
    <t>180_LANG</t>
  </si>
  <si>
    <t>181_LANG</t>
  </si>
  <si>
    <t>182_LANG</t>
  </si>
  <si>
    <t>183_LANG</t>
  </si>
  <si>
    <t>184_LANG</t>
  </si>
  <si>
    <t>185_LANG</t>
  </si>
  <si>
    <t>215_LANG</t>
  </si>
  <si>
    <t>216_LANG</t>
  </si>
  <si>
    <t>217_LANG</t>
  </si>
  <si>
    <t>218_LANG</t>
  </si>
  <si>
    <t>219_LANG</t>
  </si>
  <si>
    <t>220_LANG</t>
  </si>
  <si>
    <t>221_LANG</t>
  </si>
  <si>
    <t>222_LANG</t>
  </si>
  <si>
    <t>223_LANG</t>
  </si>
  <si>
    <t>224_LANG</t>
  </si>
  <si>
    <t>225_LANG</t>
  </si>
  <si>
    <t>226_LANG</t>
  </si>
  <si>
    <t>227_LANG</t>
  </si>
  <si>
    <t>238_LANG</t>
  </si>
  <si>
    <t>239_LANG</t>
  </si>
  <si>
    <t>240_LANG</t>
  </si>
  <si>
    <t>241_LANG</t>
  </si>
  <si>
    <t>242_LANG</t>
  </si>
  <si>
    <t>243_LANG</t>
  </si>
  <si>
    <t>244_LANG</t>
  </si>
  <si>
    <t>245_LANG</t>
  </si>
  <si>
    <t>261_LANG</t>
  </si>
  <si>
    <t>262_LANG</t>
  </si>
  <si>
    <t>263_LANG</t>
  </si>
  <si>
    <t>270_LANG</t>
  </si>
  <si>
    <t>271_LANG</t>
  </si>
  <si>
    <t>272_LANG</t>
  </si>
  <si>
    <t>273_LANG</t>
  </si>
  <si>
    <t>274_LANG</t>
  </si>
  <si>
    <t>275_LANG</t>
  </si>
  <si>
    <t>650_LANG</t>
  </si>
  <si>
    <t>688_LANG</t>
  </si>
  <si>
    <t>689_LANG</t>
  </si>
  <si>
    <t>698_LANG</t>
  </si>
  <si>
    <t>699_LANG</t>
  </si>
  <si>
    <t>700_LANG</t>
  </si>
  <si>
    <t>701_LANG</t>
  </si>
  <si>
    <t>702_LANG</t>
  </si>
  <si>
    <t>703_LANG</t>
  </si>
  <si>
    <t>704_LANG</t>
  </si>
  <si>
    <t>705_LANG</t>
  </si>
  <si>
    <t>9_28_LANG</t>
  </si>
  <si>
    <t>15_50_LANG</t>
  </si>
  <si>
    <t>15_51_LANG</t>
  </si>
  <si>
    <t>16_53_LANG</t>
  </si>
  <si>
    <t>16_54_LANG</t>
  </si>
  <si>
    <t>16_55_LANG</t>
  </si>
  <si>
    <t>16_56_LANG</t>
  </si>
  <si>
    <t>19_62_LANG</t>
  </si>
  <si>
    <t>19_63_LANG</t>
  </si>
  <si>
    <t>19_64_LANG</t>
  </si>
  <si>
    <t>19_65_LANG</t>
  </si>
  <si>
    <t>19_66_LANG</t>
  </si>
  <si>
    <t>19_67_LANG</t>
  </si>
  <si>
    <t>19_68_LANG</t>
  </si>
  <si>
    <t>21_70_LANG</t>
  </si>
  <si>
    <t>21_71_LANG</t>
  </si>
  <si>
    <t>22_73_LANG</t>
  </si>
  <si>
    <t>25_82_LANG</t>
  </si>
  <si>
    <t>26_83_LANG</t>
  </si>
  <si>
    <t>26_84_LANG</t>
  </si>
  <si>
    <t>26_85_LANG</t>
  </si>
  <si>
    <t>26_86_LANG</t>
  </si>
  <si>
    <t>26_87_LANG</t>
  </si>
  <si>
    <t>26_88_LANG</t>
  </si>
  <si>
    <t>26_89_LANG</t>
  </si>
  <si>
    <t>26_90_LANG</t>
  </si>
  <si>
    <t>30_120_LANG</t>
  </si>
  <si>
    <t>30_121_LANG</t>
  </si>
  <si>
    <t>30_122_LANG</t>
  </si>
  <si>
    <t>30_123_LANG</t>
  </si>
  <si>
    <t>30_124_LANG</t>
  </si>
  <si>
    <t>30_125_LANG</t>
  </si>
  <si>
    <t>30_126_LANG</t>
  </si>
  <si>
    <t>30_127_LANG</t>
  </si>
  <si>
    <t>31_128_LANG</t>
  </si>
  <si>
    <t>33_133_LANG</t>
  </si>
  <si>
    <t>33_134_LANG</t>
  </si>
  <si>
    <t>34_140_LANG</t>
  </si>
  <si>
    <t>34_143_LANG</t>
  </si>
  <si>
    <t>34_144_LANG</t>
  </si>
  <si>
    <t>75_369_LANG</t>
  </si>
  <si>
    <t>82_392_LANG</t>
  </si>
  <si>
    <t>82_393_LANG</t>
  </si>
  <si>
    <t>85_399_LANG</t>
  </si>
  <si>
    <t>85_400_LANG</t>
  </si>
  <si>
    <t>numberic</t>
  </si>
  <si>
    <t>Numeric</t>
  </si>
  <si>
    <t>Mean T concentration in control plots</t>
  </si>
  <si>
    <t>Mean T concentration in treatment plots</t>
  </si>
  <si>
    <t>C_value_Temp</t>
  </si>
  <si>
    <t>T_value_Temp</t>
  </si>
  <si>
    <t>3_AltersFish</t>
  </si>
  <si>
    <t>4_AltersFish</t>
  </si>
  <si>
    <t>5_AltersFish</t>
  </si>
  <si>
    <t>6_AltersFish</t>
  </si>
  <si>
    <t>7_AltersFish</t>
  </si>
  <si>
    <t>8_AltersFish</t>
  </si>
  <si>
    <t>10_AltersFish</t>
  </si>
  <si>
    <t>11_AltersFish</t>
  </si>
  <si>
    <t>12_AltersFish</t>
  </si>
  <si>
    <t>13_AltersFish</t>
  </si>
  <si>
    <t>14_AltersFish</t>
  </si>
  <si>
    <t>15_AltersFish</t>
  </si>
  <si>
    <t>16_AltersFish</t>
  </si>
  <si>
    <t>17_AltersFish</t>
  </si>
  <si>
    <t>18_AltersFish</t>
  </si>
  <si>
    <t>19_AltersFish</t>
  </si>
  <si>
    <t>20_AltersFish</t>
  </si>
  <si>
    <t>21_AltersFish</t>
  </si>
  <si>
    <t>22_AltersFish</t>
  </si>
  <si>
    <t>23_AltersFish</t>
  </si>
  <si>
    <t>24_AltersFish</t>
  </si>
  <si>
    <t>25_AltersFish</t>
  </si>
  <si>
    <t>26_AltersFish</t>
  </si>
  <si>
    <t>27_AltersFish</t>
  </si>
  <si>
    <t>28_AltersFish</t>
  </si>
  <si>
    <t>29_AltersFish</t>
  </si>
  <si>
    <t>30_AltersFish</t>
  </si>
  <si>
    <t>31_AltersFish</t>
  </si>
  <si>
    <t>32_AltersFish</t>
  </si>
  <si>
    <t>33_AltersFish</t>
  </si>
  <si>
    <t>34_AltersFish</t>
  </si>
  <si>
    <t>35_AltersFish</t>
  </si>
  <si>
    <t>36_AltersFish</t>
  </si>
  <si>
    <t>37_AltersFish</t>
  </si>
  <si>
    <t>38_AltersFish</t>
  </si>
  <si>
    <t>39_AltersFish</t>
  </si>
  <si>
    <t>40_AltersFish</t>
  </si>
  <si>
    <t>41_AltersFish</t>
  </si>
  <si>
    <t>42_AltersFish</t>
  </si>
  <si>
    <t>43_AltersFish</t>
  </si>
  <si>
    <t>44_AltersFish</t>
  </si>
  <si>
    <t>45_AltersFish</t>
  </si>
  <si>
    <t>46_AltersFish</t>
  </si>
  <si>
    <t>47_AltersFish</t>
  </si>
  <si>
    <t>48_AltersFish</t>
  </si>
  <si>
    <t>49_AltersFish</t>
  </si>
  <si>
    <t>52_AltersFish</t>
  </si>
  <si>
    <t>53_AltersFish</t>
  </si>
  <si>
    <t>55_AltersFish</t>
  </si>
  <si>
    <t>56_AltersFish</t>
  </si>
  <si>
    <t>57_AltersFish</t>
  </si>
  <si>
    <t>58_AltersFish</t>
  </si>
  <si>
    <t>59_AltersFish</t>
  </si>
  <si>
    <t>60_AltersFish</t>
  </si>
  <si>
    <t>61_AltersFish</t>
  </si>
  <si>
    <t>62_AltersFish</t>
  </si>
  <si>
    <t>63_AltersFish</t>
  </si>
  <si>
    <t>65_AltersFish</t>
  </si>
  <si>
    <t>66_AltersFish</t>
  </si>
  <si>
    <t>67_AltersFish</t>
  </si>
  <si>
    <t>68_AltersFish</t>
  </si>
  <si>
    <t>69_AltersFish</t>
  </si>
  <si>
    <t>70_AltersFish</t>
  </si>
  <si>
    <t>71_AltersFish</t>
  </si>
  <si>
    <t>72_AltersFish</t>
  </si>
  <si>
    <t>73_AltersFish</t>
  </si>
  <si>
    <t>74_AltersFish</t>
  </si>
  <si>
    <t>75_AltersFish</t>
  </si>
  <si>
    <t>76_AltersFish</t>
  </si>
  <si>
    <t>77_AltersFish</t>
  </si>
  <si>
    <t>78_AltersFish</t>
  </si>
  <si>
    <t>79_AltersFish</t>
  </si>
  <si>
    <t>81_AltersFish</t>
  </si>
  <si>
    <t>82_AltersFish</t>
  </si>
  <si>
    <t>85_AltersFish</t>
  </si>
  <si>
    <t>86_AltersFish</t>
  </si>
  <si>
    <t>89_AltersFish</t>
  </si>
  <si>
    <t>90_AltersFish</t>
  </si>
  <si>
    <t>98_AltersFish</t>
  </si>
  <si>
    <t>99_AltersFish</t>
  </si>
  <si>
    <t>100_AltersFish</t>
  </si>
  <si>
    <t>101_AltersFish</t>
  </si>
  <si>
    <t>103_AltersFish</t>
  </si>
  <si>
    <t>105_AltersFish</t>
  </si>
  <si>
    <t>106_AltersFish</t>
  </si>
  <si>
    <t>108_AltersFish</t>
  </si>
  <si>
    <t>109_AltersFish</t>
  </si>
  <si>
    <t>111_AltersFish</t>
  </si>
  <si>
    <t>112_AltersFish</t>
  </si>
  <si>
    <t>113_AltersFish</t>
  </si>
  <si>
    <t>114_AltersFish</t>
  </si>
  <si>
    <t>115_AltersFish</t>
  </si>
  <si>
    <t>116_AltersFish</t>
  </si>
  <si>
    <t>117_AltersFish</t>
  </si>
  <si>
    <t>118_AltersFish</t>
  </si>
  <si>
    <t>119_AltersFish</t>
  </si>
  <si>
    <t>122_AltersFish</t>
  </si>
  <si>
    <t>125_AltersFish</t>
  </si>
  <si>
    <t>126_AltersFish</t>
  </si>
  <si>
    <t>127_AltersFish</t>
  </si>
  <si>
    <t>128_AltersFish</t>
  </si>
  <si>
    <t>130_AltersFish</t>
  </si>
  <si>
    <t>131_AltersFish</t>
  </si>
  <si>
    <t>135_AltersFish</t>
  </si>
  <si>
    <t>141_AltersFish</t>
  </si>
  <si>
    <t>147_AltersFish</t>
  </si>
  <si>
    <t>149_AltersFish</t>
  </si>
  <si>
    <t>150_AltersFish</t>
  </si>
  <si>
    <t>151_AltersFish</t>
  </si>
  <si>
    <t>155_AltersFish</t>
  </si>
  <si>
    <t>158_AltersFish</t>
  </si>
  <si>
    <t>160_AltersFish</t>
  </si>
  <si>
    <t>162_AltersFish</t>
  </si>
  <si>
    <t>165_AltersFish</t>
  </si>
  <si>
    <t>170_AltersFish</t>
  </si>
  <si>
    <t>171_AltersFish</t>
  </si>
  <si>
    <t>173_AltersFish</t>
  </si>
  <si>
    <t>174_AltersFish</t>
  </si>
  <si>
    <t>176_AltersFish</t>
  </si>
  <si>
    <t>177_AltersFish</t>
  </si>
  <si>
    <t>178_AltersFish</t>
  </si>
  <si>
    <t>180_AltersFish</t>
  </si>
  <si>
    <t>182_AltersFish</t>
  </si>
  <si>
    <t>183_AltersFish</t>
  </si>
  <si>
    <t>184_AltersFish</t>
  </si>
  <si>
    <t>186_AltersFish</t>
  </si>
  <si>
    <t>187_AltersFish</t>
  </si>
  <si>
    <t>188_AltersFish</t>
  </si>
  <si>
    <t>192_AltersFish</t>
  </si>
  <si>
    <t>196_AltersFish</t>
  </si>
  <si>
    <t>198_AltersFish</t>
  </si>
  <si>
    <t>199_AltersFish</t>
  </si>
  <si>
    <t>200_AltersFish</t>
  </si>
  <si>
    <t>201_AltersFish</t>
  </si>
  <si>
    <t>209_AltersFish</t>
  </si>
  <si>
    <t>211_AltersFish</t>
  </si>
  <si>
    <t>214_AltersFish</t>
  </si>
  <si>
    <t>215_AltersFish</t>
  </si>
  <si>
    <t>218_AltersFish</t>
  </si>
  <si>
    <t>219_AltersFish</t>
  </si>
  <si>
    <t>220_AltersFish</t>
  </si>
  <si>
    <t>221_AltersFish</t>
  </si>
  <si>
    <t>222_AltersFish</t>
  </si>
  <si>
    <t>225_AltersFish</t>
  </si>
  <si>
    <t>226_AltersFish</t>
  </si>
  <si>
    <t>227_AltersFish</t>
  </si>
  <si>
    <t>228_AltersFish</t>
  </si>
  <si>
    <t>229_AltersFish</t>
  </si>
  <si>
    <t>235_AltersFish</t>
  </si>
  <si>
    <t>237_AltersFish</t>
  </si>
  <si>
    <t>238_AltersFish</t>
  </si>
  <si>
    <t>240_AltersFish</t>
  </si>
  <si>
    <t>241_AltersFish</t>
  </si>
  <si>
    <t>243_AltersFish</t>
  </si>
  <si>
    <t>244_AltersFish</t>
  </si>
  <si>
    <t>246_AltersFish</t>
  </si>
  <si>
    <t>248_AltersFish</t>
  </si>
  <si>
    <t>249_AltersFish</t>
  </si>
  <si>
    <t>250_AltersFish</t>
  </si>
  <si>
    <t>251_AltersFish</t>
  </si>
  <si>
    <t>254_AltersFish</t>
  </si>
  <si>
    <t>255_AltersFish</t>
  </si>
  <si>
    <t>256_AltersFish</t>
  </si>
  <si>
    <t>257_AltersFish</t>
  </si>
  <si>
    <t>258_AltersFish</t>
  </si>
  <si>
    <t>259_AltersFish</t>
  </si>
  <si>
    <t>261_AltersFish</t>
  </si>
  <si>
    <t>263_AltersFish</t>
  </si>
  <si>
    <t>266_AltersFish</t>
  </si>
  <si>
    <t>270_AltersFish</t>
  </si>
  <si>
    <t>273_AltersFish</t>
  </si>
  <si>
    <t>275_AltersFish</t>
  </si>
  <si>
    <t>280_AltersFish</t>
  </si>
  <si>
    <t>282_AltersFish</t>
  </si>
  <si>
    <t>284_AltersFish</t>
  </si>
  <si>
    <t>286_AltersFish</t>
  </si>
  <si>
    <t>287_AltersFish</t>
  </si>
  <si>
    <t>294_AltersFish</t>
  </si>
  <si>
    <t>299_AltersFish</t>
  </si>
  <si>
    <t>302_AltersFish</t>
  </si>
  <si>
    <t>306_AltersFish</t>
  </si>
  <si>
    <t>310_AltersFish</t>
  </si>
  <si>
    <t>312_AltersFish</t>
  </si>
  <si>
    <t>316_AltersFish</t>
  </si>
  <si>
    <t>327_AltersFish</t>
  </si>
  <si>
    <t>329_AltersFish</t>
  </si>
  <si>
    <t>333_AltersFish</t>
  </si>
  <si>
    <t>334_AltersFish</t>
  </si>
  <si>
    <t>336_AltersFish</t>
  </si>
  <si>
    <t>338_AltersFish</t>
  </si>
  <si>
    <t>339_AltersFish</t>
  </si>
  <si>
    <t>340_AltersFish</t>
  </si>
  <si>
    <t>341_AltersFish</t>
  </si>
  <si>
    <t>342_AltersFish</t>
  </si>
  <si>
    <t>345_AltersFish</t>
  </si>
  <si>
    <t>346_AltersFish</t>
  </si>
  <si>
    <t>348_AltersFish</t>
  </si>
  <si>
    <t>352_AltersFish</t>
  </si>
  <si>
    <t>361_AltersFish</t>
  </si>
  <si>
    <t>368_AltersFish</t>
  </si>
  <si>
    <t>369_AltersFish</t>
  </si>
  <si>
    <t>370_AltersFish</t>
  </si>
  <si>
    <t>376_AltersFish</t>
  </si>
  <si>
    <t>384_AltersFish</t>
  </si>
  <si>
    <t>391_AltersFish</t>
  </si>
  <si>
    <t>396_AltersFish</t>
  </si>
  <si>
    <t>397_AltersFish</t>
  </si>
  <si>
    <t>399_AltersFish</t>
  </si>
  <si>
    <t>414_AltersFish</t>
  </si>
  <si>
    <t>417_AltersFish</t>
  </si>
  <si>
    <t>432_AltersFish</t>
  </si>
  <si>
    <t>434_AltersFish</t>
  </si>
  <si>
    <t>438_AltersFish</t>
  </si>
  <si>
    <t>445_AltersFish</t>
  </si>
  <si>
    <t>449_AltersFish</t>
  </si>
  <si>
    <t>450_AltersFish</t>
  </si>
  <si>
    <t>452_AltersFish</t>
  </si>
  <si>
    <t>457_AltersFish</t>
  </si>
  <si>
    <t>467_AltersFish</t>
  </si>
  <si>
    <t>502_AltersFish</t>
  </si>
  <si>
    <t>537_AltersFish</t>
  </si>
  <si>
    <t>540_AltersFish</t>
  </si>
  <si>
    <t>555_AltersFish</t>
  </si>
  <si>
    <t>581_AltersFish</t>
  </si>
  <si>
    <t>592_AltersFish</t>
  </si>
  <si>
    <t>607_AltersFish</t>
  </si>
  <si>
    <t>608_AltersFish</t>
  </si>
  <si>
    <t>615_AltersFish</t>
  </si>
  <si>
    <t>621_AltersFish</t>
  </si>
  <si>
    <t>622_AltersFish</t>
  </si>
  <si>
    <t>628_AltersFish</t>
  </si>
  <si>
    <t>643_AltersFish</t>
  </si>
  <si>
    <t>652_AltersFish</t>
  </si>
  <si>
    <t>657_AltersFish</t>
  </si>
  <si>
    <t>668_AltersFish</t>
  </si>
  <si>
    <t>680_AltersFish</t>
  </si>
  <si>
    <t>682_AltersFish</t>
  </si>
  <si>
    <t>690_AltersFish</t>
  </si>
  <si>
    <t>695_AltersFish</t>
  </si>
  <si>
    <t>703_AltersFish</t>
  </si>
  <si>
    <t>714_AltersFish</t>
  </si>
  <si>
    <t>719_AltersFish</t>
  </si>
  <si>
    <t>721_AltersFish</t>
  </si>
  <si>
    <t>728_AltersFish</t>
  </si>
  <si>
    <t>736_AltersFish</t>
  </si>
  <si>
    <t>738_AltersFish</t>
  </si>
  <si>
    <t>744_AltersFish</t>
  </si>
  <si>
    <t>745_AltersFish</t>
  </si>
  <si>
    <t>751_AltersFish</t>
  </si>
  <si>
    <t>755_AltersFish</t>
  </si>
  <si>
    <t>767_AltersFish</t>
  </si>
  <si>
    <t>768_AltersFish</t>
  </si>
  <si>
    <t>778_AltersFish</t>
  </si>
  <si>
    <t>783_AltersFish</t>
  </si>
  <si>
    <t>794_AltersFish</t>
  </si>
  <si>
    <t>804_AltersFish</t>
  </si>
  <si>
    <t>806_AltersFish</t>
  </si>
  <si>
    <t>812_AltersFish</t>
  </si>
  <si>
    <t>815_AltersFish</t>
  </si>
  <si>
    <t>826_AltersFish</t>
  </si>
  <si>
    <t>6_AltersInvert</t>
  </si>
  <si>
    <t>7_AltersInvert</t>
  </si>
  <si>
    <t>8_AltersInvert</t>
  </si>
  <si>
    <t>9_AltersInvert</t>
  </si>
  <si>
    <t>10_AltersInvert</t>
  </si>
  <si>
    <t>11_AltersInvert</t>
  </si>
  <si>
    <t>12_AltersInvert</t>
  </si>
  <si>
    <t>13_AltersInvert</t>
  </si>
  <si>
    <t>14_AltersInvert</t>
  </si>
  <si>
    <t>15_AltersInvert</t>
  </si>
  <si>
    <t>16_AltersInvert</t>
  </si>
  <si>
    <t>17_AltersInvert</t>
  </si>
  <si>
    <t>27_AltersInvert</t>
  </si>
  <si>
    <t>29_AltersInvert</t>
  </si>
  <si>
    <t>30_AltersInvert</t>
  </si>
  <si>
    <t>188_AltersInvert</t>
  </si>
  <si>
    <t>189_AltersInvert</t>
  </si>
  <si>
    <t>190_AltersInvert</t>
  </si>
  <si>
    <t>191_AltersInvert</t>
  </si>
  <si>
    <t>192_AltersInvert</t>
  </si>
  <si>
    <t>193_AltersInvert</t>
  </si>
  <si>
    <t>206_AltersInvert</t>
  </si>
  <si>
    <t>207_AltersInvert</t>
  </si>
  <si>
    <t>208_AltersInvert</t>
  </si>
  <si>
    <t>209_AltersInvert</t>
  </si>
  <si>
    <t>210_AltersInvert</t>
  </si>
  <si>
    <t>211_AltersInvert</t>
  </si>
  <si>
    <t>212_AltersInvert</t>
  </si>
  <si>
    <t>213_AltersInvert</t>
  </si>
  <si>
    <t>214_AltersInvert</t>
  </si>
  <si>
    <t>215_AltersInvert</t>
  </si>
  <si>
    <t>216_AltersInvert</t>
  </si>
  <si>
    <t>217_AltersInvert</t>
  </si>
  <si>
    <t>218_AltersInvert</t>
  </si>
  <si>
    <t>219_AltersInvert</t>
  </si>
  <si>
    <t>220_AltersInvert</t>
  </si>
  <si>
    <t>221_AltersInvert</t>
  </si>
  <si>
    <t>222_AltersInvert</t>
  </si>
  <si>
    <t>223_AltersInvert</t>
  </si>
  <si>
    <t>224_AltersInvert</t>
  </si>
  <si>
    <t>225_AltersInvert</t>
  </si>
  <si>
    <t>226_AltersInvert</t>
  </si>
  <si>
    <t>265_AltersInvert</t>
  </si>
  <si>
    <t>266_AltersInvert</t>
  </si>
  <si>
    <t>267_AltersInvert</t>
  </si>
  <si>
    <t>268_AltersInvert</t>
  </si>
  <si>
    <t>269_AltersInvert</t>
  </si>
  <si>
    <t>270_AltersInvert</t>
  </si>
  <si>
    <t>271_AltersInvert</t>
  </si>
  <si>
    <t>272_AltersInvert</t>
  </si>
  <si>
    <t>273_AltersInvert</t>
  </si>
  <si>
    <t>274_AltersInvert</t>
  </si>
  <si>
    <t>275_AltersInvert</t>
  </si>
  <si>
    <t>276_AltersInvert</t>
  </si>
  <si>
    <t>277_AltersInvert</t>
  </si>
  <si>
    <t>278_AltersInvert</t>
  </si>
  <si>
    <t>279_AltersInvert</t>
  </si>
  <si>
    <t>280_AltersInvert</t>
  </si>
  <si>
    <t>281_AltersInvert</t>
  </si>
  <si>
    <t>282_AltersInvert</t>
  </si>
  <si>
    <t>283_AltersInvert</t>
  </si>
  <si>
    <t>284_AltersInvert</t>
  </si>
  <si>
    <t>285_AltersInvert</t>
  </si>
  <si>
    <t>286_AltersInvert</t>
  </si>
  <si>
    <t>287_AltersInvert</t>
  </si>
  <si>
    <t>288_AltersInvert</t>
  </si>
  <si>
    <t>289_AltersInvert</t>
  </si>
  <si>
    <t>290_AltersInvert</t>
  </si>
  <si>
    <t>291_AltersInvert</t>
  </si>
  <si>
    <t>292_AltersInvert</t>
  </si>
  <si>
    <t>293_AltersInvert</t>
  </si>
  <si>
    <t>294_AltersInvert</t>
  </si>
  <si>
    <t>295_AltersInvert</t>
  </si>
  <si>
    <t>296_AltersInvert</t>
  </si>
  <si>
    <t>297_AltersInvert</t>
  </si>
  <si>
    <t>298_AltersInvert</t>
  </si>
  <si>
    <t>299_AltersInvert</t>
  </si>
  <si>
    <t>300_AltersInvert</t>
  </si>
  <si>
    <t>301_AltersInvert</t>
  </si>
  <si>
    <t>302_AltersInvert</t>
  </si>
  <si>
    <t>303_AltersInvert</t>
  </si>
  <si>
    <t>304_AltersInvert</t>
  </si>
  <si>
    <t>305_AltersInvert</t>
  </si>
  <si>
    <t>336_AltersInvert</t>
  </si>
  <si>
    <t>337_AltersInvert</t>
  </si>
  <si>
    <t>338_AltersInvert</t>
  </si>
  <si>
    <t>339_AltersInvert</t>
  </si>
  <si>
    <t>340_AltersInvert</t>
  </si>
  <si>
    <t>347_AltersInvert</t>
  </si>
  <si>
    <t>348_AltersInvert</t>
  </si>
  <si>
    <t>349_AltersInvert</t>
  </si>
  <si>
    <t>350_AltersInvert</t>
  </si>
  <si>
    <t>351_AltersInvert</t>
  </si>
  <si>
    <t>352_AltersInvert</t>
  </si>
  <si>
    <t>353_AltersInvert</t>
  </si>
  <si>
    <t>354_AltersInvert</t>
  </si>
  <si>
    <t>355_AltersInvert</t>
  </si>
  <si>
    <t>356_AltersInvert</t>
  </si>
  <si>
    <t>357_AltersInvert</t>
  </si>
  <si>
    <t>358_AltersInvert</t>
  </si>
  <si>
    <t>359_AltersInvert</t>
  </si>
  <si>
    <t>360_AltersInvert</t>
  </si>
  <si>
    <t>361_AltersInvert</t>
  </si>
  <si>
    <t>362_AltersInvert</t>
  </si>
  <si>
    <t>363_AltersInvert</t>
  </si>
  <si>
    <t>364_AltersInvert</t>
  </si>
  <si>
    <t>365_AltersInvert</t>
  </si>
  <si>
    <t>366_AltersInvert</t>
  </si>
  <si>
    <t>367_AltersInvert</t>
  </si>
  <si>
    <t>368_AltersInvert</t>
  </si>
  <si>
    <t>369_AltersInvert</t>
  </si>
  <si>
    <t>370_AltersInvert</t>
  </si>
  <si>
    <t>524_AltersInvert</t>
  </si>
  <si>
    <t>525_AltersInvert</t>
  </si>
  <si>
    <t>526_AltersInvert</t>
  </si>
  <si>
    <t>527_AltersInvert</t>
  </si>
  <si>
    <t>528_AltersInvert</t>
  </si>
  <si>
    <t>529_AltersInvert</t>
  </si>
  <si>
    <t>530_AltersInvert</t>
  </si>
  <si>
    <t>531_AltersInvert</t>
  </si>
  <si>
    <t>532_AltersInvert</t>
  </si>
  <si>
    <t>533_AltersInvert</t>
  </si>
  <si>
    <t>534_AltersInvert</t>
  </si>
  <si>
    <t>535_AltersInvert</t>
  </si>
  <si>
    <t>536_AltersInvert</t>
  </si>
  <si>
    <t>537_AltersInvert</t>
  </si>
  <si>
    <t>538_AltersInvert</t>
  </si>
  <si>
    <t>539_AltersInvert</t>
  </si>
  <si>
    <t>540_AltersInvert</t>
  </si>
  <si>
    <t>541_AltersInvert</t>
  </si>
  <si>
    <t>542_AltersInvert</t>
  </si>
  <si>
    <t>543_AltersInvert</t>
  </si>
  <si>
    <t>544_AltersInvert</t>
  </si>
  <si>
    <t>545_AltersInvert</t>
  </si>
  <si>
    <t>607_AltersInvert</t>
  </si>
  <si>
    <t>608_AltersInvert</t>
  </si>
  <si>
    <t>609_AltersInvert</t>
  </si>
  <si>
    <t>610_AltersInvert</t>
  </si>
  <si>
    <t>611_AltersInvert</t>
  </si>
  <si>
    <t>612_AltersInvert</t>
  </si>
  <si>
    <t>613_AltersInvert</t>
  </si>
  <si>
    <t>614_AltersInvert</t>
  </si>
  <si>
    <t>675_AltersInvert</t>
  </si>
  <si>
    <t>676_AltersInvert</t>
  </si>
  <si>
    <t>677_AltersInvert</t>
  </si>
  <si>
    <t>678_AltersInvert</t>
  </si>
  <si>
    <t>679_AltersInvert</t>
  </si>
  <si>
    <t>680_AltersInvert</t>
  </si>
  <si>
    <t>681_AltersInvert</t>
  </si>
  <si>
    <t>682_AltersInvert</t>
  </si>
  <si>
    <t>683_AltersInvert</t>
  </si>
  <si>
    <t>684_AltersInvert</t>
  </si>
  <si>
    <t>685_AltersInvert</t>
  </si>
  <si>
    <t>686_AltersInvert</t>
  </si>
  <si>
    <t>687_AltersInvert</t>
  </si>
  <si>
    <t>688_AltersInvert</t>
  </si>
  <si>
    <t>689_AltersInvert</t>
  </si>
  <si>
    <t>690_AltersInvert</t>
  </si>
  <si>
    <t>691_AltersInvert</t>
  </si>
  <si>
    <t>692_AltersInvert</t>
  </si>
  <si>
    <t>693_AltersInvert</t>
  </si>
  <si>
    <t>694_AltersInvert</t>
  </si>
  <si>
    <t>695_AltersInvert</t>
  </si>
  <si>
    <t>696_AltersInvert</t>
  </si>
  <si>
    <t>697_AltersInvert</t>
  </si>
  <si>
    <t>698_AltersInvert</t>
  </si>
  <si>
    <t>699_AltersInvert</t>
  </si>
  <si>
    <t>700_AltersInvert</t>
  </si>
  <si>
    <t>701_AltersInvert</t>
  </si>
  <si>
    <t>702_AltersInvert</t>
  </si>
  <si>
    <t>703_AltersInvert</t>
  </si>
  <si>
    <t>704_AltersInvert</t>
  </si>
  <si>
    <t>705_AltersInvert</t>
  </si>
  <si>
    <t>706_AltersInvert</t>
  </si>
  <si>
    <t>707_AltersInvert</t>
  </si>
  <si>
    <t>708_AltersInvert</t>
  </si>
  <si>
    <t>709_AltersInvert</t>
  </si>
  <si>
    <t>710_AltersInvert</t>
  </si>
  <si>
    <t>711_AltersInvert</t>
  </si>
  <si>
    <t>712_AltersInvert</t>
  </si>
  <si>
    <t>713_AltersInvert</t>
  </si>
  <si>
    <t>714_AltersInvert</t>
  </si>
  <si>
    <t>715_AltersInvert</t>
  </si>
  <si>
    <t>716_AltersInvert</t>
  </si>
  <si>
    <t>717_AltersInvert</t>
  </si>
  <si>
    <t>718_AltersInvert</t>
  </si>
  <si>
    <t>719_AltersInvert</t>
  </si>
  <si>
    <t>720_AltersInvert</t>
  </si>
  <si>
    <t>721_AltersInvert</t>
  </si>
  <si>
    <t>722_AltersInvert</t>
  </si>
  <si>
    <t>723_AltersInvert</t>
  </si>
  <si>
    <t>724_AltersInvert</t>
  </si>
  <si>
    <t>725_AltersInvert</t>
  </si>
  <si>
    <t>726_AltersInvert</t>
  </si>
  <si>
    <t>727_AltersInvert</t>
  </si>
  <si>
    <t>728_AltersInvert</t>
  </si>
  <si>
    <t>729_AltersInvert</t>
  </si>
  <si>
    <t>730_AltersInvert</t>
  </si>
  <si>
    <t>731_AltersInvert</t>
  </si>
  <si>
    <t>732_AltersInvert</t>
  </si>
  <si>
    <t>733_AltersInvert</t>
  </si>
  <si>
    <t>734_AltersInvert</t>
  </si>
  <si>
    <t>735_AltersInvert</t>
  </si>
  <si>
    <t>736_AltersInvert</t>
  </si>
  <si>
    <t>737_AltersInvert</t>
  </si>
  <si>
    <t>738_AltersInvert</t>
  </si>
  <si>
    <t>748_AltersInvert</t>
  </si>
  <si>
    <t>749_AltersInvert</t>
  </si>
  <si>
    <t>750_AltersInvert</t>
  </si>
  <si>
    <t>751_AltersInvert</t>
  </si>
  <si>
    <t>752_AltersInvert</t>
  </si>
  <si>
    <t>753_AltersInvert</t>
  </si>
  <si>
    <t>754_AltersInvert</t>
  </si>
  <si>
    <t>755_AltersInvert</t>
  </si>
  <si>
    <t>756_AltersInvert</t>
  </si>
  <si>
    <t>757_AltersInvert</t>
  </si>
  <si>
    <t>758_AltersInvert</t>
  </si>
  <si>
    <t>759_AltersInvert</t>
  </si>
  <si>
    <t>760_AltersInvert</t>
  </si>
  <si>
    <t>761_AltersInvert</t>
  </si>
  <si>
    <t>762_AltersInvert</t>
  </si>
  <si>
    <t>763_AltersInvert</t>
  </si>
  <si>
    <t>764_AltersInvert</t>
  </si>
  <si>
    <t>765_AltersInvert</t>
  </si>
  <si>
    <t>766_AltersInvert</t>
  </si>
  <si>
    <t>767_AltersInvert</t>
  </si>
  <si>
    <t>768_AltersInvert</t>
  </si>
  <si>
    <t>769_AltersInvert</t>
  </si>
  <si>
    <t>770_AltersInvert</t>
  </si>
  <si>
    <t>771_AltersInvert</t>
  </si>
  <si>
    <t>772_AltersInvert</t>
  </si>
  <si>
    <t>773_AltersInvert</t>
  </si>
  <si>
    <t>774_AltersInvert</t>
  </si>
  <si>
    <t>775_AltersInvert</t>
  </si>
  <si>
    <t>776_AltersInvert</t>
  </si>
  <si>
    <t>777_AltersInvert</t>
  </si>
  <si>
    <t>778_AltersInvert</t>
  </si>
  <si>
    <t>779_AltersInvert</t>
  </si>
  <si>
    <t>780_AltersInvert</t>
  </si>
  <si>
    <t>781_AltersInvert</t>
  </si>
  <si>
    <t>782_AltersInvert</t>
  </si>
  <si>
    <t>783_AltersInvert</t>
  </si>
  <si>
    <t>845_AltersInvert</t>
  </si>
  <si>
    <t>846_AltersInvert</t>
  </si>
  <si>
    <t>847_AltersInvert</t>
  </si>
  <si>
    <t>848_AltersInvert</t>
  </si>
  <si>
    <t>849_AltersInvert</t>
  </si>
  <si>
    <t>850_AltersInvert</t>
  </si>
  <si>
    <t>851_AltersInvert</t>
  </si>
  <si>
    <t>852_AltersInvert</t>
  </si>
  <si>
    <t>853_AltersInvert</t>
  </si>
  <si>
    <t>854_AltersInvert</t>
  </si>
  <si>
    <t>855_AltersInvert</t>
  </si>
  <si>
    <t>856_AltersInvert</t>
  </si>
  <si>
    <t>857_AltersInvert</t>
  </si>
  <si>
    <t>858_AltersInvert</t>
  </si>
  <si>
    <t>859_AltersInvert</t>
  </si>
  <si>
    <t>860_AltersInvert</t>
  </si>
  <si>
    <t>861_AltersInvert</t>
  </si>
  <si>
    <t>862_AltersInvert</t>
  </si>
  <si>
    <t>863_AltersInvert</t>
  </si>
  <si>
    <t>864_AltersInvert</t>
  </si>
  <si>
    <t>865_AltersInvert</t>
  </si>
  <si>
    <t>866_AltersInvert</t>
  </si>
  <si>
    <t>867_AltersInvert</t>
  </si>
  <si>
    <t>868_AltersInvert</t>
  </si>
  <si>
    <t>869_AltersInvert</t>
  </si>
  <si>
    <t>870_AltersInvert</t>
  </si>
  <si>
    <t>871_AltersInvert</t>
  </si>
  <si>
    <t>872_AltersInvert</t>
  </si>
  <si>
    <t>873_AltersInvert</t>
  </si>
  <si>
    <t>874_AltersInvert</t>
  </si>
  <si>
    <t>875_AltersInvert</t>
  </si>
  <si>
    <t>876_AltersInvert</t>
  </si>
  <si>
    <t>877_AltersInvert</t>
  </si>
  <si>
    <t>878_AltersInvert</t>
  </si>
  <si>
    <t>879_AltersInvert</t>
  </si>
  <si>
    <t>880_AltersInvert</t>
  </si>
  <si>
    <t>881_AltersInvert</t>
  </si>
  <si>
    <t>882_AltersInvert</t>
  </si>
  <si>
    <t>883_AltersInvert</t>
  </si>
  <si>
    <t>884_AltersInvert</t>
  </si>
  <si>
    <t>885_AltersInvert</t>
  </si>
  <si>
    <t>886_AltersInvert</t>
  </si>
  <si>
    <t>887_AltersInvert</t>
  </si>
  <si>
    <t>888_AltersInvert</t>
  </si>
  <si>
    <t>889_AltersInvert</t>
  </si>
  <si>
    <t>890_AltersInvert</t>
  </si>
  <si>
    <t>891_AltersInvert</t>
  </si>
  <si>
    <t>892_AltersInvert</t>
  </si>
  <si>
    <t>893_AltersInvert</t>
  </si>
  <si>
    <t>894_AltersInvert</t>
  </si>
  <si>
    <t>895_AltersInvert</t>
  </si>
  <si>
    <t>896_AltersInvert</t>
  </si>
  <si>
    <t>897_AltersInvert</t>
  </si>
  <si>
    <t>898_AltersInvert</t>
  </si>
  <si>
    <t>899_AltersInvert</t>
  </si>
  <si>
    <t>900_AltersInvert</t>
  </si>
  <si>
    <t>975_AltersInvert</t>
  </si>
  <si>
    <t>976_AltersInvert</t>
  </si>
  <si>
    <t>977_AltersInvert</t>
  </si>
  <si>
    <t>978_AltersInvert</t>
  </si>
  <si>
    <t>979_AltersInvert</t>
  </si>
  <si>
    <t>980_AltersInvert</t>
  </si>
  <si>
    <t>981_AltersInvert</t>
  </si>
  <si>
    <t>983_AltersInvert</t>
  </si>
  <si>
    <t>984_AltersInvert</t>
  </si>
  <si>
    <t>985_AltersInvert</t>
  </si>
  <si>
    <t>986_AltersInvert</t>
  </si>
  <si>
    <t>987_AltersInvert</t>
  </si>
  <si>
    <t>989_AltersInvert</t>
  </si>
  <si>
    <t>991_AltersInvert</t>
  </si>
  <si>
    <t>992_AltersInvert</t>
  </si>
  <si>
    <t>993_AltersInvert</t>
  </si>
  <si>
    <t>994_AltersInvert</t>
  </si>
  <si>
    <t>995_AltersInvert</t>
  </si>
  <si>
    <t>996_AltersInvert</t>
  </si>
  <si>
    <t>997_AltersInvert</t>
  </si>
  <si>
    <t>998_AltersInvert</t>
  </si>
  <si>
    <t>999_AltersInvert</t>
  </si>
  <si>
    <t>1000_AltersInvert</t>
  </si>
  <si>
    <t>1001_AltersInvert</t>
  </si>
  <si>
    <t>1002_AltersInvert</t>
  </si>
  <si>
    <t>1003_AltersInvert</t>
  </si>
  <si>
    <t>1004_AltersInvert</t>
  </si>
  <si>
    <t>1005_AltersInvert</t>
  </si>
  <si>
    <t>1006_AltersInvert</t>
  </si>
  <si>
    <t>1007_AltersInvert</t>
  </si>
  <si>
    <t>1008_AltersInvert</t>
  </si>
  <si>
    <t>1009_AltersInvert</t>
  </si>
  <si>
    <t>1010_AltersInvert</t>
  </si>
  <si>
    <t>1011_AltersInvert</t>
  </si>
  <si>
    <t>1012_AltersInvert</t>
  </si>
  <si>
    <t>1013_AltersInvert</t>
  </si>
  <si>
    <t>1014_AltersInvert</t>
  </si>
  <si>
    <t>1015_AltersInvert</t>
  </si>
  <si>
    <t>1016_AltersInvert</t>
  </si>
  <si>
    <t>1017_AltersInvert</t>
  </si>
  <si>
    <t>1018_AltersInvert</t>
  </si>
  <si>
    <t>1019_AltersInvert</t>
  </si>
  <si>
    <t>1034_AltersInvert</t>
  </si>
  <si>
    <t>1035_AltersInvert</t>
  </si>
  <si>
    <t>1036_AltersInvert</t>
  </si>
  <si>
    <t>1037_AltersInvert</t>
  </si>
  <si>
    <t>1038_AltersInvert</t>
  </si>
  <si>
    <t>1039_AltersInvert</t>
  </si>
  <si>
    <t>1040_AltersInvert</t>
  </si>
  <si>
    <t>1041_AltersInvert</t>
  </si>
  <si>
    <t>1042_AltersInvert</t>
  </si>
  <si>
    <t>1043_AltersInvert</t>
  </si>
  <si>
    <t>1044_AltersInvert</t>
  </si>
  <si>
    <t>1045_AltersInvert</t>
  </si>
  <si>
    <t>1055_AltersInvert</t>
  </si>
  <si>
    <t>1056_AltersInvert</t>
  </si>
  <si>
    <t>1057_AltersInvert</t>
  </si>
  <si>
    <t>1058_AltersInvert</t>
  </si>
  <si>
    <t>1059_AltersInvert</t>
  </si>
  <si>
    <t>1060_AltersInvert</t>
  </si>
  <si>
    <t>1061_AltersInvert</t>
  </si>
  <si>
    <t>1062_AltersInvert</t>
  </si>
  <si>
    <t>1063_AltersInvert</t>
  </si>
  <si>
    <t>1064_AltersInvert</t>
  </si>
  <si>
    <t>1065_AltersInvert</t>
  </si>
  <si>
    <t>1066_AltersInvert</t>
  </si>
  <si>
    <t>1067_AltersInvert</t>
  </si>
  <si>
    <t>1068_AltersInvert</t>
  </si>
  <si>
    <t>1069_AltersInvert</t>
  </si>
  <si>
    <t>1070_AltersInvert</t>
  </si>
  <si>
    <t>1071_AltersInvert</t>
  </si>
  <si>
    <t>1072_AltersInvert</t>
  </si>
  <si>
    <t>1073_AltersInvert</t>
  </si>
  <si>
    <t>1074_AltersInvert</t>
  </si>
  <si>
    <t>1075_AltersInvert</t>
  </si>
  <si>
    <t>1076_AltersInvert</t>
  </si>
  <si>
    <t>1093_AltersInvert</t>
  </si>
  <si>
    <t>1094_AltersInvert</t>
  </si>
  <si>
    <t>1095_AltersInvert</t>
  </si>
  <si>
    <t>1096_AltersInvert</t>
  </si>
  <si>
    <t>1097_AltersInvert</t>
  </si>
  <si>
    <t>1098_AltersInvert</t>
  </si>
  <si>
    <t>1099_AltersInvert</t>
  </si>
  <si>
    <t>1100_AltersInvert</t>
  </si>
  <si>
    <t>1101_AltersInvert</t>
  </si>
  <si>
    <t>1110_AltersInvert</t>
  </si>
  <si>
    <t>1111_AltersInvert</t>
  </si>
  <si>
    <t>1112_AltersInvert</t>
  </si>
  <si>
    <t>1113_AltersInvert</t>
  </si>
  <si>
    <t>1114_AltersInvert</t>
  </si>
  <si>
    <t>1115_AltersInvert</t>
  </si>
  <si>
    <t>1116_AltersInvert</t>
  </si>
  <si>
    <t>1117_AltersInvert</t>
  </si>
  <si>
    <t>1118_AltersInvert</t>
  </si>
  <si>
    <t>1119_AltersInvert</t>
  </si>
  <si>
    <t>1120_AltersInvert</t>
  </si>
  <si>
    <t>1121_AltersInvert</t>
  </si>
  <si>
    <t>1122_AltersInvert</t>
  </si>
  <si>
    <t>1123_AltersInvert</t>
  </si>
  <si>
    <t>1124_AltersInvert</t>
  </si>
  <si>
    <t>1125_AltersInvert</t>
  </si>
  <si>
    <t>1126_AltersInvert</t>
  </si>
  <si>
    <t>1127_AltersInvert</t>
  </si>
  <si>
    <t>1128_AltersInvert</t>
  </si>
  <si>
    <t>1129_AltersInvert</t>
  </si>
  <si>
    <t>1130_AltersInvert</t>
  </si>
  <si>
    <t>1131_AltersInvert</t>
  </si>
  <si>
    <t>1132_AltersInvert</t>
  </si>
  <si>
    <t>1133_AltersInvert</t>
  </si>
  <si>
    <t>1134_AltersInvert</t>
  </si>
  <si>
    <t>1135_AltersInvert</t>
  </si>
  <si>
    <t>1136_AltersInvert</t>
  </si>
  <si>
    <t>1137_AltersInvert</t>
  </si>
  <si>
    <t>1138_AltersInvert</t>
  </si>
  <si>
    <t>1139_AltersInvert</t>
  </si>
  <si>
    <t>1140_AltersInvert</t>
  </si>
  <si>
    <t>1141_AltersInvert</t>
  </si>
  <si>
    <t>1142_AltersInvert</t>
  </si>
  <si>
    <t>1144_AltersInvert</t>
  </si>
  <si>
    <t>1148_AltersInvert</t>
  </si>
  <si>
    <t>1149_AltersInvert</t>
  </si>
  <si>
    <t>1152_AltersInvert</t>
  </si>
  <si>
    <t>1154_AltersInvert</t>
  </si>
  <si>
    <t>1174_AltersInvert</t>
  </si>
  <si>
    <t>1175_AltersInvert</t>
  </si>
  <si>
    <t>1176_AltersInvert</t>
  </si>
  <si>
    <t>1177_AltersInvert</t>
  </si>
  <si>
    <t>1178_AltersInvert</t>
  </si>
  <si>
    <t>1179_AltersInvert</t>
  </si>
  <si>
    <t>1180_AltersInvert</t>
  </si>
  <si>
    <t>1181_AltersInvert</t>
  </si>
  <si>
    <t>1182_AltersInvert</t>
  </si>
  <si>
    <t>1183_AltersInvert</t>
  </si>
  <si>
    <t>1184_AltersInvert</t>
  </si>
  <si>
    <t>1185_AltersInvert</t>
  </si>
  <si>
    <t>1186_AltersInvert</t>
  </si>
  <si>
    <t>1187_AltersInvert</t>
  </si>
  <si>
    <t>1188_AltersInvert</t>
  </si>
  <si>
    <t>1189_AltersInvert</t>
  </si>
  <si>
    <t>1190_AltersInvert</t>
  </si>
  <si>
    <t>1191_AltersInvert</t>
  </si>
  <si>
    <t>1192_AltersInvert</t>
  </si>
  <si>
    <t>1193_AltersInvert</t>
  </si>
  <si>
    <t>1194_AltersInvert</t>
  </si>
  <si>
    <t>1195_AltersInvert</t>
  </si>
  <si>
    <t>1196_AltersInvert</t>
  </si>
  <si>
    <t>1197_AltersInvert</t>
  </si>
  <si>
    <t>1198_AltersInvert</t>
  </si>
  <si>
    <t>1199_AltersInvert</t>
  </si>
  <si>
    <t>1200_AltersInvert</t>
  </si>
  <si>
    <t>1201_AltersInvert</t>
  </si>
  <si>
    <t>1202_AltersInvert</t>
  </si>
  <si>
    <t>1203_AltersInvert</t>
  </si>
  <si>
    <t>1204_AltersInvert</t>
  </si>
  <si>
    <t>1205_AltersInvert</t>
  </si>
  <si>
    <t>1206_AltersInvert</t>
  </si>
  <si>
    <t>1281_AltersInvert</t>
  </si>
  <si>
    <t>1282_AltersInvert</t>
  </si>
  <si>
    <t>1283_AltersInvert</t>
  </si>
  <si>
    <t>1284_AltersInvert</t>
  </si>
  <si>
    <t>1285_AltersInvert</t>
  </si>
  <si>
    <t>1286_AltersInvert</t>
  </si>
  <si>
    <t>1287_AltersInvert</t>
  </si>
  <si>
    <t>1288_AltersInvert</t>
  </si>
  <si>
    <t>1289_AltersInvert</t>
  </si>
  <si>
    <t>1290_AltersInvert</t>
  </si>
  <si>
    <t>1291_AltersInvert</t>
  </si>
  <si>
    <t>1292_AltersInvert</t>
  </si>
  <si>
    <t>1293_AltersInvert</t>
  </si>
  <si>
    <t>1294_AltersInvert</t>
  </si>
  <si>
    <t>1295_AltersInvert</t>
  </si>
  <si>
    <t>1296_AltersInvert</t>
  </si>
  <si>
    <t>1297_AltersInvert</t>
  </si>
  <si>
    <t>1298_AltersInvert</t>
  </si>
  <si>
    <t>1299_AltersInvert</t>
  </si>
  <si>
    <t>1300_AltersInvert</t>
  </si>
  <si>
    <t>1301_AltersInvert</t>
  </si>
  <si>
    <t>1302_AltersInvert</t>
  </si>
  <si>
    <t>1303_AltersInvert</t>
  </si>
  <si>
    <t>1304_AltersInvert</t>
  </si>
  <si>
    <t>1311_AltersInvert</t>
  </si>
  <si>
    <t>1312_AltersInvert</t>
  </si>
  <si>
    <t>1313_AltersInvert</t>
  </si>
  <si>
    <t>1344_AltersInvert</t>
  </si>
  <si>
    <t>1345_AltersInvert</t>
  </si>
  <si>
    <t>1346_AltersInvert</t>
  </si>
  <si>
    <t>1347_AltersInvert</t>
  </si>
  <si>
    <t>1348_AltersInvert</t>
  </si>
  <si>
    <t>1349_AltersInvert</t>
  </si>
  <si>
    <t>1350_AltersInvert</t>
  </si>
  <si>
    <t>1351_AltersInvert</t>
  </si>
  <si>
    <t>1352_AltersInvert</t>
  </si>
  <si>
    <t>1353_AltersInvert</t>
  </si>
  <si>
    <t>1356_AltersInvert</t>
  </si>
  <si>
    <t>1357_AltersInvert</t>
  </si>
  <si>
    <t>1358_AltersInvert</t>
  </si>
  <si>
    <t>1359_AltersInvert</t>
  </si>
  <si>
    <t>1360_AltersInvert</t>
  </si>
  <si>
    <t>1361_AltersInvert</t>
  </si>
  <si>
    <t>1362_AltersInvert</t>
  </si>
  <si>
    <t>1363_AltersInvert</t>
  </si>
  <si>
    <t>1401_AltersInvert</t>
  </si>
  <si>
    <t>1402_AltersInvert</t>
  </si>
  <si>
    <t>1403_AltersInvert</t>
  </si>
  <si>
    <t>1404_AltersInvert</t>
  </si>
  <si>
    <t>1405_AltersInvert</t>
  </si>
  <si>
    <t>1406_AltersInvert</t>
  </si>
  <si>
    <t>1407_AltersInvert</t>
  </si>
  <si>
    <t>1408_AltersInvert</t>
  </si>
  <si>
    <t>1409_AltersInvert</t>
  </si>
  <si>
    <t>1410_AltersInvert</t>
  </si>
  <si>
    <t>1411_AltersInvert</t>
  </si>
  <si>
    <t>1412_AltersInvert</t>
  </si>
  <si>
    <t>1413_AltersInvert</t>
  </si>
  <si>
    <t>1414_AltersInvert</t>
  </si>
  <si>
    <t>1415_AltersInvert</t>
  </si>
  <si>
    <t>1416_AltersInvert</t>
  </si>
  <si>
    <t>1417_AltersInvert</t>
  </si>
  <si>
    <t>1418_AltersInvert</t>
  </si>
  <si>
    <t>1419_AltersInvert</t>
  </si>
  <si>
    <t>1420_AltersInvert</t>
  </si>
  <si>
    <t>1421_AltersInvert</t>
  </si>
  <si>
    <t>1422_AltersInvert</t>
  </si>
  <si>
    <t>1423_AltersInvert</t>
  </si>
  <si>
    <t>1424_AltersInvert</t>
  </si>
  <si>
    <t>1425_AltersInvert</t>
  </si>
  <si>
    <t>1426_AltersInvert</t>
  </si>
  <si>
    <t>1427_AltersInvert</t>
  </si>
  <si>
    <t>1428_AltersInvert</t>
  </si>
  <si>
    <t>1429_AltersInvert</t>
  </si>
  <si>
    <t>1430_AltersInvert</t>
  </si>
  <si>
    <t>1431_AltersInvert</t>
  </si>
  <si>
    <t>1432_AltersInvert</t>
  </si>
  <si>
    <t>1433_AltersInvert</t>
  </si>
  <si>
    <t>1434_AltersInvert</t>
  </si>
  <si>
    <t>1435_AltersInvert</t>
  </si>
  <si>
    <t>1436_AltersInvert</t>
  </si>
  <si>
    <t>1437_AltersInvert</t>
  </si>
  <si>
    <t>1438_AltersInvert</t>
  </si>
  <si>
    <t>1483_AltersInvert</t>
  </si>
  <si>
    <t>1484_AltersInvert</t>
  </si>
  <si>
    <t>1485_AltersInvert</t>
  </si>
  <si>
    <t>1486_AltersInvert</t>
  </si>
  <si>
    <t>1487_AltersInvert</t>
  </si>
  <si>
    <t>1488_AltersInvert</t>
  </si>
  <si>
    <t>1489_AltersInvert</t>
  </si>
  <si>
    <t>1490_AltersInvert</t>
  </si>
  <si>
    <t>1491_AltersInvert</t>
  </si>
  <si>
    <t>1492_AltersInvert</t>
  </si>
  <si>
    <t>1493_AltersInvert</t>
  </si>
  <si>
    <t>1494_AltersInvert</t>
  </si>
  <si>
    <t>1495_AltersInvert</t>
  </si>
  <si>
    <t>1496_AltersInvert</t>
  </si>
  <si>
    <t>1497_AltersInvert</t>
  </si>
  <si>
    <t>1498_AltersInvert</t>
  </si>
  <si>
    <t>1499_AltersInvert</t>
  </si>
  <si>
    <t>1500_AltersInvert</t>
  </si>
  <si>
    <t>1501_AltersInvert</t>
  </si>
  <si>
    <t>1502_AltersInvert</t>
  </si>
  <si>
    <t>1503_AltersInvert</t>
  </si>
  <si>
    <t>1504_AltersInvert</t>
  </si>
  <si>
    <t>1505_AltersInvert</t>
  </si>
  <si>
    <t>1506_AltersInvert</t>
  </si>
  <si>
    <t>1507_AltersInvert</t>
  </si>
  <si>
    <t>1508_AltersInvert</t>
  </si>
  <si>
    <t>1509_AltersInvert</t>
  </si>
  <si>
    <t>1510_AltersInvert</t>
  </si>
  <si>
    <t>1511_AltersInvert</t>
  </si>
  <si>
    <t>1512_AltersInvert</t>
  </si>
  <si>
    <t>1513_AltersInvert</t>
  </si>
  <si>
    <t>1514_AltersInvert</t>
  </si>
  <si>
    <t>1515_AltersInvert</t>
  </si>
  <si>
    <t>1525_AltersInvert</t>
  </si>
  <si>
    <t>1526_AltersInvert</t>
  </si>
  <si>
    <t>1527_AltersInvert</t>
  </si>
  <si>
    <t>1528_AltersInvert</t>
  </si>
  <si>
    <t>1529_AltersInvert</t>
  </si>
  <si>
    <t>1530_AltersInvert</t>
  </si>
  <si>
    <t>1531_AltersInvert</t>
  </si>
  <si>
    <t>1532_AltersInvert</t>
  </si>
  <si>
    <t>1569_AltersInvert</t>
  </si>
  <si>
    <t>1570_AltersInvert</t>
  </si>
  <si>
    <t>1571_AltersInvert</t>
  </si>
  <si>
    <t>1572_AltersInvert</t>
  </si>
  <si>
    <t>1573_AltersInvert</t>
  </si>
  <si>
    <t>1574_AltersInvert</t>
  </si>
  <si>
    <t>1575_AltersInvert</t>
  </si>
  <si>
    <t>1576_AltersInvert</t>
  </si>
  <si>
    <t>1577_AltersInvert</t>
  </si>
  <si>
    <t>1578_AltersInvert</t>
  </si>
  <si>
    <t>1579_AltersInvert</t>
  </si>
  <si>
    <t>1580_AltersInvert</t>
  </si>
  <si>
    <t>1581_AltersInvert</t>
  </si>
  <si>
    <t>1582_AltersInvert</t>
  </si>
  <si>
    <t>1583_AltersInvert</t>
  </si>
  <si>
    <t>1590_AltersInvert</t>
  </si>
  <si>
    <t>1591_AltersInvert</t>
  </si>
  <si>
    <t>1592_AltersInvert</t>
  </si>
  <si>
    <t>1593_AltersInvert</t>
  </si>
  <si>
    <t>1594_AltersInvert</t>
  </si>
  <si>
    <t>1595_AltersInvert</t>
  </si>
  <si>
    <t>1596_AltersInvert</t>
  </si>
  <si>
    <t>1597_AltersInvert</t>
  </si>
  <si>
    <t>1598_AltersInvert</t>
  </si>
  <si>
    <t>1599_AltersInvert</t>
  </si>
  <si>
    <t>1600_AltersInvert</t>
  </si>
  <si>
    <t>1601_AltersInvert</t>
  </si>
  <si>
    <t>1602_AltersInvert</t>
  </si>
  <si>
    <t>1603_AltersInvert</t>
  </si>
  <si>
    <t>1604_AltersInvert</t>
  </si>
  <si>
    <t>1605_AltersInvert</t>
  </si>
  <si>
    <t>1615_AltersInvert</t>
  </si>
  <si>
    <t>1616_AltersInvert</t>
  </si>
  <si>
    <t>1617_AltersInvert</t>
  </si>
  <si>
    <t>1618_AltersInvert</t>
  </si>
  <si>
    <t>1619_AltersInvert</t>
  </si>
  <si>
    <t>1620_AltersInvert</t>
  </si>
  <si>
    <t>1621_AltersInvert</t>
  </si>
  <si>
    <t>1622_AltersInvert</t>
  </si>
  <si>
    <t>1623_AltersInvert</t>
  </si>
  <si>
    <t>1624_AltersInvert</t>
  </si>
  <si>
    <t>1625_AltersInvert</t>
  </si>
  <si>
    <t>1626_AltersInvert</t>
  </si>
  <si>
    <t>1627_AltersInvert</t>
  </si>
  <si>
    <t>1628_AltersInvert</t>
  </si>
  <si>
    <t>1704_AltersInvert</t>
  </si>
  <si>
    <t>1705_AltersInvert</t>
  </si>
  <si>
    <t>1706_AltersInvert</t>
  </si>
  <si>
    <t>1707_AltersInvert</t>
  </si>
  <si>
    <t>1708_AltersInvert</t>
  </si>
  <si>
    <t>1709_AltersInvert</t>
  </si>
  <si>
    <t>1710_AltersInvert</t>
  </si>
  <si>
    <t>1711_AltersInvert</t>
  </si>
  <si>
    <t>1712_AltersInvert</t>
  </si>
  <si>
    <t>1713_AltersInvert</t>
  </si>
  <si>
    <t>1714_AltersInvert</t>
  </si>
  <si>
    <t>1715_AltersInvert</t>
  </si>
  <si>
    <t>1716_AltersInvert</t>
  </si>
  <si>
    <t>1717_AltersInvert</t>
  </si>
  <si>
    <t>1718_AltersInvert</t>
  </si>
  <si>
    <t>1720_AltersInvert</t>
  </si>
  <si>
    <t>1721_AltersInvert</t>
  </si>
  <si>
    <t>1722_AltersInvert</t>
  </si>
  <si>
    <t>1723_AltersInvert</t>
  </si>
  <si>
    <t>1724_AltersInvert</t>
  </si>
  <si>
    <t>1725_AltersInvert</t>
  </si>
  <si>
    <t>1726_AltersInvert</t>
  </si>
  <si>
    <t>1727_AltersInvert</t>
  </si>
  <si>
    <t>1728_AltersInvert</t>
  </si>
  <si>
    <t>1729_AltersInvert</t>
  </si>
  <si>
    <t>1730_AltersInvert</t>
  </si>
  <si>
    <t>1731_AltersInvert</t>
  </si>
  <si>
    <t>1732_AltersInvert</t>
  </si>
  <si>
    <t>1733_AltersInvert</t>
  </si>
  <si>
    <t>1774_AltersInvert</t>
  </si>
  <si>
    <t>1775_AltersInvert</t>
  </si>
  <si>
    <t>1776_AltersInvert</t>
  </si>
  <si>
    <t>1777_AltersInvert</t>
  </si>
  <si>
    <t>1778_AltersInvert</t>
  </si>
  <si>
    <t>1779_AltersInvert</t>
  </si>
  <si>
    <t>1788_AltersInvert</t>
  </si>
  <si>
    <t>1789_AltersInvert</t>
  </si>
  <si>
    <t>1790_AltersInvert</t>
  </si>
  <si>
    <t>1791_AltersInvert</t>
  </si>
  <si>
    <t>1792_AltersInvert</t>
  </si>
  <si>
    <t>1793_AltersInvert</t>
  </si>
  <si>
    <t>1794_AltersInvert</t>
  </si>
  <si>
    <t>1795_AltersInvert</t>
  </si>
  <si>
    <t>1796_AltersInvert</t>
  </si>
  <si>
    <t>1797_AltersInvert</t>
  </si>
  <si>
    <t>1818_AltersInvert</t>
  </si>
  <si>
    <t>1819_AltersInvert</t>
  </si>
  <si>
    <t>1820_AltersInvert</t>
  </si>
  <si>
    <t>1821_AltersInvert</t>
  </si>
  <si>
    <t>1822_AltersInvert</t>
  </si>
  <si>
    <t>1823_AltersInvert</t>
  </si>
  <si>
    <t>1824_AltersInvert</t>
  </si>
  <si>
    <t>1825_AltersInvert</t>
  </si>
  <si>
    <t>1826_AltersInvert</t>
  </si>
  <si>
    <t>1827_AltersInvert</t>
  </si>
  <si>
    <t>1828_AltersInvert</t>
  </si>
  <si>
    <t>1839_AltersInvert</t>
  </si>
  <si>
    <t>1840_AltersInvert</t>
  </si>
  <si>
    <t>1841_AltersInvert</t>
  </si>
  <si>
    <t>1842_AltersInvert</t>
  </si>
  <si>
    <t>1843_AltersInvert</t>
  </si>
  <si>
    <t>1844_AltersInvert</t>
  </si>
  <si>
    <t>1845_AltersInvert</t>
  </si>
  <si>
    <t>1846_AltersInvert</t>
  </si>
  <si>
    <t>1847_AltersInvert</t>
  </si>
  <si>
    <t>1848_AltersInvert</t>
  </si>
  <si>
    <t>1849_AltersInvert</t>
  </si>
  <si>
    <t>1850_AltersInvert</t>
  </si>
  <si>
    <t>1851_AltersInvert</t>
  </si>
  <si>
    <t>1852_AltersInvert</t>
  </si>
  <si>
    <t>1853_AltersInvert</t>
  </si>
  <si>
    <t>1854_AltersInvert</t>
  </si>
  <si>
    <t>1855_AltersInvert</t>
  </si>
  <si>
    <t>1856_AltersInvert</t>
  </si>
  <si>
    <t>1857_AltersInvert</t>
  </si>
  <si>
    <t>1858_AltersInvert</t>
  </si>
  <si>
    <t>1859_AltersInvert</t>
  </si>
  <si>
    <t>1860_AltersInvert</t>
  </si>
  <si>
    <t>1861_AltersInvert</t>
  </si>
  <si>
    <t>1862_AltersInvert</t>
  </si>
  <si>
    <t>1863_AltersInvert</t>
  </si>
  <si>
    <t>1864_AltersInvert</t>
  </si>
  <si>
    <t>1865_AltersInvert</t>
  </si>
  <si>
    <t>1866_AltersInvert</t>
  </si>
  <si>
    <t>1867_AltersInvert</t>
  </si>
  <si>
    <t>1868_AltersInvert</t>
  </si>
  <si>
    <t>1869_AltersInvert</t>
  </si>
  <si>
    <t>1870_AltersInvert</t>
  </si>
  <si>
    <t>1871_AltersInvert</t>
  </si>
  <si>
    <t>1872_AltersInvert</t>
  </si>
  <si>
    <t>1873_AltersInvert</t>
  </si>
  <si>
    <t>1874_AltersInvert</t>
  </si>
  <si>
    <t>1875_AltersInvert</t>
  </si>
  <si>
    <t>1876_AltersInvert</t>
  </si>
  <si>
    <t>1877_AltersInvert</t>
  </si>
  <si>
    <t>1878_AltersInvert</t>
  </si>
  <si>
    <t>1879_AltersInvert</t>
  </si>
  <si>
    <t>1880_AltersInvert</t>
  </si>
  <si>
    <t>1881_AltersInvert</t>
  </si>
  <si>
    <t>1882_AltersInvert</t>
  </si>
  <si>
    <t>1883_AltersInvert</t>
  </si>
  <si>
    <t>1884_AltersInvert</t>
  </si>
  <si>
    <t>1885_AltersInvert</t>
  </si>
  <si>
    <t>1886_AltersInvert</t>
  </si>
  <si>
    <t>1887_AltersInvert</t>
  </si>
  <si>
    <t>1888_AltersInvert</t>
  </si>
  <si>
    <t>1889_AltersInvert</t>
  </si>
  <si>
    <t>1890_AltersInvert</t>
  </si>
  <si>
    <t>1891_AltersInvert</t>
  </si>
  <si>
    <t>1892_AltersInvert</t>
  </si>
  <si>
    <t>1893_AltersInvert</t>
  </si>
  <si>
    <t>1894_AltersInvert</t>
  </si>
  <si>
    <t>1895_AltersInvert</t>
  </si>
  <si>
    <t>1981_AltersInvert</t>
  </si>
  <si>
    <t>1982_AltersInvert</t>
  </si>
  <si>
    <t>1983_AltersInvert</t>
  </si>
  <si>
    <t>1984_AltersInvert</t>
  </si>
  <si>
    <t>1985_AltersInvert</t>
  </si>
  <si>
    <t>1986_AltersInvert</t>
  </si>
  <si>
    <t>1987_AltersInvert</t>
  </si>
  <si>
    <t>1988_AltersInvert</t>
  </si>
  <si>
    <t>1989_AltersInvert</t>
  </si>
  <si>
    <t>1990_AltersInvert</t>
  </si>
  <si>
    <t>1991_AltersInvert</t>
  </si>
  <si>
    <t>1992_AltersInvert</t>
  </si>
  <si>
    <t>1993_AltersInvert</t>
  </si>
  <si>
    <t>2004_AltersInvert</t>
  </si>
  <si>
    <t>2005_AltersInvert</t>
  </si>
  <si>
    <t>2006_AltersInvert</t>
  </si>
  <si>
    <t>2029_AltersInvert</t>
  </si>
  <si>
    <t>2030_AltersInvert</t>
  </si>
  <si>
    <t>2033_AltersInvert</t>
  </si>
  <si>
    <t>2052_AltersInvert</t>
  </si>
  <si>
    <t>2070_AltersInvert</t>
  </si>
  <si>
    <t>2074_AltersInvert</t>
  </si>
  <si>
    <t>2078_AltersInvert</t>
  </si>
  <si>
    <t>2081_AltersInvert</t>
  </si>
  <si>
    <t>2083_AltersInvert</t>
  </si>
  <si>
    <t>2084_AltersInvert</t>
  </si>
  <si>
    <t>2091_AltersInvert</t>
  </si>
  <si>
    <t>2097_AltersInvert</t>
  </si>
  <si>
    <t>2106_AltersInvert</t>
  </si>
  <si>
    <t>2108_AltersInvert</t>
  </si>
  <si>
    <t>2110_AltersInvert</t>
  </si>
  <si>
    <t>2119_AltersInvert</t>
  </si>
  <si>
    <t>2124_AltersInvert</t>
  </si>
  <si>
    <t>2126_AltersInvert</t>
  </si>
  <si>
    <t>2127_AltersInvert</t>
  </si>
  <si>
    <t>2133_AltersInvert</t>
  </si>
  <si>
    <t>2136_AltersInvert</t>
  </si>
  <si>
    <t>2137_AltersInvert</t>
  </si>
  <si>
    <t>2139_AltersInvert</t>
  </si>
  <si>
    <t>2140_AltersInvert</t>
  </si>
  <si>
    <t>2142_AltersInvert</t>
  </si>
  <si>
    <t>2149_AltersInvert</t>
  </si>
  <si>
    <t>2154_AltersInvert</t>
  </si>
  <si>
    <t>2155_AltersInvert</t>
  </si>
  <si>
    <t>2157_AltersInvert</t>
  </si>
  <si>
    <t>2165_AltersInvert</t>
  </si>
  <si>
    <t>2168_AltersInvert</t>
  </si>
  <si>
    <t>2171_AltersInvert</t>
  </si>
  <si>
    <t>2175_AltersInvert</t>
  </si>
  <si>
    <t>2178_AltersInvert</t>
  </si>
  <si>
    <t>2183_AltersInvert</t>
  </si>
  <si>
    <t>2186_AltersInvert</t>
  </si>
  <si>
    <t>2190_AltersInvert</t>
  </si>
  <si>
    <t>2191_AltersInvert</t>
  </si>
  <si>
    <t>2192_AltersInvert</t>
  </si>
  <si>
    <t>2193_AltersInvert</t>
  </si>
  <si>
    <t>2194_AltersInvert</t>
  </si>
  <si>
    <t>2196_AltersInvert</t>
  </si>
  <si>
    <t>2198_AltersInvert</t>
  </si>
  <si>
    <t>2199_AltersInvert</t>
  </si>
  <si>
    <t>2200_AltersInvert</t>
  </si>
  <si>
    <t>2201_AltersInvert</t>
  </si>
  <si>
    <t>2202_AltersInvert</t>
  </si>
  <si>
    <t>2203_AltersInvert</t>
  </si>
  <si>
    <t>2204_AltersInvert</t>
  </si>
  <si>
    <t>2205_AltersInvert</t>
  </si>
  <si>
    <t>2206_AltersInvert</t>
  </si>
  <si>
    <t>2207_AltersInvert</t>
  </si>
  <si>
    <t>2208_AltersInvert</t>
  </si>
  <si>
    <t>2209_AltersInvert</t>
  </si>
  <si>
    <t>2210_AltersInvert</t>
  </si>
  <si>
    <t>2211_AltersInvert</t>
  </si>
  <si>
    <t>2213_AltersInvert</t>
  </si>
  <si>
    <t>2214_AltersInvert</t>
  </si>
  <si>
    <t>2215_AltersInvert</t>
  </si>
  <si>
    <t>2216_AltersInvert</t>
  </si>
  <si>
    <t>2218_AltersInvert</t>
  </si>
  <si>
    <t>2219_AltersInvert</t>
  </si>
  <si>
    <t>2220_AltersInvert</t>
  </si>
  <si>
    <t>2221_AltersInvert</t>
  </si>
  <si>
    <t>2222_AltersInvert</t>
  </si>
  <si>
    <t>2223_AltersInvert</t>
  </si>
  <si>
    <t>2224_AltersInvert</t>
  </si>
  <si>
    <t>2225_AltersInvert</t>
  </si>
  <si>
    <t>2226_AltersInvert</t>
  </si>
  <si>
    <t>2228_AltersInvert</t>
  </si>
  <si>
    <t>2229_AltersInvert</t>
  </si>
  <si>
    <t>2230_AltersInvert</t>
  </si>
  <si>
    <t>2231_AltersInvert</t>
  </si>
  <si>
    <t>2232_AltersInvert</t>
  </si>
  <si>
    <t>2233_AltersInvert</t>
  </si>
  <si>
    <t>2234_AltersInvert</t>
  </si>
  <si>
    <t>2235_AltersInvert</t>
  </si>
  <si>
    <t>2236_AltersInvert</t>
  </si>
  <si>
    <t>2237_AltersInvert</t>
  </si>
  <si>
    <t>2238_AltersInvert</t>
  </si>
  <si>
    <t>2239_AltersInvert</t>
  </si>
  <si>
    <t>2240_AltersInvert</t>
  </si>
  <si>
    <t>2241_AltersInvert</t>
  </si>
  <si>
    <t>2242_AltersInvert</t>
  </si>
  <si>
    <t>2243_AltersInvert</t>
  </si>
  <si>
    <t>2244_AltersInvert</t>
  </si>
  <si>
    <t>2245_AltersInvert</t>
  </si>
  <si>
    <t>2246_AltersInvert</t>
  </si>
  <si>
    <t>2247_AltersInvert</t>
  </si>
  <si>
    <t>2248_AltersInvert</t>
  </si>
  <si>
    <t>2251_AltersInvert</t>
  </si>
  <si>
    <t>2252_AltersInvert</t>
  </si>
  <si>
    <t>2253_AltersInvert</t>
  </si>
  <si>
    <t>2254_AltersInvert</t>
  </si>
  <si>
    <t>2255_AltersInvert</t>
  </si>
  <si>
    <t>2256_AltersInvert</t>
  </si>
  <si>
    <t>2257_AltersInvert</t>
  </si>
  <si>
    <t>2258_AltersInvert</t>
  </si>
  <si>
    <t>2259_AltersInvert</t>
  </si>
  <si>
    <t>2260_AltersInvert</t>
  </si>
  <si>
    <t>2261_AltersInvert</t>
  </si>
  <si>
    <t>2262_AltersInvert</t>
  </si>
  <si>
    <t>2263_AltersInvert</t>
  </si>
  <si>
    <t>2264_AltersInvert</t>
  </si>
  <si>
    <t>2265_AltersInvert</t>
  </si>
  <si>
    <t>2266_AltersInvert</t>
  </si>
  <si>
    <t>2267_AltersInvert</t>
  </si>
  <si>
    <t>2269_AltersInvert</t>
  </si>
  <si>
    <t>2270_AltersInvert</t>
  </si>
  <si>
    <t>2271_AltersInvert</t>
  </si>
  <si>
    <t>2272_AltersInvert</t>
  </si>
  <si>
    <t>2273_AltersInvert</t>
  </si>
  <si>
    <t>2274_AltersInvert</t>
  </si>
  <si>
    <t>2276_AltersInvert</t>
  </si>
  <si>
    <t>2277_AltersInvert</t>
  </si>
  <si>
    <t>2278_AltersInvert</t>
  </si>
  <si>
    <t>2_Ostrea_angasi_LARVA_CO2388.00_pH8.20_T26.</t>
  </si>
  <si>
    <t>5_Acropora_spicifera_LARVA_CO2242.00_pH8.22_T24.4</t>
  </si>
  <si>
    <t>8_Strongylocentrotus_purpuratus_LARVA_CO2397.00_pH8.02_T13.6</t>
  </si>
  <si>
    <t>10_Pocillopora_damicornis _LARVA_CO2420.00_pH8.03_T25.3</t>
  </si>
  <si>
    <t>11_Pocillopora_damicornis_LARVA_CO2436.00_pH8.02_T27.5</t>
  </si>
  <si>
    <t>14_Homarus_americanus_LARVA_CO2454.00_pH8.08_T17.2</t>
  </si>
  <si>
    <t>16_Hyas_araneus_LARVA_CO2354.00_pH8.11_T3.</t>
  </si>
  <si>
    <t>21_Tritia_reticulata_LARVA_CO2533.00_pH8.10_T18.9</t>
  </si>
  <si>
    <t>23_Paracentrotus_lividus_LARVA_CO2311.00_pH8.10_T18.8</t>
  </si>
  <si>
    <t>23_Paracentrotus_lividus_LARVA_CO2346.00_pH8.06_T18.8</t>
  </si>
  <si>
    <t>36_Porites_panamensis_POSTLARVA_CO2546.00_pH8.08_T28.9</t>
  </si>
  <si>
    <t>36_Porites_panamensis_LARVA_CO2487.00_pH8.08_T28.4</t>
  </si>
  <si>
    <t>37_Tripneustes_gratilla_LARVA_CO2448.00_pH8.13_T23.5</t>
  </si>
  <si>
    <t>48_Arbacia_lixula_LARVA_CO2418.00_pH8.17_T20.3</t>
  </si>
  <si>
    <t>52_Pocillopora_damicornis_LARVA_CO2459.00_pH8.00_T28.</t>
  </si>
  <si>
    <t>52_Pocillopora_damicornis_LARVA_CO2494.00_pH7.97_T27.8</t>
  </si>
  <si>
    <t>62_Patiriella_regularis_LARVA_CO2423.00_pH8.15_T19.</t>
  </si>
  <si>
    <t>63_Heliocidaris_tuberculata_LARVA_CO2338.00_pH8.08_T20.</t>
  </si>
  <si>
    <t>67_Semibalanus_balanoides_LARVA_CO2409.00_pH8.05_T14.4</t>
  </si>
  <si>
    <t>67_Elminius_modestus_LARVA_CO2413.00_pH7.96_T14.7</t>
  </si>
  <si>
    <t>69_Heliocidaris_erythrogramma_LARVA_CO2291.00_pH8.16_T20.</t>
  </si>
  <si>
    <t>69_Heliocidaris_tuberculata_LARVA_CO2291.00_pH8.16_T20.</t>
  </si>
  <si>
    <t>72_Crassostrea_gigas_LARVA_CO2437.00_pH8.07_T23.9</t>
  </si>
  <si>
    <t>72_Crassostrea_gigas_LARVA_CO2519.00_pH8.04_T23.9</t>
  </si>
  <si>
    <t>74_Orbicella_faveolata_LARVA_CO2419.00_pH8.15_T28.3</t>
  </si>
  <si>
    <t>74_Orbicella_faveolata_POSTLARVA_CO2419.00_pH8.15_T28.3</t>
  </si>
  <si>
    <t>75_Laternula_elliptica_LARVA_CO2458.00_pH7.97_T-1.6</t>
  </si>
  <si>
    <t>76_Haliotis_coccoradiata_LARVA_CO2342.00_pH8.20_T20.</t>
  </si>
  <si>
    <t>82_Doryteuthis_pealeii_LARVA_CO2387.00_pH8.03_T19.5</t>
  </si>
  <si>
    <t>84_Pocillopora_damicornis_LARVA_CO2466.00_pH7.99_T28.4</t>
  </si>
  <si>
    <t>93_Menippe_mercenaria_LARVA_CO2484.00_pHNA_T30.1</t>
  </si>
  <si>
    <t>99_Tripneustes_gratilla_LARVA_CO2491.00_pH8.12_T24.4</t>
  </si>
  <si>
    <t>111_Sterechinus_neumayeri_LARVA_CO2437.00_pH7.99_T-0.9</t>
  </si>
  <si>
    <t>112_Loligo_vulgaris_LARVA_CO2433.00_pH8.03_T13.2</t>
  </si>
  <si>
    <t>114_Acropora_millepora_LARVA_CO2474.00_pH8.12_T26.5</t>
  </si>
  <si>
    <t>114_Acropora_tenuis_LARVA_CO2421.00_pH8.17_T25.7</t>
  </si>
  <si>
    <t>119_Amphibalanus_improvisus_LARVA_CO2414.00_pH8.11_T19.6</t>
  </si>
  <si>
    <t>186_Pocillopora_damicornis_LARVA_CO2516.00_pH8.10_T28.7</t>
  </si>
  <si>
    <t>191_Pandalus_Borealis_LARVA_CO2406.00_pH8.11_T6.7</t>
  </si>
  <si>
    <t>192_Balanus_amphitrite_LARVA_CO2416.00_pHNA_T29.8</t>
  </si>
  <si>
    <t>198_Acanthaster_planci_LARVA_CO2477.00_pH8.10_T26.3</t>
  </si>
  <si>
    <t>200_Laternula_elliptica_LARVA_CO2350.00_pH7.99_T-1.6</t>
  </si>
  <si>
    <t>208_Fungia_fungites_LARVA_CO2420.00_pH8.17_T28.1</t>
  </si>
  <si>
    <t>208_Lithophyllon_repanda_LARVA_CO2419.00_pH8.17_T28.1</t>
  </si>
  <si>
    <t>215_Hyas_araneus_LARVA_CO2354.00_pH0.00_T3.</t>
  </si>
  <si>
    <t>232_Aurelia_coerulea_LARVA_CO2375.00_pH0.00_T24.</t>
  </si>
  <si>
    <t>212_Saccostrea_glomerata_LARVA_CO2375.00_pH0.00_T18.</t>
  </si>
  <si>
    <t>212_Crassostrea_gigas_LARVA_CO2375.00_pH0.00_T18.</t>
  </si>
  <si>
    <t>236_Acanthaster_planci_LARVA_CO2491.00_pH0.00_T28.</t>
  </si>
  <si>
    <t>224_Stylocheilus_striatus_LARVA_CO2420.00_pH0.00_T27.</t>
  </si>
  <si>
    <t>43_Heliocidaris_erythrogramma_EMBRYO_CO2367.00_pH8.17_T22.</t>
  </si>
  <si>
    <t>49_Limecola_balthica_EMBRYO_CO2681.00_pH7.87_T15.</t>
  </si>
  <si>
    <t>49_Limecola_balthica_EMBRYO_CO2848.00_pH7.80_T15.</t>
  </si>
  <si>
    <t>49_Limecola_balthica_EMBRYO_CO2366.00_pH8.09_T15.</t>
  </si>
  <si>
    <t>51_Acropora_hyacinthus_EMBRYO_CO2478.00_pH8.11_T27.</t>
  </si>
  <si>
    <t>51_Acropora_hyacinthus_EMBRYO_CO2404.00_pH8.18_T27.</t>
  </si>
  <si>
    <t>51_Platygyra_contorta_EMBRYO_CO2550.00_pH8.06_T27.</t>
  </si>
  <si>
    <t>58_Centrostephanus_rodgersii_EMBRYO_CO2506.00_pH8.10_T21.</t>
  </si>
  <si>
    <t>58_Centrostephanus_rodgersii_EMBRYO_CO2468.00_pH8.10_T14.</t>
  </si>
  <si>
    <t>62_Patiriella_regularis_EMBRYO_CO2423.00_pH8.15_T19.</t>
  </si>
  <si>
    <t>63_Heliocidaris_tuberculata_EMBRYO_CO2338.00_pH8.13_T20.</t>
  </si>
  <si>
    <t>74_Orbicella_faveolata_EMBRYO_CO2419.00_pH8.15_T28.3</t>
  </si>
  <si>
    <t>82_Doryteuthis_pealeii_EMBRYO_CO2387.00_pH8.03_T19.5</t>
  </si>
  <si>
    <t>83_Echinostomatidae_sp_LARVA_CO2526.00_pH7.78_T14.3</t>
  </si>
  <si>
    <t>83_Echinostomatidae_sp_LARVA_CO2504.00_pH7.79_T13.9</t>
  </si>
  <si>
    <t>83_Philophthalmidae_sp_LARVA_CO2504.00_pH7.79_T13.9</t>
  </si>
  <si>
    <t>89_Sphaerechinus_granularis_EMBRYO_CO2489.00_pH8.06_T19.3</t>
  </si>
  <si>
    <t>89_Arbacia_lixula_EMBRYO_CO2541.00_pH8.08_T23.</t>
  </si>
  <si>
    <t>89_Paracentrotus_lividus_EMBRYO_CO2899.00_pH8.09_T19.2</t>
  </si>
  <si>
    <t>89_Diadema_africanum_EMBRYO_CO2574.00_pH8.06_T23.</t>
  </si>
  <si>
    <t>104_Sterechinus_neumayeri_EMBRYO_CO2454.00_pH8.07_T-1.1</t>
  </si>
  <si>
    <t>104_Patiriella_regularis_EMBRYO_CO2487.00_pH8.08_T16.</t>
  </si>
  <si>
    <t>104_Odontaster_validus_EMBRYO_CO2413.00_pH8.09_T-0.5</t>
  </si>
  <si>
    <t>104_Fellaster_zelandiae_EMBRYO_CO2441.00_pH8.12_T17.5</t>
  </si>
  <si>
    <t>104_Arachnoides_placenta_EMBRYO_CO2565.00_pH8.07_T25.9</t>
  </si>
  <si>
    <t>112_Loligo_vulgaris_EMBRYO_CO2433.00_pH8.03_T13.2</t>
  </si>
  <si>
    <t>114_Acropora_tenuis_EMBRYO_CO2421.00_pH8.17_T25.7</t>
  </si>
  <si>
    <t>114_Acropora_millepora_EMBRYO_CO2456.00_pH8.14_T26.2</t>
  </si>
  <si>
    <t>114_Acropora_millepora_EMBRYO_CO2439.00_pH8.15_T25.97</t>
  </si>
  <si>
    <t>123_Sterechinus_neumayeri_EMBRYO_CO2450.00_pH8.03_T-0.5</t>
  </si>
  <si>
    <t>197_Arbacia_lixula_EMBRYO_CO2498.00_pH8.16_T20.4</t>
  </si>
  <si>
    <t>200_Laternula_elliptica_EMBRYO_CO2350.00_pH7.99_T-1.6</t>
  </si>
  <si>
    <t>201_Heliocidaris_tuberculata_EMBRYO_CO2327.00_pH8.25_T20.</t>
  </si>
  <si>
    <t>201_Patiriella_regularis_EMBRYO_CO2330.00_pH8.25_T22.</t>
  </si>
  <si>
    <t>201_Centrostephanus_rodgersii_EMBRYO_CO2324.00_pH8.25_T18.</t>
  </si>
  <si>
    <t>201_Heliocidaris_erythrogramma_EMBRYO_CO2330.00_pH8.25_T22.</t>
  </si>
  <si>
    <t>201_Tripneustes_gratilla_EMBRYO_CO2327.00_pH8.25_T20.</t>
  </si>
  <si>
    <t>201_Haliotis_coccoradiata_EMBRYO_CO2327.00_pH8.25_T20.</t>
  </si>
  <si>
    <t>240_Leptuca_thayeri_EMBRYO_CO28271.00_pH0.00_T26.1</t>
  </si>
  <si>
    <t>220_Ophryotrocha_labronica_EMBRYO_CO2386.00_pH0.00_T27.</t>
  </si>
  <si>
    <t>224_Stylocheilus_striatus_EMBRYO_CO2420.00_pH0.00_T27.</t>
  </si>
  <si>
    <t>212_Saccostrea_glomerata_EMBRYO_CO2375.00_pH0.00_T18.</t>
  </si>
  <si>
    <t>212_Crassostrea_gigas_EMBRYO_CO2375.00_pH0.00_T18.</t>
  </si>
  <si>
    <t>174_EMBRYO_Menidia_menidia_pH8.20_T19.70_CO2345_LANG</t>
  </si>
  <si>
    <t>141_EMBRYO_Amphiprion_melanopus_pH8.15_T28.40_CO2400_LANG</t>
  </si>
  <si>
    <t>184_EMBRYO_Belone_belone_pH8.25_T14.40_CO2365_LANG</t>
  </si>
  <si>
    <t>173_LARVA_Dicentrarchus_labrax_pH8.03_T17.00_CO2598_LANG</t>
  </si>
  <si>
    <t>169_LARVA_Solea_senegalensis_pH8.02_T18.20_CO2400_LANG</t>
  </si>
  <si>
    <t>183_EMBRYO_Ammodytes_dubius_pH8.15_T4.90_CO2385_LANG</t>
  </si>
  <si>
    <t>169_EMBRYO_Solea_senegalensis_pH8.02_T18.20_CO2400_LANG</t>
  </si>
  <si>
    <t>168_LARVA_Clupea_harengus_pH8.11_T10.40_CO2475_LANG</t>
  </si>
  <si>
    <t>144_LARVA_Gadus_morhua_pH8.12_T6.20_CO2380_LANG</t>
  </si>
  <si>
    <t>243_LARVA_Rachycentron_canadum_pH0.00_T27.00_CO2608_LANG</t>
  </si>
  <si>
    <t>178_LARVA_Seriola_lalandi_pH8.00_T21.10_CO2462_LANG</t>
  </si>
  <si>
    <t>181_LARVA_Solea_senegalensis_pH8.02_T18.20_CO2400_LANG</t>
  </si>
  <si>
    <t>180_LARVA_Seriola_lalandi_pH8.00_T21.10_CO2462_LANG</t>
  </si>
  <si>
    <t>179_LARVA_Menidia_beryllina_pH7.93_T19.00_CO2389_LANG</t>
  </si>
  <si>
    <t>180_EMBRYO_Seriola_lalandi_pH8.00_T21.10_CO2462_LANG</t>
  </si>
  <si>
    <t>182_LARVA_Seriola_lalandi_pH8.00_T21.10_CO2462_LANG</t>
  </si>
  <si>
    <t>183_EMBRYO_Ammodytes_dubius_pH8.15_T4.90_CO2386_LANG</t>
  </si>
  <si>
    <t>174_LARVA_Menidia_menidia_pH8.20_T19.70_CO2345_LANG</t>
  </si>
  <si>
    <t>152_LARVA_Sparus_aurata_pH8.09_T18.40_CO2342_LANG</t>
  </si>
  <si>
    <t>177_LARVA_Sparus_aurata_pH8.09_T18.40_CO2342_LANG</t>
  </si>
  <si>
    <t>183_EMBRYO_Ammodytes_dubius_pH8.15_T4.90_CO2387_LANG</t>
  </si>
  <si>
    <t>175_EMBRYO_Clupea_harengus_pH8.15_T6.20_CO2415_LANG</t>
  </si>
  <si>
    <t>144_EMBRYO_Gadus_morhua_pH8.12_T6.20_CO2380_LANG</t>
  </si>
  <si>
    <t>184_LARVA_Belone_belone_pH8.25_T14.40_CO2365_LANG</t>
  </si>
  <si>
    <t>176_EMBRYO_Gymnodraco_acuticeps_pH8.01_T-0.60_CO2425_LANG</t>
  </si>
  <si>
    <t>167_EMBRYO_Gadus_morhua_pH8.14_T6.20_CO2415_LANG</t>
  </si>
  <si>
    <t>179_EMBRYO_Menidia_beryllina_pH7.93_T19.00_CO2389_LANG</t>
  </si>
  <si>
    <t xml:space="preserve">https://doi.org/10.1007/s00227-025-04671-y </t>
  </si>
  <si>
    <t>24.1_Rynkowski</t>
  </si>
  <si>
    <t>24.3.1_Rynkowski</t>
  </si>
  <si>
    <t>24.4_Rynkowski</t>
  </si>
  <si>
    <t>24.6.1_Rynkowski</t>
  </si>
  <si>
    <t>24.6.2_Rynkowski</t>
  </si>
  <si>
    <t>5. We should re-evaluate how we handle interaction effects for studies that looked at multiple stressors. For example, Alter et al. 2024 separated the impacts of Stressor 1 and Stressor 2 as separate rows, while Rynkowski et al. 2025 did not separate the impacts as individual rows.</t>
  </si>
  <si>
    <t>AcidificationLarvae.AcidificationAdult</t>
  </si>
  <si>
    <t>calculated using chatgpt using the formula of Hu et al. 2024; study design has to be revisited (can we input the results of the individual stressors as distinct rows?? Like stressor 1 impact and then stressor 2 impacts??</t>
  </si>
  <si>
    <t>6. Rynkowski et al. 2025 individual stressor responses can be revisited.</t>
  </si>
  <si>
    <t>1_Rynkowski</t>
  </si>
  <si>
    <t>2_Rynkoswki</t>
  </si>
  <si>
    <t>3_Rynkowski</t>
  </si>
  <si>
    <t>4_Rynkowski</t>
  </si>
  <si>
    <t xml:space="preserve">https://doi.org/10.5194/bg-21-223-2024 </t>
  </si>
  <si>
    <t>7. Feel free to add more columns and not be limited by the current structure of the database.</t>
  </si>
  <si>
    <t>D. Carstensen, J. Laudien, W. Sielfeld, M. E. Oliva, W. E. Arntz</t>
  </si>
  <si>
    <t>EARLY LARVAL DEVELOPMENT OF DONAX OBESULUS: RESPONSE TO EL NINO TEMPERATURE AND SALINITY CONDITIONS.</t>
  </si>
  <si>
    <t>H. R. Clark, C. J. Gobler</t>
  </si>
  <si>
    <t>Diurnal fluctuations in CO2 and dissolved oxygen concentrations do not provide a refuge from hypoxia and acidification for early-life-stage bivalves.</t>
  </si>
  <si>
    <t>400*10^-6 atm</t>
  </si>
  <si>
    <t xml:space="preserve">1200*10^-6 atm </t>
  </si>
  <si>
    <t>NA</t>
  </si>
  <si>
    <t>16 days</t>
  </si>
  <si>
    <t>14 days</t>
  </si>
  <si>
    <t>10 days</t>
  </si>
  <si>
    <t>measurements at 10 days</t>
  </si>
  <si>
    <t>63h</t>
  </si>
  <si>
    <t>22 days</t>
  </si>
  <si>
    <t>114h / 6 days</t>
  </si>
  <si>
    <t>48h</t>
  </si>
  <si>
    <t>120h post fertilasation</t>
  </si>
  <si>
    <t>3months</t>
  </si>
  <si>
    <t>144 hours</t>
  </si>
  <si>
    <t>9 days</t>
  </si>
  <si>
    <t>53 days</t>
  </si>
  <si>
    <t xml:space="preserve">16 days </t>
  </si>
  <si>
    <t>20 days</t>
  </si>
  <si>
    <t>19 days</t>
  </si>
  <si>
    <t>18 days</t>
  </si>
  <si>
    <t>24 days</t>
  </si>
  <si>
    <t>7 days</t>
  </si>
  <si>
    <t>fig 2 larvae not fed ? Length data also available</t>
  </si>
  <si>
    <t>fig 2, 3 and 4</t>
  </si>
  <si>
    <t>fig2</t>
  </si>
  <si>
    <t>table 1 and fig 3</t>
  </si>
  <si>
    <t>Fig 3</t>
  </si>
  <si>
    <t>Table 1 and fig1 (mislabelled)</t>
  </si>
  <si>
    <t xml:space="preserve">fig1 </t>
  </si>
  <si>
    <t>fig 4</t>
  </si>
  <si>
    <t>fig3</t>
  </si>
  <si>
    <t>fig3 and 4</t>
  </si>
  <si>
    <t>table 1, fig 4 and text</t>
  </si>
  <si>
    <t>fig5</t>
  </si>
  <si>
    <t>table 1</t>
  </si>
  <si>
    <t>fig2 table 1</t>
  </si>
  <si>
    <t>fig S1</t>
  </si>
  <si>
    <t>check spp spelling - assume irradias = irradians</t>
  </si>
  <si>
    <t>fig4</t>
  </si>
  <si>
    <t>Data from table 2, pg 432</t>
  </si>
  <si>
    <t>Data from figure 2b, pg 2055</t>
  </si>
  <si>
    <t>Data from results text</t>
  </si>
  <si>
    <t>Data from figure 3a</t>
  </si>
  <si>
    <t>Data from figure 5</t>
  </si>
  <si>
    <t>fig 3</t>
  </si>
  <si>
    <t>FIG 3</t>
  </si>
  <si>
    <t>Old column artefact from Jian et al. 2025. The taxonomic group to which the species group belongs (Phytoplankton, Macrophyte, Periphyton, Zooplankton, Invertebrate, Fish, Bacteria)</t>
  </si>
  <si>
    <t>Old Treatment artefact column from Jian et al. 2025</t>
  </si>
  <si>
    <t>15 days</t>
  </si>
  <si>
    <t>X. Y. Guo et al.</t>
  </si>
  <si>
    <t xml:space="preserve"> Early development of undulated surf clam, Paphia undulate under elevated pCO(2).</t>
  </si>
  <si>
    <t>Z. M. Huo et al.</t>
  </si>
  <si>
    <t xml:space="preserve"> Larval development, juvenile survival, and burrowing rate of geoduck clams (Panopea japonica) under different pH conditions. </t>
  </si>
  <si>
    <t>A. Jansson, S. Lischka, T. Boxhammer, K. G. Schulz, J. Norkko</t>
  </si>
  <si>
    <t xml:space="preserve"> Survival and settling of larval Macoma balthica in a large-scale mesocosm experiment at different f CO2 levels.</t>
  </si>
  <si>
    <t>M. W. Kelly, J. L. Padilla-Gamino, G. E. Hofmann</t>
  </si>
  <si>
    <t>High pCO(2) affects body size, but not gene expression in larvae of the California mussel (Mytilus californianus). </t>
  </si>
  <si>
    <t>J. H. Kim et al.</t>
  </si>
  <si>
    <t xml:space="preserve"> Effects of ocean acidification driven by elevated CO2 on larval shell growth and abnormal rates of the venerid clam, Mactra veneriformis.</t>
  </si>
  <si>
    <t xml:space="preserve">Prado, P., Roque, A., Pérez, J., Ibáñez, C., Alcaraz, C., Casals, F. and Caiola, N., 2016. </t>
  </si>
  <si>
    <t>Warming and acidification-mediated resilience to bacterial infection determine mortality of early Ostrea edulis life stages.</t>
  </si>
  <si>
    <t>Munari, M., Chemello, G., Finos, L., Ingrosso, G., Giani, M. and Marin, M.G.</t>
  </si>
  <si>
    <t>Coping with seawater acidification and the emerging contaminant diclofenac at the larval stage: A tale from the clam Ruditapes philippinarum.</t>
  </si>
  <si>
    <t>Jansson, A., Norkko, J. and Norkko, A., 2013.</t>
  </si>
  <si>
    <t>Effects of reduced pH on Macoma balthica larvae from a system with naturally fluctuating pH-dynamics.</t>
  </si>
  <si>
    <t>Gazeau, F., Gattuso, J.P., Dawber, C., Pronker, A.E., Peene, F., Peene, J., Heip, C.H.R. and Middelburg, J.J.</t>
  </si>
  <si>
    <t>Effect of ocean acidification on the early life stages of the blue mussel Mytilus edulis. </t>
  </si>
  <si>
    <t>Bechmann, R.K., Taban, I.C., Westerlund, S., Godal, B.F., Arnberg, M., Vingen, S., Ingvarsdottir, A. and Baussant, T., 2011.</t>
  </si>
  <si>
    <t xml:space="preserve"> Effects of ocean acidification on early life stages of shrimp (Pandalus borealis) and mussel (Mytilus edulis).</t>
  </si>
  <si>
    <t>H. Kurihara, T. Asai, S. Kato, A. Ishimatsu</t>
  </si>
  <si>
    <t xml:space="preserve"> Effects of elevated pCO(2) on early development in the mussel Mytilus galloprovincialis.</t>
  </si>
  <si>
    <t>H. Kurihara, S. Kato, A. Ishimatsu</t>
  </si>
  <si>
    <t>Effects of increased seawater pCO(2) on early development of the oyster Crassostrea gigas. </t>
  </si>
  <si>
    <t>J. Q. Li et al.</t>
  </si>
  <si>
    <t>The potential of ocean acidification on suppressing larval development in the Pacific oyster Crassostrea gigas and blood cockle Arca inflata Reeve.</t>
  </si>
  <si>
    <t>A. W. Miller, A. Reynolds, M. S. Minton, R. Smith</t>
  </si>
  <si>
    <t>Evidence for stage-based larval vulnerability and resilience to acidification in Crassostrea virginica.</t>
  </si>
  <si>
    <t>P. Barros, P. Sobral, P. Range, L. Chicharo, D. Matias</t>
  </si>
  <si>
    <t>Effects of sea-water acidification on fertilization and larval development of the oyster Crassostrea gigas. </t>
  </si>
  <si>
    <t>A. M. Pereira et al.</t>
  </si>
  <si>
    <t>Larval hatching and development of the wedge shell (Donax trunculus L.) under increased CO2 in southern Portugal.</t>
  </si>
  <si>
    <t>J. Perez-Larruscain, M. Delgado, J. I. Gairin</t>
  </si>
  <si>
    <t>Larval growth and development of the smooth clam Callista chione (Mollusca: Bivalvia) under laboratory conditions. </t>
  </si>
  <si>
    <t>C. Sanchez-Lazo, I. Martinez-Pita</t>
  </si>
  <si>
    <t xml:space="preserve"> Effect of temperature on survival, growth and development of Mytilus galloprovincialis larvae.</t>
  </si>
  <si>
    <t>S. C. Talmage, C. J. Gobler</t>
  </si>
  <si>
    <t>The effects of elevated carbon dioxide concentrations on the metamorphosis, size, and survival of larval hard clams (Mercenaria mercenaria), bay scallops (Argopecten irradians), and Eastern oysters (Crassostrea virginica). </t>
  </si>
  <si>
    <t>Effects of past, present, and future ocean carbon dioxide concentrations on the growth and survival of larval shellfish.</t>
  </si>
  <si>
    <t>C. Van Colen, E. Debusschere, U. Braeckman, D. Van Gansbeke, M. Vincx</t>
  </si>
  <si>
    <t>The Early Life History of the Clam Macoma balthica in a High CO2 World.</t>
  </si>
  <si>
    <t>A. Ventura, S. Schulz, S. Dupont</t>
  </si>
  <si>
    <t>Maintained larval growth in mussel larvae exposed to acidified under-saturated seawater.</t>
  </si>
  <si>
    <t>W. M. Wang et al.</t>
  </si>
  <si>
    <t>Effects of elevated seawater pCO(2) on early development of scallop Argopecten irradias (Lamarck, 1819). </t>
  </si>
  <si>
    <t>M. M. White, D. C. McCorkle, L. S. Mullineaux, A. L. Cohen</t>
  </si>
  <si>
    <t>Early Exposure of Bay Scallops (Argopecten irradians) to High CO2 Causes a Decrease in Larval Shell Growth. </t>
  </si>
  <si>
    <t>M. M. White, L. S. Mullineaux, D. C. McCorkle, A. L. Cohen</t>
  </si>
  <si>
    <t>Elevated pCO(2) exposure during fertilization of the bay scallop Argopecten irradians reduces larval survival but not subsequent shell size.</t>
  </si>
  <si>
    <t>26_KruftWelton</t>
  </si>
  <si>
    <t>27_KruftWelton</t>
  </si>
  <si>
    <t>28_KruftWelton</t>
  </si>
  <si>
    <t>29_KruftWelton</t>
  </si>
  <si>
    <t>30_KruftWelton</t>
  </si>
  <si>
    <t>31_KruftWelton</t>
  </si>
  <si>
    <t>32_KruftWelton</t>
  </si>
  <si>
    <t>33_KruftWelton</t>
  </si>
  <si>
    <t>34_KruftWelton</t>
  </si>
  <si>
    <t>35_KruftWelton</t>
  </si>
  <si>
    <t>36_KruftWelton</t>
  </si>
  <si>
    <t>37_KruftWelton</t>
  </si>
  <si>
    <t>38_KruftWelton</t>
  </si>
  <si>
    <t>39_KruftWelton</t>
  </si>
  <si>
    <t>40_KruftWelton</t>
  </si>
  <si>
    <t>41_KruftWelton</t>
  </si>
  <si>
    <t>42_KruftWelton</t>
  </si>
  <si>
    <t>Note: The columns headers highlighted in yellow were the most important when producing the experimental meta-analysis plot, while those that are coloured grey are those colums that are not necessarily important for our work. The columns highlighted in red/orange are useful metrics when doing a multilevel lnRR analysis.</t>
  </si>
  <si>
    <t>Yellow</t>
  </si>
  <si>
    <t>Red</t>
  </si>
  <si>
    <t>Grey</t>
  </si>
  <si>
    <t>important columns when producing the experimental meta-analysis plot</t>
  </si>
  <si>
    <t>essential columns when doing a multilevel lnRR analysis; however, these were not used in the current analysis</t>
  </si>
  <si>
    <t>1_Hu</t>
  </si>
  <si>
    <t>2_Hu</t>
  </si>
  <si>
    <t>3_Hu</t>
  </si>
  <si>
    <t>4_Hu</t>
  </si>
  <si>
    <t>5_Hu</t>
  </si>
  <si>
    <t>6_Hu</t>
  </si>
  <si>
    <t>7_Hu</t>
  </si>
  <si>
    <t>8_Hu</t>
  </si>
  <si>
    <t>9_Hu</t>
  </si>
  <si>
    <t>10_Hu</t>
  </si>
  <si>
    <t>11_Hu</t>
  </si>
  <si>
    <t>12_Hu</t>
  </si>
  <si>
    <t>13_Hu</t>
  </si>
  <si>
    <t>14_Hu</t>
  </si>
  <si>
    <t>15_Hu</t>
  </si>
  <si>
    <t>16_Hu</t>
  </si>
  <si>
    <t>17_Hu</t>
  </si>
  <si>
    <t>18_Hu</t>
  </si>
  <si>
    <t>19_Hu</t>
  </si>
  <si>
    <t>20_Hu</t>
  </si>
  <si>
    <t>21_Hu</t>
  </si>
  <si>
    <t>22_Hu</t>
  </si>
  <si>
    <t>23_Hu</t>
  </si>
  <si>
    <t>24_Hu</t>
  </si>
  <si>
    <t>25_Hu</t>
  </si>
  <si>
    <t>26_Hu</t>
  </si>
  <si>
    <t>27_Hu</t>
  </si>
  <si>
    <t>28_Hu</t>
  </si>
  <si>
    <t>29_Hu</t>
  </si>
  <si>
    <t>30_Hu</t>
  </si>
  <si>
    <t>31_Hu</t>
  </si>
  <si>
    <t>32_Hu</t>
  </si>
  <si>
    <t>33_Hu</t>
  </si>
  <si>
    <t>34_Hu</t>
  </si>
  <si>
    <t>35_Hu</t>
  </si>
  <si>
    <t>36_Hu</t>
  </si>
  <si>
    <t>37_Hu</t>
  </si>
  <si>
    <t>38_Hu</t>
  </si>
  <si>
    <t>39_Hu</t>
  </si>
  <si>
    <t>40_Hu</t>
  </si>
  <si>
    <t>41_Hu</t>
  </si>
  <si>
    <t>42_Hu</t>
  </si>
  <si>
    <t>43_Hu</t>
  </si>
  <si>
    <t>44_Hu</t>
  </si>
  <si>
    <t>45_Hu</t>
  </si>
  <si>
    <t>46_Hu</t>
  </si>
  <si>
    <t>47_Hu</t>
  </si>
  <si>
    <t>48_Hu</t>
  </si>
  <si>
    <t>49_Hu</t>
  </si>
  <si>
    <t>50_Hu</t>
  </si>
  <si>
    <t>51_Hu</t>
  </si>
  <si>
    <t>52_Hu</t>
  </si>
  <si>
    <t>53_Hu</t>
  </si>
  <si>
    <t>54_Hu</t>
  </si>
  <si>
    <t>55_Hu</t>
  </si>
  <si>
    <t>56_Hu</t>
  </si>
  <si>
    <t>57_Hu</t>
  </si>
  <si>
    <t>58_Hu</t>
  </si>
  <si>
    <t>59_Hu</t>
  </si>
  <si>
    <t>60_Hu</t>
  </si>
  <si>
    <t>61_Hu</t>
  </si>
  <si>
    <t>62_Hu</t>
  </si>
  <si>
    <t>63_Hu</t>
  </si>
  <si>
    <t>Fig 1a</t>
  </si>
  <si>
    <t>Fig 1c</t>
  </si>
  <si>
    <t>Fig 4b</t>
  </si>
  <si>
    <t>Fig 5</t>
  </si>
  <si>
    <t>Fig 6</t>
  </si>
  <si>
    <t>Fig 1</t>
  </si>
  <si>
    <t>Fig 2b</t>
  </si>
  <si>
    <t>Supporting information Tab S5</t>
  </si>
  <si>
    <t>Fig 1b</t>
  </si>
  <si>
    <t>Fig 2a</t>
  </si>
  <si>
    <t>Fig 3b</t>
  </si>
  <si>
    <t>Tab 2</t>
  </si>
  <si>
    <t>Fig 4</t>
  </si>
  <si>
    <t>Italy</t>
  </si>
  <si>
    <t>for ei and vei, I used yi and vi from the source database, but there are also the main_effect and variance columns (which probably are the pooled or estimated version of lnrr); hence, the values I pasted here reflect more of the raw values I think</t>
  </si>
  <si>
    <t>8. We need to re-evaluate on which columns to include for common_ID</t>
  </si>
  <si>
    <t>1_Hoppit</t>
  </si>
  <si>
    <t>2_Hoppit</t>
  </si>
  <si>
    <t>3_Hoppit</t>
  </si>
  <si>
    <t>4_Hoppit</t>
  </si>
  <si>
    <t>5_Hoppit</t>
  </si>
  <si>
    <t>6_Hoppit</t>
  </si>
  <si>
    <t>7_Hoppit</t>
  </si>
  <si>
    <t>8_Hoppit</t>
  </si>
  <si>
    <t>9_Hoppit</t>
  </si>
  <si>
    <t>10_Hoppit</t>
  </si>
  <si>
    <t>11_Hoppit</t>
  </si>
  <si>
    <t>12_Hoppit</t>
  </si>
  <si>
    <t>13_Hoppit</t>
  </si>
  <si>
    <t>14_Hoppit</t>
  </si>
  <si>
    <t>15_Hoppit</t>
  </si>
  <si>
    <t>16_Hoppit</t>
  </si>
  <si>
    <t>17_Hoppit</t>
  </si>
  <si>
    <t>18_Hoppit</t>
  </si>
  <si>
    <t>19_Hoppit</t>
  </si>
  <si>
    <t>20_Hoppit</t>
  </si>
  <si>
    <t>21_Hoppit</t>
  </si>
  <si>
    <t>22_Hoppit</t>
  </si>
  <si>
    <t>23_Hoppit</t>
  </si>
  <si>
    <t>24_Hoppit</t>
  </si>
  <si>
    <t>25_Hoppit</t>
  </si>
  <si>
    <t>26_Hoppit</t>
  </si>
  <si>
    <t>27_Hoppit</t>
  </si>
  <si>
    <t>28_Hoppit</t>
  </si>
  <si>
    <t>29_Hoppit</t>
  </si>
  <si>
    <t>30_Hoppit</t>
  </si>
  <si>
    <t>31_Hoppit</t>
  </si>
  <si>
    <t>32_Hoppit</t>
  </si>
  <si>
    <t>33_Hoppit</t>
  </si>
  <si>
    <t>34_Hoppit</t>
  </si>
  <si>
    <t>35_Hoppit</t>
  </si>
  <si>
    <t>36_Hoppit</t>
  </si>
  <si>
    <t>37_Hoppit</t>
  </si>
  <si>
    <t>38_Hoppit</t>
  </si>
  <si>
    <t>39_Hoppit</t>
  </si>
  <si>
    <t>40_Hoppit</t>
  </si>
  <si>
    <t>41_Hoppit</t>
  </si>
  <si>
    <t>42_Hoppit</t>
  </si>
  <si>
    <t>43_Hoppit</t>
  </si>
  <si>
    <t>44_Hoppit</t>
  </si>
  <si>
    <t>45_Hoppit</t>
  </si>
  <si>
    <t>46_Hoppit</t>
  </si>
  <si>
    <t>47_Hoppit</t>
  </si>
  <si>
    <t>48_Hoppit</t>
  </si>
  <si>
    <t>49_Hoppit</t>
  </si>
  <si>
    <t>50_Hoppit</t>
  </si>
  <si>
    <t>51_Hoppit</t>
  </si>
  <si>
    <t>52_Hoppit</t>
  </si>
  <si>
    <t>53_Hoppit</t>
  </si>
  <si>
    <t>54_Hoppit</t>
  </si>
  <si>
    <t>55_Hoppit</t>
  </si>
  <si>
    <t>56_Hoppit</t>
  </si>
  <si>
    <t>57_Hoppit</t>
  </si>
  <si>
    <t>58_Hoppit</t>
  </si>
  <si>
    <t>59_Hoppit</t>
  </si>
  <si>
    <t>60_Hoppit</t>
  </si>
  <si>
    <t>61_Hoppit</t>
  </si>
  <si>
    <t>62_Hoppit</t>
  </si>
  <si>
    <t>63_Hoppit</t>
  </si>
  <si>
    <t>64_Hoppit</t>
  </si>
  <si>
    <t>65_Hoppit</t>
  </si>
  <si>
    <t>66_Hoppit</t>
  </si>
  <si>
    <t>67_Hoppit</t>
  </si>
  <si>
    <t>68_Hoppit</t>
  </si>
  <si>
    <t>69_Hoppit</t>
  </si>
  <si>
    <t>70_Hoppit</t>
  </si>
  <si>
    <t>71_Hoppit</t>
  </si>
  <si>
    <t>72_Hoppit</t>
  </si>
  <si>
    <t>73_Hoppit</t>
  </si>
  <si>
    <t>74_Hoppit</t>
  </si>
  <si>
    <t>75_Hoppit</t>
  </si>
  <si>
    <t>76_Hoppit</t>
  </si>
  <si>
    <t>77_Hoppit</t>
  </si>
  <si>
    <t>78_Hoppit</t>
  </si>
  <si>
    <t>79_Hoppit</t>
  </si>
  <si>
    <t>80_Hoppit</t>
  </si>
  <si>
    <t>81_Hoppit</t>
  </si>
  <si>
    <t>82_Hoppit</t>
  </si>
  <si>
    <t>83_Hoppit</t>
  </si>
  <si>
    <t>84_Hoppit</t>
  </si>
  <si>
    <t>na</t>
  </si>
  <si>
    <t>9. Some ontrol and treatment Co2 values may have been defined in terms of pH</t>
  </si>
  <si>
    <t>Data from table 3</t>
  </si>
  <si>
    <t>Larval stage 3</t>
  </si>
  <si>
    <t>Data from figure 2C</t>
  </si>
  <si>
    <t>Data from figure 4, pg 431 (converted from mortality to survival)</t>
  </si>
  <si>
    <t>Data from figure 3, NE subset</t>
  </si>
  <si>
    <t>Data from figure 3c</t>
  </si>
  <si>
    <t>Data from figure 1a  (converted from mortality to survival)</t>
  </si>
  <si>
    <t>Data from figure 1b  (converted from mortality to survival)</t>
  </si>
  <si>
    <t>Data from figure 1e  (converted from mortality to survival)</t>
  </si>
  <si>
    <t>Data from figure 1d  (converted from mortality to survival)</t>
  </si>
  <si>
    <t>Data from figure 1c  (converted from mortality to survival)</t>
  </si>
  <si>
    <t>Data from figure 1, stable OA</t>
  </si>
  <si>
    <t>Data from figure 3, stable OA batch 3</t>
  </si>
  <si>
    <t>Data from figure 3, stable OA batch 2</t>
  </si>
  <si>
    <t>Data from figure 3, stable OA batch 1</t>
  </si>
  <si>
    <t>Data from figure 2, batch 1</t>
  </si>
  <si>
    <t>Data from figure 2, batch 2</t>
  </si>
  <si>
    <t>Data from figure 4, week 29</t>
  </si>
  <si>
    <t>Data from figure 2, week 31</t>
  </si>
  <si>
    <t>Data from figure 3</t>
  </si>
  <si>
    <t>Data from figure 8</t>
  </si>
  <si>
    <t>Data from figure 1C</t>
  </si>
  <si>
    <t>Data from figure 2b</t>
  </si>
  <si>
    <t>Data from figure 2a</t>
  </si>
  <si>
    <t>Data from figure 3b</t>
  </si>
  <si>
    <t>Data from figure 1a</t>
  </si>
  <si>
    <t>Data from supplimentary data, Figure S1</t>
  </si>
  <si>
    <t>Data from figure 6b</t>
  </si>
  <si>
    <t>Data from figure 9</t>
  </si>
  <si>
    <t>Data from figure 1</t>
  </si>
  <si>
    <t>Data from figure 5, for pool 2</t>
  </si>
  <si>
    <t>Data from figure 5, for pool 1</t>
  </si>
  <si>
    <t>Data from figure 2</t>
  </si>
  <si>
    <t>Data from figure 6</t>
  </si>
  <si>
    <t xml:space="preserve">Data from figure 6 </t>
  </si>
  <si>
    <t>Data from figure 4d</t>
  </si>
  <si>
    <t>Data from figure 5, day 9</t>
  </si>
  <si>
    <t>Data from figure 1b</t>
  </si>
  <si>
    <t>Data from figure 1c</t>
  </si>
  <si>
    <t>Data from figure 3B</t>
  </si>
  <si>
    <t>Data from figure 3A</t>
  </si>
  <si>
    <t>Data from figure 3, Plymouth</t>
  </si>
  <si>
    <t>Data from figure 3, Torquay</t>
  </si>
  <si>
    <t>Data from figure 2, Plymouth</t>
  </si>
  <si>
    <t>Data from figure 2, Torquay</t>
  </si>
  <si>
    <t>Data from figure 5a</t>
  </si>
  <si>
    <t>from Warming feeding sheet</t>
  </si>
  <si>
    <t>oceanic</t>
  </si>
  <si>
    <t>estuarine</t>
  </si>
  <si>
    <t>intertidal</t>
  </si>
  <si>
    <t>coast</t>
  </si>
  <si>
    <t>oce</t>
  </si>
  <si>
    <t>int</t>
  </si>
  <si>
    <t>i</t>
  </si>
  <si>
    <t>10. For the Hamraj dataset, they did not provide raw control values</t>
  </si>
  <si>
    <t>11. If we want to organise our dataset better, the structure of Kindinger et al. 2022 is good. Also, this database can be revisited to check whether data points for taxons (apart from zoop) are already here or not.</t>
  </si>
  <si>
    <t>Advent fjord, Svalbard</t>
  </si>
  <si>
    <t>center of Xiamen Bay, China</t>
  </si>
  <si>
    <t>Xiamen Bay, China</t>
  </si>
  <si>
    <t>Anacortes, Washington</t>
  </si>
  <si>
    <t>Salish Sea</t>
  </si>
  <si>
    <t>Norway?</t>
  </si>
  <si>
    <t>Bjorn afjord, Norway</t>
  </si>
  <si>
    <t>Gullmarsfjord, Skagerrak</t>
  </si>
  <si>
    <t>Kongsfjord, Svalbard</t>
  </si>
  <si>
    <t>Rijpfjorden, Svalbard</t>
  </si>
  <si>
    <t>Adelaide Island, West Antartic Peninsula</t>
  </si>
  <si>
    <t>20.4_0.13</t>
  </si>
  <si>
    <t>20.4_0.09</t>
  </si>
  <si>
    <t>7.3_0.4</t>
  </si>
  <si>
    <t>9.79_0.1</t>
  </si>
  <si>
    <t>429_23.4</t>
  </si>
  <si>
    <t>420_18.04</t>
  </si>
  <si>
    <t>399.0_3.6</t>
  </si>
  <si>
    <t>516_39</t>
  </si>
  <si>
    <t>458_45</t>
  </si>
  <si>
    <t>260_78</t>
  </si>
  <si>
    <t>385_10</t>
  </si>
  <si>
    <t>379_43</t>
  </si>
  <si>
    <t>453.7_26.5</t>
  </si>
  <si>
    <t>421_16</t>
  </si>
  <si>
    <t>584.3_71.5</t>
  </si>
  <si>
    <t>389.2_45.5</t>
  </si>
  <si>
    <t>561_58</t>
  </si>
  <si>
    <t>20.7_0.12</t>
  </si>
  <si>
    <t>20.3_0.18</t>
  </si>
  <si>
    <t>20.7_0.14</t>
  </si>
  <si>
    <t>7.4_0.5</t>
  </si>
  <si>
    <t>9.94_0.1</t>
  </si>
  <si>
    <t>1217_81.20</t>
  </si>
  <si>
    <t>1210_68.3</t>
  </si>
  <si>
    <t>1002_97.5</t>
  </si>
  <si>
    <t>1007.0_13.5</t>
  </si>
  <si>
    <t>1193_20</t>
  </si>
  <si>
    <t>1137_108</t>
  </si>
  <si>
    <t>644_125</t>
  </si>
  <si>
    <t>926_21</t>
  </si>
  <si>
    <t>864_86</t>
  </si>
  <si>
    <t>1208.9_57.7</t>
  </si>
  <si>
    <t>1052_111</t>
  </si>
  <si>
    <t>1232.3_216.3</t>
  </si>
  <si>
    <t>581.3_98.9</t>
  </si>
  <si>
    <t>1315_197</t>
  </si>
  <si>
    <t xml:space="preserve"> Ocean acidification affects the phyto-zoo plankton trophic transfer efficiency.</t>
  </si>
  <si>
    <t>G. Cripps, K. J. Flynn, P. K. Lindeque</t>
  </si>
  <si>
    <t>U. Grote, A. Pasternak, E. Arashkevich, E. Halvorsen, A. Nikishina</t>
  </si>
  <si>
    <t>Thermal response of ingestion and egestion rates in the Arctic copepod Calanus glacialis and possible metabolic consequences in a warming ocean.</t>
  </si>
  <si>
    <t>W. Li, K. Gao</t>
  </si>
  <si>
    <t xml:space="preserve"> A marine secondary producer respires and feeds more in a high CO2 ocean.</t>
  </si>
  <si>
    <t>W. Li, et al.</t>
  </si>
  <si>
    <t>Combined effects of short-term ocean acidification and heat shock in a benthic copepod Tigriopus japonicus Mori.</t>
  </si>
  <si>
    <t>A. K. McLaskey, J. E. Keister, K. L. Schoo, M. B. Olson, B. A. Love</t>
  </si>
  <si>
    <t>Direct and indirect effects of elevated CO2 are revealed through shifts in phytoplankton, copepod development, and fatty acid accumulation.</t>
  </si>
  <si>
    <t>M. B. Olson, K. Solem, B. Love</t>
  </si>
  <si>
    <t>Microzooplankton grazing responds to simulated ocean acidification indirectly through changes in prey cellular characteristics.</t>
  </si>
  <si>
    <t>I. Opstad, et al.</t>
  </si>
  <si>
    <t>Effects of high pCO2 on the northern krill Thysanoessa inermis in relation to carbonate chemistry of its collection area, Rijpfjorden.</t>
  </si>
  <si>
    <t>P. Thor, E. O. Oliva</t>
  </si>
  <si>
    <t>Ocean acidification elicits different energetic responses in an Arctic and a boreal population of the copepod Pseudocalanus acuspes.</t>
  </si>
  <si>
    <t>S. A. Pedersen, et al.</t>
  </si>
  <si>
    <t xml:space="preserve"> Multigenerational exposure to ocean acidification during food limitation reveals consequences for copepod scope for growth and vital rates.</t>
  </si>
  <si>
    <t>J. A. Runge, et al.</t>
  </si>
  <si>
    <t>End of the century CO 2 concentrations do not have a negative effect on vital rates of Calanus finmarchicus , an ecologically critical planktonic species in North Atlantic ecosystems.</t>
  </si>
  <si>
    <t>G. K. Saba, O. Schofield, J. J. Torres, E. H. Ombres, D. K</t>
  </si>
  <si>
    <t>Steinberg, Increased feeding and nutrient excretion of adult antarctic krill, euphausia superba, exposed to enhanced carbon dioxide (co2).</t>
  </si>
  <si>
    <t>artefact column, or less important; hidden</t>
  </si>
  <si>
    <t>flip sign because we are looking at mortality, instead of survival; confusing which are the control values and treatment values in the source database</t>
  </si>
  <si>
    <t>12. For common_id, if control values are not provided, control response is used as proxy.</t>
  </si>
  <si>
    <t>13. For Ross et al., it's confusing to know which are the values for T and CO2 since they looked at two different generations, with each have different values.</t>
  </si>
  <si>
    <t>Copepod respiration vs temperature — formal meta-analysis.</t>
  </si>
  <si>
    <t>Heine et al. (2019) show ~7% increase per °C across 32 studies / 50 spp.; lab manipulations only. (aslopubs.onlinelibrary.wiley.com)</t>
  </si>
  <si>
    <t>Generation time vs body mass &amp; temperature — meta-analysis on marine &amp; freshwater zooplankton.</t>
  </si>
  <si>
    <t>Gillooly (2000) compiles multi-temperature datasets (largely lab cultures) to quantify how generation time shortens with warming after size is accounted for. (OUP Academic)</t>
  </si>
  <si>
    <t>Temperature–size responses across habitats — global synthesis.</t>
  </si>
  <si>
    <t>Forster et al. (2012, PNAS): aquatic organisms (incl. zooplankton) show stronger size reductions per °C than terrestrial taxa; draws on experimental datasets among others. (pnas.org)</t>
  </si>
  <si>
    <t>Temperature–size rule (TSR) — reviews/meta-style syntheses used by zooplankton studies.</t>
  </si>
  <si>
    <t>Forster et al. (2012, Functional Ecology) and related TSR syntheses summarise within-species size declines with T; frequently used to interpret zooplankton experiments. (British Ecological Society Journals)</t>
  </si>
  <si>
    <t>Temperature-mediated changes in zooplankton body size (review with quantitative synthesis pointers).</t>
  </si>
  <si>
    <t>Evans et al. (2020) discuss lab/mesocosm results and meta-analysis findings for zooplankton size vs T. (Wiley Online Library)</t>
  </si>
  <si>
    <t>State-of-the-art review on warming impacts on zooplankton (ranges, phenology, body size).</t>
  </si>
  <si>
    <t>Ratnarajah et al. (2023, Nat. Comm.) — synthesis citing the key meta-analyses and experimental literature. (Nature)</t>
  </si>
  <si>
    <t>Daufresne et al. (2009, PNAS): warming generally favours smaller sizes; includes experimental and field studies with zooplankton subsets. (PMC)</t>
  </si>
  <si>
    <t>Body size responses to warming (aquatic ectotherms incl. zooplankton) — meta-analysis.</t>
  </si>
  <si>
    <t>Bednaršek et al. (2019), Front Mar Sci: Synthesis/meta-analysis shows increased vulnerability of pteropod survival (and shell dissolution) under warming (and OA). Although multi-stress, temperature effects are isolated in models. (Frontiers)</t>
  </si>
  <si>
    <t>Pteropods (zooplankton) under warming &amp; OA (meta-analysis).</t>
  </si>
  <si>
    <t>Escribano et al. (2014): Examines development time and reproductive output across temperatures for a coastal copepod. (OUP Academic)</t>
  </si>
  <si>
    <t>Development &amp; reproduction responses to T (copepods).</t>
  </si>
  <si>
    <t>Barth-Jensen et al. (2020): Quantifies temperature-dependent egg production and hatching success in marine copepods; useful for reproduction/development parameters and T-optima. (OUP Academic)</t>
  </si>
  <si>
    <t>Egg production &amp; hatching vs temperature (copepods).</t>
  </si>
  <si>
    <t>de Juan et al. (2023): Chronic warming altered survival tolerance and fecundity (complex responses; fewer offspring at “optimum” T in warm-reared lines). (PMC)</t>
  </si>
  <si>
    <t>Multigenerational warming and life-history shifts in copepods.</t>
  </si>
  <si>
    <t>Vu et al. (2024): In Acartia, survival, growth, and reproduction drop at ~34 °C (MHW-like). (PMC)</t>
  </si>
  <si>
    <t>Heatwave-like temperatures depress multiple fitness traits in copepods.</t>
  </si>
  <si>
    <t>Pimentel MS, Faleiro F, Dionísio G, Repolho T, Pousão P, Machado J, Rosa R</t>
    <phoneticPr fontId="19" type="noConversion"/>
  </si>
  <si>
    <t>Leung et al. 2022</t>
    <phoneticPr fontId="19" type="noConversion"/>
  </si>
  <si>
    <t>Allison et al., 2010. Chem Geol</t>
  </si>
  <si>
    <t>Lombard et al., 2010. Biogeosciences</t>
  </si>
  <si>
    <t>Sinutok et al., 2011. Limnol Oceanogr</t>
  </si>
  <si>
    <t>Uthicke and Fabricius, 2012. Glob Change Biol</t>
  </si>
  <si>
    <t>Manno et al., 2012. Polar Biol</t>
  </si>
  <si>
    <t>Reymond et al., 2013. Glob Change Biol</t>
  </si>
  <si>
    <t>Haynert et al., 2014. Biogeosciences</t>
  </si>
  <si>
    <t>Sinutok et al., 2014. Mar Biol</t>
  </si>
  <si>
    <t>Prazeres et al., 2015. Proc R Soc B</t>
  </si>
  <si>
    <t>Davis et al., 2017. Sci Rep</t>
  </si>
  <si>
    <t>Oron et al., 2020. J Geophys Res</t>
  </si>
  <si>
    <t>Doo et al., 2020. Ecol Evol</t>
  </si>
  <si>
    <t>Wolf-Gladrow et al. 1999. Tellus B</t>
  </si>
  <si>
    <t>Kuroyanagi et al. 2009. Mar Micropaleo</t>
  </si>
  <si>
    <t>Fujita et al., 2011. Biogeosciences</t>
  </si>
  <si>
    <t>Hikami et al., 2011. Geophys Res Lett</t>
  </si>
  <si>
    <t>Guaman-Guevara et al., 2019. Plos One</t>
  </si>
  <si>
    <t>Calcite deposit</t>
  </si>
  <si>
    <t>Net calcification rates</t>
  </si>
  <si>
    <t>CaCO3 production</t>
  </si>
  <si>
    <t>Calcifiation (growth) rate</t>
  </si>
  <si>
    <t>Growth rates (buoyant weight)</t>
  </si>
  <si>
    <t>Relative calcification rate</t>
  </si>
  <si>
    <t xml:space="preserve">Shell weight </t>
  </si>
  <si>
    <t>Shell weight</t>
  </si>
  <si>
    <t>Test weight</t>
  </si>
  <si>
    <t>Growth (wet weight))</t>
  </si>
  <si>
    <t>Foraminifera</t>
  </si>
  <si>
    <t>Elphidium williamsoni</t>
  </si>
  <si>
    <t>Globigerinoides sacculifer</t>
  </si>
  <si>
    <t>Marginopora rossi</t>
  </si>
  <si>
    <t>Elphidium incertum</t>
  </si>
  <si>
    <t>Amphistegina lessonii</t>
  </si>
  <si>
    <t>Globigerina bulloides</t>
  </si>
  <si>
    <t>Operculina ammonoides</t>
  </si>
  <si>
    <t>Orbulina universa</t>
  </si>
  <si>
    <t>Marginopora kudakajimensis</t>
  </si>
  <si>
    <t>Baculogypsina sphaerulata</t>
  </si>
  <si>
    <t>Calcarina gaudichaudii</t>
  </si>
  <si>
    <t>Amphisorus hemprichii</t>
  </si>
  <si>
    <t>Amphisorus kudakajimensis</t>
  </si>
  <si>
    <t>pH</t>
    <phoneticPr fontId="19" type="noConversion"/>
  </si>
  <si>
    <t>McIntyre-Wressnig et al., 2013. Mar Ecol Prog Ser</t>
  </si>
  <si>
    <t>Marques et al., 2017. Coral Reefs</t>
  </si>
  <si>
    <t>Dong et al., 2020. Mar Micropaleontol</t>
  </si>
  <si>
    <t>Vogel and Uthicke, 2012. J Exp Mar Biol Ecol</t>
  </si>
  <si>
    <t>Schmidt et al., 2014. Coral Reefs</t>
  </si>
  <si>
    <t>Knorr et al., 2015. J Foram Res</t>
  </si>
  <si>
    <t>Marques et al., 2020. Environ Pollut</t>
  </si>
  <si>
    <t>Amphistegina gibbosa</t>
  </si>
  <si>
    <t>Ammonia aomoriensis</t>
  </si>
  <si>
    <t>Ammonia beccarii</t>
  </si>
  <si>
    <t>Quinqueloculina seminula</t>
  </si>
  <si>
    <t>Ammoglobigerina globigeriniformis</t>
  </si>
  <si>
    <t>Trochammina inflata</t>
  </si>
  <si>
    <t>Amphistegina radiata</t>
  </si>
  <si>
    <t>Heterostegina depressa</t>
  </si>
  <si>
    <t>Archaias angulatus</t>
  </si>
  <si>
    <t>Shell diameter</t>
  </si>
  <si>
    <t>Juvenile shell size</t>
  </si>
  <si>
    <t>Adult shell size</t>
  </si>
  <si>
    <t>Test surface area</t>
  </si>
  <si>
    <t>Test diameter</t>
  </si>
  <si>
    <t>Maximum test diameter</t>
  </si>
  <si>
    <t>Maximum length</t>
  </si>
  <si>
    <t>Test growth</t>
  </si>
  <si>
    <t>Growth rates (surface area)</t>
  </si>
  <si>
    <t>Growth (change in area)</t>
  </si>
  <si>
    <t>Growth</t>
    <phoneticPr fontId="19" type="noConversion"/>
  </si>
  <si>
    <t>Dark respiration</t>
  </si>
  <si>
    <t>Net oxygen production</t>
  </si>
  <si>
    <t>Photosynthesis rate</t>
  </si>
  <si>
    <t>Oxygen production</t>
  </si>
  <si>
    <t>Net photosynthesis</t>
  </si>
  <si>
    <t>Photosynthetic rate</t>
  </si>
  <si>
    <t>Net photosynthetic rate</t>
  </si>
  <si>
    <t>Maximum quantum yield</t>
  </si>
  <si>
    <t>Maximum quantum efficiency</t>
  </si>
  <si>
    <t>Maximum quantum yield of PSII</t>
  </si>
  <si>
    <t>Maximum photochemical efficiency</t>
  </si>
  <si>
    <t>Chl a content</t>
  </si>
  <si>
    <t>Chl a per cell</t>
  </si>
  <si>
    <t>Comeau et al., 2010. Plos One</t>
  </si>
  <si>
    <t>Seibel et al., 2012. Plos One</t>
  </si>
  <si>
    <t>Maas et al., 2012. Biogeosciences</t>
  </si>
  <si>
    <t>Maas et al., 2016. Biogeosciences</t>
  </si>
  <si>
    <t>Moya et al., 2016. Glob Change Biol</t>
  </si>
  <si>
    <t>Hoshijima et al., 2017. Conserv Physiol</t>
  </si>
  <si>
    <t>Lischka and Riebesell, 2017. Polar Biol</t>
  </si>
  <si>
    <t>Maas et al., 2018. J Exp Biol</t>
  </si>
  <si>
    <t>Pteropod</t>
    <phoneticPr fontId="19" type="noConversion"/>
  </si>
  <si>
    <t>Limacina helicina antarctica</t>
  </si>
  <si>
    <t>Hyalocylis striata</t>
  </si>
  <si>
    <t>Creseis virgula</t>
  </si>
  <si>
    <t>Clio pyramidata</t>
  </si>
  <si>
    <t>Cavolinia longirostris</t>
  </si>
  <si>
    <t>Diacria quadridentata</t>
  </si>
  <si>
    <t>Cuvierina atlantica</t>
  </si>
  <si>
    <t>Diacria trispinosa</t>
  </si>
  <si>
    <t>Cavolinia inflexa</t>
  </si>
  <si>
    <t>Styliola subula</t>
  </si>
  <si>
    <t>Cuvierina pacifica</t>
  </si>
  <si>
    <t>Heliconoides inflatus</t>
  </si>
  <si>
    <t>Wet weight</t>
  </si>
  <si>
    <t>Wet mass</t>
  </si>
  <si>
    <t>Dry weight</t>
  </si>
  <si>
    <t>Dry mass</t>
  </si>
  <si>
    <t>Comeau et al. 2009. Biogeosciences</t>
  </si>
  <si>
    <t>Manno et al., 2012. Estuar Coast Shell Sci</t>
  </si>
  <si>
    <t>Manno et al., 2019. Mar Environ Res</t>
  </si>
  <si>
    <t>Creseis conica</t>
  </si>
  <si>
    <t>CaCO3 precipitated</t>
  </si>
  <si>
    <t>Shell mass growth</t>
  </si>
  <si>
    <t>Shell biomass</t>
  </si>
  <si>
    <t>Calcium uptake</t>
  </si>
  <si>
    <t>Albright et al., 2010. PNAS</t>
  </si>
  <si>
    <t>Albright and Mason et al., 2013. Plos One</t>
  </si>
  <si>
    <t>Iguchi et al., 2014. Zygote</t>
  </si>
  <si>
    <t>Schutter et al., 2015. J Mar Sci Eng</t>
  </si>
  <si>
    <t>Pitts et al., 2020. Coral Reefs</t>
  </si>
  <si>
    <t>Coral larvae</t>
    <phoneticPr fontId="19" type="noConversion"/>
  </si>
  <si>
    <t>Acropora palmata</t>
  </si>
  <si>
    <t>Acropora digitifera</t>
  </si>
  <si>
    <t>Acropora hyacinthus (Lyudao)</t>
  </si>
  <si>
    <t>Favites abdita</t>
  </si>
  <si>
    <t>Acropora hyacinthus (Kochi)</t>
  </si>
  <si>
    <t>Reproduction</t>
    <phoneticPr fontId="19" type="noConversion"/>
  </si>
  <si>
    <t>Abnormal embryo development</t>
  </si>
  <si>
    <t>Early developmental success</t>
  </si>
  <si>
    <t>Albright et al. 2008. Coral Reefs</t>
  </si>
  <si>
    <t>Anlauf et al., 2011. J Exp Mar Biol Ecol</t>
  </si>
  <si>
    <t>Albright and Langdon, 2011. Glob Change Biol</t>
  </si>
  <si>
    <t>Nakamura et al., 2011. Plos One</t>
  </si>
  <si>
    <t>Doropoulos et al., 2012. Ecol Lett</t>
  </si>
  <si>
    <t>Webster et al., 2013. Glob Change Biol</t>
  </si>
  <si>
    <t>Chua et al., 2013. Mar Ecol Prog Ser</t>
  </si>
  <si>
    <t>Doropoulos and Diaz-Pulido, 2013. Mar Ecol Prog Ser</t>
  </si>
  <si>
    <t>Viyakarn et al., 2015. Ocean Sci J</t>
  </si>
  <si>
    <t>Foster et al., 2015. Coral Reefs</t>
  </si>
  <si>
    <t>Yuan et al., 2018. Sci Rep</t>
  </si>
  <si>
    <t>Jiang et al., 2020. Coral Reefs</t>
  </si>
  <si>
    <t>Porites astreoides</t>
  </si>
  <si>
    <t>Acropora gemmifera</t>
  </si>
  <si>
    <t>Settlement rate</t>
  </si>
  <si>
    <t>Larval settlement</t>
  </si>
  <si>
    <t>Settled larvae</t>
  </si>
  <si>
    <t>Suwa et al. 2010. Fish Sci</t>
  </si>
  <si>
    <t>Putnam et al., 2013. Mar Biol</t>
  </si>
  <si>
    <t>Baria et al., 2015. Zool Sci</t>
  </si>
  <si>
    <t>Larval survial</t>
  </si>
  <si>
    <t>Larval survival</t>
  </si>
  <si>
    <t>Survival</t>
    <phoneticPr fontId="19" type="noConversion"/>
  </si>
  <si>
    <t>Putnam and Gates, 2015. J Exp Biol</t>
  </si>
  <si>
    <t>Rivest and Hofmann, 2015. J Exp Mar Biol Ecol</t>
  </si>
  <si>
    <t>Rivest et al., 2018. Front Mar Sci</t>
  </si>
  <si>
    <t>Kurihara et al., 2020. Front Mar Sci</t>
  </si>
  <si>
    <t>Larval size</t>
  </si>
  <si>
    <t>Larval size (F1)</t>
  </si>
  <si>
    <t>Larval area</t>
  </si>
  <si>
    <t>Larval weight</t>
  </si>
  <si>
    <t>Pocillopora acuta</t>
  </si>
  <si>
    <t>Cumbo et al., 2013. J Exp Mar Biol Ecol</t>
  </si>
  <si>
    <t>Rivest and Hofmann et al., 2014. Plos One</t>
  </si>
  <si>
    <t>Larval respiration rate</t>
  </si>
  <si>
    <t>Oxygen consumption</t>
  </si>
  <si>
    <t>Respiration rate (F1)</t>
  </si>
  <si>
    <t>Physiology</t>
    <phoneticPr fontId="19" type="noConversion"/>
  </si>
  <si>
    <t>Symbiodinium density</t>
  </si>
  <si>
    <t>Relative change in Symbiodinium density</t>
  </si>
  <si>
    <t>Larval zooxanthella density</t>
  </si>
  <si>
    <t>McDonald et al. 2009. Mar Ecol Prog Ser</t>
  </si>
  <si>
    <t>Pansch et al., 2012. J Exp Mar Biol Ecol</t>
  </si>
  <si>
    <t>Pansch et al., 2014. Glob Change Biol</t>
  </si>
  <si>
    <t>Baragi and Anil, 2015. J Exp Mar Biol Ecol</t>
  </si>
  <si>
    <t>Campanati et al., 2016. ICES J Mar Sci</t>
  </si>
  <si>
    <t>Barnacle larvae</t>
    <phoneticPr fontId="19" type="noConversion"/>
  </si>
  <si>
    <t>Amphibalanus amphitrite</t>
  </si>
  <si>
    <t>Final settlement</t>
  </si>
  <si>
    <t>Reproduction</t>
    <phoneticPr fontId="19" type="noConversion"/>
  </si>
  <si>
    <t>Parker et al. 2009. Glob Change Biol</t>
  </si>
  <si>
    <t>Havenhand and Schlegel. 2009. Biogeosciences</t>
  </si>
  <si>
    <t>Parker et al., 2010. Mar Biol</t>
  </si>
  <si>
    <t>Van Colen et al., 2012. Plos One</t>
  </si>
  <si>
    <t>Scanes et al., 2014. Plos One</t>
  </si>
  <si>
    <t>Bylenga et al., 2015. Mar Ecol Prog Ser</t>
  </si>
  <si>
    <t>Guo et al., 2015. Aquat Biol</t>
  </si>
  <si>
    <t>Wang et al., 2016. J Ocean Univ China</t>
  </si>
  <si>
    <t>Shi et al., 2017. Mar Environ Res</t>
  </si>
  <si>
    <t>Boulais et al., 2017. Sci Rep</t>
  </si>
  <si>
    <t>Szalaj et al., 2017. Environ Sci Pollut Res</t>
  </si>
  <si>
    <t>Shi et al., 2017. NZ J Mar Freshw Res</t>
  </si>
  <si>
    <t>Sui et al., 2019. J Ocean Univ China</t>
  </si>
  <si>
    <t>Kong et al., 2019. Mar Environ Res</t>
  </si>
  <si>
    <t>Wang et al., 2020. Helgol Mar Res</t>
  </si>
  <si>
    <t>Mimachlamys asperrima</t>
  </si>
  <si>
    <t>Crassostrea angulata</t>
  </si>
  <si>
    <t>Argopecten irradias</t>
  </si>
  <si>
    <t>Tegillarca granosa</t>
  </si>
  <si>
    <t>Perna perna</t>
  </si>
  <si>
    <t>Cyclina sinensis</t>
  </si>
  <si>
    <t>Mytilus coruscus</t>
  </si>
  <si>
    <t>Bivalve larvae</t>
    <phoneticPr fontId="19" type="noConversion"/>
  </si>
  <si>
    <t>Gazeau et al., 2011. Plos One</t>
  </si>
  <si>
    <t>Barros et al., 2013. J Exp Mar Biol Ecol</t>
  </si>
  <si>
    <t>Guo et al., 2016. J Exp Mar Biol Ecol</t>
  </si>
  <si>
    <t>Pereira et al., 2016. Reg Environ Change</t>
  </si>
  <si>
    <t>Huo et al., 2019. Aquacult Int</t>
  </si>
  <si>
    <t>Hatching rate</t>
  </si>
  <si>
    <t>Development</t>
    <phoneticPr fontId="19" type="noConversion"/>
  </si>
  <si>
    <t>Kurihara et al. 2007. Aquat Biol</t>
  </si>
  <si>
    <t>Kurihara et al. 2008. Aquat Biol</t>
  </si>
  <si>
    <t>Bechmann et al., 2011. J Toxicol Environ Health A</t>
  </si>
  <si>
    <t>Parker et al., 2012. Glob Change Biol</t>
  </si>
  <si>
    <t>Andersen et al., 2013. Biogeosciences</t>
  </si>
  <si>
    <t>Ko et al., 2013. Plos One</t>
  </si>
  <si>
    <t>Ventura et al., 2016. Sci Rep</t>
  </si>
  <si>
    <t>Cole et al., 2016. Mar Biol</t>
  </si>
  <si>
    <t>Frieder et al., 2017. ICES J Mar Sci</t>
  </si>
  <si>
    <t>Durland et al., 2019. Mar Ecol Prog Ser</t>
  </si>
  <si>
    <t>Larval development (D-shaped)</t>
  </si>
  <si>
    <t>Larval development (D-veliger)</t>
  </si>
  <si>
    <t>D-larval yield</t>
  </si>
  <si>
    <t>Larval development (D-larvae)</t>
  </si>
  <si>
    <t>Larval development (D-shell)</t>
  </si>
  <si>
    <t>Larval development (Umbonate larvae) (F1)</t>
  </si>
  <si>
    <t>Normal hinge</t>
  </si>
  <si>
    <t>Larval development (Pediveliger)</t>
  </si>
  <si>
    <t>Larval development (trochophore larvae)</t>
  </si>
  <si>
    <t>Larval development (veliger stage)</t>
  </si>
  <si>
    <t>Larval development (D-shaped veliger stage)</t>
  </si>
  <si>
    <t>Larval development (eyed larvae)</t>
  </si>
  <si>
    <t>Normal larvae</t>
  </si>
  <si>
    <t>Developmental rate (D-hinge)</t>
  </si>
  <si>
    <t>Larval development (crawl stage)</t>
  </si>
  <si>
    <t>Pecten maximus</t>
  </si>
  <si>
    <t>6</t>
    <phoneticPr fontId="19" type="noConversion"/>
  </si>
  <si>
    <t>Development</t>
    <phoneticPr fontId="19" type="noConversion"/>
  </si>
  <si>
    <t>Kim et al., 2016. Chin J Oceanogr Limnol</t>
  </si>
  <si>
    <t>Bylenga et al., 2017. Plos One</t>
  </si>
  <si>
    <t>Ragg et al., 2019. J Shellfish Res</t>
  </si>
  <si>
    <t>Clements et al., 2020. ICES J Mar Sci</t>
  </si>
  <si>
    <t>Perna canaliculus</t>
  </si>
  <si>
    <t>Abnormal development</t>
  </si>
  <si>
    <t>Abnormality</t>
  </si>
  <si>
    <t>Deformation rate</t>
  </si>
  <si>
    <t>Embryo deformity</t>
  </si>
  <si>
    <t>Deformed larvae</t>
  </si>
  <si>
    <t>Abnormal larval development</t>
  </si>
  <si>
    <t>Larval development (abnormal)</t>
  </si>
  <si>
    <t>Minor abnormality of larvae</t>
  </si>
  <si>
    <t>Medium abnormality of larvae</t>
  </si>
  <si>
    <t>Larval malformation</t>
  </si>
  <si>
    <t>Malformed larvae</t>
  </si>
  <si>
    <t>Larval deformity</t>
  </si>
  <si>
    <t>Miller et al. 2009. Plos One</t>
  </si>
  <si>
    <t>Watson et al. 2009. J Shellfish Res</t>
  </si>
  <si>
    <t>Talmage and Gobler. 2009. Limnol Oceanogr</t>
  </si>
  <si>
    <t>Talmage and Gobler, 2011. Plos One</t>
  </si>
  <si>
    <t>Dineshram et al., 2012. Mar Pollut Bull</t>
  </si>
  <si>
    <t>Hettinger et al., 2012. Ecology</t>
  </si>
  <si>
    <t>Thiyagarajan and Ko, 2012. Aquaculture</t>
  </si>
  <si>
    <t>Talmage and Gobler, 2012. Mar Ecol Prog Ser</t>
  </si>
  <si>
    <t>Dineshram et al., 2013. Mar Biol</t>
  </si>
  <si>
    <t>Vihtakari et al., 2013. Water</t>
  </si>
  <si>
    <t>White et al., 2013. Plos One</t>
  </si>
  <si>
    <t>Gobler and Talmage, 2013. Biogeosciences</t>
  </si>
  <si>
    <t>Hettinger et al., 2013. Biogeosciences</t>
  </si>
  <si>
    <t>Timmins-Schiffman et al., 2013. Mar Biol</t>
  </si>
  <si>
    <t>Jansson et al., 2013. Plos One</t>
  </si>
  <si>
    <t>Ko et al., 2014. Environ Sci Technol</t>
  </si>
  <si>
    <t>Gobler et al., 2014. Plos One</t>
  </si>
  <si>
    <t>Gobler and Talmage, 2014. Conserv Physiol</t>
  </si>
  <si>
    <t>White et al., 2014. Mar Ecol Prog Ser</t>
  </si>
  <si>
    <t>Li et al., 2014. Chin J Oceanogr Limnol</t>
  </si>
  <si>
    <t>Frieder et al., 2014. Glob Change Biol</t>
  </si>
  <si>
    <t>Harney et al., 2016. J Proteom</t>
  </si>
  <si>
    <t>Kelly et al., 2016. ICES J Mar Sci</t>
  </si>
  <si>
    <t>Clark and Gobler, 2016. Mar Ecol Prog Ser</t>
  </si>
  <si>
    <t>Prado et al., 2016. Mar Ecol Prog Ser</t>
  </si>
  <si>
    <t>Jansson et al., 2016. Biogeosciences</t>
  </si>
  <si>
    <t>Gobler et al., 2017. Front Mar Sci</t>
  </si>
  <si>
    <t>Ramesh et al., 2017. Nat Commun</t>
  </si>
  <si>
    <t>Andersen et al., 2017. Biogeosciences</t>
  </si>
  <si>
    <t>Griffith and Gobler, 2017. Sci Rep</t>
  </si>
  <si>
    <t>Thomsen et al., 2017. Sci Adv</t>
  </si>
  <si>
    <t>Richards et al., 2018. Front Mar Sci</t>
  </si>
  <si>
    <t>Kapsenberg et al., 2018. Proc R Soc B</t>
  </si>
  <si>
    <t>Campanati et al., 2018. Mar Environ Res</t>
  </si>
  <si>
    <t>Diaz et al., 2018. Front Physiol</t>
  </si>
  <si>
    <t>Zhao et al., 2019. Sci Total Environ</t>
  </si>
  <si>
    <t>Schwaner et al., 2020. Mar Environ Res</t>
  </si>
  <si>
    <t>Miller et al., 2020. J Mollus Stud</t>
  </si>
  <si>
    <t>Flores-Higuera et al., 2020. J Shellfish Res</t>
  </si>
  <si>
    <t>Crassostrea ariakensis</t>
  </si>
  <si>
    <t>Ostrea lurida</t>
  </si>
  <si>
    <t>Crassostrea hongkongensis</t>
  </si>
  <si>
    <t>Argopectenirradians</t>
  </si>
  <si>
    <t>Saccostrea cucullata</t>
  </si>
  <si>
    <t>Mytilus chilensis</t>
  </si>
  <si>
    <t>Musculista senhousia</t>
  </si>
  <si>
    <t>Crassostrea sikamea</t>
  </si>
  <si>
    <t>Larval length</t>
  </si>
  <si>
    <t>Shell area</t>
  </si>
  <si>
    <t>Larval shell length</t>
  </si>
  <si>
    <t>Antero-posterior measurement</t>
  </si>
  <si>
    <t>Average shell area D-veliger</t>
  </si>
  <si>
    <t>Diameter of larvae</t>
  </si>
  <si>
    <t>Larval shell growth</t>
  </si>
  <si>
    <t>Larval shell area</t>
  </si>
  <si>
    <t>Larval diameter</t>
  </si>
  <si>
    <t>Shell size</t>
  </si>
  <si>
    <t>Larval shell growth rate</t>
  </si>
  <si>
    <t>AFDW of larva</t>
  </si>
  <si>
    <t>Larval growth</t>
  </si>
  <si>
    <t>Shell height</t>
  </si>
  <si>
    <t>Pre-settlement growth rate</t>
  </si>
  <si>
    <t>Shell length (D-veliger)</t>
  </si>
  <si>
    <t>Larval growth rate</t>
  </si>
  <si>
    <t>Area of normal veliger</t>
  </si>
  <si>
    <t>Growth rate of larvae</t>
  </si>
  <si>
    <t>Prodissoconch I length</t>
  </si>
  <si>
    <t>Growth of prodissoconch II</t>
  </si>
  <si>
    <t>Shell growth rate</t>
  </si>
  <si>
    <t>Larval Growth rate</t>
  </si>
  <si>
    <t>Larval shell growth (F1)</t>
  </si>
  <si>
    <t>Larval length (F1)</t>
  </si>
  <si>
    <t>Larval shell length (Pediveliger)</t>
  </si>
  <si>
    <t>Larval area (prodissoconch II)</t>
  </si>
  <si>
    <t xml:space="preserve">Larval shell height </t>
  </si>
  <si>
    <t>Growth</t>
    <phoneticPr fontId="19" type="noConversion"/>
  </si>
  <si>
    <t>Hettinger et al., 2013. Glob Change Biol</t>
  </si>
  <si>
    <t>Dineshram et al., 2015. Proteomics</t>
  </si>
  <si>
    <t>Meyer-Kaiser et al., 2019. Mar Ecol Prog Ser</t>
  </si>
  <si>
    <t>Larvae remaining on the bottom (post-competent)</t>
  </si>
  <si>
    <t>Settlement success</t>
  </si>
  <si>
    <t>Kripa et al., 2014. Indian J GeoMar Sci</t>
  </si>
  <si>
    <t>Dineshram et al., 2016. Glob Change Biol</t>
  </si>
  <si>
    <t>Crassostrea madrasensis</t>
  </si>
  <si>
    <t>Survival of larvae</t>
  </si>
  <si>
    <t>Larval survival (F1)</t>
  </si>
  <si>
    <t>Larval survival (veliger)</t>
  </si>
  <si>
    <t>Larval mortality</t>
  </si>
  <si>
    <t>Larval survival (pediveliger)</t>
  </si>
  <si>
    <t>Survival</t>
    <phoneticPr fontId="19" type="noConversion"/>
  </si>
  <si>
    <t>Parker et al., 2011. Aust Zool</t>
  </si>
  <si>
    <t>De Wit et al., 2018. BMC Genomics</t>
  </si>
  <si>
    <t>Incorporated calcium</t>
  </si>
  <si>
    <t>Calcium uptake rate</t>
  </si>
  <si>
    <t>Birefringence (calcification)</t>
  </si>
  <si>
    <t>Calcein fluorescence intensity</t>
  </si>
  <si>
    <t>Calcification index</t>
  </si>
  <si>
    <t>Physiology</t>
    <phoneticPr fontId="19" type="noConversion"/>
  </si>
  <si>
    <t>Vargas et al., 2015. Estuar Coast</t>
  </si>
  <si>
    <t>Perumytilus purpuratus</t>
  </si>
  <si>
    <t>Filtration rate</t>
  </si>
  <si>
    <t>Clearance rate of juveniles</t>
  </si>
  <si>
    <t>Larval feeding rate</t>
  </si>
  <si>
    <t>Clearance rate</t>
  </si>
  <si>
    <t>Larval ingestion rate</t>
  </si>
  <si>
    <t>Larval ingestion rate (F1)</t>
  </si>
  <si>
    <t>Lane et al., 2013. Mar Biol</t>
  </si>
  <si>
    <t>Muherjee et al., 2013. J Exp Biol</t>
  </si>
  <si>
    <t>Saderne and Wahl, 2013. Plos One</t>
  </si>
  <si>
    <t>Lane et al., 2015. Sci Rep</t>
  </si>
  <si>
    <t>Dı́az-Castañeda et al., 2019. J Exp Biol</t>
  </si>
  <si>
    <t>Hydroides elegans</t>
  </si>
  <si>
    <t>Spirorbis spirorbis</t>
  </si>
  <si>
    <t>Spirobranchus triqueter</t>
  </si>
  <si>
    <t>Settle larvae</t>
  </si>
  <si>
    <t>Recruitment</t>
  </si>
  <si>
    <t>Polychaete larvae</t>
    <phoneticPr fontId="19" type="noConversion"/>
  </si>
  <si>
    <t>Gastropod larvae</t>
    <phoneticPr fontId="19" type="noConversion"/>
  </si>
  <si>
    <t>Byrne et al., 2010. Mar Biol</t>
  </si>
  <si>
    <t>Kimura et al., 2011. Fish Oceanogr</t>
  </si>
  <si>
    <t>Haliotis discus hannai</t>
  </si>
  <si>
    <t>Haliotis diversicolor</t>
  </si>
  <si>
    <t xml:space="preserve">Li et al., 2013. Mar Pollut Bull </t>
  </si>
  <si>
    <t>Manríquez et al., 2014. Mar Ecol Prog Ser</t>
  </si>
  <si>
    <t>Tahil and Dy, 2016. Aquaculture</t>
  </si>
  <si>
    <t>Armstrong et al., 2017. Mar Biol</t>
  </si>
  <si>
    <t>Concholepas concholepas</t>
  </si>
  <si>
    <t>Haliotis asinina</t>
  </si>
  <si>
    <t xml:space="preserve">Hatching rate </t>
  </si>
  <si>
    <t>Kita et al., 2013. Mar Pollut Bull</t>
  </si>
  <si>
    <t>Babylonia japonica</t>
  </si>
  <si>
    <t>Complete hatching from spawning</t>
  </si>
  <si>
    <t>Hatching time</t>
  </si>
  <si>
    <t>Byrne et al., 2011. Proc R Soc B</t>
  </si>
  <si>
    <t>Onitsuka et al., 2014. Mar Biol</t>
  </si>
  <si>
    <t>Calcified veliger larvae</t>
  </si>
  <si>
    <t>Larval development (veliger)</t>
  </si>
  <si>
    <t>Onitsuka et al., 2018. Mar Environ Res</t>
  </si>
  <si>
    <t>Haliotis discus hanttai</t>
  </si>
  <si>
    <t>Malformation</t>
  </si>
  <si>
    <t>Malformation rate</t>
  </si>
  <si>
    <t>Milazzo et al., 2014. Sci Rep</t>
  </si>
  <si>
    <t>Leise et al., 2014. J North Carolina Acad Sci</t>
  </si>
  <si>
    <t>Tahil and Dy, 2015. Philippine J Sci</t>
  </si>
  <si>
    <t>O'Leary et al., 2017. Sci Rep</t>
  </si>
  <si>
    <t>Maboloc and Chan, 2017. Sci Rep</t>
  </si>
  <si>
    <t>Kriefall et al., 2018. Front Mar Sci</t>
  </si>
  <si>
    <t>Pechenik et al., 2019. Mar Biol</t>
  </si>
  <si>
    <t>Bogan et al., 2019. Biol Bull</t>
  </si>
  <si>
    <t>Espinel-Velasco et al., 2020. ICES J Mar Sci</t>
  </si>
  <si>
    <t>Alessi et al., 2019. Sci Total Environ</t>
  </si>
  <si>
    <t>Dendropoma petraeum</t>
  </si>
  <si>
    <t>Nassarius obsoletus</t>
  </si>
  <si>
    <t>Haliotis rufescens</t>
  </si>
  <si>
    <t>Crepidula onyx</t>
  </si>
  <si>
    <t>Crepidula fornicata</t>
  </si>
  <si>
    <t>Haliotis iris</t>
  </si>
  <si>
    <t>Number of settled recruits</t>
  </si>
  <si>
    <t>Metamorphosis of veliger</t>
  </si>
  <si>
    <t>Number of recruits</t>
  </si>
  <si>
    <t>Vargas et al., 2013. J Plankton Res</t>
  </si>
  <si>
    <t>Noisette et al., 2014. Plos One</t>
  </si>
  <si>
    <t>de Leon and Sayno, 2018. Asian Fish Sci</t>
  </si>
  <si>
    <t>Wessel et al., 2018. J Exp Mar Ecol Biol</t>
  </si>
  <si>
    <t>Reishia clavigera</t>
  </si>
  <si>
    <t>Haliotis tuberculata</t>
  </si>
  <si>
    <t>Protoconch size</t>
  </si>
  <si>
    <t>Larval growth index</t>
  </si>
  <si>
    <t>Zhang et al., 2014. Mat Pollut Bull</t>
  </si>
  <si>
    <t>Nassarius festivus</t>
  </si>
  <si>
    <t>Nassarius conoidalis</t>
  </si>
  <si>
    <t>Clearance rate of larvae</t>
  </si>
  <si>
    <t>Horwitz et al., 2020. Sci Rep</t>
  </si>
  <si>
    <t>Littorina obtusata</t>
  </si>
  <si>
    <t>Heart beat rate</t>
  </si>
  <si>
    <t>Larval Oxygen consumption rate</t>
  </si>
  <si>
    <t>Metabolic rate</t>
  </si>
  <si>
    <t>Echinoderm larvae</t>
    <phoneticPr fontId="19" type="noConversion"/>
  </si>
  <si>
    <t>Uthicke et al., 2013. Plos One</t>
  </si>
  <si>
    <t>Gonzalez-Bernat et al., 2013. Polar Biol</t>
  </si>
  <si>
    <t>Kamya et al., 2014. Glob Change Biol</t>
  </si>
  <si>
    <t>Yuan et al., 2015. Mar Pollut Bull</t>
  </si>
  <si>
    <t>Post-fertilization success</t>
  </si>
  <si>
    <t>Hu et al., 2018. Acta Physiol</t>
  </si>
  <si>
    <t>Ophiothrix fragilis</t>
  </si>
  <si>
    <t>Crossaster papposus</t>
  </si>
  <si>
    <t>Amphiura filiformis</t>
  </si>
  <si>
    <t>Total length</t>
  </si>
  <si>
    <t>Urchin larvae</t>
    <phoneticPr fontId="19" type="noConversion"/>
  </si>
  <si>
    <t>Hurihara and Shirayama. 2004. Mar Ecol Prog Ser</t>
  </si>
  <si>
    <t>Havenhand et al. 2008. Curr Biol</t>
  </si>
  <si>
    <t>Byrne et al. 2009. Proc R Soc B</t>
  </si>
  <si>
    <t>Ericson et al., 2010. Mar Biol</t>
  </si>
  <si>
    <t>Byrne et al., 2010. Mar Environ Res</t>
  </si>
  <si>
    <t>Moulin et al., 2011. Mar Pollut Bull</t>
  </si>
  <si>
    <t>Ericson et al., 2012. Polar Biol</t>
  </si>
  <si>
    <t>Gonzalez-Bernat et al., 2013. Mar Biol</t>
  </si>
  <si>
    <t>Cohen-Rengifo et al., 2013. Cah Biol Mar</t>
  </si>
  <si>
    <t>Ho et al., 2013. Mar Environ Res</t>
  </si>
  <si>
    <t>Gianguzza et al., 2014. Mar Environ Res</t>
  </si>
  <si>
    <t>Sung et al., 2014. J Mar Syst</t>
  </si>
  <si>
    <t>Pecorino et al., 2014. Mar Biol</t>
  </si>
  <si>
    <t>Zhan et al., 2016. Mar Pollut Bull</t>
  </si>
  <si>
    <t>Karelitz et al., 2017. Glob Change Biol</t>
  </si>
  <si>
    <t>Zhan et al., 2017. Aquacult Int</t>
  </si>
  <si>
    <t>Zhan et al., 2018. J Oceanogr Limnol</t>
  </si>
  <si>
    <t>García et al., 2018. Mar Environ Res</t>
  </si>
  <si>
    <t>da Silva Souza et al., 2019. Chemosphere</t>
  </si>
  <si>
    <t>Lenz et al., 2019. Mar Pollut Bull</t>
  </si>
  <si>
    <t>Pereira et al., 2020. Mar Environ Res</t>
  </si>
  <si>
    <t>Fertilized eggs</t>
  </si>
  <si>
    <t>Hemicentrotus pulcherrimus</t>
  </si>
  <si>
    <t>Strongylocentrotus nudus</t>
  </si>
  <si>
    <t>Strongylocentrotus intermedius</t>
  </si>
  <si>
    <t>Glyptocidaris crenularis</t>
  </si>
  <si>
    <t>Echinometra lucunter</t>
  </si>
  <si>
    <t>Lytechinus variegatus</t>
  </si>
  <si>
    <t>Uthicke et al., 2013. Mar Biol</t>
  </si>
  <si>
    <t>Suckling et al., 2015. J Anim Ecol</t>
  </si>
  <si>
    <t>Hatching</t>
  </si>
  <si>
    <t>Hatched blastulae</t>
  </si>
  <si>
    <t>Dupont et al., 2013. Mar Biol</t>
  </si>
  <si>
    <t>Suckling et al., 2014a. Inverter Reprod Dev</t>
  </si>
  <si>
    <t>García et al., 2015. Mar Environ Res</t>
  </si>
  <si>
    <t>Foo et al., 2016. Mar Ecol Prog Ser</t>
  </si>
  <si>
    <t>Mos et al., 2019. Sci Total Environ</t>
  </si>
  <si>
    <t>Houlihan et al., 2020. Front Mar Sci</t>
  </si>
  <si>
    <t>Mos et al., 2020. Aquaculture</t>
  </si>
  <si>
    <t>Espinel-Velasco et al., 2020. Mar Environ Res</t>
  </si>
  <si>
    <t>Strongylocentrotus droebachiensis</t>
  </si>
  <si>
    <t>Psammechinus miliaris</t>
  </si>
  <si>
    <t>Pseudechinus huttoni</t>
  </si>
  <si>
    <t>Evechinus chloroticus</t>
  </si>
  <si>
    <t>Clark et al. 2009. Mar Biol</t>
  </si>
  <si>
    <t>O’Donnell et al., 2010. Mar Ecol Prog Ser</t>
  </si>
  <si>
    <t>Brennand et al., 2010. Plos One</t>
  </si>
  <si>
    <t>Martin et al., 2011. J Exp Biol</t>
  </si>
  <si>
    <t>Yu et al., 2011. J Exp Mar Biol Ecol</t>
  </si>
  <si>
    <t>Stumpp et al., 2011b. Comp Biochem Physiol A</t>
  </si>
  <si>
    <t>Matson et al., 2012. Biol Bull</t>
  </si>
  <si>
    <t>Yu et al., 2013. Plos One</t>
  </si>
  <si>
    <t>Padilla-Gamino et al., 2013. Proc R Soc B</t>
  </si>
  <si>
    <t>Challener et al., 2013. J Appl Aquacult</t>
  </si>
  <si>
    <t>Dorey et al., 2013. Glob Change Biol</t>
  </si>
  <si>
    <t>Stumpp et al., 2013. Nat Clim Change</t>
  </si>
  <si>
    <t>Garcia et al., 2015. Mar Biol</t>
  </si>
  <si>
    <t>Pan et al., 2015. PNAS</t>
  </si>
  <si>
    <t>Chan et al., 2015. Sci Rep</t>
  </si>
  <si>
    <t>Visconti et al., 2017. ICES J Mar Sci</t>
  </si>
  <si>
    <t>Dorey et al., 2018. Aquat Toxicol</t>
  </si>
  <si>
    <t>Lee et al., 2019. Comp Biochem Physiol A</t>
  </si>
  <si>
    <t>Chan and Tong, 2020. Conserv Physiol</t>
  </si>
  <si>
    <t>Garrett et al., 2020. Integr Comp Biol</t>
  </si>
  <si>
    <t>Hernandez et al., 2020. J Plankton Res</t>
  </si>
  <si>
    <t>Lytechinus pictus</t>
  </si>
  <si>
    <t>Echinometra spp. C</t>
  </si>
  <si>
    <t>Heliocidaris crassispina</t>
  </si>
  <si>
    <t>Overall length</t>
  </si>
  <si>
    <t>Total larval skeleton</t>
  </si>
  <si>
    <t>Total length of calcite rod</t>
  </si>
  <si>
    <t>Larval height</t>
  </si>
  <si>
    <t>Rod length</t>
  </si>
  <si>
    <t>Total larval length</t>
  </si>
  <si>
    <t>Overall body length</t>
  </si>
  <si>
    <t>Growth rate of body length</t>
  </si>
  <si>
    <t>Total arm length</t>
  </si>
  <si>
    <t>Body length growth rate</t>
  </si>
  <si>
    <t>Larval body length</t>
  </si>
  <si>
    <t>Length of body rod</t>
  </si>
  <si>
    <t>Larval body growth rate</t>
  </si>
  <si>
    <t>Doo et al., 2012. ICES J Mar Sci</t>
  </si>
  <si>
    <t>Catarino et al., 2012. Polar Biol</t>
  </si>
  <si>
    <t>Byrne et al., 2013. J Exp Mar Biol Ecol</t>
  </si>
  <si>
    <t>Foo et al., 2020. Sci Total Environ</t>
  </si>
  <si>
    <t>Arbacia dufresnei</t>
  </si>
  <si>
    <t>Postoral arm length</t>
  </si>
  <si>
    <t>Larval Post-oral arms</t>
  </si>
  <si>
    <t>Post oral arm length</t>
  </si>
  <si>
    <t>Post-oral arms</t>
  </si>
  <si>
    <t>Postoral rod length</t>
  </si>
  <si>
    <t>Post-oral arm length</t>
  </si>
  <si>
    <t>Post oral rod length</t>
  </si>
  <si>
    <t>Postoral arm rod length</t>
  </si>
  <si>
    <t>Post oral length</t>
  </si>
  <si>
    <t>Post-oral arm growth rate</t>
  </si>
  <si>
    <t>Average rod length (arm)</t>
  </si>
  <si>
    <t>Arm length</t>
  </si>
  <si>
    <t>Foo et al., 2012. Plos One</t>
  </si>
  <si>
    <t>Hardy and Byrne, 2014. Mar Environ Res</t>
  </si>
  <si>
    <t>Foo et al., 2016. Mar Biol</t>
  </si>
  <si>
    <t>Embryonic development (8 cells)</t>
  </si>
  <si>
    <t>Gastrulation</t>
  </si>
  <si>
    <t>Normal coeloblastula</t>
  </si>
  <si>
    <t>Gastrulae</t>
  </si>
  <si>
    <t>Blastulae</t>
  </si>
  <si>
    <t>Proportion pluteus</t>
  </si>
  <si>
    <t>Embryo development (Early pleuteus)</t>
  </si>
  <si>
    <t>Normal embryo development</t>
  </si>
  <si>
    <t>Normal embryonic development</t>
  </si>
  <si>
    <t>Number of embryos per egg (16-cell stage)</t>
  </si>
  <si>
    <t>Normal blastulae</t>
  </si>
  <si>
    <t>Normal embryos</t>
  </si>
  <si>
    <t>Pluteus development rate</t>
  </si>
  <si>
    <t>Abnormal embryos</t>
  </si>
  <si>
    <t>Abnormal embryos (8-cell stage)</t>
  </si>
  <si>
    <t>Byrne et al., 2013. Glob Change Biol</t>
  </si>
  <si>
    <t>Larvae developmental success</t>
  </si>
  <si>
    <t>Echinoplutei</t>
  </si>
  <si>
    <t>Pluteus larvae</t>
  </si>
  <si>
    <t>Larval development (4 arms)</t>
  </si>
  <si>
    <t>Larval development (normal larvae)</t>
  </si>
  <si>
    <t>Larval development (normal echinoplutei)</t>
  </si>
  <si>
    <t>Normal larval development</t>
  </si>
  <si>
    <t>Larval development (8 arms)</t>
  </si>
  <si>
    <t>Larval development (pluteus)</t>
  </si>
  <si>
    <t>Larval development success</t>
  </si>
  <si>
    <t>Dorey et al., 2018. J Environ Radioact</t>
  </si>
  <si>
    <t>Li et al., 2020. Sci Total Environ</t>
  </si>
  <si>
    <t>Larval daily survival</t>
  </si>
  <si>
    <t>Larval density (survival)</t>
  </si>
  <si>
    <t>Larval relative survival rate</t>
  </si>
  <si>
    <t>Larval survival (4-armed)</t>
  </si>
  <si>
    <t>Survival</t>
    <phoneticPr fontId="19" type="noConversion"/>
  </si>
  <si>
    <t>Arm asymmetry</t>
  </si>
  <si>
    <t>Aymmetry index</t>
  </si>
  <si>
    <t>Postoral arm difference (asymmetry)</t>
  </si>
  <si>
    <t>Larval arm asymmetry</t>
  </si>
  <si>
    <t>Arm asymetry</t>
  </si>
  <si>
    <t xml:space="preserve">Arm asymmetry </t>
  </si>
  <si>
    <t>Asymmetry</t>
  </si>
  <si>
    <t>Larval asymmetry</t>
  </si>
  <si>
    <t>Asymmetry index</t>
  </si>
  <si>
    <t>Inorganic weight</t>
  </si>
  <si>
    <t>Physiology</t>
    <phoneticPr fontId="19" type="noConversion"/>
  </si>
  <si>
    <t>Wong and Hofmann, 2020. Mar Biol</t>
  </si>
  <si>
    <t>Egilsdottir et al. 2009. Mar Pollut Bull</t>
  </si>
  <si>
    <t>Arnberg et al., 2013. Mar Biol</t>
  </si>
  <si>
    <t>Swiney et al., 2016. ICES J Mar Sci</t>
  </si>
  <si>
    <t>Ceballos-Osuna et al., 2013. J Exp Biol</t>
  </si>
  <si>
    <t>Miller et al., 2016. Mar Biol</t>
  </si>
  <si>
    <t>Crustacean larvae</t>
    <phoneticPr fontId="19" type="noConversion"/>
  </si>
  <si>
    <t>Echinogammarus marinus</t>
  </si>
  <si>
    <t>Chionoecetes bairdi</t>
  </si>
  <si>
    <t>Petrolisthes cinctipes</t>
  </si>
  <si>
    <t>Cancer magister</t>
  </si>
  <si>
    <t>Hatchling number</t>
  </si>
  <si>
    <t>Larval hatching</t>
  </si>
  <si>
    <t>Reproduction</t>
    <phoneticPr fontId="19" type="noConversion"/>
  </si>
  <si>
    <t>Waller et al., 2017. ICES J Mar Sci</t>
  </si>
  <si>
    <t>Walther et al., 2010. Mar Ecol Prog Ser</t>
  </si>
  <si>
    <t>Schiffer et al., 2013. Mar Biol</t>
  </si>
  <si>
    <t>Schiffer et al., 2014. Mar Ecol Prog Ser</t>
  </si>
  <si>
    <t>Larval development (Stage IV)</t>
  </si>
  <si>
    <t>Developmental period</t>
  </si>
  <si>
    <t>Median developmental time</t>
  </si>
  <si>
    <t>Larval development to moulting</t>
  </si>
  <si>
    <t>Development</t>
    <phoneticPr fontId="19" type="noConversion"/>
  </si>
  <si>
    <t>Arnold et al. 2009. Biogeosciences</t>
  </si>
  <si>
    <t>Agnalt et al., 2013. Biogeosciences</t>
  </si>
  <si>
    <t>Rato et al., 2017. Comp Biochem Physiol C</t>
  </si>
  <si>
    <t>Giltz and Taylor, 2017. J Shellfish Res</t>
  </si>
  <si>
    <t>Callinectes sapidus</t>
  </si>
  <si>
    <t>Larval Carapace length</t>
  </si>
  <si>
    <t>Carapace length of larvae</t>
  </si>
  <si>
    <t>Mean carapace length</t>
  </si>
  <si>
    <t>Carapace length (Stage III)</t>
  </si>
  <si>
    <t>Carapace length</t>
  </si>
  <si>
    <t>Average size</t>
  </si>
  <si>
    <t>Growth</t>
    <phoneticPr fontId="19" type="noConversion"/>
  </si>
  <si>
    <t>Carter et al., 2013. J Exp Biol</t>
  </si>
  <si>
    <t>Mean dry weight</t>
  </si>
  <si>
    <t>Wet mass (Stage III)</t>
  </si>
  <si>
    <t>Larval dry mass</t>
  </si>
  <si>
    <t>Long et al., 2013. Mar Pollut Bull</t>
  </si>
  <si>
    <t>Schiffer et al., 2014. Front Zool</t>
  </si>
  <si>
    <t>Gravinese et al., 2018. Estuar Coast Shelf Sci</t>
  </si>
  <si>
    <t>Tomatsuri and Kon, 2019. Aquat Ecol</t>
  </si>
  <si>
    <t>Paralithodes camtschaticus</t>
  </si>
  <si>
    <t>Pagurus filholi</t>
  </si>
  <si>
    <t>Clibanarius virescens</t>
  </si>
  <si>
    <t>Zoea I survival time</t>
  </si>
  <si>
    <t>Zoea II survival time</t>
  </si>
  <si>
    <t>Larval survival (zoea I)</t>
  </si>
  <si>
    <t>Larval survival (zoea II)</t>
  </si>
  <si>
    <t>Zoeae survival</t>
  </si>
  <si>
    <t>Wood et al., 2015. J Exp Mar Biol Ecol</t>
  </si>
  <si>
    <t>Walther et al., 2011. Mar Biol</t>
  </si>
  <si>
    <t>Shell Ca2+ dry mass in new carapace</t>
  </si>
  <si>
    <t>Shell Ca2+ dry mass in larvae</t>
  </si>
  <si>
    <t>Magnesium content</t>
  </si>
  <si>
    <t>Shell Mg2+ dry mass in new carapace</t>
  </si>
  <si>
    <t>Shell Mg2+ dry mass in larvae</t>
  </si>
  <si>
    <t>Larval oxygen consumption rate</t>
  </si>
  <si>
    <t>Oxygen consumption rate (Stage IV)</t>
  </si>
  <si>
    <t>Electron transport system activity (metabolism)</t>
  </si>
  <si>
    <t>Larval heart rate</t>
  </si>
  <si>
    <t>Larval metabolic rate</t>
  </si>
  <si>
    <t>Zoea I respiration rate</t>
  </si>
  <si>
    <t>Rosa et al., 2014. J Exp Biol</t>
  </si>
  <si>
    <t>Rosa et al., 2013. Proc R Soc B</t>
  </si>
  <si>
    <t>Spady et al., 2020. Mar Environ Res</t>
  </si>
  <si>
    <t>Cephalopod larvae</t>
    <phoneticPr fontId="19" type="noConversion"/>
  </si>
  <si>
    <t>Development time</t>
  </si>
  <si>
    <t>Sepia officinalis</t>
  </si>
  <si>
    <t>Idiosepius pygmaeus</t>
  </si>
  <si>
    <t>Hu et al., 2011. Am J Physiol Regul Integr Comp Physiol</t>
  </si>
  <si>
    <t>Hu et al., 2013. Front Zool</t>
  </si>
  <si>
    <t>Dorey et al., 2013. Mar Biol</t>
  </si>
  <si>
    <t>Sigwart et al., 2016. ICES J Mar Sci</t>
  </si>
  <si>
    <t>Sepioteuthis lessoniana</t>
  </si>
  <si>
    <t>Body mass of embryo</t>
  </si>
  <si>
    <t>Body weight</t>
  </si>
  <si>
    <t>Body dry weight (Embryo)</t>
  </si>
  <si>
    <t>Zakroff et al., 2019. Mar Biol</t>
  </si>
  <si>
    <t>Dorsal mantle length of embryo</t>
  </si>
  <si>
    <t>Specific growth rate (length)</t>
  </si>
  <si>
    <t>Mantle length</t>
  </si>
  <si>
    <t>Head width</t>
  </si>
  <si>
    <t>Dorsal mantle length</t>
  </si>
  <si>
    <t>Routine metabolic rates (embryo)</t>
  </si>
  <si>
    <t>Routine metabolic rates (pre-hatching)</t>
  </si>
  <si>
    <t>Oxygen consumption (late embryos)</t>
  </si>
  <si>
    <t>Respiration rate (Embryos)</t>
  </si>
  <si>
    <t>pH of perivitelline fluid</t>
  </si>
  <si>
    <t>Perivitelline fluid pH</t>
  </si>
  <si>
    <t>Perivitelline fluid pH (embryo)</t>
  </si>
  <si>
    <t>Perivitelline fluid pH (pre-hatching)</t>
  </si>
  <si>
    <t>Zooplankton</t>
    <phoneticPr fontId="19" type="noConversion"/>
  </si>
  <si>
    <t>Urchin larvae</t>
    <phoneticPr fontId="19" type="noConversion"/>
  </si>
  <si>
    <t>T</t>
    <phoneticPr fontId="19" type="noConversion"/>
  </si>
  <si>
    <t>Reproduction</t>
    <phoneticPr fontId="19" type="noConversion"/>
  </si>
  <si>
    <t>TpH</t>
    <phoneticPr fontId="19" type="noConversion"/>
  </si>
  <si>
    <t>Cleavage</t>
  </si>
  <si>
    <t>Cleavage</t>
    <phoneticPr fontId="19" type="noConversion"/>
  </si>
  <si>
    <t>Gastrulation</t>
    <phoneticPr fontId="19" type="noConversion"/>
  </si>
  <si>
    <t>Cephalopod larvae</t>
    <phoneticPr fontId="19" type="noConversion"/>
  </si>
  <si>
    <t>Lacoue-Labarthe et al. 2009. Biogeosciences</t>
  </si>
  <si>
    <t>Egg weight</t>
  </si>
  <si>
    <t>Hatchling weight</t>
  </si>
  <si>
    <t>Hatchling weight</t>
    <phoneticPr fontId="19" type="noConversion"/>
  </si>
  <si>
    <t>Byrne et al., 2010. Mar Biol</t>
    <phoneticPr fontId="36" type="noConversion"/>
  </si>
  <si>
    <t>Byrne et al. 2010. Proc R Soc B</t>
  </si>
  <si>
    <t>Byrne et al. 2011. Proc R Soc B</t>
  </si>
  <si>
    <t>Byrne et al. 2012. Proc R Soc B</t>
  </si>
  <si>
    <t>Byrne et al. 2013. Proc R Soc B</t>
  </si>
  <si>
    <t>Byrne et al. 2014. Proc R Soc B</t>
  </si>
  <si>
    <t>Byrne et al. 2015. Proc R Soc B</t>
  </si>
  <si>
    <t>Byrne et al. 2016. Proc R Soc B</t>
  </si>
  <si>
    <t>Byrne et al. 2017. Proc R Soc B</t>
  </si>
  <si>
    <t>Anlauf et al., 2011. J Exp Mar Biol Ecol</t>
    <phoneticPr fontId="36" type="noConversion"/>
  </si>
  <si>
    <t>Coral larvae</t>
    <phoneticPr fontId="19" type="noConversion"/>
  </si>
  <si>
    <t>Development</t>
    <phoneticPr fontId="36" type="noConversion"/>
  </si>
  <si>
    <t>Development</t>
    <phoneticPr fontId="19" type="noConversion"/>
  </si>
  <si>
    <t>Walther et al., 2011. Mar Biol</t>
    <phoneticPr fontId="36" type="noConversion"/>
  </si>
  <si>
    <t>Crab larvae</t>
    <phoneticPr fontId="19" type="noConversion"/>
  </si>
  <si>
    <t>Calcium content</t>
    <phoneticPr fontId="36" type="noConversion"/>
  </si>
  <si>
    <t>T1</t>
    <phoneticPr fontId="19" type="noConversion"/>
  </si>
  <si>
    <t>TpH1</t>
    <phoneticPr fontId="19" type="noConversion"/>
  </si>
  <si>
    <t>TpH2</t>
    <phoneticPr fontId="19" type="noConversion"/>
  </si>
  <si>
    <t>T2</t>
    <phoneticPr fontId="19" type="noConversion"/>
  </si>
  <si>
    <t>Calcification</t>
    <phoneticPr fontId="36" type="noConversion"/>
  </si>
  <si>
    <t>Calcification</t>
    <phoneticPr fontId="19" type="noConversion"/>
  </si>
  <si>
    <t>Byrne et al., 2011. Proc R Soc B</t>
    <phoneticPr fontId="36" type="noConversion"/>
  </si>
  <si>
    <t>Gastropod larvae</t>
    <phoneticPr fontId="19" type="noConversion"/>
  </si>
  <si>
    <t>Calcified veliger larvae</t>
    <phoneticPr fontId="36" type="noConversion"/>
  </si>
  <si>
    <t>Talmage and Gobler, 2011. Plos One</t>
    <phoneticPr fontId="36" type="noConversion"/>
  </si>
  <si>
    <t>Bivalve larvae</t>
    <phoneticPr fontId="19" type="noConversion"/>
  </si>
  <si>
    <t>Metamorphosis</t>
    <phoneticPr fontId="36" type="noConversion"/>
  </si>
  <si>
    <t>Development</t>
    <phoneticPr fontId="19" type="noConversion"/>
  </si>
  <si>
    <t>Survival of larvae</t>
    <phoneticPr fontId="19" type="noConversion"/>
  </si>
  <si>
    <t xml:space="preserve">Survival </t>
    <phoneticPr fontId="19" type="noConversion"/>
  </si>
  <si>
    <t>Diameter of larvae</t>
    <phoneticPr fontId="19" type="noConversion"/>
  </si>
  <si>
    <t>Growth</t>
    <phoneticPr fontId="36" type="noConversion"/>
  </si>
  <si>
    <t>Growth</t>
    <phoneticPr fontId="19" type="noConversion"/>
  </si>
  <si>
    <t>Biota_C</t>
    <phoneticPr fontId="19" type="noConversion"/>
  </si>
  <si>
    <t>Sinutok et al., 2011. Limnol Oceanogr</t>
    <phoneticPr fontId="36" type="noConversion"/>
  </si>
  <si>
    <t>T3</t>
    <phoneticPr fontId="19" type="noConversion"/>
  </si>
  <si>
    <t>Chl a content</t>
    <phoneticPr fontId="36" type="noConversion"/>
  </si>
  <si>
    <t>Calcification rate</t>
    <phoneticPr fontId="36" type="noConversion"/>
  </si>
  <si>
    <t>Crystal width</t>
    <phoneticPr fontId="36" type="noConversion"/>
  </si>
  <si>
    <t>Physiology</t>
    <phoneticPr fontId="36" type="noConversion"/>
  </si>
  <si>
    <t>Physiology</t>
    <phoneticPr fontId="19" type="noConversion"/>
  </si>
  <si>
    <t>Oxygen production</t>
    <phoneticPr fontId="19" type="noConversion"/>
  </si>
  <si>
    <t>Sea star larvae</t>
    <phoneticPr fontId="19" type="noConversion"/>
  </si>
  <si>
    <t>Gastropod larvae</t>
    <phoneticPr fontId="19" type="noConversion"/>
  </si>
  <si>
    <t>Pteropod</t>
    <phoneticPr fontId="36" type="noConversion"/>
  </si>
  <si>
    <t>Padilla-Gamiño JL, Kelly MW, Evans TJ, Hofmann GE</t>
    <phoneticPr fontId="19" type="noConversion"/>
  </si>
  <si>
    <t>Respiration rate</t>
    <phoneticPr fontId="19" type="noConversion"/>
  </si>
  <si>
    <t>CaCO3 precipitated</t>
    <phoneticPr fontId="19" type="noConversion"/>
  </si>
  <si>
    <t>Normal larvae</t>
    <phoneticPr fontId="19" type="noConversion"/>
  </si>
  <si>
    <t>Arm asymmetry</t>
    <phoneticPr fontId="19" type="noConversion"/>
  </si>
  <si>
    <t>Post oral arm length</t>
    <phoneticPr fontId="19" type="noConversion"/>
  </si>
  <si>
    <t>Total length of calcite rod</t>
    <phoneticPr fontId="19" type="noConversion"/>
  </si>
  <si>
    <t>Crab larvae</t>
    <phoneticPr fontId="19" type="noConversion"/>
  </si>
  <si>
    <t>Parker et al., 2010. Mar Biol</t>
    <phoneticPr fontId="36" type="noConversion"/>
  </si>
  <si>
    <t>Oyster larvae</t>
    <phoneticPr fontId="19" type="noConversion"/>
  </si>
  <si>
    <t>Abnormality</t>
    <phoneticPr fontId="19" type="noConversion"/>
  </si>
  <si>
    <t>Time to first hatch — days</t>
    <phoneticPr fontId="36" type="noConversion"/>
  </si>
  <si>
    <t>Pansch et al., 2012. J Exp Mar Biol Ecol</t>
    <phoneticPr fontId="36" type="noConversion"/>
  </si>
  <si>
    <t>Metamorphosis success</t>
    <phoneticPr fontId="36" type="noConversion"/>
  </si>
  <si>
    <t>Larval duration</t>
  </si>
  <si>
    <t>Final survival</t>
  </si>
  <si>
    <t>Larval survival</t>
    <phoneticPr fontId="19" type="noConversion"/>
  </si>
  <si>
    <t>Survival</t>
    <phoneticPr fontId="19" type="noConversion"/>
  </si>
  <si>
    <t>Larval duration</t>
    <phoneticPr fontId="19" type="noConversion"/>
  </si>
  <si>
    <t>Final settlement</t>
    <phoneticPr fontId="19" type="noConversion"/>
  </si>
  <si>
    <t>Ericson et al., 2012. Polar Biol</t>
    <phoneticPr fontId="36" type="noConversion"/>
  </si>
  <si>
    <t>Barnacle larvae</t>
    <phoneticPr fontId="19" type="noConversion"/>
  </si>
  <si>
    <t>Normal cleavage</t>
  </si>
  <si>
    <t>Normal cleavage</t>
    <phoneticPr fontId="19" type="noConversion"/>
  </si>
  <si>
    <t>Blastulae</t>
    <phoneticPr fontId="19" type="noConversion"/>
  </si>
  <si>
    <t>Larval shell area</t>
    <phoneticPr fontId="19" type="noConversion"/>
  </si>
  <si>
    <t>Calcification</t>
    <phoneticPr fontId="19" type="noConversion"/>
  </si>
  <si>
    <t>Protein content</t>
    <phoneticPr fontId="36" type="noConversion"/>
  </si>
  <si>
    <t>Larval respiration rate</t>
    <phoneticPr fontId="36" type="noConversion"/>
  </si>
  <si>
    <t>Proportional survival</t>
  </si>
  <si>
    <t>Larval respiration rate</t>
    <phoneticPr fontId="19" type="noConversion"/>
  </si>
  <si>
    <t>Symbiodinium density</t>
    <phoneticPr fontId="19" type="noConversion"/>
  </si>
  <si>
    <t>Proportional survival</t>
    <phoneticPr fontId="19" type="noConversion"/>
  </si>
  <si>
    <t>无误差棒</t>
    <phoneticPr fontId="36" type="noConversion"/>
  </si>
  <si>
    <t>Mytilus galloprovincialis</t>
    <phoneticPr fontId="36" type="noConversion"/>
  </si>
  <si>
    <t>Mussel larvae</t>
    <phoneticPr fontId="19" type="noConversion"/>
  </si>
  <si>
    <t>Shrimp larvae</t>
    <phoneticPr fontId="19" type="noConversion"/>
  </si>
  <si>
    <t>Larval development</t>
  </si>
  <si>
    <t>Feeding rate (Artemia eaten)</t>
  </si>
  <si>
    <t>Fertilization success</t>
    <phoneticPr fontId="19" type="noConversion"/>
  </si>
  <si>
    <t>Hatching time</t>
    <phoneticPr fontId="19" type="noConversion"/>
  </si>
  <si>
    <t>Feeding rate (Artemia eaten)</t>
    <phoneticPr fontId="19" type="noConversion"/>
  </si>
  <si>
    <t>Behaviour</t>
    <phoneticPr fontId="36" type="noConversion"/>
  </si>
  <si>
    <t>Behaviour</t>
    <phoneticPr fontId="19" type="noConversion"/>
  </si>
  <si>
    <t>Routine Respiration</t>
    <phoneticPr fontId="36" type="noConversion"/>
  </si>
  <si>
    <t>Dorey et al., 2013. Mar Biol</t>
    <phoneticPr fontId="36" type="noConversion"/>
  </si>
  <si>
    <t>Cuttlefish larvae</t>
    <phoneticPr fontId="19" type="noConversion"/>
  </si>
  <si>
    <t>Egg fresh weight</t>
  </si>
  <si>
    <t>Cuttlebone weight (Embryo)</t>
  </si>
  <si>
    <t>Ca content (Embryo)</t>
  </si>
  <si>
    <t>Perivitelline fluid pH</t>
    <phoneticPr fontId="19" type="noConversion"/>
  </si>
  <si>
    <t>Egg fresh weight</t>
    <phoneticPr fontId="19" type="noConversion"/>
  </si>
  <si>
    <t>Cuttlebone weight (Embryo)</t>
    <phoneticPr fontId="19" type="noConversion"/>
  </si>
  <si>
    <t>Rosa et al., 2013. Proc R Soc B</t>
    <phoneticPr fontId="36" type="noConversion"/>
  </si>
  <si>
    <t>Photochemical efficiency</t>
  </si>
  <si>
    <t>RNA/DNA</t>
  </si>
  <si>
    <t>HSP 70</t>
  </si>
  <si>
    <t>Proportion gastrula to reach maximum</t>
    <phoneticPr fontId="36" type="noConversion"/>
  </si>
  <si>
    <t>Survival of embryos</t>
  </si>
  <si>
    <t>Premature hatching</t>
  </si>
  <si>
    <t>RNA/DNA</t>
    <phoneticPr fontId="19" type="noConversion"/>
  </si>
  <si>
    <t>HSP 70</t>
    <phoneticPr fontId="19" type="noConversion"/>
  </si>
  <si>
    <t>Development time</t>
    <phoneticPr fontId="19" type="noConversion"/>
  </si>
  <si>
    <t xml:space="preserve">Development </t>
  </si>
  <si>
    <t>Premature hatching</t>
    <phoneticPr fontId="19" type="noConversion"/>
  </si>
  <si>
    <t>Reproduction</t>
    <phoneticPr fontId="36" type="noConversion"/>
  </si>
  <si>
    <t>Reproduction</t>
    <phoneticPr fontId="19" type="noConversion"/>
  </si>
  <si>
    <t>Routine metabolic rates (embryo)</t>
    <phoneticPr fontId="19" type="noConversion"/>
  </si>
  <si>
    <t>图1，趋势图</t>
    <phoneticPr fontId="36" type="noConversion"/>
  </si>
  <si>
    <t>Larval development (normal prism)</t>
  </si>
  <si>
    <t>Postoral to mid line body length ratio</t>
  </si>
  <si>
    <t>Postoral arm symmetry</t>
    <phoneticPr fontId="36" type="noConversion"/>
  </si>
  <si>
    <t>Postoral arm symmetry</t>
  </si>
  <si>
    <t>Larval development (normal prism)</t>
    <phoneticPr fontId="19" type="noConversion"/>
  </si>
  <si>
    <t>Postoral to mid line body length ratio</t>
    <phoneticPr fontId="19" type="noConversion"/>
  </si>
  <si>
    <t>仅单一数据，无SD</t>
    <phoneticPr fontId="36" type="noConversion"/>
  </si>
  <si>
    <t>Davis et al., 2013. Plos One</t>
  </si>
  <si>
    <t>Embryonic mortality</t>
  </si>
  <si>
    <t>Development stage</t>
  </si>
  <si>
    <t>Embryonic mortality</t>
    <phoneticPr fontId="19" type="noConversion"/>
  </si>
  <si>
    <t>Survival</t>
    <phoneticPr fontId="36" type="noConversion"/>
  </si>
  <si>
    <t>Development stage</t>
    <phoneticPr fontId="19" type="noConversion"/>
  </si>
  <si>
    <t xml:space="preserve">Development </t>
    <phoneticPr fontId="19" type="noConversion"/>
  </si>
  <si>
    <t>Larval development (pluteus larvae)</t>
    <phoneticPr fontId="36" type="noConversion"/>
  </si>
  <si>
    <t>Larval development (pluteus larvae)</t>
  </si>
  <si>
    <t>SE ,无n—折线图</t>
    <phoneticPr fontId="36" type="noConversion"/>
  </si>
  <si>
    <t>Normal embryo development</t>
    <phoneticPr fontId="36" type="noConversion"/>
  </si>
  <si>
    <t>Prisms and early larvae</t>
    <phoneticPr fontId="36" type="noConversion"/>
  </si>
  <si>
    <t>Oxygen consumption</t>
    <phoneticPr fontId="19" type="noConversion"/>
  </si>
  <si>
    <t>Hatching success</t>
    <phoneticPr fontId="19" type="noConversion"/>
  </si>
  <si>
    <t>Gastrulation</t>
    <phoneticPr fontId="19" type="noConversion"/>
  </si>
  <si>
    <t>Abnormal embryos</t>
    <phoneticPr fontId="19" type="noConversion"/>
  </si>
  <si>
    <t>Iguchi et al., 2014. Zygote</t>
    <phoneticPr fontId="36" type="noConversion"/>
  </si>
  <si>
    <t>Calcifiation rate</t>
    <phoneticPr fontId="36" type="noConversion"/>
  </si>
  <si>
    <t>Calcifiation rate</t>
  </si>
  <si>
    <t>Oxygen flux</t>
  </si>
  <si>
    <t>Calcifiation</t>
    <phoneticPr fontId="19" type="noConversion"/>
  </si>
  <si>
    <t>Oxygen flux</t>
    <phoneticPr fontId="19" type="noConversion"/>
  </si>
  <si>
    <t>Abnormal embryo development</t>
    <phoneticPr fontId="19" type="noConversion"/>
  </si>
  <si>
    <t>Coral larvae</t>
    <phoneticPr fontId="19" type="noConversion"/>
  </si>
  <si>
    <t>Larval survival</t>
    <phoneticPr fontId="36" type="noConversion"/>
  </si>
  <si>
    <t>Stomach volume</t>
  </si>
  <si>
    <t>Stomach volume</t>
    <phoneticPr fontId="36" type="noConversion"/>
  </si>
  <si>
    <t>Body length</t>
    <phoneticPr fontId="19" type="noConversion"/>
  </si>
  <si>
    <t>Larval settlement</t>
    <phoneticPr fontId="19" type="noConversion"/>
  </si>
  <si>
    <t>Fertilization success</t>
    <phoneticPr fontId="36" type="noConversion"/>
  </si>
  <si>
    <t>Larval development (16-cell stage)</t>
  </si>
  <si>
    <t>Larval development (16-cell stage)</t>
    <phoneticPr fontId="19" type="noConversion"/>
  </si>
  <si>
    <t>Larval duration to reach cypris instar</t>
    <phoneticPr fontId="36" type="noConversion"/>
  </si>
  <si>
    <t>Larval duration to reach cypris instar</t>
  </si>
  <si>
    <t>Mortality</t>
  </si>
  <si>
    <t>Cyprid length</t>
  </si>
  <si>
    <t>Cyprid width</t>
  </si>
  <si>
    <t>RNA:DNA ratio (Cyprid)</t>
  </si>
  <si>
    <t>Mortality</t>
    <phoneticPr fontId="19" type="noConversion"/>
  </si>
  <si>
    <t>Cyprid length</t>
    <phoneticPr fontId="19" type="noConversion"/>
  </si>
  <si>
    <t>Metamorphosis</t>
    <phoneticPr fontId="19" type="noConversion"/>
  </si>
  <si>
    <t>Larval area</t>
    <phoneticPr fontId="36" type="noConversion"/>
  </si>
  <si>
    <t>Larval length</t>
    <phoneticPr fontId="19" type="noConversion"/>
  </si>
  <si>
    <t>Symbiont density</t>
    <phoneticPr fontId="19" type="noConversion"/>
  </si>
  <si>
    <t>Lefevre et al., 2015. J Exp Biol</t>
  </si>
  <si>
    <t>Suckling et al., 2015. J Anim Ecol</t>
    <phoneticPr fontId="36" type="noConversion"/>
  </si>
  <si>
    <t>Gibberulus gibberulus gibbosus</t>
  </si>
  <si>
    <t>Gibberulus gibberulus gibbosus</t>
    <phoneticPr fontId="36" type="noConversion"/>
  </si>
  <si>
    <t>Resting oxygen uptake</t>
  </si>
  <si>
    <t>Maximum oxygen uptake</t>
  </si>
  <si>
    <t>Absolute aerobic scope</t>
  </si>
  <si>
    <t>Larval development (pluteus)</t>
    <phoneticPr fontId="19" type="noConversion"/>
  </si>
  <si>
    <t>Resting oxygen uptake</t>
    <phoneticPr fontId="19" type="noConversion"/>
  </si>
  <si>
    <t>Absolute aerobic scope</t>
    <phoneticPr fontId="19" type="noConversion"/>
  </si>
  <si>
    <t>Settlement</t>
    <phoneticPr fontId="19" type="noConversion"/>
  </si>
  <si>
    <t>Lowt/high  temperature control</t>
    <phoneticPr fontId="19" type="noConversion"/>
  </si>
  <si>
    <t>Comeau et al., 2016. Coral Reefs</t>
    <phoneticPr fontId="36" type="noConversion"/>
  </si>
  <si>
    <t>Comeau et al., 2016. Coral Reefs</t>
  </si>
  <si>
    <t>Acropora pulchra</t>
    <phoneticPr fontId="36" type="noConversion"/>
  </si>
  <si>
    <t>Acropora pulchra</t>
  </si>
  <si>
    <t>Birefringence (calcification)</t>
    <phoneticPr fontId="36" type="noConversion"/>
  </si>
  <si>
    <t>ATP-synthase expression</t>
  </si>
  <si>
    <t>Shell matrix protein expression</t>
  </si>
  <si>
    <t>SOD expression</t>
  </si>
  <si>
    <t>Calcification rate</t>
    <phoneticPr fontId="19" type="noConversion"/>
  </si>
  <si>
    <t>Larval size</t>
    <phoneticPr fontId="19" type="noConversion"/>
  </si>
  <si>
    <t>Embryo cleavage success</t>
  </si>
  <si>
    <t>Embryo cleavage success</t>
    <phoneticPr fontId="19" type="noConversion"/>
  </si>
  <si>
    <t>Normal blastulae</t>
    <phoneticPr fontId="19" type="noConversion"/>
  </si>
  <si>
    <t>Larval shell length</t>
    <phoneticPr fontId="19" type="noConversion"/>
  </si>
  <si>
    <t>Larval development (eyed larvae)</t>
    <phoneticPr fontId="19" type="noConversion"/>
  </si>
  <si>
    <t>Abnormal larvae</t>
    <phoneticPr fontId="19" type="noConversion"/>
  </si>
  <si>
    <t>Larval mortality</t>
    <phoneticPr fontId="19" type="noConversion"/>
  </si>
  <si>
    <t>Clearance rate</t>
    <phoneticPr fontId="19" type="noConversion"/>
  </si>
  <si>
    <t>Ordoñez et al., 2017. Plos One</t>
    <phoneticPr fontId="36" type="noConversion"/>
  </si>
  <si>
    <t>Coralline algae</t>
  </si>
  <si>
    <t>Porolithon cf. onkodes</t>
  </si>
  <si>
    <t>Spore germination success</t>
    <phoneticPr fontId="36" type="noConversion"/>
  </si>
  <si>
    <t>Spore germination success</t>
  </si>
  <si>
    <t>Abnormal germling development</t>
    <phoneticPr fontId="36" type="noConversion"/>
  </si>
  <si>
    <t>Abnormal germling development</t>
  </si>
  <si>
    <t>Germling growth</t>
    <phoneticPr fontId="36" type="noConversion"/>
  </si>
  <si>
    <t>Germling growth</t>
  </si>
  <si>
    <t>Coverage</t>
    <phoneticPr fontId="36" type="noConversion"/>
  </si>
  <si>
    <t>Coverage</t>
  </si>
  <si>
    <t>Control :pH 7.81 to 8.01; medium:pH 7.82–7.91; high:pH  7.67–7.70</t>
    <phoneticPr fontId="36" type="noConversion"/>
  </si>
  <si>
    <t>Bylenga et al., 2017. Plos One</t>
    <phoneticPr fontId="36" type="noConversion"/>
  </si>
  <si>
    <t>Larval malformation</t>
    <phoneticPr fontId="36" type="noConversion"/>
  </si>
  <si>
    <t>Prodissoconch I length</t>
    <phoneticPr fontId="36" type="noConversion"/>
  </si>
  <si>
    <t>Larval malformation</t>
    <phoneticPr fontId="19" type="noConversion"/>
  </si>
  <si>
    <t>Shell damage</t>
    <phoneticPr fontId="19" type="noConversion"/>
  </si>
  <si>
    <t>Control :pH 7.98; medium:pH 7.80; high:pH  7.65</t>
    <phoneticPr fontId="36" type="noConversion"/>
  </si>
  <si>
    <t>Waller et al., 2017. ICES J Mar Sci</t>
    <phoneticPr fontId="36" type="noConversion"/>
  </si>
  <si>
    <t>Lobster larvae</t>
    <phoneticPr fontId="19" type="noConversion"/>
  </si>
  <si>
    <t>Larval development (Stage IV)</t>
    <phoneticPr fontId="36" type="noConversion"/>
  </si>
  <si>
    <t>Dry mass (Stage III)</t>
    <phoneticPr fontId="36" type="noConversion"/>
  </si>
  <si>
    <t>Dry mass (Stage III)</t>
  </si>
  <si>
    <t>Oxygen consumption rate (Stage IV)</t>
    <phoneticPr fontId="36" type="noConversion"/>
  </si>
  <si>
    <t>Larval feeding rate (Stage IV)</t>
    <phoneticPr fontId="36" type="noConversion"/>
  </si>
  <si>
    <t>Larval feeding rate (Stage IV)</t>
  </si>
  <si>
    <t>Armstrong et al., 2017. Mar Biol</t>
    <phoneticPr fontId="36" type="noConversion"/>
  </si>
  <si>
    <t>Embryo growth rate</t>
    <phoneticPr fontId="36" type="noConversion"/>
  </si>
  <si>
    <t>Embryo growth rate</t>
  </si>
  <si>
    <t>Time to embryonic movement</t>
    <phoneticPr fontId="36" type="noConversion"/>
  </si>
  <si>
    <t>Time to eyespot development</t>
    <phoneticPr fontId="36" type="noConversion"/>
  </si>
  <si>
    <t>Time to eyespot development</t>
  </si>
  <si>
    <t>Time to protoconch formation</t>
  </si>
  <si>
    <t>Hatching success</t>
    <phoneticPr fontId="36" type="noConversion"/>
  </si>
  <si>
    <t>Veliger shell area</t>
    <phoneticPr fontId="36" type="noConversion"/>
  </si>
  <si>
    <t>Veliger shell area</t>
  </si>
  <si>
    <t>Early growth rate</t>
    <phoneticPr fontId="36" type="noConversion"/>
  </si>
  <si>
    <t>Early growth rate</t>
  </si>
  <si>
    <t>Early embryo viability</t>
    <phoneticPr fontId="36" type="noConversion"/>
  </si>
  <si>
    <t>Development</t>
    <phoneticPr fontId="19" type="noConversion"/>
  </si>
  <si>
    <t>Time to hatch</t>
    <phoneticPr fontId="19" type="noConversion"/>
  </si>
  <si>
    <t>Time to protoconch formation</t>
    <phoneticPr fontId="19" type="noConversion"/>
  </si>
  <si>
    <t>Hatching success</t>
    <phoneticPr fontId="19" type="noConversion"/>
  </si>
  <si>
    <t>Survival</t>
    <phoneticPr fontId="19" type="noConversion"/>
  </si>
  <si>
    <t>Growth</t>
    <phoneticPr fontId="19" type="noConversion"/>
  </si>
  <si>
    <t xml:space="preserve">n=18-23 取20 </t>
    <phoneticPr fontId="36" type="noConversion"/>
  </si>
  <si>
    <t>Karelitz et al., 2017. Glob Change Biol</t>
    <phoneticPr fontId="36" type="noConversion"/>
  </si>
  <si>
    <t>Normal larvae</t>
    <phoneticPr fontId="36" type="noConversion"/>
  </si>
  <si>
    <t>Body length</t>
    <phoneticPr fontId="36" type="noConversion"/>
  </si>
  <si>
    <t>Larval asymmetry</t>
    <phoneticPr fontId="36" type="noConversion"/>
  </si>
  <si>
    <t>Reproduction</t>
    <phoneticPr fontId="19" type="noConversion"/>
  </si>
  <si>
    <t>没有找到SD还是SE</t>
    <phoneticPr fontId="36" type="noConversion"/>
  </si>
  <si>
    <t>Hoshijima et al., 2017. Conserv Physiol</t>
    <phoneticPr fontId="36" type="noConversion"/>
  </si>
  <si>
    <t>Pteropod</t>
    <phoneticPr fontId="19" type="noConversion"/>
  </si>
  <si>
    <t>Respiration rate</t>
    <phoneticPr fontId="19" type="noConversion"/>
  </si>
  <si>
    <t>Dry weight</t>
    <phoneticPr fontId="19" type="noConversion"/>
  </si>
  <si>
    <t>8.2, 7.95, 7.7-0.8C 8.11, 7.95,7.7 4C</t>
    <phoneticPr fontId="36" type="noConversion"/>
  </si>
  <si>
    <t>Lischka and Riebesell, 2017. Polar Biol</t>
    <phoneticPr fontId="36" type="noConversion"/>
  </si>
  <si>
    <t>Dry mass</t>
    <phoneticPr fontId="36" type="noConversion"/>
  </si>
  <si>
    <t>Physiology</t>
    <phoneticPr fontId="19" type="noConversion"/>
  </si>
  <si>
    <t>Size</t>
    <phoneticPr fontId="19" type="noConversion"/>
  </si>
  <si>
    <t>Lischka and Riebesell, 2017. Polar Biol</t>
    <phoneticPr fontId="19" type="noConversion"/>
  </si>
  <si>
    <t>experiment A/B</t>
    <phoneticPr fontId="19" type="noConversion"/>
  </si>
  <si>
    <t>Rivest et al., 2018. Front Mar Sci</t>
    <phoneticPr fontId="36" type="noConversion"/>
  </si>
  <si>
    <t>Coral larvae</t>
    <phoneticPr fontId="19" type="noConversion"/>
  </si>
  <si>
    <t>Total protein</t>
    <phoneticPr fontId="36" type="noConversion"/>
  </si>
  <si>
    <t>Larval area</t>
    <phoneticPr fontId="19" type="noConversion"/>
  </si>
  <si>
    <t>Symbiodinium density</t>
    <phoneticPr fontId="19" type="noConversion"/>
  </si>
  <si>
    <t>Total protein</t>
    <phoneticPr fontId="19" type="noConversion"/>
  </si>
  <si>
    <t>Gravinese et al., 2018. Estuar Coast Shelf Sci</t>
    <phoneticPr fontId="36" type="noConversion"/>
  </si>
  <si>
    <t>Larval mortality</t>
    <phoneticPr fontId="36" type="noConversion"/>
  </si>
  <si>
    <t>Molt-stage duration (Z5)</t>
    <phoneticPr fontId="36" type="noConversion"/>
  </si>
  <si>
    <t>Hatch duration — h</t>
    <phoneticPr fontId="36" type="noConversion"/>
  </si>
  <si>
    <t>补充材料打不开，没找到数据来源，只有存活率，无死亡率</t>
    <phoneticPr fontId="36" type="noConversion"/>
  </si>
  <si>
    <t>García et al., 2018. Mar Environ Res</t>
    <phoneticPr fontId="36" type="noConversion"/>
  </si>
  <si>
    <t>Fertilized eggs</t>
    <phoneticPr fontId="36" type="noConversion"/>
  </si>
  <si>
    <t>Larval density</t>
    <phoneticPr fontId="36" type="noConversion"/>
  </si>
  <si>
    <t>Hatching success — % fertilized eggs</t>
    <phoneticPr fontId="36" type="noConversion"/>
  </si>
  <si>
    <t>Gardner et al., 2018. Mar Biol</t>
    <phoneticPr fontId="36" type="noConversion"/>
  </si>
  <si>
    <t>Gardner et al., 2018. Mar Biol</t>
  </si>
  <si>
    <t>Mortality</t>
    <phoneticPr fontId="36" type="noConversion"/>
  </si>
  <si>
    <t>Malformation</t>
    <phoneticPr fontId="36" type="noConversion"/>
  </si>
  <si>
    <t>Shell size</t>
    <phoneticPr fontId="19" type="noConversion"/>
  </si>
  <si>
    <t>Gastropod larvae</t>
    <phoneticPr fontId="19" type="noConversion"/>
  </si>
  <si>
    <t>Lateral shell width</t>
  </si>
  <si>
    <t>Lateral shell length</t>
  </si>
  <si>
    <t>Lateral shell width</t>
    <phoneticPr fontId="19" type="noConversion"/>
  </si>
  <si>
    <t>Lateral shell length</t>
    <phoneticPr fontId="19" type="noConversion"/>
  </si>
  <si>
    <t>Number of recruits</t>
    <phoneticPr fontId="19" type="noConversion"/>
  </si>
  <si>
    <t>Larval settlement</t>
    <phoneticPr fontId="19" type="noConversion"/>
  </si>
  <si>
    <t>Average rod length</t>
  </si>
  <si>
    <t>Fertilization success</t>
    <phoneticPr fontId="19" type="noConversion"/>
  </si>
  <si>
    <t>Larval asymmetry</t>
    <phoneticPr fontId="19" type="noConversion"/>
  </si>
  <si>
    <t>Pereira et al., 2020. Mar Environ Res</t>
    <phoneticPr fontId="36" type="noConversion"/>
  </si>
  <si>
    <t>Postoral arm length</t>
    <phoneticPr fontId="36" type="noConversion"/>
  </si>
  <si>
    <t>Fonseca et al., 2020. Sci Total Environ</t>
  </si>
  <si>
    <t>Larval development (Veliger 3)</t>
    <phoneticPr fontId="36" type="noConversion"/>
  </si>
  <si>
    <t>Larval development (Veliger 3)</t>
  </si>
  <si>
    <t>Larval swimming speed</t>
    <phoneticPr fontId="36" type="noConversion"/>
  </si>
  <si>
    <t>Larval swimming speed</t>
  </si>
  <si>
    <t>Larval mortality</t>
    <phoneticPr fontId="19" type="noConversion"/>
  </si>
  <si>
    <t>Behaviour</t>
    <phoneticPr fontId="19" type="noConversion"/>
  </si>
  <si>
    <t>无误差</t>
    <phoneticPr fontId="36" type="noConversion"/>
  </si>
  <si>
    <t>Foraminifer</t>
  </si>
  <si>
    <t>Bleaching frequency</t>
  </si>
  <si>
    <t>Respiration rate</t>
    <phoneticPr fontId="36" type="noConversion"/>
  </si>
  <si>
    <t>Growth (change in size)</t>
  </si>
  <si>
    <t>Ca2+-ATPase activity</t>
  </si>
  <si>
    <t>H+-ATPase activity</t>
  </si>
  <si>
    <t>Bleaching frequency</t>
    <phoneticPr fontId="19" type="noConversion"/>
  </si>
  <si>
    <t>Growth (change in size)</t>
    <phoneticPr fontId="19" type="noConversion"/>
  </si>
  <si>
    <t>Chl a content</t>
    <phoneticPr fontId="19" type="noConversion"/>
  </si>
  <si>
    <t>Oliveira et al., 2020. Sci Rep</t>
  </si>
  <si>
    <t>Larval development (Veliger 3)</t>
    <phoneticPr fontId="19" type="noConversion"/>
  </si>
  <si>
    <t>Growth rate</t>
    <phoneticPr fontId="19" type="noConversion"/>
  </si>
  <si>
    <t>Calcification rate</t>
    <phoneticPr fontId="19" type="noConversion"/>
  </si>
  <si>
    <t>Calcification</t>
    <phoneticPr fontId="19" type="noConversion"/>
  </si>
  <si>
    <t>Maximum photochemical efficiency</t>
    <phoneticPr fontId="19" type="noConversion"/>
  </si>
  <si>
    <t>Gastrula length</t>
  </si>
  <si>
    <t>Gastrula area</t>
  </si>
  <si>
    <t>Prism length</t>
  </si>
  <si>
    <t>Gastrula area</t>
    <phoneticPr fontId="19" type="noConversion"/>
  </si>
  <si>
    <t>Larval survival</t>
    <phoneticPr fontId="19" type="noConversion"/>
  </si>
  <si>
    <t>性别组合</t>
    <phoneticPr fontId="36" type="noConversion"/>
  </si>
  <si>
    <t>Partially metamorphosed larvae</t>
  </si>
  <si>
    <t>CA activity</t>
  </si>
  <si>
    <t>Partially metamorphosed larvae</t>
    <phoneticPr fontId="19" type="noConversion"/>
  </si>
  <si>
    <t>Svalbard</t>
  </si>
  <si>
    <t>T3pH1</t>
    <phoneticPr fontId="19" type="noConversion"/>
  </si>
  <si>
    <t>另有4个pH ，选择了8.1 、7.7、7.4；没有用7.9的数值</t>
    <phoneticPr fontId="36" type="noConversion"/>
  </si>
  <si>
    <t>Byrne et al., 2013. J Exp Mar Biol Ecol</t>
    <phoneticPr fontId="19" type="noConversion"/>
  </si>
  <si>
    <t>Byrne et al., 2013. Glob Change Biol</t>
    <phoneticPr fontId="19" type="noConversion"/>
  </si>
  <si>
    <t>Davis et al., 2013. Plos One</t>
    <phoneticPr fontId="19" type="noConversion"/>
  </si>
  <si>
    <t>Rivest and Hofmann, 2015. J Exp Mar Biol Ecol</t>
    <phoneticPr fontId="19" type="noConversion"/>
  </si>
  <si>
    <t>Gianguzza et al., 2014. Mar Environ Res</t>
    <phoneticPr fontId="19" type="noConversion"/>
  </si>
  <si>
    <t>Rivest and Hofmann et al., 2014. Plos One</t>
    <phoneticPr fontId="19" type="noConversion"/>
  </si>
  <si>
    <t>Hardy and Byrne, 2014. Mar Environ Res</t>
    <phoneticPr fontId="19" type="noConversion"/>
  </si>
  <si>
    <t>Pecorino et al., 2014. Mar Biol</t>
    <phoneticPr fontId="19" type="noConversion"/>
  </si>
  <si>
    <t>Sinutok et al., 2014. Mar Biol</t>
    <phoneticPr fontId="19" type="noConversion"/>
  </si>
  <si>
    <t>Baria et al., 2015. Zool Sci</t>
    <phoneticPr fontId="19" type="noConversion"/>
  </si>
  <si>
    <t>García et al., 2015. Mar Environ Res</t>
    <phoneticPr fontId="19" type="noConversion"/>
  </si>
  <si>
    <t>Foo et al., 2016. Mar Biol</t>
    <phoneticPr fontId="19" type="noConversion"/>
  </si>
  <si>
    <t>Dineshram et al., 2016. Glob Change Biol</t>
    <phoneticPr fontId="19" type="noConversion"/>
  </si>
  <si>
    <t>García et al., 2018. Mar Environ Res</t>
    <phoneticPr fontId="19" type="noConversion"/>
  </si>
  <si>
    <t>Oliveira et al., 2020. Sci Rep</t>
    <phoneticPr fontId="19" type="noConversion"/>
  </si>
  <si>
    <t>Walther et al., 2011. Mar Biol</t>
    <phoneticPr fontId="19" type="noConversion"/>
  </si>
  <si>
    <t>Byrne et al. 2009. Proc R Soc B</t>
    <phoneticPr fontId="19" type="noConversion"/>
  </si>
  <si>
    <t>Egg weight</t>
    <phoneticPr fontId="19" type="noConversion"/>
  </si>
  <si>
    <t>Body dry weight (Embryo)</t>
    <phoneticPr fontId="19" type="noConversion"/>
  </si>
  <si>
    <t>Ca content (Embryo)</t>
    <phoneticPr fontId="19" type="noConversion"/>
  </si>
  <si>
    <t>Early developmental success</t>
    <phoneticPr fontId="19" type="noConversion"/>
  </si>
  <si>
    <t>Maximum oxygen uptake</t>
    <phoneticPr fontId="19" type="noConversion"/>
  </si>
  <si>
    <t>Behavior</t>
    <phoneticPr fontId="19" type="noConversion"/>
  </si>
  <si>
    <t>Oxygen production</t>
    <phoneticPr fontId="19" type="noConversion"/>
  </si>
  <si>
    <t>Response_category</t>
    <phoneticPr fontId="19" type="noConversion"/>
  </si>
  <si>
    <t>Thiyagarajan and Ko, 2012. Aquaculture</t>
    <phoneticPr fontId="19" type="noConversion"/>
  </si>
  <si>
    <t>Cumbo et al., 2013. J Exp Mar Biol Ecol</t>
    <phoneticPr fontId="19" type="noConversion"/>
  </si>
  <si>
    <t>Karelitz et al., 2017. Glob Change Biol</t>
    <phoneticPr fontId="19" type="noConversion"/>
  </si>
  <si>
    <t>Symbiodinium density</t>
    <phoneticPr fontId="19" type="noConversion"/>
  </si>
  <si>
    <t>Alessi et al., 2019. Sci Total Environ</t>
    <phoneticPr fontId="19" type="noConversion"/>
  </si>
  <si>
    <t>Lenz et al., 2019. Mar Pollut Bull</t>
    <phoneticPr fontId="19" type="noConversion"/>
  </si>
  <si>
    <t>c</t>
    <phoneticPr fontId="19" type="noConversion"/>
  </si>
  <si>
    <t>Hedges d</t>
  </si>
  <si>
    <t>Correction factor J</t>
  </si>
  <si>
    <t>Hedges g</t>
  </si>
  <si>
    <t>No SD</t>
    <phoneticPr fontId="19" type="noConversion"/>
  </si>
  <si>
    <t>No data</t>
    <phoneticPr fontId="19" type="noConversion"/>
  </si>
  <si>
    <t>Dot plot</t>
    <phoneticPr fontId="19" type="noConversion"/>
  </si>
  <si>
    <t>No data</t>
    <phoneticPr fontId="19" type="noConversion"/>
  </si>
  <si>
    <t>Hedges' g &gt; 10?</t>
    <phoneticPr fontId="19" type="noConversion"/>
  </si>
  <si>
    <t>Hedges' g &lt; -10?</t>
    <phoneticPr fontId="19" type="noConversion"/>
  </si>
  <si>
    <t>Eurytemora affinis</t>
    <phoneticPr fontId="19" type="noConversion"/>
  </si>
  <si>
    <t>Schutter et al., 2015. J Mar Sci Eng</t>
    <phoneticPr fontId="19" type="noConversion"/>
  </si>
  <si>
    <t>Byrne et al., 2013. J Exp Mar Biol Ecol</t>
    <phoneticPr fontId="19" type="noConversion"/>
  </si>
  <si>
    <t>Larval survival</t>
    <phoneticPr fontId="19" type="noConversion"/>
  </si>
  <si>
    <t>Sinutok et al., 2011. Limnol Oceanogr</t>
    <phoneticPr fontId="19" type="noConversion"/>
  </si>
  <si>
    <t>Lenz et al., 2019. Mar Pollut Bull</t>
    <phoneticPr fontId="19" type="noConversion"/>
  </si>
  <si>
    <t>All dead</t>
    <phoneticPr fontId="19" type="noConversion"/>
  </si>
  <si>
    <t>Pechenik et al., 2019. Mar Biol</t>
    <phoneticPr fontId="19" type="noConversion"/>
  </si>
  <si>
    <t>Kimura et al., 2011. Fish Oceanogr</t>
    <phoneticPr fontId="19" type="noConversion"/>
  </si>
  <si>
    <t>Zhang et al., 2014. Mat Pollut Bull</t>
    <phoneticPr fontId="19" type="noConversion"/>
  </si>
  <si>
    <t>Manríquez et al., 2014. Mar Ecol Prog Ser</t>
    <phoneticPr fontId="19" type="noConversion"/>
  </si>
  <si>
    <t>Guo et al., 2015. Aquat Biol</t>
    <phoneticPr fontId="19" type="noConversion"/>
  </si>
  <si>
    <t>Tahil and Dy, 2016. Aquaculture</t>
    <phoneticPr fontId="19" type="noConversion"/>
  </si>
  <si>
    <t>Maboloc and Chan, 2017. Sci Rep</t>
    <phoneticPr fontId="19" type="noConversion"/>
  </si>
  <si>
    <t>Campanati et al., 2018. Mar Environ Res</t>
    <phoneticPr fontId="19" type="noConversion"/>
  </si>
  <si>
    <t>Onitsuka et al., 2018. Mar Environ Res</t>
    <phoneticPr fontId="19" type="noConversion"/>
  </si>
  <si>
    <t>Kriefall et al., 2018. Front Mar Sci</t>
    <phoneticPr fontId="19" type="noConversion"/>
  </si>
  <si>
    <t>Wessel et al., 2018. J Exp Mar Ecol Biol</t>
    <phoneticPr fontId="19" type="noConversion"/>
  </si>
  <si>
    <t>Ellis et al. 2009. Aquat Biol</t>
    <phoneticPr fontId="19" type="noConversion"/>
  </si>
  <si>
    <t>Horwitz et al., 2020. Sci Rep</t>
    <phoneticPr fontId="19" type="noConversion"/>
  </si>
  <si>
    <t>Guo et al., 2015. Aquat Biol</t>
    <phoneticPr fontId="19" type="noConversion"/>
  </si>
  <si>
    <t>Byrne et al., 2010. Mar Biol</t>
    <phoneticPr fontId="19" type="noConversion"/>
  </si>
  <si>
    <t>Uthicke et al., 2013. Plos One</t>
    <phoneticPr fontId="19" type="noConversion"/>
  </si>
  <si>
    <t>Gonzalez-Bernat et al., 2013. Polar Biol</t>
    <phoneticPr fontId="19" type="noConversion"/>
  </si>
  <si>
    <t>Kamya et al., 2014. Glob Change Biol</t>
    <phoneticPr fontId="19" type="noConversion"/>
  </si>
  <si>
    <t>Yuan et al., 2015. Mar Pollut Bull</t>
    <phoneticPr fontId="19" type="noConversion"/>
  </si>
  <si>
    <t>Dupont et al. 2008. Mar Ecol Prog Ser</t>
    <phoneticPr fontId="19" type="noConversion"/>
  </si>
  <si>
    <t>Dupont et al., 2010. J Exp Zool</t>
    <phoneticPr fontId="19" type="noConversion"/>
  </si>
  <si>
    <t>Hu et al., 2018. Acta Physiol</t>
    <phoneticPr fontId="19" type="noConversion"/>
  </si>
  <si>
    <t>Chan et al., 2016. ICES J Mar Sci</t>
    <phoneticPr fontId="19" type="noConversion"/>
  </si>
  <si>
    <t>Hurihara and Shirayama. 2004. Mar Ecol Prog Ser</t>
    <phoneticPr fontId="19" type="noConversion"/>
  </si>
  <si>
    <t>Havenhand et al. 2008. Curr Biol</t>
    <phoneticPr fontId="19" type="noConversion"/>
  </si>
  <si>
    <t>Byrne et al., 2010. Mar Environ Res</t>
    <phoneticPr fontId="19" type="noConversion"/>
  </si>
  <si>
    <t>Ericson et al., 2012. Polar Biol</t>
    <phoneticPr fontId="19" type="noConversion"/>
  </si>
  <si>
    <t>Gonzalez-Bernat et al., 2013. Mar Biol</t>
    <phoneticPr fontId="19" type="noConversion"/>
  </si>
  <si>
    <t>Fertilization success</t>
    <phoneticPr fontId="19" type="noConversion"/>
  </si>
  <si>
    <t>Cohen-Rengifo et al., 2013. Cah Biol Mar</t>
    <phoneticPr fontId="19" type="noConversion"/>
  </si>
  <si>
    <t>396..2</t>
    <phoneticPr fontId="19" type="noConversion"/>
  </si>
  <si>
    <t>Ho et al., 2013. Mar Environ Res</t>
    <phoneticPr fontId="19" type="noConversion"/>
  </si>
  <si>
    <t>Gianguzza et al., 2014. Mar Environ Res</t>
    <phoneticPr fontId="19" type="noConversion"/>
  </si>
  <si>
    <t>Sung et al., 2014. J Mar Syst</t>
    <phoneticPr fontId="19" type="noConversion"/>
  </si>
  <si>
    <t>Pecorino et al., 2014. Mar Biol</t>
    <phoneticPr fontId="19" type="noConversion"/>
  </si>
  <si>
    <t>Zhan et al., 2016. Mar Pollut Bull</t>
    <phoneticPr fontId="19" type="noConversion"/>
  </si>
  <si>
    <t>Karelitz et al., 2017. Glob Change Biol</t>
    <phoneticPr fontId="19" type="noConversion"/>
  </si>
  <si>
    <t>Zhan et al., 2017. Aquacult Int</t>
    <phoneticPr fontId="19" type="noConversion"/>
  </si>
  <si>
    <t>Zhan et al., 2018. J Oceanogr Limnol</t>
    <phoneticPr fontId="19" type="noConversion"/>
  </si>
  <si>
    <t>Ericson et al., 2010. Mar Biol</t>
    <phoneticPr fontId="19" type="noConversion"/>
  </si>
  <si>
    <t>García et al., 2018. Mar Environ Res</t>
    <phoneticPr fontId="19" type="noConversion"/>
  </si>
  <si>
    <t>Pereira et al., 2020. Mar Environ Res</t>
    <phoneticPr fontId="19" type="noConversion"/>
  </si>
  <si>
    <t>da Silva Souza et al., 2019. Chemosphere</t>
    <phoneticPr fontId="19" type="noConversion"/>
  </si>
  <si>
    <t>Uthicke et al., 2013. Mar Biol</t>
    <phoneticPr fontId="19" type="noConversion"/>
  </si>
  <si>
    <t>Suckling et al., 2015. J Anim Ecol</t>
    <phoneticPr fontId="19" type="noConversion"/>
  </si>
  <si>
    <t>Dupont et al., 2013. Mar Biol</t>
    <phoneticPr fontId="19" type="noConversion"/>
  </si>
  <si>
    <t>Suckling et al., 2014a. Inverter Reprod Dev</t>
    <phoneticPr fontId="19" type="noConversion"/>
  </si>
  <si>
    <t>García et al., 2015. Mar Environ Res</t>
    <phoneticPr fontId="19" type="noConversion"/>
  </si>
  <si>
    <t>Foo et al., 2016. Mar Ecol Prog Ser</t>
    <phoneticPr fontId="19" type="noConversion"/>
  </si>
  <si>
    <t>Mos et al., 2019. Sci Total Environ</t>
    <phoneticPr fontId="19" type="noConversion"/>
  </si>
  <si>
    <t>Houlihan et al., 2020. Front Mar Sci</t>
    <phoneticPr fontId="19" type="noConversion"/>
  </si>
  <si>
    <t>Mos et al., 2020. Aquaculture</t>
    <phoneticPr fontId="19" type="noConversion"/>
  </si>
  <si>
    <t>Espinel-Velasco et al., 2020. Mar Environ Res</t>
    <phoneticPr fontId="19" type="noConversion"/>
  </si>
  <si>
    <t>Clark et al. 2009. Mar Biol</t>
    <phoneticPr fontId="19" type="noConversion"/>
  </si>
  <si>
    <t>O’Donnell et al., 2010. Mar Ecol Prog Ser</t>
    <phoneticPr fontId="19" type="noConversion"/>
  </si>
  <si>
    <t>Brennand et al., 2010. Plos One</t>
    <phoneticPr fontId="19" type="noConversion"/>
  </si>
  <si>
    <t>Chan et al., 2011. J Exp Biol</t>
    <phoneticPr fontId="19" type="noConversion"/>
  </si>
  <si>
    <t>Stumpp et al., 2011a. Comp Biochem Physiol A</t>
    <phoneticPr fontId="19" type="noConversion"/>
  </si>
  <si>
    <t>Martin et al., 2011. J Exp Biol</t>
    <phoneticPr fontId="19" type="noConversion"/>
  </si>
  <si>
    <t>Yu et al., 2011. J Exp Mar Biol Ecol</t>
    <phoneticPr fontId="19" type="noConversion"/>
  </si>
  <si>
    <t>Stumpp et al., 2011b. Comp Biochem Physiol A</t>
    <phoneticPr fontId="19" type="noConversion"/>
  </si>
  <si>
    <t>Moulin et al., 2011. Mar Pollut Bull</t>
    <phoneticPr fontId="19" type="noConversion"/>
  </si>
  <si>
    <t>Matson et al., 2012. Biol Bull</t>
    <phoneticPr fontId="19" type="noConversion"/>
  </si>
  <si>
    <t>Pespeni et al., 2013. PNAS</t>
    <phoneticPr fontId="19" type="noConversion"/>
  </si>
  <si>
    <t>Yu et al., 2013. Plos One</t>
    <phoneticPr fontId="19" type="noConversion"/>
  </si>
  <si>
    <t>Padilla-Gamino et al., 2013. Proc R Soc B</t>
    <phoneticPr fontId="19" type="noConversion"/>
  </si>
  <si>
    <t>Challener et al., 2013. J Appl Aquacult</t>
    <phoneticPr fontId="19" type="noConversion"/>
  </si>
  <si>
    <t>Dorey et al., 2013. Glob Change Biol</t>
    <phoneticPr fontId="19" type="noConversion"/>
  </si>
  <si>
    <t>Stumpp et al., 2013. Nat Clim Change</t>
    <phoneticPr fontId="19" type="noConversion"/>
  </si>
  <si>
    <t>Garcia et al., 2015. Mar Biol</t>
    <phoneticPr fontId="19" type="noConversion"/>
  </si>
  <si>
    <t>Pan et al., 2015. PNAS</t>
    <phoneticPr fontId="19" type="noConversion"/>
  </si>
  <si>
    <t>Runcie et al., 2016. Genome Biol Evol</t>
    <phoneticPr fontId="19" type="noConversion"/>
  </si>
  <si>
    <t>Chan et al., 2015. Sci Rep</t>
    <phoneticPr fontId="19" type="noConversion"/>
  </si>
  <si>
    <t>Lamare et al., 2016. Proc R Soc B</t>
    <phoneticPr fontId="19" type="noConversion"/>
  </si>
  <si>
    <t>Visconti et al., 2017. ICES J Mar Sci</t>
    <phoneticPr fontId="19" type="noConversion"/>
  </si>
  <si>
    <t>Dorey et al., 2018. Aquat Toxicol</t>
    <phoneticPr fontId="19" type="noConversion"/>
  </si>
  <si>
    <t>Lee et al., 2019. Comp Biochem Physiol A</t>
    <phoneticPr fontId="19" type="noConversion"/>
  </si>
  <si>
    <t>Chan and Tong, 2020. Conserv Physiol</t>
    <phoneticPr fontId="19" type="noConversion"/>
  </si>
  <si>
    <t>Garrett et al., 2020. Integr Comp Biol</t>
    <phoneticPr fontId="19" type="noConversion"/>
  </si>
  <si>
    <t>Hernandez et al., 2020. J Plankton Res</t>
    <phoneticPr fontId="19" type="noConversion"/>
  </si>
  <si>
    <t>Doo et al., 2012. ICES J Mar Sci</t>
    <phoneticPr fontId="19" type="noConversion"/>
  </si>
  <si>
    <t>Catarino et al., 2012. Polar Biol</t>
    <phoneticPr fontId="19" type="noConversion"/>
  </si>
  <si>
    <t>Byrne et al., 2013. J Exp Mar Biol Ecol</t>
    <phoneticPr fontId="19" type="noConversion"/>
  </si>
  <si>
    <t>Foo et al., 2020. Sci Total Environ</t>
    <phoneticPr fontId="19" type="noConversion"/>
  </si>
  <si>
    <t>Byrne et al., 2013. Glob Change Biol</t>
    <phoneticPr fontId="19" type="noConversion"/>
  </si>
  <si>
    <t>Foo et al., 2012. Plos One</t>
    <phoneticPr fontId="19" type="noConversion"/>
  </si>
  <si>
    <t>Hardy and Byrne, 2014. Mar Environ Res</t>
    <phoneticPr fontId="19" type="noConversion"/>
  </si>
  <si>
    <t>Sewell et al., 2014. Environ Sci Technol</t>
    <phoneticPr fontId="19" type="noConversion"/>
  </si>
  <si>
    <t>Foo et al., 2016. Mar Biol</t>
    <phoneticPr fontId="19" type="noConversion"/>
  </si>
  <si>
    <t>Dorey et al., 2018. J Environ Radioact</t>
    <phoneticPr fontId="19" type="noConversion"/>
  </si>
  <si>
    <t>Li et al., 2020. Sci Total Environ</t>
    <phoneticPr fontId="19" type="noConversion"/>
  </si>
  <si>
    <t>Wong and Hofmann, 2020. Mar Biol</t>
    <phoneticPr fontId="19" type="noConversion"/>
  </si>
  <si>
    <t>Arnberg et al., 2013. Mar Biol</t>
    <phoneticPr fontId="19" type="noConversion"/>
  </si>
  <si>
    <t>Swiney et al., 2016. ICES J Mar Sci</t>
    <phoneticPr fontId="19" type="noConversion"/>
  </si>
  <si>
    <t>Ceballos-Osuna et al., 2013. J Exp Biol</t>
    <phoneticPr fontId="19" type="noConversion"/>
  </si>
  <si>
    <t>Egilsdottir et al. 2009. Mar Pollut Bull</t>
    <phoneticPr fontId="19" type="noConversion"/>
  </si>
  <si>
    <t>Gravinese, 2018. J Exp Mar Biol Ecol</t>
    <phoneticPr fontId="19" type="noConversion"/>
  </si>
  <si>
    <t>Miller et al., 2016. Mar Biol</t>
    <phoneticPr fontId="19" type="noConversion"/>
  </si>
  <si>
    <t>Waller et al., 2017. ICES J Mar Sci</t>
    <phoneticPr fontId="19" type="noConversion"/>
  </si>
  <si>
    <t>Walther et al., 2010. Mar Ecol Prog Ser</t>
    <phoneticPr fontId="19" type="noConversion"/>
  </si>
  <si>
    <t>Schiffer et al., 2013. Mar Biol</t>
    <phoneticPr fontId="19" type="noConversion"/>
  </si>
  <si>
    <t>Schiffer et al., 2014. Mar Ecol Prog Ser</t>
    <phoneticPr fontId="19" type="noConversion"/>
  </si>
  <si>
    <t>Arnold et al. 2009. Biogeosciences</t>
    <phoneticPr fontId="19" type="noConversion"/>
  </si>
  <si>
    <t>Keppel et al., 2012. J Northw Atl Fish Sci</t>
    <phoneticPr fontId="19" type="noConversion"/>
  </si>
  <si>
    <t>Agnalt et al., 2013. Biogeosciences</t>
    <phoneticPr fontId="19" type="noConversion"/>
  </si>
  <si>
    <t>Rato et al., 2017. Comp Biochem Physiol C</t>
    <phoneticPr fontId="19" type="noConversion"/>
  </si>
  <si>
    <t>Giltz and Taylor, 2017. J Shellfish Res</t>
    <phoneticPr fontId="19" type="noConversion"/>
  </si>
  <si>
    <t>Carter et al., 2013. J Exp Biol</t>
    <phoneticPr fontId="19" type="noConversion"/>
  </si>
  <si>
    <t>Bechmann et al., 2011. J Toxicol Environ Health A</t>
    <phoneticPr fontId="19" type="noConversion"/>
  </si>
  <si>
    <t>Long et al., 2013. Mar Pollut Bull</t>
    <phoneticPr fontId="19" type="noConversion"/>
  </si>
  <si>
    <t>Gravinese et al., 2018. Estuar Coast Shelf Sci</t>
    <phoneticPr fontId="19" type="noConversion"/>
  </si>
  <si>
    <t>Tomatsuri and Kon, 2019. Aquat Ecol</t>
    <phoneticPr fontId="19" type="noConversion"/>
  </si>
  <si>
    <t>Tomasetti et al., 2018. Plos One</t>
    <phoneticPr fontId="19" type="noConversion"/>
  </si>
  <si>
    <t>Schiffer et al., 2014. Front Zool</t>
    <phoneticPr fontId="19" type="noConversion"/>
  </si>
  <si>
    <t>Walther et al., 2011. Mar Biol</t>
    <phoneticPr fontId="19" type="noConversion"/>
  </si>
  <si>
    <t>Wood et al., 2015. J Exp Mar Biol Ecol</t>
    <phoneticPr fontId="19" type="noConversion"/>
  </si>
  <si>
    <t>Moura et al., 2019. Front Physiol</t>
    <phoneticPr fontId="19" type="noConversion"/>
  </si>
  <si>
    <t>Otjacques et al., 2020. Biology</t>
    <phoneticPr fontId="19" type="noConversion"/>
  </si>
  <si>
    <t>Spady et al., 2020. Mar Environ Res</t>
    <phoneticPr fontId="19" type="noConversion"/>
  </si>
  <si>
    <t>Rosa et al., 2014. J Exp Biol</t>
    <phoneticPr fontId="19" type="noConversion"/>
  </si>
  <si>
    <t>Rosa et al., 2013. Proc R Soc B</t>
    <phoneticPr fontId="19" type="noConversion"/>
  </si>
  <si>
    <t>Hu et al., 2011. Am J Physiol Regul Integr Comp Physiol</t>
    <phoneticPr fontId="19" type="noConversion"/>
  </si>
  <si>
    <t>Hu et al., 2013. Front Zool</t>
    <phoneticPr fontId="19" type="noConversion"/>
  </si>
  <si>
    <t>Dorey et al., 2013. Mar Biol</t>
    <phoneticPr fontId="19" type="noConversion"/>
  </si>
  <si>
    <t>Sigwart et al., 2016. ICES J Mar Sci</t>
    <phoneticPr fontId="19" type="noConversion"/>
  </si>
  <si>
    <t>Lacoue-Labarthe et al. 2009. Biogeosciences</t>
    <phoneticPr fontId="19" type="noConversion"/>
  </si>
  <si>
    <t>Comeau et al., 2010. Plos One</t>
    <phoneticPr fontId="19" type="noConversion"/>
  </si>
  <si>
    <t>Parker et al., 2010. Mar Biol</t>
    <phoneticPr fontId="19" type="noConversion"/>
  </si>
  <si>
    <t>没找到其他信息，Ph8.0、7.7</t>
  </si>
  <si>
    <t>pCO2 unit</t>
    <phoneticPr fontId="19" type="noConversion"/>
  </si>
  <si>
    <t>Pechenik et al., 2019. Mar Biol</t>
    <phoneticPr fontId="19" type="noConversion"/>
  </si>
  <si>
    <t>Leise et al., 2014. J North Carolina Acad Sci</t>
    <phoneticPr fontId="19" type="noConversion"/>
  </si>
  <si>
    <t>Ericson et al., 2010. Mar Biol</t>
    <phoneticPr fontId="19" type="noConversion"/>
  </si>
  <si>
    <t>da Silva Souza et al., 2019. Chemosphere</t>
    <phoneticPr fontId="19" type="noConversion"/>
  </si>
  <si>
    <t>Byrne et al. 2009. Proc R Soc B</t>
    <phoneticPr fontId="19" type="noConversion"/>
  </si>
  <si>
    <t>Doo et al., 2020. Ecol Evol</t>
    <phoneticPr fontId="19" type="noConversion"/>
  </si>
  <si>
    <t>Lamare et al., 2016. Proc R Soc B</t>
    <phoneticPr fontId="19" type="noConversion"/>
  </si>
  <si>
    <t>Doo et al., 2020. Ecol Evol</t>
    <phoneticPr fontId="19" type="noConversion"/>
  </si>
  <si>
    <t>Huo et al., 2019. Aquacult Int</t>
    <phoneticPr fontId="19" type="noConversion"/>
  </si>
  <si>
    <t>Clements et al., 2020. ICES J Mar Sci</t>
    <phoneticPr fontId="19" type="noConversion"/>
  </si>
  <si>
    <t>Byrne et al., 2011. Proc R Soc B</t>
    <phoneticPr fontId="19" type="noConversion"/>
  </si>
  <si>
    <t>Marques et al., 2020. Environ Pollut</t>
    <phoneticPr fontId="19" type="noConversion"/>
  </si>
  <si>
    <t>Walther et al., 2010. Mar Ecol Prog Ser</t>
    <phoneticPr fontId="19" type="noConversion"/>
  </si>
  <si>
    <t>García et al., 2018. Mar Environ Res</t>
    <phoneticPr fontId="19" type="noConversion"/>
  </si>
  <si>
    <t>Lischka and Riebesell, 2017. Polar Biol</t>
    <phoneticPr fontId="19" type="noConversion"/>
  </si>
  <si>
    <t>N/A</t>
    <phoneticPr fontId="19" type="noConversion"/>
  </si>
  <si>
    <t>Unual data with extremely low TA</t>
    <phoneticPr fontId="19" type="noConversion"/>
  </si>
  <si>
    <t>N/A</t>
    <phoneticPr fontId="19" type="noConversion"/>
  </si>
  <si>
    <t>Gastropod larvae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</si>
</sst>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_ "/>
    <numFmt numFmtId="165" formatCode="0.0000"/>
    <numFmt numFmtId="166" formatCode="#0.0"/>
  </numFmts>
  <fonts count="4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10"/>
      <color theme="1"/>
      <name val="Aptos Narrow"/>
      <family val="2"/>
      <scheme val="minor"/>
    </font>
    <font>
      <b/>
      <sz val="11"/>
      <color theme="2" tint="-0.249977111117893"/>
      <name val="Aptos Narrow"/>
      <family val="2"/>
      <scheme val="minor"/>
    </font>
    <font>
      <sz val="11"/>
      <color theme="2" tint="-0.249977111117893"/>
      <name val="Aptos Narrow"/>
      <family val="2"/>
      <scheme val="minor"/>
    </font>
    <font>
      <b/>
      <sz val="11"/>
      <color rgb="FF000000"/>
      <name val="Arial"/>
      <family val="2"/>
    </font>
    <font>
      <sz val="11"/>
      <color rgb="FF000000"/>
      <name val="Arial"/>
      <family val="2"/>
    </font>
    <font>
      <i/>
      <sz val="11"/>
      <color rgb="FF000000"/>
      <name val="Arial"/>
      <family val="2"/>
    </font>
    <font>
      <sz val="11"/>
      <color theme="1"/>
      <name val="Arial"/>
      <family val="2"/>
    </font>
    <font>
      <b/>
      <sz val="11"/>
      <color theme="1"/>
      <name val="Arial"/>
      <family val="2"/>
    </font>
    <font>
      <i/>
      <sz val="11"/>
      <color theme="1"/>
      <name val="Arial"/>
      <family val="2"/>
    </font>
    <font>
      <b/>
      <sz val="11"/>
      <color theme="1"/>
      <name val="Aptos ial"/>
    </font>
    <font>
      <sz val="11"/>
      <color theme="1"/>
      <name val="Aptos ial"/>
    </font>
    <font>
      <sz val="11"/>
      <color theme="2" tint="-9.9978637043366805E-2"/>
      <name val="Aptos ial"/>
    </font>
    <font>
      <sz val="11"/>
      <color theme="2" tint="-9.9978637043366805E-2"/>
      <name val="Aptos Narrow"/>
      <family val="2"/>
      <scheme val="minor"/>
    </font>
    <font>
      <b/>
      <sz val="11"/>
      <color theme="2" tint="-9.9978637043366805E-2"/>
      <name val="Aptos Narrow"/>
      <family val="2"/>
      <scheme val="minor"/>
    </font>
    <font>
      <u/>
      <sz val="11"/>
      <color theme="10"/>
      <name val="Arial"/>
      <family val="2"/>
    </font>
    <font>
      <sz val="11"/>
      <color theme="2" tint="-9.9978637043366805E-2"/>
      <name val="Arial"/>
      <family val="2"/>
    </font>
    <font>
      <sz val="9"/>
      <name val="Aptos Narrow"/>
      <family val="3"/>
      <charset val="134"/>
      <scheme val="minor"/>
    </font>
    <font>
      <sz val="11"/>
      <name val="Aptos Narrow"/>
      <family val="2"/>
      <scheme val="minor"/>
    </font>
    <font>
      <sz val="11"/>
      <color theme="1"/>
      <name val="Aptos Narrow"/>
      <family val="3"/>
      <charset val="134"/>
      <scheme val="minor"/>
    </font>
    <font>
      <b/>
      <sz val="11"/>
      <color theme="1"/>
      <name val="Aptos Narrow"/>
      <family val="3"/>
      <charset val="134"/>
      <scheme val="minor"/>
    </font>
    <font>
      <sz val="11"/>
      <color theme="1"/>
      <name val="宋体"/>
      <family val="3"/>
      <charset val="134"/>
    </font>
    <font>
      <sz val="11"/>
      <name val="Aptos Narrow"/>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7C8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2">
    <xf numFmtId="0" fontId="0" fillId="0" borderId="0" xfId="0"/>
    <xf numFmtId="0" fontId="16" fillId="0" borderId="0" xfId="0" applyFont="1"/>
    <xf numFmtId="0" fontId="16" fillId="33" borderId="0" xfId="0" applyFont="1" applyFill="1"/>
    <xf numFmtId="0" fontId="18" fillId="0" borderId="0" xfId="42" applyFill="1"/>
    <xf numFmtId="0" fontId="21" fillId="0" borderId="0" xfId="0" applyFont="1"/>
    <xf numFmtId="0" fontId="23" fillId="0" borderId="10" xfId="0" applyFont="1" applyBorder="1" applyAlignment="1">
      <alignment vertical="center" wrapText="1"/>
    </xf>
    <xf numFmtId="0" fontId="24" fillId="0" borderId="11" xfId="0" applyFont="1" applyBorder="1" applyAlignment="1">
      <alignment vertical="center" wrapText="1"/>
    </xf>
    <xf numFmtId="0" fontId="24" fillId="0" borderId="12" xfId="0" applyFont="1" applyBorder="1" applyAlignment="1">
      <alignment vertical="center" wrapText="1"/>
    </xf>
    <xf numFmtId="0" fontId="23" fillId="0" borderId="10" xfId="0" applyFont="1" applyBorder="1" applyAlignment="1">
      <alignment vertical="center"/>
    </xf>
    <xf numFmtId="0" fontId="24" fillId="0" borderId="11" xfId="0" applyFont="1" applyBorder="1" applyAlignment="1">
      <alignment vertical="center"/>
    </xf>
    <xf numFmtId="0" fontId="0" fillId="0" borderId="12" xfId="0" applyBorder="1" applyAlignment="1">
      <alignment vertical="top"/>
    </xf>
    <xf numFmtId="0" fontId="24" fillId="0" borderId="12" xfId="0" applyFont="1" applyBorder="1" applyAlignment="1">
      <alignment vertical="center"/>
    </xf>
    <xf numFmtId="0" fontId="0" fillId="0" borderId="13" xfId="0" applyBorder="1" applyAlignment="1">
      <alignment vertical="top"/>
    </xf>
    <xf numFmtId="0" fontId="24" fillId="0" borderId="10" xfId="0" applyFont="1" applyBorder="1" applyAlignment="1">
      <alignment vertical="center"/>
    </xf>
    <xf numFmtId="0" fontId="0" fillId="0" borderId="0" xfId="0" applyAlignment="1">
      <alignment wrapText="1"/>
    </xf>
    <xf numFmtId="0" fontId="23" fillId="0" borderId="14" xfId="0" applyFont="1" applyBorder="1" applyAlignment="1">
      <alignment vertical="center" wrapText="1"/>
    </xf>
    <xf numFmtId="0" fontId="24" fillId="0" borderId="14" xfId="0" applyFont="1" applyBorder="1" applyAlignment="1">
      <alignment vertical="center" wrapText="1"/>
    </xf>
    <xf numFmtId="0" fontId="23" fillId="0" borderId="0" xfId="0" applyFont="1" applyAlignment="1">
      <alignment horizontal="center" vertical="center"/>
    </xf>
    <xf numFmtId="0" fontId="24" fillId="0" borderId="13" xfId="0" applyFont="1" applyBorder="1" applyAlignment="1">
      <alignment vertical="center" wrapText="1"/>
    </xf>
    <xf numFmtId="0" fontId="26" fillId="0" borderId="0" xfId="0" applyFont="1" applyAlignment="1">
      <alignment wrapText="1"/>
    </xf>
    <xf numFmtId="0" fontId="24" fillId="0" borderId="13" xfId="0" applyFont="1" applyBorder="1" applyAlignment="1">
      <alignment vertical="center"/>
    </xf>
    <xf numFmtId="0" fontId="26" fillId="0" borderId="0" xfId="0" applyFont="1"/>
    <xf numFmtId="0" fontId="27" fillId="0" borderId="0" xfId="0" applyFont="1"/>
    <xf numFmtId="0" fontId="29" fillId="0" borderId="0" xfId="0" applyFont="1"/>
    <xf numFmtId="0" fontId="30" fillId="0" borderId="0" xfId="0" applyFont="1"/>
    <xf numFmtId="0" fontId="22" fillId="0" borderId="0" xfId="0" applyFont="1"/>
    <xf numFmtId="0" fontId="20" fillId="0" borderId="0" xfId="0" applyFont="1"/>
    <xf numFmtId="0" fontId="0" fillId="0" borderId="0" xfId="0" applyAlignment="1">
      <alignment vertical="center" wrapText="1"/>
    </xf>
    <xf numFmtId="2" fontId="0" fillId="0" borderId="0" xfId="0" applyNumberFormat="1"/>
    <xf numFmtId="11" fontId="0" fillId="0" borderId="0" xfId="0" applyNumberFormat="1"/>
    <xf numFmtId="0" fontId="30" fillId="33" borderId="0" xfId="0" applyFont="1" applyFill="1"/>
    <xf numFmtId="0" fontId="26" fillId="33" borderId="0" xfId="0" applyFont="1" applyFill="1"/>
    <xf numFmtId="0" fontId="30" fillId="34" borderId="0" xfId="0" applyFont="1" applyFill="1"/>
    <xf numFmtId="0" fontId="16" fillId="34" borderId="0" xfId="0" applyFont="1" applyFill="1"/>
    <xf numFmtId="0" fontId="31" fillId="0" borderId="0" xfId="0" applyFont="1"/>
    <xf numFmtId="0" fontId="32" fillId="0" borderId="0" xfId="0" applyFont="1"/>
    <xf numFmtId="0" fontId="33" fillId="0" borderId="0" xfId="0" applyFont="1"/>
    <xf numFmtId="0" fontId="0" fillId="35" borderId="0" xfId="0" applyFill="1"/>
    <xf numFmtId="0" fontId="34" fillId="0" borderId="0" xfId="42" applyFont="1"/>
    <xf numFmtId="0" fontId="26" fillId="33" borderId="16" xfId="0" applyFont="1" applyFill="1" applyBorder="1"/>
    <xf numFmtId="0" fontId="26" fillId="34" borderId="16" xfId="0" applyFont="1" applyFill="1" applyBorder="1"/>
    <xf numFmtId="0" fontId="35" fillId="0" borderId="17" xfId="0" applyFont="1" applyBorder="1"/>
    <xf numFmtId="0" fontId="26" fillId="0" borderId="15" xfId="0" applyFont="1" applyBorder="1" applyAlignment="1">
      <alignment wrapText="1"/>
    </xf>
    <xf numFmtId="0" fontId="26" fillId="0" borderId="18" xfId="0" applyFont="1" applyBorder="1" applyAlignment="1">
      <alignment wrapText="1"/>
    </xf>
    <xf numFmtId="0" fontId="26" fillId="0" borderId="19" xfId="0" applyFont="1" applyBorder="1"/>
    <xf numFmtId="0" fontId="26" fillId="0" borderId="20" xfId="0" applyFont="1" applyBorder="1" applyAlignment="1">
      <alignment wrapText="1"/>
    </xf>
    <xf numFmtId="0" fontId="0" fillId="0" borderId="0" xfId="0" applyAlignment="1">
      <alignment horizontal="left"/>
    </xf>
    <xf numFmtId="0" fontId="16" fillId="0" borderId="0" xfId="0" applyFont="1" applyAlignment="1">
      <alignment horizontal="left" vertical="center" indent="1"/>
    </xf>
    <xf numFmtId="0" fontId="18" fillId="0" borderId="0" xfId="42" applyAlignment="1">
      <alignment horizontal="left" vertical="center" indent="1"/>
    </xf>
    <xf numFmtId="0" fontId="0" fillId="0" borderId="0" xfId="0" applyAlignment="1">
      <alignment horizontal="left" vertical="center" indent="1"/>
    </xf>
    <xf numFmtId="0" fontId="37" fillId="0" borderId="0" xfId="0" applyFont="1"/>
    <xf numFmtId="49" fontId="0" fillId="0" borderId="0" xfId="0" applyNumberFormat="1" applyAlignment="1">
      <alignment horizontal="right"/>
    </xf>
    <xf numFmtId="49" fontId="37" fillId="0" borderId="0" xfId="0" applyNumberFormat="1" applyFont="1" applyAlignment="1">
      <alignment horizontal="right"/>
    </xf>
    <xf numFmtId="0" fontId="0" fillId="33" borderId="0" xfId="0" applyFill="1"/>
    <xf numFmtId="0" fontId="0" fillId="0" borderId="0" xfId="0" applyAlignment="1">
      <alignment horizontal="right" vertical="center"/>
    </xf>
    <xf numFmtId="0" fontId="0" fillId="0" borderId="0" xfId="0" applyAlignment="1">
      <alignment horizontal="right"/>
    </xf>
    <xf numFmtId="0" fontId="38" fillId="0" borderId="0" xfId="0" applyFont="1"/>
    <xf numFmtId="0" fontId="0" fillId="36" borderId="0" xfId="0" applyFill="1"/>
    <xf numFmtId="0" fontId="38" fillId="36" borderId="0" xfId="0" applyFont="1" applyFill="1"/>
    <xf numFmtId="0" fontId="22" fillId="35" borderId="0" xfId="0" applyFont="1" applyFill="1"/>
    <xf numFmtId="0" fontId="32" fillId="35" borderId="0" xfId="0" applyFont="1" applyFill="1"/>
    <xf numFmtId="164" fontId="0" fillId="0" borderId="0" xfId="0" applyNumberFormat="1"/>
    <xf numFmtId="165" fontId="0" fillId="0" borderId="0" xfId="0" applyNumberFormat="1"/>
    <xf numFmtId="0" fontId="0" fillId="34" borderId="0" xfId="0" applyFill="1"/>
    <xf numFmtId="0" fontId="37" fillId="34" borderId="0" xfId="0" applyFont="1" applyFill="1"/>
    <xf numFmtId="0" fontId="0" fillId="37" borderId="0" xfId="0" applyFill="1"/>
    <xf numFmtId="0" fontId="39" fillId="39" borderId="0" xfId="0" applyFont="1" applyFill="1"/>
    <xf numFmtId="0" fontId="16" fillId="38" borderId="0" xfId="0" applyFont="1" applyFill="1" applyAlignment="1">
      <alignment horizontal="center"/>
    </xf>
    <xf numFmtId="0" fontId="0" fillId="0" borderId="0" xfId="0" applyAlignment="1">
      <alignment horizontal="center"/>
    </xf>
    <xf numFmtId="165" fontId="0" fillId="37" borderId="0" xfId="0" applyNumberFormat="1" applyFill="1"/>
    <xf numFmtId="0" fontId="0" fillId="0" borderId="0" xfId="0" applyAlignment="1">
      <alignment vertical="center"/>
    </xf>
    <xf numFmtId="0" fontId="20" fillId="37" borderId="0" xfId="0" applyFont="1" applyFill="1"/>
    <xf numFmtId="166" fontId="0" fillId="0" borderId="0" xfId="0" applyNumberFormat="1" applyAlignment="1" applyProtection="1">
      <alignment horizontal="right"/>
      <protection locked="0"/>
    </xf>
    <xf numFmtId="165" fontId="38" fillId="0" borderId="0" xfId="0" applyNumberFormat="1" applyFont="1"/>
    <xf numFmtId="0" fontId="38" fillId="0" borderId="0" xfId="0" applyFont="1" applyAlignment="1">
      <alignment horizontal="center"/>
    </xf>
    <xf numFmtId="164" fontId="38" fillId="0" borderId="0" xfId="0" applyNumberFormat="1" applyFont="1"/>
    <xf numFmtId="0" fontId="38" fillId="0" borderId="0" xfId="0" applyFont="1" applyAlignment="1">
      <alignment horizontal="right" vertical="center"/>
    </xf>
    <xf numFmtId="0" fontId="41" fillId="0" borderId="0" xfId="0" applyFont="1"/>
    <xf numFmtId="165" fontId="41" fillId="0" borderId="0" xfId="0" applyNumberFormat="1" applyFont="1"/>
    <xf numFmtId="0" fontId="41" fillId="0" borderId="0" xfId="0" applyFont="1" applyAlignment="1">
      <alignment horizontal="center"/>
    </xf>
    <xf numFmtId="0" fontId="38" fillId="0" borderId="0" xfId="0" applyFont="1" applyAlignment="1">
      <alignment horizontal="right"/>
    </xf>
    <xf numFmtId="0" fontId="41" fillId="40" borderId="0" xfId="0" applyFont="1" applyFill="1"/>
    <xf numFmtId="0" fontId="37" fillId="40" borderId="0" xfId="0" applyFont="1" applyFill="1"/>
    <xf numFmtId="0" fontId="0" fillId="40" borderId="0" xfId="0" applyFill="1"/>
    <xf numFmtId="0" fontId="40" fillId="0" borderId="0" xfId="0" applyFont="1"/>
    <xf numFmtId="0" fontId="0" fillId="0" borderId="15" xfId="0" applyBorder="1"/>
    <xf numFmtId="0" fontId="24" fillId="0" borderId="11" xfId="0" applyFont="1" applyBorder="1" applyAlignment="1">
      <alignment vertical="center"/>
    </xf>
    <xf numFmtId="0" fontId="24" fillId="0" borderId="12" xfId="0" applyFont="1" applyBorder="1" applyAlignment="1">
      <alignment vertical="center"/>
    </xf>
    <xf numFmtId="0" fontId="24" fillId="0" borderId="13" xfId="0" applyFont="1" applyBorder="1" applyAlignment="1">
      <alignment vertical="center"/>
    </xf>
    <xf numFmtId="0" fontId="24" fillId="0" borderId="11" xfId="0" applyFont="1" applyBorder="1" applyAlignment="1">
      <alignment vertical="center" wrapText="1"/>
    </xf>
    <xf numFmtId="0" fontId="24" fillId="0" borderId="12" xfId="0" applyFont="1" applyBorder="1" applyAlignment="1">
      <alignment vertical="center" wrapText="1"/>
    </xf>
    <xf numFmtId="0" fontId="24" fillId="0" borderId="13" xfId="0" applyFont="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AF423F9D-3A76-421C-88F4-1CFC06D14E64}"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1624" dT="2025-09-25T03:35:03.13" personId="{AF423F9D-3A76-421C-88F4-1CFC06D14E64}" id="{24E0FC36-D866-4E29-8012-7C5E62D32F6D}">
    <text>Converted from Survival to Reproduction</text>
  </threadedComment>
  <threadedComment ref="J1637" dT="2025-09-18T05:33:31.27" personId="{AF423F9D-3A76-421C-88F4-1CFC06D14E64}" id="{03FB5374-F1AB-4B74-A2E4-BE3F89DC0BDA}">
    <text>Recheck this article with Ant</text>
  </threadedComment>
  <threadedComment ref="J1637" dT="2025-09-18T07:59:32.90" personId="{AF423F9D-3A76-421C-88F4-1CFC06D14E64}" id="{134D226A-F6F2-4534-99CF-F7E5452CB9AE}" parentId="{03FB5374-F1AB-4B74-A2E4-BE3F89DC0BDA}">
    <text>Because there are several zooplankton species ehre</text>
  </threadedComment>
  <threadedComment ref="AE1699" dT="2025-09-18T06:13:09.65" personId="{AF423F9D-3A76-421C-88F4-1CFC06D14E64}" id="{3317272A-B055-45A8-9A76-E75B7E1CD65B}">
    <text>The early-summer experiment have different ppm tho</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academic.oup.com/plankt/article-abstract/42/2/189/5771213?redirectedFrom=fulltext" TargetMode="External"/><Relationship Id="rId21" Type="http://schemas.openxmlformats.org/officeDocument/2006/relationships/hyperlink" Target="https://www.sciencedirect.com/science/article/abs/pii/S0025326X08001781" TargetMode="External"/><Relationship Id="rId42" Type="http://schemas.openxmlformats.org/officeDocument/2006/relationships/hyperlink" Target="https://bg.copernicus.org/articles/10/1391/2013/" TargetMode="External"/><Relationship Id="rId47" Type="http://schemas.openxmlformats.org/officeDocument/2006/relationships/hyperlink" Target="https://bg.copernicus.org/articles/13/6625/" TargetMode="External"/><Relationship Id="rId63" Type="http://schemas.openxmlformats.org/officeDocument/2006/relationships/hyperlink" Target="https://aslopubs.onlinelibrary.wiley.com/doi/10.1002/lno.10256" TargetMode="External"/><Relationship Id="rId68" Type="http://schemas.openxmlformats.org/officeDocument/2006/relationships/hyperlink" Target="https://bg.copernicus.org/articles/13/6171/2016/" TargetMode="External"/><Relationship Id="rId84" Type="http://schemas.openxmlformats.org/officeDocument/2006/relationships/hyperlink" Target="https://www.sciencedirect.com/science/article/pii/S0141113617303586" TargetMode="External"/><Relationship Id="rId89" Type="http://schemas.openxmlformats.org/officeDocument/2006/relationships/hyperlink" Target="https://royalsocietypublishing.org/doi/10.1098/rspb.2023.1033" TargetMode="External"/><Relationship Id="rId16" Type="http://schemas.openxmlformats.org/officeDocument/2006/relationships/hyperlink" Target="https://www.sciencedirect.com/science/article/abs/pii/S0025326X04001663" TargetMode="External"/><Relationship Id="rId11" Type="http://schemas.openxmlformats.org/officeDocument/2006/relationships/hyperlink" Target="https://www.sciencedirect.com/science/article/abs/pii/S0025326X04001663" TargetMode="External"/><Relationship Id="rId32" Type="http://schemas.openxmlformats.org/officeDocument/2006/relationships/hyperlink" Target="https://pubmed.ncbi.nlm.nih.gov/29191863/" TargetMode="External"/><Relationship Id="rId37" Type="http://schemas.openxmlformats.org/officeDocument/2006/relationships/hyperlink" Target="https://journals.plos.org/plosone/article?id=10.1371/journal.pone.0190625" TargetMode="External"/><Relationship Id="rId53" Type="http://schemas.openxmlformats.org/officeDocument/2006/relationships/hyperlink" Target="https://link.springer.com/article/10.1007/s00227-012-2137-9" TargetMode="External"/><Relationship Id="rId58" Type="http://schemas.openxmlformats.org/officeDocument/2006/relationships/hyperlink" Target="https://bg.copernicus.org/articles/13/1037/2016/" TargetMode="External"/><Relationship Id="rId74" Type="http://schemas.openxmlformats.org/officeDocument/2006/relationships/hyperlink" Target="https://www.nature.com/articles/srep27749" TargetMode="External"/><Relationship Id="rId79" Type="http://schemas.openxmlformats.org/officeDocument/2006/relationships/hyperlink" Target="https://journals.plos.org/plosone/article?id=10.1371/journal.pone.0175851" TargetMode="External"/><Relationship Id="rId5" Type="http://schemas.openxmlformats.org/officeDocument/2006/relationships/hyperlink" Target="https://royalsocietypublishing.org/doi/10.1098/rspb.2023.1033" TargetMode="External"/><Relationship Id="rId90" Type="http://schemas.openxmlformats.org/officeDocument/2006/relationships/hyperlink" Target="https://bg.copernicus.org/articles/13/6625/" TargetMode="External"/><Relationship Id="rId22" Type="http://schemas.openxmlformats.org/officeDocument/2006/relationships/hyperlink" Target="https://www.sciencedirect.com/science/article/abs/pii/S0025326X08001781" TargetMode="External"/><Relationship Id="rId27" Type="http://schemas.openxmlformats.org/officeDocument/2006/relationships/hyperlink" Target="https://academic.oup.com/plankt/article-abstract/42/2/189/5771213?redirectedFrom=fulltext" TargetMode="External"/><Relationship Id="rId43" Type="http://schemas.openxmlformats.org/officeDocument/2006/relationships/hyperlink" Target="https://bg.copernicus.org/articles/10/1391/2013/" TargetMode="External"/><Relationship Id="rId48" Type="http://schemas.openxmlformats.org/officeDocument/2006/relationships/hyperlink" Target="https://journals.plos.org/plosone/article?id=10.1371/journal.pone.0165800" TargetMode="External"/><Relationship Id="rId64" Type="http://schemas.openxmlformats.org/officeDocument/2006/relationships/hyperlink" Target="https://aslopubs.onlinelibrary.wiley.com/doi/10.1002/lno.10256" TargetMode="External"/><Relationship Id="rId69" Type="http://schemas.openxmlformats.org/officeDocument/2006/relationships/hyperlink" Target="https://bg.copernicus.org/articles/13/6171/2016/" TargetMode="External"/><Relationship Id="rId8" Type="http://schemas.openxmlformats.org/officeDocument/2006/relationships/hyperlink" Target="https://link.springer.com/article/10.1007/s12601-022-00066-y" TargetMode="External"/><Relationship Id="rId51" Type="http://schemas.openxmlformats.org/officeDocument/2006/relationships/hyperlink" Target="https://pubmed.ncbi.nlm.nih.gov/24754390/" TargetMode="External"/><Relationship Id="rId72" Type="http://schemas.openxmlformats.org/officeDocument/2006/relationships/hyperlink" Target="https://www.nature.com/articles/srep27749" TargetMode="External"/><Relationship Id="rId80" Type="http://schemas.openxmlformats.org/officeDocument/2006/relationships/hyperlink" Target="https://www.publish.csiro.au/mf/MF15296" TargetMode="External"/><Relationship Id="rId85" Type="http://schemas.openxmlformats.org/officeDocument/2006/relationships/hyperlink" Target="https://www.sciencedirect.com/science/article/abs/pii/S0044848622005907" TargetMode="External"/><Relationship Id="rId93" Type="http://schemas.openxmlformats.org/officeDocument/2006/relationships/comments" Target="../comments1.xml"/><Relationship Id="rId3" Type="http://schemas.openxmlformats.org/officeDocument/2006/relationships/hyperlink" Target="https://aslopubs.onlinelibrary.wiley.com/doi/10.1002/lno.12372" TargetMode="External"/><Relationship Id="rId12" Type="http://schemas.openxmlformats.org/officeDocument/2006/relationships/hyperlink" Target="https://www.sciencedirect.com/science/article/abs/pii/S0025326X04001663" TargetMode="External"/><Relationship Id="rId17" Type="http://schemas.openxmlformats.org/officeDocument/2006/relationships/hyperlink" Target="https://link.springer.com/article/10.1007/s10872-004-5766-x" TargetMode="External"/><Relationship Id="rId25" Type="http://schemas.openxmlformats.org/officeDocument/2006/relationships/hyperlink" Target="https://onlinelibrary.wiley.com/doi/full/10.1002/ece3.6055" TargetMode="External"/><Relationship Id="rId33" Type="http://schemas.openxmlformats.org/officeDocument/2006/relationships/hyperlink" Target="https://pubmed.ncbi.nlm.nih.gov/29191863/" TargetMode="External"/><Relationship Id="rId38" Type="http://schemas.openxmlformats.org/officeDocument/2006/relationships/hyperlink" Target="https://journals.plos.org/plosone/article?id=10.1371/journal.pone.0190625" TargetMode="External"/><Relationship Id="rId46" Type="http://schemas.openxmlformats.org/officeDocument/2006/relationships/hyperlink" Target="https://bg.copernicus.org/articles/13/6625/" TargetMode="External"/><Relationship Id="rId59" Type="http://schemas.openxmlformats.org/officeDocument/2006/relationships/hyperlink" Target="https://bg.copernicus.org/articles/13/1037/2016/" TargetMode="External"/><Relationship Id="rId67" Type="http://schemas.openxmlformats.org/officeDocument/2006/relationships/hyperlink" Target="https://academic.oup.com/icesjms/article/73/3/772/2458875" TargetMode="External"/><Relationship Id="rId20" Type="http://schemas.openxmlformats.org/officeDocument/2006/relationships/hyperlink" Target="https://www.sciencedirect.com/science/article/abs/pii/S0025326X08001781" TargetMode="External"/><Relationship Id="rId41" Type="http://schemas.openxmlformats.org/officeDocument/2006/relationships/hyperlink" Target="https://www.pnas.org/doi/10.1073/pnas.1315162110" TargetMode="External"/><Relationship Id="rId54" Type="http://schemas.openxmlformats.org/officeDocument/2006/relationships/hyperlink" Target="https://link.springer.com/article/10.1007/s00227-012-2137-9" TargetMode="External"/><Relationship Id="rId62" Type="http://schemas.openxmlformats.org/officeDocument/2006/relationships/hyperlink" Target="https://www.int-res.com/abstracts/meps/v554/meps11803" TargetMode="External"/><Relationship Id="rId70" Type="http://schemas.openxmlformats.org/officeDocument/2006/relationships/hyperlink" Target="https://bg.copernicus.org/articles/13/6171/2016/" TargetMode="External"/><Relationship Id="rId75" Type="http://schemas.openxmlformats.org/officeDocument/2006/relationships/hyperlink" Target="https://journals.plos.org/plosone/article?id=10.1371/journal.pone.0155952" TargetMode="External"/><Relationship Id="rId83" Type="http://schemas.openxmlformats.org/officeDocument/2006/relationships/hyperlink" Target="https://www.sciencedirect.com/science/article/pii/S0141113617303586" TargetMode="External"/><Relationship Id="rId88" Type="http://schemas.openxmlformats.org/officeDocument/2006/relationships/hyperlink" Target="https://onlinelibrary.wiley.com/doi/10.1002/tox.10139" TargetMode="External"/><Relationship Id="rId91" Type="http://schemas.openxmlformats.org/officeDocument/2006/relationships/printerSettings" Target="../printerSettings/printerSettings1.bin"/><Relationship Id="rId1" Type="http://schemas.openxmlformats.org/officeDocument/2006/relationships/hyperlink" Target="https://www.sciencedirect.com/science/article/abs/pii/S1011134424001805" TargetMode="External"/><Relationship Id="rId6" Type="http://schemas.openxmlformats.org/officeDocument/2006/relationships/hyperlink" Target="https://www.sciencedirect.com/science/article/abs/pii/S1011134424001805" TargetMode="External"/><Relationship Id="rId15" Type="http://schemas.openxmlformats.org/officeDocument/2006/relationships/hyperlink" Target="https://www.sciencedirect.com/science/article/abs/pii/S0025326X04001663" TargetMode="External"/><Relationship Id="rId23" Type="http://schemas.openxmlformats.org/officeDocument/2006/relationships/hyperlink" Target="https://www.sciencedirect.com/science/article/abs/pii/S0025326X08001781" TargetMode="External"/><Relationship Id="rId28" Type="http://schemas.openxmlformats.org/officeDocument/2006/relationships/hyperlink" Target="https://journals.plos.org/plosone/article?id=10.1371/journal.pone.0217047" TargetMode="External"/><Relationship Id="rId36" Type="http://schemas.openxmlformats.org/officeDocument/2006/relationships/hyperlink" Target="https://journals.plos.org/plosone/article?id=10.1371/journal.pone.0190625" TargetMode="External"/><Relationship Id="rId49" Type="http://schemas.openxmlformats.org/officeDocument/2006/relationships/hyperlink" Target="https://journals.plos.org/plosone/article?id=10.1371/journal.pone.0165800" TargetMode="External"/><Relationship Id="rId57" Type="http://schemas.openxmlformats.org/officeDocument/2006/relationships/hyperlink" Target="https://bg.copernicus.org/articles/13/1037/2016/" TargetMode="External"/><Relationship Id="rId10" Type="http://schemas.openxmlformats.org/officeDocument/2006/relationships/hyperlink" Target="https://www.sciencedirect.com/science/article/abs/pii/S0025326X04001663" TargetMode="External"/><Relationship Id="rId31" Type="http://schemas.openxmlformats.org/officeDocument/2006/relationships/hyperlink" Target="https://www.frontiersin.org/journals/marine-science/articles/10.3389/fmars.2019.00075/full" TargetMode="External"/><Relationship Id="rId44" Type="http://schemas.openxmlformats.org/officeDocument/2006/relationships/hyperlink" Target="https://bg.copernicus.org/articles/10/1391/2013/" TargetMode="External"/><Relationship Id="rId52" Type="http://schemas.openxmlformats.org/officeDocument/2006/relationships/hyperlink" Target="https://pubmed.ncbi.nlm.nih.gov/24754390/" TargetMode="External"/><Relationship Id="rId60" Type="http://schemas.openxmlformats.org/officeDocument/2006/relationships/hyperlink" Target="https://www.int-res.com/abstracts/meps/v554/meps11803" TargetMode="External"/><Relationship Id="rId65" Type="http://schemas.openxmlformats.org/officeDocument/2006/relationships/hyperlink" Target="https://aslopubs.onlinelibrary.wiley.com/doi/10.1002/lno.10256" TargetMode="External"/><Relationship Id="rId73" Type="http://schemas.openxmlformats.org/officeDocument/2006/relationships/hyperlink" Target="https://www.nature.com/articles/srep27749" TargetMode="External"/><Relationship Id="rId78" Type="http://schemas.openxmlformats.org/officeDocument/2006/relationships/hyperlink" Target="https://journals.plos.org/plosone/article?id=10.1371/journal.pone.0175851" TargetMode="External"/><Relationship Id="rId81" Type="http://schemas.openxmlformats.org/officeDocument/2006/relationships/hyperlink" Target="https://www.publish.csiro.au/mf/MF15296" TargetMode="External"/><Relationship Id="rId86" Type="http://schemas.openxmlformats.org/officeDocument/2006/relationships/hyperlink" Target="https://onlinelibrary.wiley.com/doi/10.1002/tox.10139" TargetMode="External"/><Relationship Id="rId94" Type="http://schemas.microsoft.com/office/2017/10/relationships/threadedComment" Target="../threadedComments/threadedComment1.xml"/><Relationship Id="rId4" Type="http://schemas.openxmlformats.org/officeDocument/2006/relationships/hyperlink" Target="https://royalsocietypublishing.org/doi/10.1098/rspb.2023.1033" TargetMode="External"/><Relationship Id="rId9" Type="http://schemas.openxmlformats.org/officeDocument/2006/relationships/hyperlink" Target="https://www.nature.com/articles/s41558-021-01131-5" TargetMode="External"/><Relationship Id="rId13" Type="http://schemas.openxmlformats.org/officeDocument/2006/relationships/hyperlink" Target="https://www.sciencedirect.com/science/article/abs/pii/S0025326X04001663" TargetMode="External"/><Relationship Id="rId18" Type="http://schemas.openxmlformats.org/officeDocument/2006/relationships/hyperlink" Target="https://link.springer.com/article/10.1007/s10872-004-5766-x" TargetMode="External"/><Relationship Id="rId39" Type="http://schemas.openxmlformats.org/officeDocument/2006/relationships/hyperlink" Target="https://journals.plos.org/plosone/article?id=10.1371/journal.pone.0169737" TargetMode="External"/><Relationship Id="rId34" Type="http://schemas.openxmlformats.org/officeDocument/2006/relationships/hyperlink" Target="https://pubmed.ncbi.nlm.nih.gov/28850765/" TargetMode="External"/><Relationship Id="rId50" Type="http://schemas.openxmlformats.org/officeDocument/2006/relationships/hyperlink" Target="https://journals.plos.org/plosone/article?id=10.1371/journal.pone.0165800" TargetMode="External"/><Relationship Id="rId55" Type="http://schemas.openxmlformats.org/officeDocument/2006/relationships/hyperlink" Target="https://link.springer.com/article/10.1007/s00227-012-2121-4" TargetMode="External"/><Relationship Id="rId76" Type="http://schemas.openxmlformats.org/officeDocument/2006/relationships/hyperlink" Target="https://journals.plos.org/plosone/article?id=10.1371/journal.pone.0155952" TargetMode="External"/><Relationship Id="rId7" Type="http://schemas.openxmlformats.org/officeDocument/2006/relationships/hyperlink" Target="https://link.springer.com/article/10.1007/s12601-022-00066-y" TargetMode="External"/><Relationship Id="rId71" Type="http://schemas.openxmlformats.org/officeDocument/2006/relationships/hyperlink" Target="https://bg.copernicus.org/articles/13/6171/2016/" TargetMode="External"/><Relationship Id="rId92" Type="http://schemas.openxmlformats.org/officeDocument/2006/relationships/vmlDrawing" Target="../drawings/vmlDrawing1.vml"/><Relationship Id="rId2" Type="http://schemas.openxmlformats.org/officeDocument/2006/relationships/hyperlink" Target="https://aslopubs.onlinelibrary.wiley.com/doi/10.1002/lno.12372" TargetMode="External"/><Relationship Id="rId29" Type="http://schemas.openxmlformats.org/officeDocument/2006/relationships/hyperlink" Target="https://journals.plos.org/plosone/article?id=10.1371/journal.pone.0213931" TargetMode="External"/><Relationship Id="rId24" Type="http://schemas.openxmlformats.org/officeDocument/2006/relationships/hyperlink" Target="https://onlinelibrary.wiley.com/doi/full/10.1002/ece3.6055" TargetMode="External"/><Relationship Id="rId40" Type="http://schemas.openxmlformats.org/officeDocument/2006/relationships/hyperlink" Target="https://www.pnas.org/doi/10.1073/pnas.1315162110" TargetMode="External"/><Relationship Id="rId45" Type="http://schemas.openxmlformats.org/officeDocument/2006/relationships/hyperlink" Target="https://bg.copernicus.org/articles/13/6625/" TargetMode="External"/><Relationship Id="rId66" Type="http://schemas.openxmlformats.org/officeDocument/2006/relationships/hyperlink" Target="https://academic.oup.com/icesjms/article/73/3/772/2458875" TargetMode="External"/><Relationship Id="rId87" Type="http://schemas.openxmlformats.org/officeDocument/2006/relationships/hyperlink" Target="https://onlinelibrary.wiley.com/doi/10.1002/tox.10139" TargetMode="External"/><Relationship Id="rId61" Type="http://schemas.openxmlformats.org/officeDocument/2006/relationships/hyperlink" Target="https://www.int-res.com/abstracts/meps/v554/meps11803" TargetMode="External"/><Relationship Id="rId82" Type="http://schemas.openxmlformats.org/officeDocument/2006/relationships/hyperlink" Target="https://www.sciencedirect.com/science/article/pii/S0141113617303586" TargetMode="External"/><Relationship Id="rId19" Type="http://schemas.openxmlformats.org/officeDocument/2006/relationships/hyperlink" Target="https://www.sciencedirect.com/science/article/abs/pii/S0025326X08001781" TargetMode="External"/><Relationship Id="rId14" Type="http://schemas.openxmlformats.org/officeDocument/2006/relationships/hyperlink" Target="https://www.sciencedirect.com/science/article/abs/pii/S0025326X04001663" TargetMode="External"/><Relationship Id="rId30" Type="http://schemas.openxmlformats.org/officeDocument/2006/relationships/hyperlink" Target="https://www.frontiersin.org/journals/marine-science/articles/10.3389/fmars.2019.00075/full" TargetMode="External"/><Relationship Id="rId35" Type="http://schemas.openxmlformats.org/officeDocument/2006/relationships/hyperlink" Target="https://pubmed.ncbi.nlm.nih.gov/28850765/" TargetMode="External"/><Relationship Id="rId56" Type="http://schemas.openxmlformats.org/officeDocument/2006/relationships/hyperlink" Target="https://link.springer.com/article/10.1007/s00227-012-2121-4" TargetMode="External"/><Relationship Id="rId77" Type="http://schemas.openxmlformats.org/officeDocument/2006/relationships/hyperlink" Target="https://journals.plos.org/plosone/article?id=10.1371/journal.pone.017585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isci.2024.110673" TargetMode="External"/><Relationship Id="rId3" Type="http://schemas.openxmlformats.org/officeDocument/2006/relationships/hyperlink" Target="https://doi.org/10.5194/bg-21-223-2024" TargetMode="External"/><Relationship Id="rId7" Type="http://schemas.openxmlformats.org/officeDocument/2006/relationships/hyperlink" Target="https://doi.org/10.1073/pnas.2108878119" TargetMode="External"/><Relationship Id="rId2" Type="http://schemas.openxmlformats.org/officeDocument/2006/relationships/hyperlink" Target="https://doi.org/10.1007/s00227-025-04671-y" TargetMode="External"/><Relationship Id="rId1" Type="http://schemas.openxmlformats.org/officeDocument/2006/relationships/hyperlink" Target="https://pmc.ncbi.nlm.nih.gov/articles/PMC10409743/" TargetMode="External"/><Relationship Id="rId6" Type="http://schemas.openxmlformats.org/officeDocument/2006/relationships/hyperlink" Target="https://doi.org/10.1201/9781003138846-8" TargetMode="External"/><Relationship Id="rId5" Type="http://schemas.openxmlformats.org/officeDocument/2006/relationships/hyperlink" Target="https://doi.org/10.3389/fmars.2022.896157" TargetMode="External"/><Relationship Id="rId4" Type="http://schemas.openxmlformats.org/officeDocument/2006/relationships/hyperlink" Target="https://doi.org/10.1038/s41467-024-47563-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rontiersin.org/journals/marine-science/articles/10.3389/fmars.2019.00227/full?utm_source=chatgpt.com" TargetMode="External"/><Relationship Id="rId3" Type="http://schemas.openxmlformats.org/officeDocument/2006/relationships/hyperlink" Target="https://www.pnas.org/doi/10.1073/pnas.1210460109?utm_source=chatgpt.com" TargetMode="External"/><Relationship Id="rId7" Type="http://schemas.openxmlformats.org/officeDocument/2006/relationships/hyperlink" Target="https://pmc.ncbi.nlm.nih.gov/articles/PMC2722360/?utm_source=chatgpt.com" TargetMode="External"/><Relationship Id="rId12" Type="http://schemas.openxmlformats.org/officeDocument/2006/relationships/hyperlink" Target="https://academic.oup.com/plankt/article/36/1/104/1525742?utm_source=chatgpt.com" TargetMode="External"/><Relationship Id="rId2" Type="http://schemas.openxmlformats.org/officeDocument/2006/relationships/hyperlink" Target="https://academic.oup.com/plankt/article/22/2/241/1386290?utm_source=chatgpt.com" TargetMode="External"/><Relationship Id="rId1" Type="http://schemas.openxmlformats.org/officeDocument/2006/relationships/hyperlink" Target="https://aslopubs.onlinelibrary.wiley.com/doi/10.1002/lol2.10106?utm_source=chatgpt.com" TargetMode="External"/><Relationship Id="rId6" Type="http://schemas.openxmlformats.org/officeDocument/2006/relationships/hyperlink" Target="https://www.nature.com/articles/s41467-023-36241-5?utm_source=chatgpt.com" TargetMode="External"/><Relationship Id="rId11" Type="http://schemas.openxmlformats.org/officeDocument/2006/relationships/hyperlink" Target="https://academic.oup.com/plankt/article/42/5/564/5902327?utm_source=chatgpt.com" TargetMode="External"/><Relationship Id="rId5" Type="http://schemas.openxmlformats.org/officeDocument/2006/relationships/hyperlink" Target="https://onlinelibrary.wiley.com/doi/10.1111/ecog.04631?utm_source=chatgpt.com" TargetMode="External"/><Relationship Id="rId10" Type="http://schemas.openxmlformats.org/officeDocument/2006/relationships/hyperlink" Target="https://pmc.ncbi.nlm.nih.gov/articles/PMC10539201/?utm_source=chatgpt.com" TargetMode="External"/><Relationship Id="rId4" Type="http://schemas.openxmlformats.org/officeDocument/2006/relationships/hyperlink" Target="https://besjournals.onlinelibrary.wiley.com/doi/10.1111/j.1365-2435.2011.01958.x?utm_source=chatgpt.com" TargetMode="External"/><Relationship Id="rId9" Type="http://schemas.openxmlformats.org/officeDocument/2006/relationships/hyperlink" Target="https://pmc.ncbi.nlm.nih.gov/articles/PMC11470155/?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51A0-C23E-4C51-A48E-C7435919FA64}">
  <sheetPr codeName="Sheet1" filterMode="1">
    <tabColor rgb="FFFFFF00"/>
  </sheetPr>
  <dimension ref="A1:BC4409"/>
  <sheetViews>
    <sheetView tabSelected="1" topLeftCell="Q1" zoomScale="78" zoomScaleNormal="100" workbookViewId="0">
      <selection activeCell="AG4422" sqref="AG4422"/>
    </sheetView>
  </sheetViews>
  <sheetFormatPr defaultRowHeight="14.5"/>
  <cols>
    <col min="1" max="1" width="17.7265625" customWidth="1"/>
    <col min="2" max="2" width="8.7265625" hidden="1" customWidth="1"/>
    <col min="3" max="3" width="8.54296875" hidden="1" customWidth="1"/>
    <col min="4" max="5" width="8.7265625" style="25" hidden="1" customWidth="1"/>
    <col min="6" max="6" width="8.54296875" hidden="1" customWidth="1"/>
    <col min="7" max="7" width="23.81640625" customWidth="1"/>
    <col min="8" max="8" width="19.08984375" hidden="1" customWidth="1"/>
    <col min="9" max="10" width="8.54296875" hidden="1" customWidth="1"/>
    <col min="11" max="11" width="13.36328125" hidden="1" customWidth="1"/>
    <col min="12" max="12" width="8.54296875" hidden="1" customWidth="1"/>
    <col min="13" max="13" width="8.7265625" style="25" hidden="1" customWidth="1"/>
    <col min="14" max="15" width="8.54296875" hidden="1" customWidth="1"/>
    <col min="16" max="16" width="8.54296875" customWidth="1"/>
    <col min="17" max="17" width="16.54296875" customWidth="1"/>
    <col min="18" max="18" width="18.08984375" customWidth="1"/>
    <col min="20" max="21" width="8.81640625" bestFit="1" customWidth="1"/>
    <col min="22" max="22" width="9.81640625" customWidth="1"/>
    <col min="23" max="23" width="8.7265625" style="25" customWidth="1"/>
    <col min="24" max="24" width="8.81640625" customWidth="1"/>
    <col min="25" max="25" width="8.6328125" customWidth="1"/>
    <col min="26" max="26" width="8.90625" bestFit="1" customWidth="1"/>
    <col min="27" max="27" width="8.81640625" customWidth="1"/>
    <col min="28" max="28" width="8.6328125" customWidth="1"/>
    <col min="29" max="29" width="17.08984375" customWidth="1"/>
    <col min="30" max="30" width="15.81640625" customWidth="1"/>
    <col min="31" max="31" width="16.7265625" customWidth="1"/>
    <col min="32" max="32" width="19.81640625" customWidth="1"/>
    <col min="33" max="33" width="26.81640625" customWidth="1"/>
    <col min="34" max="34" width="9.7265625" customWidth="1"/>
    <col min="35" max="35" width="8.81640625" customWidth="1"/>
    <col min="36" max="36" width="25.453125" customWidth="1"/>
    <col min="37" max="37" width="16.26953125" customWidth="1"/>
    <col min="38" max="38" width="8.7265625" style="25" hidden="1" customWidth="1"/>
    <col min="39" max="39" width="0" style="35" hidden="1" customWidth="1"/>
    <col min="40" max="40" width="12.453125" bestFit="1" customWidth="1"/>
    <col min="41" max="41" width="13.90625" bestFit="1" customWidth="1"/>
    <col min="42" max="42" width="13.453125" bestFit="1" customWidth="1"/>
    <col min="43" max="43" width="13.7265625" bestFit="1" customWidth="1"/>
    <col min="44" max="44" width="0" hidden="1" customWidth="1"/>
    <col min="45" max="45" width="9.36328125" hidden="1" customWidth="1"/>
    <col min="46" max="46" width="15.26953125" hidden="1" customWidth="1"/>
    <col min="47" max="47" width="0" hidden="1" customWidth="1"/>
    <col min="48" max="48" width="12" hidden="1" customWidth="1"/>
    <col min="49" max="49" width="8.7265625" hidden="1" customWidth="1"/>
    <col min="50" max="50" width="17.90625" hidden="1" customWidth="1"/>
    <col min="51" max="51" width="9.6328125" bestFit="1" customWidth="1"/>
    <col min="52" max="53" width="15.54296875" style="68" bestFit="1" customWidth="1"/>
  </cols>
  <sheetData>
    <row r="1" spans="1:53" s="1" customFormat="1" ht="15">
      <c r="A1" s="2" t="s">
        <v>1642</v>
      </c>
      <c r="B1" s="33" t="s">
        <v>0</v>
      </c>
      <c r="C1" s="33" t="s">
        <v>1</v>
      </c>
      <c r="D1" s="4" t="s">
        <v>2</v>
      </c>
      <c r="E1" s="4" t="s">
        <v>3</v>
      </c>
      <c r="F1" s="2" t="s">
        <v>896</v>
      </c>
      <c r="G1" s="1" t="s">
        <v>4</v>
      </c>
      <c r="H1" s="1" t="s">
        <v>795</v>
      </c>
      <c r="I1" s="1" t="s">
        <v>5</v>
      </c>
      <c r="J1" s="1" t="s">
        <v>6</v>
      </c>
      <c r="K1" s="1" t="s">
        <v>7</v>
      </c>
      <c r="L1" s="1" t="s">
        <v>8</v>
      </c>
      <c r="M1" s="4" t="s">
        <v>9</v>
      </c>
      <c r="N1" s="2" t="s">
        <v>10</v>
      </c>
      <c r="O1" s="1" t="s">
        <v>11</v>
      </c>
      <c r="P1" s="2" t="s">
        <v>27</v>
      </c>
      <c r="Q1" s="2" t="s">
        <v>898</v>
      </c>
      <c r="R1" s="2" t="s">
        <v>797</v>
      </c>
      <c r="S1" s="1" t="s">
        <v>798</v>
      </c>
      <c r="T1" s="1" t="s">
        <v>12</v>
      </c>
      <c r="U1" s="1" t="s">
        <v>13</v>
      </c>
      <c r="V1" s="2" t="s">
        <v>14</v>
      </c>
      <c r="W1" s="4" t="s">
        <v>906</v>
      </c>
      <c r="X1" s="1" t="s">
        <v>15</v>
      </c>
      <c r="Y1" s="1" t="s">
        <v>16</v>
      </c>
      <c r="Z1" s="2" t="s">
        <v>17</v>
      </c>
      <c r="AA1" s="2" t="s">
        <v>18</v>
      </c>
      <c r="AB1" s="1" t="s">
        <v>19</v>
      </c>
      <c r="AC1" s="1" t="s">
        <v>20</v>
      </c>
      <c r="AD1" s="1" t="s">
        <v>2204</v>
      </c>
      <c r="AE1" s="1" t="s">
        <v>21</v>
      </c>
      <c r="AF1" s="1" t="s">
        <v>2205</v>
      </c>
      <c r="AG1" s="33" t="s">
        <v>22</v>
      </c>
      <c r="AH1" s="1" t="s">
        <v>23</v>
      </c>
      <c r="AI1" s="1" t="s">
        <v>24</v>
      </c>
      <c r="AJ1" s="1" t="s">
        <v>25</v>
      </c>
      <c r="AK1" s="2" t="s">
        <v>4959</v>
      </c>
      <c r="AL1" s="4" t="s">
        <v>901</v>
      </c>
      <c r="AM1" s="36" t="s">
        <v>28</v>
      </c>
      <c r="AN1" s="2" t="s">
        <v>4643</v>
      </c>
      <c r="AO1" s="2" t="s">
        <v>30</v>
      </c>
      <c r="AP1" s="2" t="s">
        <v>31</v>
      </c>
      <c r="AQ1" s="2" t="s">
        <v>32</v>
      </c>
      <c r="AR1" s="1" t="s">
        <v>33</v>
      </c>
      <c r="AS1" s="2" t="s">
        <v>902</v>
      </c>
      <c r="AT1" s="2" t="s">
        <v>903</v>
      </c>
      <c r="AU1" s="1" t="s">
        <v>897</v>
      </c>
      <c r="AW1" s="66" t="s">
        <v>4967</v>
      </c>
      <c r="AX1" s="66" t="s">
        <v>4968</v>
      </c>
      <c r="AY1" s="66" t="s">
        <v>4969</v>
      </c>
      <c r="AZ1" s="67" t="s">
        <v>4974</v>
      </c>
      <c r="BA1" s="67" t="s">
        <v>4975</v>
      </c>
    </row>
    <row r="2" spans="1:53" hidden="1">
      <c r="A2" t="s">
        <v>1815</v>
      </c>
      <c r="B2" t="s">
        <v>2255</v>
      </c>
      <c r="C2">
        <v>184</v>
      </c>
      <c r="F2" t="s">
        <v>1241</v>
      </c>
      <c r="G2" t="s">
        <v>1972</v>
      </c>
      <c r="I2">
        <v>2019</v>
      </c>
      <c r="N2" t="s">
        <v>36</v>
      </c>
      <c r="P2" t="s">
        <v>60</v>
      </c>
      <c r="Q2" t="s">
        <v>900</v>
      </c>
      <c r="R2" t="s">
        <v>888</v>
      </c>
      <c r="S2" t="s">
        <v>1991</v>
      </c>
      <c r="V2" t="s">
        <v>905</v>
      </c>
      <c r="Z2">
        <v>5</v>
      </c>
      <c r="AA2">
        <v>5</v>
      </c>
      <c r="AC2">
        <v>365</v>
      </c>
      <c r="AD2">
        <v>14.4</v>
      </c>
      <c r="AE2">
        <v>1269</v>
      </c>
      <c r="AF2">
        <v>14.3</v>
      </c>
      <c r="AG2" t="s">
        <v>3429</v>
      </c>
      <c r="AI2">
        <v>14.4</v>
      </c>
      <c r="AJ2" t="s">
        <v>2020</v>
      </c>
      <c r="AK2" t="s">
        <v>59</v>
      </c>
      <c r="AN2">
        <v>99.9</v>
      </c>
      <c r="AO2">
        <v>0.22360679774997899</v>
      </c>
      <c r="AP2">
        <v>99.4</v>
      </c>
      <c r="AQ2">
        <v>1.3416407864998738</v>
      </c>
      <c r="AS2">
        <v>-5.0000000000000001E-3</v>
      </c>
      <c r="AT2">
        <v>1E-4</v>
      </c>
      <c r="AW2" s="28">
        <f t="shared" ref="AW2:AW65" si="0">(AP2-$AN2)/SQRT(((AA2-1)*AQ2*AQ2+($Z2-1)*$AO2*$AO2)/(AA2+$Z2-2))</f>
        <v>-0.51987524491003634</v>
      </c>
      <c r="AX2">
        <f t="shared" ref="AX2:AX65" si="1">1-(3/(4*(AA2+$Z2-2)-1))</f>
        <v>0.90322580645161288</v>
      </c>
      <c r="AY2" s="62">
        <f t="shared" ref="AY2:AY65" si="2">AX2*AW2</f>
        <v>-0.46956473733809734</v>
      </c>
      <c r="AZ2" s="68" t="str">
        <f t="shared" ref="AZ2:AZ65" si="3">IF(AY2&gt;10,"Yes","No")</f>
        <v>No</v>
      </c>
      <c r="BA2" s="68" t="str">
        <f t="shared" ref="BA2:BA65" si="4">IF(AY2&lt;-10,"Yes","No")</f>
        <v>No</v>
      </c>
    </row>
    <row r="3" spans="1:53" hidden="1">
      <c r="A3" t="s">
        <v>1815</v>
      </c>
      <c r="B3" t="s">
        <v>2268</v>
      </c>
      <c r="C3">
        <v>184</v>
      </c>
      <c r="F3" t="s">
        <v>1241</v>
      </c>
      <c r="G3" t="s">
        <v>1972</v>
      </c>
      <c r="I3">
        <v>2015</v>
      </c>
      <c r="N3" t="s">
        <v>36</v>
      </c>
      <c r="P3" t="s">
        <v>60</v>
      </c>
      <c r="Q3" t="s">
        <v>900</v>
      </c>
      <c r="R3" t="s">
        <v>888</v>
      </c>
      <c r="S3" t="s">
        <v>1991</v>
      </c>
      <c r="V3" t="s">
        <v>905</v>
      </c>
      <c r="Z3">
        <v>5</v>
      </c>
      <c r="AA3">
        <v>5</v>
      </c>
      <c r="AC3">
        <v>365</v>
      </c>
      <c r="AD3">
        <v>14.4</v>
      </c>
      <c r="AE3">
        <v>1269</v>
      </c>
      <c r="AF3">
        <v>14.3</v>
      </c>
      <c r="AG3" t="s">
        <v>3429</v>
      </c>
      <c r="AI3">
        <v>14.4</v>
      </c>
      <c r="AJ3" t="s">
        <v>2024</v>
      </c>
      <c r="AK3" t="s">
        <v>40</v>
      </c>
      <c r="AN3">
        <v>18.600000000000001</v>
      </c>
      <c r="AO3">
        <v>0.22360679774997899</v>
      </c>
      <c r="AP3">
        <v>18.600000000000001</v>
      </c>
      <c r="AQ3">
        <v>0.44721359549995798</v>
      </c>
      <c r="AS3">
        <v>0</v>
      </c>
      <c r="AT3">
        <v>1E-4</v>
      </c>
      <c r="AW3" s="28">
        <f t="shared" si="0"/>
        <v>0</v>
      </c>
      <c r="AX3">
        <f t="shared" si="1"/>
        <v>0.90322580645161288</v>
      </c>
      <c r="AY3" s="62">
        <f t="shared" si="2"/>
        <v>0</v>
      </c>
      <c r="AZ3" s="68" t="str">
        <f t="shared" si="3"/>
        <v>No</v>
      </c>
      <c r="BA3" s="68" t="str">
        <f t="shared" si="4"/>
        <v>No</v>
      </c>
    </row>
    <row r="4" spans="1:53" hidden="1">
      <c r="A4" t="s">
        <v>1815</v>
      </c>
      <c r="B4" t="s">
        <v>2279</v>
      </c>
      <c r="C4">
        <v>184</v>
      </c>
      <c r="F4" t="s">
        <v>1241</v>
      </c>
      <c r="G4" t="s">
        <v>1972</v>
      </c>
      <c r="I4">
        <v>2021</v>
      </c>
      <c r="N4" t="s">
        <v>36</v>
      </c>
      <c r="P4" t="s">
        <v>60</v>
      </c>
      <c r="Q4" t="s">
        <v>900</v>
      </c>
      <c r="R4" t="s">
        <v>888</v>
      </c>
      <c r="S4" t="s">
        <v>1991</v>
      </c>
      <c r="V4" t="s">
        <v>905</v>
      </c>
      <c r="Z4">
        <v>5</v>
      </c>
      <c r="AA4">
        <v>5</v>
      </c>
      <c r="AC4">
        <v>365</v>
      </c>
      <c r="AD4">
        <v>14.4</v>
      </c>
      <c r="AE4">
        <v>1269</v>
      </c>
      <c r="AF4">
        <v>14.3</v>
      </c>
      <c r="AG4" t="s">
        <v>3429</v>
      </c>
      <c r="AI4">
        <v>14.4</v>
      </c>
      <c r="AJ4" t="s">
        <v>677</v>
      </c>
      <c r="AK4" t="s">
        <v>59</v>
      </c>
      <c r="AN4">
        <v>98.4</v>
      </c>
      <c r="AO4">
        <v>1.7888543819998319</v>
      </c>
      <c r="AP4">
        <v>91</v>
      </c>
      <c r="AQ4">
        <v>2.459674775249769</v>
      </c>
      <c r="AS4">
        <v>-7.8200000000000006E-2</v>
      </c>
      <c r="AT4">
        <v>2.0000000000000001E-4</v>
      </c>
      <c r="AW4" s="28">
        <f t="shared" si="0"/>
        <v>-3.4409301068170528</v>
      </c>
      <c r="AX4">
        <f t="shared" si="1"/>
        <v>0.90322580645161288</v>
      </c>
      <c r="AY4" s="62">
        <f t="shared" si="2"/>
        <v>-3.1079368706734671</v>
      </c>
      <c r="AZ4" s="68" t="str">
        <f t="shared" si="3"/>
        <v>No</v>
      </c>
      <c r="BA4" s="68" t="str">
        <f t="shared" si="4"/>
        <v>No</v>
      </c>
    </row>
    <row r="5" spans="1:53" hidden="1">
      <c r="A5" t="s">
        <v>1815</v>
      </c>
      <c r="B5" t="s">
        <v>2295</v>
      </c>
      <c r="C5">
        <v>184</v>
      </c>
      <c r="F5" t="s">
        <v>1241</v>
      </c>
      <c r="G5" t="s">
        <v>1972</v>
      </c>
      <c r="I5">
        <v>2020</v>
      </c>
      <c r="N5" t="s">
        <v>36</v>
      </c>
      <c r="P5" t="s">
        <v>60</v>
      </c>
      <c r="Q5" t="s">
        <v>900</v>
      </c>
      <c r="R5" t="s">
        <v>888</v>
      </c>
      <c r="S5" t="s">
        <v>1991</v>
      </c>
      <c r="V5" t="s">
        <v>905</v>
      </c>
      <c r="Z5">
        <v>5</v>
      </c>
      <c r="AA5">
        <v>5</v>
      </c>
      <c r="AC5">
        <v>365</v>
      </c>
      <c r="AD5">
        <v>14.4</v>
      </c>
      <c r="AE5">
        <v>1269</v>
      </c>
      <c r="AF5">
        <v>14.3</v>
      </c>
      <c r="AG5" t="s">
        <v>3450</v>
      </c>
      <c r="AI5">
        <v>14.4</v>
      </c>
      <c r="AJ5" t="s">
        <v>2031</v>
      </c>
      <c r="AK5" t="s">
        <v>770</v>
      </c>
      <c r="AN5">
        <v>0.71299999999999997</v>
      </c>
      <c r="AO5">
        <v>0.71554175279993271</v>
      </c>
      <c r="AP5">
        <v>4.3659999999999997</v>
      </c>
      <c r="AQ5">
        <v>3.9578403201746282</v>
      </c>
      <c r="AS5">
        <v>-3.7499999999999999E-2</v>
      </c>
      <c r="AT5">
        <v>4.0000000000000002E-4</v>
      </c>
      <c r="AW5" s="28">
        <f t="shared" si="0"/>
        <v>1.2844653377599962</v>
      </c>
      <c r="AX5">
        <f t="shared" si="1"/>
        <v>0.90322580645161288</v>
      </c>
      <c r="AY5" s="62">
        <f t="shared" si="2"/>
        <v>1.1601622405574159</v>
      </c>
      <c r="AZ5" s="68" t="str">
        <f t="shared" si="3"/>
        <v>No</v>
      </c>
      <c r="BA5" s="68" t="str">
        <f t="shared" si="4"/>
        <v>No</v>
      </c>
    </row>
    <row r="6" spans="1:53" hidden="1">
      <c r="A6" t="s">
        <v>1815</v>
      </c>
      <c r="B6" t="s">
        <v>2336</v>
      </c>
      <c r="C6">
        <v>184</v>
      </c>
      <c r="F6" t="s">
        <v>1241</v>
      </c>
      <c r="G6" t="s">
        <v>1972</v>
      </c>
      <c r="I6">
        <v>2018</v>
      </c>
      <c r="N6" t="s">
        <v>36</v>
      </c>
      <c r="P6" t="s">
        <v>60</v>
      </c>
      <c r="Q6" t="s">
        <v>900</v>
      </c>
      <c r="R6" t="s">
        <v>888</v>
      </c>
      <c r="S6" t="s">
        <v>1991</v>
      </c>
      <c r="V6" t="s">
        <v>905</v>
      </c>
      <c r="Z6">
        <v>5</v>
      </c>
      <c r="AA6">
        <v>5</v>
      </c>
      <c r="AC6">
        <v>365</v>
      </c>
      <c r="AD6">
        <v>14.4</v>
      </c>
      <c r="AE6">
        <v>1269</v>
      </c>
      <c r="AF6">
        <v>14.3</v>
      </c>
      <c r="AG6" t="s">
        <v>3450</v>
      </c>
      <c r="AI6">
        <v>14.4</v>
      </c>
      <c r="AJ6" t="s">
        <v>2034</v>
      </c>
      <c r="AK6" t="s">
        <v>770</v>
      </c>
      <c r="AN6">
        <v>10.763</v>
      </c>
      <c r="AO6">
        <v>0.3801315561749643</v>
      </c>
      <c r="AP6">
        <v>11.064</v>
      </c>
      <c r="AQ6">
        <v>0.26832815729997478</v>
      </c>
      <c r="AS6">
        <v>2.76E-2</v>
      </c>
      <c r="AT6">
        <v>4.0000000000000002E-4</v>
      </c>
      <c r="AW6" s="28">
        <f t="shared" si="0"/>
        <v>0.91485558370161568</v>
      </c>
      <c r="AX6">
        <f t="shared" si="1"/>
        <v>0.90322580645161288</v>
      </c>
      <c r="AY6" s="62">
        <f t="shared" si="2"/>
        <v>0.82632117237565283</v>
      </c>
      <c r="AZ6" s="68" t="str">
        <f t="shared" si="3"/>
        <v>No</v>
      </c>
      <c r="BA6" s="68" t="str">
        <f t="shared" si="4"/>
        <v>No</v>
      </c>
    </row>
    <row r="7" spans="1:53" hidden="1">
      <c r="A7" t="s">
        <v>1815</v>
      </c>
      <c r="B7" t="s">
        <v>2343</v>
      </c>
      <c r="C7">
        <v>184</v>
      </c>
      <c r="F7" t="s">
        <v>1241</v>
      </c>
      <c r="G7" t="s">
        <v>1972</v>
      </c>
      <c r="I7">
        <v>2018</v>
      </c>
      <c r="N7" t="s">
        <v>36</v>
      </c>
      <c r="P7" t="s">
        <v>60</v>
      </c>
      <c r="Q7" t="s">
        <v>900</v>
      </c>
      <c r="R7" t="s">
        <v>888</v>
      </c>
      <c r="S7" t="s">
        <v>1991</v>
      </c>
      <c r="V7" t="s">
        <v>905</v>
      </c>
      <c r="Z7">
        <v>5</v>
      </c>
      <c r="AA7">
        <v>5</v>
      </c>
      <c r="AC7">
        <v>365</v>
      </c>
      <c r="AD7">
        <v>14.4</v>
      </c>
      <c r="AE7">
        <v>1269</v>
      </c>
      <c r="AF7">
        <v>14.3</v>
      </c>
      <c r="AG7" t="s">
        <v>3450</v>
      </c>
      <c r="AI7">
        <v>14.4</v>
      </c>
      <c r="AJ7" t="s">
        <v>2039</v>
      </c>
      <c r="AK7" t="s">
        <v>770</v>
      </c>
      <c r="AN7">
        <v>13.493</v>
      </c>
      <c r="AO7">
        <v>0.20124611797498107</v>
      </c>
      <c r="AP7">
        <v>13.558999999999999</v>
      </c>
      <c r="AQ7">
        <v>0.20124611797498107</v>
      </c>
      <c r="AS7">
        <v>4.8999999999999998E-3</v>
      </c>
      <c r="AT7">
        <v>1E-4</v>
      </c>
      <c r="AW7" s="28">
        <f t="shared" si="0"/>
        <v>0.32795663669996394</v>
      </c>
      <c r="AX7">
        <f t="shared" si="1"/>
        <v>0.90322580645161288</v>
      </c>
      <c r="AY7" s="62">
        <f t="shared" si="2"/>
        <v>0.29621889766448356</v>
      </c>
      <c r="AZ7" s="68" t="str">
        <f t="shared" si="3"/>
        <v>No</v>
      </c>
      <c r="BA7" s="68" t="str">
        <f t="shared" si="4"/>
        <v>No</v>
      </c>
    </row>
    <row r="8" spans="1:53" hidden="1">
      <c r="A8" t="s">
        <v>1815</v>
      </c>
      <c r="B8" t="s">
        <v>2352</v>
      </c>
      <c r="C8">
        <v>184</v>
      </c>
      <c r="F8" t="s">
        <v>1241</v>
      </c>
      <c r="G8" t="s">
        <v>1972</v>
      </c>
      <c r="I8">
        <v>2018</v>
      </c>
      <c r="N8" t="s">
        <v>36</v>
      </c>
      <c r="P8" t="s">
        <v>60</v>
      </c>
      <c r="Q8" t="s">
        <v>900</v>
      </c>
      <c r="R8" t="s">
        <v>888</v>
      </c>
      <c r="S8" t="s">
        <v>1991</v>
      </c>
      <c r="V8" t="s">
        <v>905</v>
      </c>
      <c r="Z8">
        <v>5</v>
      </c>
      <c r="AA8">
        <v>5</v>
      </c>
      <c r="AC8">
        <v>365</v>
      </c>
      <c r="AD8">
        <v>14.4</v>
      </c>
      <c r="AE8">
        <v>1269</v>
      </c>
      <c r="AF8">
        <v>14.3</v>
      </c>
      <c r="AG8" t="s">
        <v>3429</v>
      </c>
      <c r="AI8">
        <v>14.4</v>
      </c>
      <c r="AJ8" t="s">
        <v>2025</v>
      </c>
      <c r="AK8" t="s">
        <v>904</v>
      </c>
      <c r="AN8">
        <v>102.42700000000001</v>
      </c>
      <c r="AO8">
        <v>7.9380413201242535</v>
      </c>
      <c r="AP8">
        <v>107.871</v>
      </c>
      <c r="AQ8">
        <v>6.5516791740743843</v>
      </c>
      <c r="AS8">
        <v>5.1799999999999999E-2</v>
      </c>
      <c r="AT8">
        <v>1.9E-3</v>
      </c>
      <c r="AW8" s="28">
        <f t="shared" si="0"/>
        <v>0.74801323012542753</v>
      </c>
      <c r="AX8">
        <f t="shared" si="1"/>
        <v>0.90322580645161288</v>
      </c>
      <c r="AY8" s="62">
        <f t="shared" si="2"/>
        <v>0.6756248530165152</v>
      </c>
      <c r="AZ8" s="68" t="str">
        <f t="shared" si="3"/>
        <v>No</v>
      </c>
      <c r="BA8" s="68" t="str">
        <f t="shared" si="4"/>
        <v>No</v>
      </c>
    </row>
    <row r="9" spans="1:53" hidden="1">
      <c r="A9" t="s">
        <v>1815</v>
      </c>
      <c r="B9" t="s">
        <v>2428</v>
      </c>
      <c r="C9">
        <v>184</v>
      </c>
      <c r="F9" t="s">
        <v>1241</v>
      </c>
      <c r="G9" t="s">
        <v>1972</v>
      </c>
      <c r="I9">
        <v>2015</v>
      </c>
      <c r="N9" t="s">
        <v>36</v>
      </c>
      <c r="P9" t="s">
        <v>60</v>
      </c>
      <c r="Q9" t="s">
        <v>900</v>
      </c>
      <c r="R9" t="s">
        <v>888</v>
      </c>
      <c r="S9" t="s">
        <v>1991</v>
      </c>
      <c r="V9" t="s">
        <v>905</v>
      </c>
      <c r="Z9">
        <v>5</v>
      </c>
      <c r="AA9">
        <v>5</v>
      </c>
      <c r="AC9">
        <v>365</v>
      </c>
      <c r="AD9">
        <v>14.4</v>
      </c>
      <c r="AE9">
        <v>1269</v>
      </c>
      <c r="AF9">
        <v>14.3</v>
      </c>
      <c r="AG9" t="s">
        <v>3429</v>
      </c>
      <c r="AI9">
        <v>14.4</v>
      </c>
      <c r="AJ9" t="s">
        <v>2035</v>
      </c>
      <c r="AK9" t="s">
        <v>770</v>
      </c>
      <c r="AN9">
        <v>53.3</v>
      </c>
      <c r="AO9">
        <v>1.5652475842498528</v>
      </c>
      <c r="AP9">
        <v>48.8</v>
      </c>
      <c r="AQ9">
        <v>15.20526224699857</v>
      </c>
      <c r="AS9">
        <v>-8.8200000000000001E-2</v>
      </c>
      <c r="AT9">
        <v>1.9599999999999999E-2</v>
      </c>
      <c r="AW9" s="28">
        <f t="shared" si="0"/>
        <v>-0.41633662654622972</v>
      </c>
      <c r="AX9">
        <f t="shared" si="1"/>
        <v>0.90322580645161288</v>
      </c>
      <c r="AY9" s="62">
        <f t="shared" si="2"/>
        <v>-0.37604598526756233</v>
      </c>
      <c r="AZ9" s="68" t="str">
        <f t="shared" si="3"/>
        <v>No</v>
      </c>
      <c r="BA9" s="68" t="str">
        <f t="shared" si="4"/>
        <v>No</v>
      </c>
    </row>
    <row r="10" spans="1:53" hidden="1">
      <c r="A10" t="s">
        <v>1815</v>
      </c>
      <c r="B10" t="s">
        <v>2208</v>
      </c>
      <c r="C10">
        <v>184</v>
      </c>
      <c r="F10" t="s">
        <v>1241</v>
      </c>
      <c r="G10" t="s">
        <v>1972</v>
      </c>
      <c r="I10">
        <v>2018</v>
      </c>
      <c r="N10" t="s">
        <v>36</v>
      </c>
      <c r="P10" t="s">
        <v>60</v>
      </c>
      <c r="Q10" t="s">
        <v>900</v>
      </c>
      <c r="R10" t="s">
        <v>888</v>
      </c>
      <c r="S10" t="s">
        <v>1991</v>
      </c>
      <c r="V10" t="s">
        <v>907</v>
      </c>
      <c r="Z10">
        <v>5</v>
      </c>
      <c r="AA10">
        <v>5</v>
      </c>
      <c r="AC10">
        <v>365</v>
      </c>
      <c r="AD10">
        <v>14.4</v>
      </c>
      <c r="AE10">
        <v>377</v>
      </c>
      <c r="AF10">
        <v>15.9</v>
      </c>
      <c r="AG10" t="s">
        <v>3429</v>
      </c>
      <c r="AI10">
        <v>14.4</v>
      </c>
      <c r="AJ10" t="s">
        <v>677</v>
      </c>
      <c r="AK10" t="s">
        <v>59</v>
      </c>
      <c r="AN10">
        <v>98.4</v>
      </c>
      <c r="AO10">
        <v>1.7888543819998319</v>
      </c>
      <c r="AP10">
        <v>99.1</v>
      </c>
      <c r="AQ10">
        <v>0.89442719099991597</v>
      </c>
      <c r="AS10">
        <v>7.1000000000000004E-3</v>
      </c>
      <c r="AT10">
        <v>1E-4</v>
      </c>
      <c r="AW10" s="28">
        <f t="shared" si="0"/>
        <v>0.49497474683057519</v>
      </c>
      <c r="AX10">
        <f t="shared" si="1"/>
        <v>0.90322580645161288</v>
      </c>
      <c r="AY10" s="62">
        <f t="shared" si="2"/>
        <v>0.44707396487922918</v>
      </c>
      <c r="AZ10" s="68" t="str">
        <f t="shared" si="3"/>
        <v>No</v>
      </c>
      <c r="BA10" s="68" t="str">
        <f t="shared" si="4"/>
        <v>No</v>
      </c>
    </row>
    <row r="11" spans="1:53" hidden="1">
      <c r="A11" t="s">
        <v>1815</v>
      </c>
      <c r="B11" t="s">
        <v>2254</v>
      </c>
      <c r="C11">
        <v>184</v>
      </c>
      <c r="F11" t="s">
        <v>1241</v>
      </c>
      <c r="G11" t="s">
        <v>1972</v>
      </c>
      <c r="I11">
        <v>2019</v>
      </c>
      <c r="N11" t="s">
        <v>36</v>
      </c>
      <c r="P11" t="s">
        <v>60</v>
      </c>
      <c r="Q11" t="s">
        <v>900</v>
      </c>
      <c r="R11" t="s">
        <v>888</v>
      </c>
      <c r="S11" t="s">
        <v>1991</v>
      </c>
      <c r="V11" t="s">
        <v>907</v>
      </c>
      <c r="Z11">
        <v>5</v>
      </c>
      <c r="AA11">
        <v>5</v>
      </c>
      <c r="AC11">
        <v>365</v>
      </c>
      <c r="AD11">
        <v>14.4</v>
      </c>
      <c r="AE11">
        <v>377</v>
      </c>
      <c r="AF11">
        <v>15.9</v>
      </c>
      <c r="AG11" t="s">
        <v>3429</v>
      </c>
      <c r="AI11">
        <v>14.4</v>
      </c>
      <c r="AJ11" t="s">
        <v>2020</v>
      </c>
      <c r="AK11" t="s">
        <v>59</v>
      </c>
      <c r="AN11">
        <v>99.9</v>
      </c>
      <c r="AO11">
        <v>0.22360679774997899</v>
      </c>
      <c r="AP11">
        <v>99.9</v>
      </c>
      <c r="AQ11">
        <v>0.22360679774997899</v>
      </c>
      <c r="AS11">
        <v>0</v>
      </c>
      <c r="AT11">
        <v>1E-4</v>
      </c>
      <c r="AW11" s="28">
        <f t="shared" si="0"/>
        <v>0</v>
      </c>
      <c r="AX11">
        <f t="shared" si="1"/>
        <v>0.90322580645161288</v>
      </c>
      <c r="AY11" s="62">
        <f t="shared" si="2"/>
        <v>0</v>
      </c>
      <c r="AZ11" s="68" t="str">
        <f t="shared" si="3"/>
        <v>No</v>
      </c>
      <c r="BA11" s="68" t="str">
        <f t="shared" si="4"/>
        <v>No</v>
      </c>
    </row>
    <row r="12" spans="1:53" hidden="1">
      <c r="A12" t="s">
        <v>1815</v>
      </c>
      <c r="B12" t="s">
        <v>2269</v>
      </c>
      <c r="C12">
        <v>184</v>
      </c>
      <c r="F12" t="s">
        <v>1241</v>
      </c>
      <c r="G12" t="s">
        <v>1972</v>
      </c>
      <c r="I12">
        <v>2015</v>
      </c>
      <c r="N12" t="s">
        <v>36</v>
      </c>
      <c r="P12" t="s">
        <v>60</v>
      </c>
      <c r="Q12" t="s">
        <v>900</v>
      </c>
      <c r="R12" t="s">
        <v>888</v>
      </c>
      <c r="S12" t="s">
        <v>1991</v>
      </c>
      <c r="V12" t="s">
        <v>907</v>
      </c>
      <c r="Z12">
        <v>5</v>
      </c>
      <c r="AA12">
        <v>5</v>
      </c>
      <c r="AC12">
        <v>365</v>
      </c>
      <c r="AD12">
        <v>14.4</v>
      </c>
      <c r="AE12">
        <v>377</v>
      </c>
      <c r="AF12">
        <v>15.9</v>
      </c>
      <c r="AG12" t="s">
        <v>3429</v>
      </c>
      <c r="AI12">
        <v>14.4</v>
      </c>
      <c r="AJ12" t="s">
        <v>2024</v>
      </c>
      <c r="AK12" t="s">
        <v>40</v>
      </c>
      <c r="AN12">
        <v>18.600000000000001</v>
      </c>
      <c r="AO12">
        <v>0.22360679774997899</v>
      </c>
      <c r="AP12">
        <v>18.399999999999999</v>
      </c>
      <c r="AQ12">
        <v>0.44721359549995798</v>
      </c>
      <c r="AS12">
        <v>-1.0800000000000001E-2</v>
      </c>
      <c r="AT12">
        <v>1E-4</v>
      </c>
      <c r="AW12" s="28">
        <f t="shared" si="0"/>
        <v>-0.56568542494924601</v>
      </c>
      <c r="AX12">
        <f t="shared" si="1"/>
        <v>0.90322580645161288</v>
      </c>
      <c r="AY12" s="62">
        <f t="shared" si="2"/>
        <v>-0.51094167414770608</v>
      </c>
      <c r="AZ12" s="68" t="str">
        <f t="shared" si="3"/>
        <v>No</v>
      </c>
      <c r="BA12" s="68" t="str">
        <f t="shared" si="4"/>
        <v>No</v>
      </c>
    </row>
    <row r="13" spans="1:53" hidden="1">
      <c r="A13" t="s">
        <v>1815</v>
      </c>
      <c r="B13" t="s">
        <v>2289</v>
      </c>
      <c r="C13">
        <v>184</v>
      </c>
      <c r="F13" t="s">
        <v>1241</v>
      </c>
      <c r="G13" t="s">
        <v>1972</v>
      </c>
      <c r="I13">
        <v>2018</v>
      </c>
      <c r="N13" t="s">
        <v>36</v>
      </c>
      <c r="P13" t="s">
        <v>60</v>
      </c>
      <c r="Q13" t="s">
        <v>900</v>
      </c>
      <c r="R13" t="s">
        <v>888</v>
      </c>
      <c r="S13" t="s">
        <v>1991</v>
      </c>
      <c r="V13" t="s">
        <v>907</v>
      </c>
      <c r="Z13">
        <v>5</v>
      </c>
      <c r="AA13">
        <v>5</v>
      </c>
      <c r="AC13">
        <v>365</v>
      </c>
      <c r="AD13">
        <v>14.4</v>
      </c>
      <c r="AE13">
        <v>377</v>
      </c>
      <c r="AF13">
        <v>15.9</v>
      </c>
      <c r="AG13" t="s">
        <v>3450</v>
      </c>
      <c r="AI13">
        <v>14.4</v>
      </c>
      <c r="AJ13" t="s">
        <v>2031</v>
      </c>
      <c r="AK13" t="s">
        <v>770</v>
      </c>
      <c r="AN13">
        <v>0.71299999999999997</v>
      </c>
      <c r="AO13">
        <v>0.71554175279993271</v>
      </c>
      <c r="AP13">
        <v>1.468</v>
      </c>
      <c r="AQ13">
        <v>0.44721359549995798</v>
      </c>
      <c r="AS13">
        <v>-7.6E-3</v>
      </c>
      <c r="AT13">
        <v>1E-4</v>
      </c>
      <c r="AU13" t="s">
        <v>2003</v>
      </c>
      <c r="AW13" s="28">
        <f t="shared" si="0"/>
        <v>1.2653828749531579</v>
      </c>
      <c r="AX13">
        <f t="shared" si="1"/>
        <v>0.90322580645161288</v>
      </c>
      <c r="AY13" s="62">
        <f t="shared" si="2"/>
        <v>1.1429264676996265</v>
      </c>
      <c r="AZ13" s="68" t="str">
        <f t="shared" si="3"/>
        <v>No</v>
      </c>
      <c r="BA13" s="68" t="str">
        <f t="shared" si="4"/>
        <v>No</v>
      </c>
    </row>
    <row r="14" spans="1:53" hidden="1">
      <c r="A14" t="s">
        <v>1815</v>
      </c>
      <c r="B14" t="s">
        <v>2292</v>
      </c>
      <c r="C14">
        <v>184</v>
      </c>
      <c r="F14" t="s">
        <v>1241</v>
      </c>
      <c r="G14" t="s">
        <v>1972</v>
      </c>
      <c r="I14">
        <v>2018</v>
      </c>
      <c r="N14" t="s">
        <v>36</v>
      </c>
      <c r="P14" t="s">
        <v>60</v>
      </c>
      <c r="Q14" t="s">
        <v>900</v>
      </c>
      <c r="R14" t="s">
        <v>888</v>
      </c>
      <c r="S14" t="s">
        <v>1991</v>
      </c>
      <c r="V14" t="s">
        <v>907</v>
      </c>
      <c r="Z14">
        <v>5</v>
      </c>
      <c r="AA14">
        <v>5</v>
      </c>
      <c r="AC14">
        <v>365</v>
      </c>
      <c r="AD14">
        <v>14.4</v>
      </c>
      <c r="AE14">
        <v>432</v>
      </c>
      <c r="AF14">
        <v>17.100000000000001</v>
      </c>
      <c r="AG14" t="s">
        <v>3429</v>
      </c>
      <c r="AI14">
        <v>14.4</v>
      </c>
      <c r="AJ14" t="s">
        <v>2024</v>
      </c>
      <c r="AK14" t="s">
        <v>40</v>
      </c>
      <c r="AN14">
        <v>18.600000000000001</v>
      </c>
      <c r="AO14">
        <v>0.22360679774997899</v>
      </c>
      <c r="AP14">
        <v>16.8</v>
      </c>
      <c r="AQ14">
        <v>0.67082039324993692</v>
      </c>
      <c r="AS14">
        <v>-0.1018</v>
      </c>
      <c r="AT14">
        <v>2.9999999999999997E-4</v>
      </c>
      <c r="AW14" s="28">
        <f t="shared" si="0"/>
        <v>-3.6000000000000014</v>
      </c>
      <c r="AX14">
        <f t="shared" si="1"/>
        <v>0.90322580645161288</v>
      </c>
      <c r="AY14" s="62">
        <f t="shared" si="2"/>
        <v>-3.2516129032258076</v>
      </c>
      <c r="AZ14" s="68" t="str">
        <f t="shared" si="3"/>
        <v>No</v>
      </c>
      <c r="BA14" s="68" t="str">
        <f t="shared" si="4"/>
        <v>No</v>
      </c>
    </row>
    <row r="15" spans="1:53" hidden="1">
      <c r="A15" t="s">
        <v>1815</v>
      </c>
      <c r="B15" t="s">
        <v>2329</v>
      </c>
      <c r="C15">
        <v>184</v>
      </c>
      <c r="F15" t="s">
        <v>1241</v>
      </c>
      <c r="G15" t="s">
        <v>1972</v>
      </c>
      <c r="I15">
        <v>2021</v>
      </c>
      <c r="N15" t="s">
        <v>36</v>
      </c>
      <c r="P15" t="s">
        <v>60</v>
      </c>
      <c r="Q15" t="s">
        <v>900</v>
      </c>
      <c r="R15" t="s">
        <v>888</v>
      </c>
      <c r="S15" t="s">
        <v>1991</v>
      </c>
      <c r="V15" t="s">
        <v>907</v>
      </c>
      <c r="Z15">
        <v>5</v>
      </c>
      <c r="AA15">
        <v>5</v>
      </c>
      <c r="AC15">
        <v>365</v>
      </c>
      <c r="AD15">
        <v>14.4</v>
      </c>
      <c r="AE15">
        <v>377</v>
      </c>
      <c r="AF15">
        <v>15.9</v>
      </c>
      <c r="AG15" t="s">
        <v>3429</v>
      </c>
      <c r="AI15">
        <v>14.4</v>
      </c>
      <c r="AJ15" t="s">
        <v>2035</v>
      </c>
      <c r="AK15" t="s">
        <v>770</v>
      </c>
      <c r="AN15">
        <v>53.3</v>
      </c>
      <c r="AO15">
        <v>1.5652475842498528</v>
      </c>
      <c r="AP15">
        <v>18.7</v>
      </c>
      <c r="AQ15">
        <v>1.3416407864998738</v>
      </c>
      <c r="AS15">
        <v>-1.0474000000000001</v>
      </c>
      <c r="AT15">
        <v>1.1999999999999999E-3</v>
      </c>
      <c r="AW15" s="28">
        <f t="shared" si="0"/>
        <v>-23.735404183723219</v>
      </c>
      <c r="AX15">
        <f t="shared" si="1"/>
        <v>0.90322580645161288</v>
      </c>
      <c r="AY15" s="62">
        <f t="shared" si="2"/>
        <v>-21.43842958529839</v>
      </c>
      <c r="AZ15" s="68" t="str">
        <f t="shared" si="3"/>
        <v>No</v>
      </c>
      <c r="BA15" s="68" t="str">
        <f t="shared" si="4"/>
        <v>Yes</v>
      </c>
    </row>
    <row r="16" spans="1:53" hidden="1">
      <c r="A16" t="s">
        <v>1815</v>
      </c>
      <c r="B16" t="s">
        <v>2334</v>
      </c>
      <c r="C16">
        <v>184</v>
      </c>
      <c r="F16" t="s">
        <v>1241</v>
      </c>
      <c r="G16" t="s">
        <v>1972</v>
      </c>
      <c r="I16">
        <v>2014</v>
      </c>
      <c r="N16" t="s">
        <v>36</v>
      </c>
      <c r="P16" t="s">
        <v>60</v>
      </c>
      <c r="Q16" t="s">
        <v>900</v>
      </c>
      <c r="R16" t="s">
        <v>888</v>
      </c>
      <c r="S16" t="s">
        <v>1991</v>
      </c>
      <c r="V16" t="s">
        <v>907</v>
      </c>
      <c r="Z16">
        <v>5</v>
      </c>
      <c r="AA16">
        <v>5</v>
      </c>
      <c r="AC16">
        <v>365</v>
      </c>
      <c r="AD16">
        <v>14.4</v>
      </c>
      <c r="AE16">
        <v>432</v>
      </c>
      <c r="AF16">
        <v>17.100000000000001</v>
      </c>
      <c r="AG16" t="s">
        <v>3450</v>
      </c>
      <c r="AI16">
        <v>14.4</v>
      </c>
      <c r="AJ16" t="s">
        <v>2034</v>
      </c>
      <c r="AK16" t="s">
        <v>770</v>
      </c>
      <c r="AN16">
        <v>10.763</v>
      </c>
      <c r="AO16">
        <v>0.3801315561749643</v>
      </c>
      <c r="AP16">
        <v>11.17</v>
      </c>
      <c r="AQ16">
        <v>0.24596747752497689</v>
      </c>
      <c r="AS16">
        <v>3.7100000000000001E-2</v>
      </c>
      <c r="AT16">
        <v>2.9999999999999997E-4</v>
      </c>
      <c r="AW16" s="28">
        <f t="shared" si="0"/>
        <v>1.2712544217732531</v>
      </c>
      <c r="AX16">
        <f t="shared" si="1"/>
        <v>0.90322580645161288</v>
      </c>
      <c r="AY16" s="62">
        <f t="shared" si="2"/>
        <v>1.1482298003113254</v>
      </c>
      <c r="AZ16" s="68" t="str">
        <f t="shared" si="3"/>
        <v>No</v>
      </c>
      <c r="BA16" s="68" t="str">
        <f t="shared" si="4"/>
        <v>No</v>
      </c>
    </row>
    <row r="17" spans="1:53" hidden="1">
      <c r="A17" t="s">
        <v>1815</v>
      </c>
      <c r="B17" t="s">
        <v>2342</v>
      </c>
      <c r="C17">
        <v>184</v>
      </c>
      <c r="F17" t="s">
        <v>1241</v>
      </c>
      <c r="G17" t="s">
        <v>1972</v>
      </c>
      <c r="I17">
        <v>2018</v>
      </c>
      <c r="N17" t="s">
        <v>36</v>
      </c>
      <c r="P17" t="s">
        <v>60</v>
      </c>
      <c r="Q17" t="s">
        <v>900</v>
      </c>
      <c r="R17" t="s">
        <v>888</v>
      </c>
      <c r="S17" t="s">
        <v>1991</v>
      </c>
      <c r="V17" t="s">
        <v>907</v>
      </c>
      <c r="Z17">
        <v>5</v>
      </c>
      <c r="AA17">
        <v>5</v>
      </c>
      <c r="AC17">
        <v>365</v>
      </c>
      <c r="AD17">
        <v>14.4</v>
      </c>
      <c r="AE17">
        <v>432</v>
      </c>
      <c r="AF17">
        <v>17.100000000000001</v>
      </c>
      <c r="AG17" t="s">
        <v>3429</v>
      </c>
      <c r="AI17">
        <v>14.4</v>
      </c>
      <c r="AJ17" t="s">
        <v>2025</v>
      </c>
      <c r="AK17" t="s">
        <v>904</v>
      </c>
      <c r="AN17">
        <v>102.42700000000001</v>
      </c>
      <c r="AO17">
        <v>7.9380413201242535</v>
      </c>
      <c r="AP17">
        <v>120.904</v>
      </c>
      <c r="AQ17">
        <v>6.149186938124422</v>
      </c>
      <c r="AS17">
        <v>0.1658</v>
      </c>
      <c r="AT17">
        <v>1.6999999999999999E-3</v>
      </c>
      <c r="AW17" s="28">
        <f t="shared" si="0"/>
        <v>2.6023298378899473</v>
      </c>
      <c r="AX17">
        <f t="shared" si="1"/>
        <v>0.90322580645161288</v>
      </c>
      <c r="AY17" s="62">
        <f t="shared" si="2"/>
        <v>2.3504914664812429</v>
      </c>
      <c r="AZ17" s="68" t="str">
        <f t="shared" si="3"/>
        <v>No</v>
      </c>
      <c r="BA17" s="68" t="str">
        <f t="shared" si="4"/>
        <v>No</v>
      </c>
    </row>
    <row r="18" spans="1:53" hidden="1">
      <c r="A18" t="s">
        <v>1815</v>
      </c>
      <c r="B18" t="s">
        <v>2350</v>
      </c>
      <c r="C18">
        <v>184</v>
      </c>
      <c r="F18" t="s">
        <v>1241</v>
      </c>
      <c r="G18" t="s">
        <v>1972</v>
      </c>
      <c r="I18">
        <v>2021</v>
      </c>
      <c r="N18" t="s">
        <v>36</v>
      </c>
      <c r="P18" t="s">
        <v>60</v>
      </c>
      <c r="Q18" t="s">
        <v>900</v>
      </c>
      <c r="R18" t="s">
        <v>888</v>
      </c>
      <c r="S18" t="s">
        <v>1991</v>
      </c>
      <c r="V18" t="s">
        <v>907</v>
      </c>
      <c r="Z18">
        <v>5</v>
      </c>
      <c r="AA18">
        <v>5</v>
      </c>
      <c r="AC18">
        <v>365</v>
      </c>
      <c r="AD18">
        <v>14.4</v>
      </c>
      <c r="AE18">
        <v>432</v>
      </c>
      <c r="AF18">
        <v>17.100000000000001</v>
      </c>
      <c r="AG18" t="s">
        <v>3450</v>
      </c>
      <c r="AI18">
        <v>14.4</v>
      </c>
      <c r="AJ18" t="s">
        <v>2031</v>
      </c>
      <c r="AK18" t="s">
        <v>770</v>
      </c>
      <c r="AN18">
        <v>0.71299999999999997</v>
      </c>
      <c r="AO18">
        <v>0.71554175279993271</v>
      </c>
      <c r="AP18">
        <v>4.6669999999999998</v>
      </c>
      <c r="AQ18">
        <v>7.3119422864243129</v>
      </c>
      <c r="AS18">
        <v>-4.0599999999999997E-2</v>
      </c>
      <c r="AT18">
        <v>1.1999999999999999E-3</v>
      </c>
      <c r="AW18" s="28">
        <f t="shared" si="0"/>
        <v>0.76111328542691992</v>
      </c>
      <c r="AX18">
        <f t="shared" si="1"/>
        <v>0.90322580645161288</v>
      </c>
      <c r="AY18" s="62">
        <f t="shared" si="2"/>
        <v>0.68745716103076637</v>
      </c>
      <c r="AZ18" s="68" t="str">
        <f t="shared" si="3"/>
        <v>No</v>
      </c>
      <c r="BA18" s="68" t="str">
        <f t="shared" si="4"/>
        <v>No</v>
      </c>
    </row>
    <row r="19" spans="1:53" hidden="1">
      <c r="A19" t="s">
        <v>1815</v>
      </c>
      <c r="B19" t="s">
        <v>2351</v>
      </c>
      <c r="C19">
        <v>184</v>
      </c>
      <c r="F19" t="s">
        <v>1241</v>
      </c>
      <c r="G19" t="s">
        <v>1972</v>
      </c>
      <c r="I19">
        <v>2017</v>
      </c>
      <c r="N19" t="s">
        <v>36</v>
      </c>
      <c r="P19" t="s">
        <v>60</v>
      </c>
      <c r="Q19" t="s">
        <v>900</v>
      </c>
      <c r="R19" t="s">
        <v>888</v>
      </c>
      <c r="S19" t="s">
        <v>1991</v>
      </c>
      <c r="V19" t="s">
        <v>907</v>
      </c>
      <c r="Z19">
        <v>5</v>
      </c>
      <c r="AA19">
        <v>5</v>
      </c>
      <c r="AC19">
        <v>365</v>
      </c>
      <c r="AD19">
        <v>14.4</v>
      </c>
      <c r="AE19">
        <v>377</v>
      </c>
      <c r="AF19">
        <v>15.9</v>
      </c>
      <c r="AG19" t="s">
        <v>3450</v>
      </c>
      <c r="AI19">
        <v>14.4</v>
      </c>
      <c r="AJ19" t="s">
        <v>2034</v>
      </c>
      <c r="AK19" t="s">
        <v>770</v>
      </c>
      <c r="AN19">
        <v>10.763</v>
      </c>
      <c r="AO19">
        <v>0.3801315561749643</v>
      </c>
      <c r="AP19">
        <v>10.646000000000001</v>
      </c>
      <c r="AQ19">
        <v>0.49193495504995377</v>
      </c>
      <c r="AS19">
        <v>-1.09E-2</v>
      </c>
      <c r="AT19">
        <v>6.9999999999999999E-4</v>
      </c>
      <c r="AW19" s="28">
        <f t="shared" si="0"/>
        <v>-0.26614977934478368</v>
      </c>
      <c r="AX19">
        <f t="shared" si="1"/>
        <v>0.90322580645161288</v>
      </c>
      <c r="AY19" s="62">
        <f t="shared" si="2"/>
        <v>-0.24039334908561105</v>
      </c>
      <c r="AZ19" s="68" t="str">
        <f t="shared" si="3"/>
        <v>No</v>
      </c>
      <c r="BA19" s="68" t="str">
        <f t="shared" si="4"/>
        <v>No</v>
      </c>
    </row>
    <row r="20" spans="1:53" hidden="1">
      <c r="A20" t="s">
        <v>1815</v>
      </c>
      <c r="B20" t="s">
        <v>2354</v>
      </c>
      <c r="C20">
        <v>184</v>
      </c>
      <c r="F20" t="s">
        <v>1241</v>
      </c>
      <c r="G20" t="s">
        <v>1972</v>
      </c>
      <c r="I20">
        <v>2017</v>
      </c>
      <c r="N20" t="s">
        <v>36</v>
      </c>
      <c r="P20" t="s">
        <v>60</v>
      </c>
      <c r="Q20" t="s">
        <v>900</v>
      </c>
      <c r="R20" t="s">
        <v>888</v>
      </c>
      <c r="S20" t="s">
        <v>1991</v>
      </c>
      <c r="V20" t="s">
        <v>907</v>
      </c>
      <c r="Z20">
        <v>5</v>
      </c>
      <c r="AA20">
        <v>5</v>
      </c>
      <c r="AC20">
        <v>365</v>
      </c>
      <c r="AD20">
        <v>14.4</v>
      </c>
      <c r="AE20">
        <v>377</v>
      </c>
      <c r="AF20">
        <v>15.9</v>
      </c>
      <c r="AG20" t="s">
        <v>3429</v>
      </c>
      <c r="AI20">
        <v>14.4</v>
      </c>
      <c r="AJ20" t="s">
        <v>2025</v>
      </c>
      <c r="AK20" t="s">
        <v>904</v>
      </c>
      <c r="AN20">
        <v>102.42700000000001</v>
      </c>
      <c r="AO20">
        <v>7.9380413201242535</v>
      </c>
      <c r="AP20">
        <v>134.68299999999999</v>
      </c>
      <c r="AQ20">
        <v>8.6759437526991849</v>
      </c>
      <c r="AS20">
        <v>0.27379999999999999</v>
      </c>
      <c r="AT20">
        <v>2E-3</v>
      </c>
      <c r="AW20" s="28">
        <f t="shared" si="0"/>
        <v>3.8791694992286532</v>
      </c>
      <c r="AX20">
        <f t="shared" si="1"/>
        <v>0.90322580645161288</v>
      </c>
      <c r="AY20" s="62">
        <f t="shared" si="2"/>
        <v>3.5037659993032997</v>
      </c>
      <c r="AZ20" s="68" t="str">
        <f t="shared" si="3"/>
        <v>No</v>
      </c>
      <c r="BA20" s="68" t="str">
        <f t="shared" si="4"/>
        <v>No</v>
      </c>
    </row>
    <row r="21" spans="1:53" hidden="1">
      <c r="A21" t="s">
        <v>1815</v>
      </c>
      <c r="B21" t="s">
        <v>2376</v>
      </c>
      <c r="C21">
        <v>184</v>
      </c>
      <c r="F21" t="s">
        <v>1241</v>
      </c>
      <c r="G21" t="s">
        <v>1972</v>
      </c>
      <c r="I21">
        <v>2021</v>
      </c>
      <c r="N21" t="s">
        <v>36</v>
      </c>
      <c r="P21" t="s">
        <v>60</v>
      </c>
      <c r="Q21" t="s">
        <v>900</v>
      </c>
      <c r="R21" t="s">
        <v>888</v>
      </c>
      <c r="S21" t="s">
        <v>1991</v>
      </c>
      <c r="V21" t="s">
        <v>907</v>
      </c>
      <c r="Z21">
        <v>5</v>
      </c>
      <c r="AA21">
        <v>5</v>
      </c>
      <c r="AC21">
        <v>365</v>
      </c>
      <c r="AD21">
        <v>14.4</v>
      </c>
      <c r="AE21">
        <v>432</v>
      </c>
      <c r="AF21">
        <v>17.100000000000001</v>
      </c>
      <c r="AG21" t="s">
        <v>3429</v>
      </c>
      <c r="AI21">
        <v>14.4</v>
      </c>
      <c r="AJ21" t="s">
        <v>2020</v>
      </c>
      <c r="AK21" t="s">
        <v>59</v>
      </c>
      <c r="AN21">
        <v>99.9</v>
      </c>
      <c r="AO21">
        <v>0.22360679774997899</v>
      </c>
      <c r="AP21">
        <v>85</v>
      </c>
      <c r="AQ21">
        <v>10.733126291998991</v>
      </c>
      <c r="AS21">
        <v>-0.1615</v>
      </c>
      <c r="AT21">
        <v>3.2000000000000002E-3</v>
      </c>
      <c r="AW21" s="28">
        <f t="shared" si="0"/>
        <v>-1.9628214673775779</v>
      </c>
      <c r="AX21">
        <f t="shared" si="1"/>
        <v>0.90322580645161288</v>
      </c>
      <c r="AY21" s="62">
        <f t="shared" si="2"/>
        <v>-1.7728710027926509</v>
      </c>
      <c r="AZ21" s="68" t="str">
        <f t="shared" si="3"/>
        <v>No</v>
      </c>
      <c r="BA21" s="68" t="str">
        <f t="shared" si="4"/>
        <v>No</v>
      </c>
    </row>
    <row r="22" spans="1:53" hidden="1">
      <c r="A22" t="s">
        <v>1815</v>
      </c>
      <c r="B22" t="s">
        <v>2380</v>
      </c>
      <c r="C22">
        <v>184</v>
      </c>
      <c r="F22" t="s">
        <v>1241</v>
      </c>
      <c r="G22" t="s">
        <v>1972</v>
      </c>
      <c r="I22">
        <v>2014</v>
      </c>
      <c r="N22" t="s">
        <v>36</v>
      </c>
      <c r="P22" t="s">
        <v>60</v>
      </c>
      <c r="Q22" t="s">
        <v>900</v>
      </c>
      <c r="R22" t="s">
        <v>888</v>
      </c>
      <c r="S22" t="s">
        <v>1991</v>
      </c>
      <c r="V22" t="s">
        <v>907</v>
      </c>
      <c r="Z22">
        <v>5</v>
      </c>
      <c r="AA22">
        <v>5</v>
      </c>
      <c r="AC22">
        <v>365</v>
      </c>
      <c r="AD22">
        <v>14.4</v>
      </c>
      <c r="AE22">
        <v>377</v>
      </c>
      <c r="AF22">
        <v>15.9</v>
      </c>
      <c r="AG22" t="s">
        <v>3450</v>
      </c>
      <c r="AI22">
        <v>14.4</v>
      </c>
      <c r="AJ22" t="s">
        <v>2039</v>
      </c>
      <c r="AK22" t="s">
        <v>770</v>
      </c>
      <c r="AN22">
        <v>13.493</v>
      </c>
      <c r="AO22">
        <v>0.20124611797498107</v>
      </c>
      <c r="AP22">
        <v>12.907999999999999</v>
      </c>
      <c r="AQ22">
        <v>0.26832815729997478</v>
      </c>
      <c r="AS22">
        <v>-4.4299999999999999E-2</v>
      </c>
      <c r="AT22">
        <v>1E-4</v>
      </c>
      <c r="AW22" s="28">
        <f t="shared" si="0"/>
        <v>-2.4665765749313393</v>
      </c>
      <c r="AX22">
        <f t="shared" si="1"/>
        <v>0.90322580645161288</v>
      </c>
      <c r="AY22" s="62">
        <f t="shared" si="2"/>
        <v>-2.2278756160670161</v>
      </c>
      <c r="AZ22" s="68" t="str">
        <f t="shared" si="3"/>
        <v>No</v>
      </c>
      <c r="BA22" s="68" t="str">
        <f t="shared" si="4"/>
        <v>No</v>
      </c>
    </row>
    <row r="23" spans="1:53" hidden="1">
      <c r="A23" t="s">
        <v>1815</v>
      </c>
      <c r="B23" t="s">
        <v>2387</v>
      </c>
      <c r="C23">
        <v>184</v>
      </c>
      <c r="F23" t="s">
        <v>1241</v>
      </c>
      <c r="G23" t="s">
        <v>1972</v>
      </c>
      <c r="I23">
        <v>2017</v>
      </c>
      <c r="N23" t="s">
        <v>36</v>
      </c>
      <c r="P23" t="s">
        <v>60</v>
      </c>
      <c r="Q23" t="s">
        <v>900</v>
      </c>
      <c r="R23" t="s">
        <v>888</v>
      </c>
      <c r="S23" t="s">
        <v>1991</v>
      </c>
      <c r="V23" t="s">
        <v>907</v>
      </c>
      <c r="Z23">
        <v>5</v>
      </c>
      <c r="AA23">
        <v>5</v>
      </c>
      <c r="AC23">
        <v>365</v>
      </c>
      <c r="AD23">
        <v>14.4</v>
      </c>
      <c r="AE23">
        <v>432</v>
      </c>
      <c r="AF23">
        <v>17.100000000000001</v>
      </c>
      <c r="AG23" t="s">
        <v>3450</v>
      </c>
      <c r="AI23">
        <v>14.4</v>
      </c>
      <c r="AJ23" t="s">
        <v>2039</v>
      </c>
      <c r="AK23" t="s">
        <v>770</v>
      </c>
      <c r="AN23">
        <v>13.493</v>
      </c>
      <c r="AO23">
        <v>0.20124611797498107</v>
      </c>
      <c r="AP23">
        <v>12.577999999999999</v>
      </c>
      <c r="AQ23">
        <v>0.40249223594996214</v>
      </c>
      <c r="AS23">
        <v>-7.0199999999999999E-2</v>
      </c>
      <c r="AT23">
        <v>2.0000000000000001E-4</v>
      </c>
      <c r="AW23" s="28">
        <f t="shared" si="0"/>
        <v>-2.8755675768252962</v>
      </c>
      <c r="AX23">
        <f t="shared" si="1"/>
        <v>0.90322580645161288</v>
      </c>
      <c r="AY23" s="62">
        <f t="shared" si="2"/>
        <v>-2.5972868435841385</v>
      </c>
      <c r="AZ23" s="68" t="str">
        <f t="shared" si="3"/>
        <v>No</v>
      </c>
      <c r="BA23" s="68" t="str">
        <f t="shared" si="4"/>
        <v>No</v>
      </c>
    </row>
    <row r="24" spans="1:53" hidden="1">
      <c r="A24" t="s">
        <v>1815</v>
      </c>
      <c r="B24" t="s">
        <v>2390</v>
      </c>
      <c r="C24">
        <v>184</v>
      </c>
      <c r="F24" t="s">
        <v>1241</v>
      </c>
      <c r="G24" t="s">
        <v>1972</v>
      </c>
      <c r="I24">
        <v>2018</v>
      </c>
      <c r="N24" t="s">
        <v>36</v>
      </c>
      <c r="P24" t="s">
        <v>60</v>
      </c>
      <c r="Q24" t="s">
        <v>900</v>
      </c>
      <c r="R24" t="s">
        <v>888</v>
      </c>
      <c r="S24" t="s">
        <v>1991</v>
      </c>
      <c r="V24" t="s">
        <v>907</v>
      </c>
      <c r="Z24">
        <v>5</v>
      </c>
      <c r="AA24">
        <v>5</v>
      </c>
      <c r="AC24">
        <v>365</v>
      </c>
      <c r="AD24">
        <v>14.4</v>
      </c>
      <c r="AE24">
        <v>432</v>
      </c>
      <c r="AF24">
        <v>17.100000000000001</v>
      </c>
      <c r="AG24" t="s">
        <v>3429</v>
      </c>
      <c r="AI24">
        <v>14.4</v>
      </c>
      <c r="AJ24" t="s">
        <v>677</v>
      </c>
      <c r="AK24" t="s">
        <v>59</v>
      </c>
      <c r="AN24">
        <v>98.4</v>
      </c>
      <c r="AO24">
        <v>1.7888543819998319</v>
      </c>
      <c r="AP24">
        <v>93.3</v>
      </c>
      <c r="AQ24">
        <v>14.981655449248592</v>
      </c>
      <c r="AS24">
        <v>-5.3199999999999997E-2</v>
      </c>
      <c r="AT24">
        <v>5.1999999999999998E-3</v>
      </c>
      <c r="AW24" s="28">
        <f t="shared" si="0"/>
        <v>-0.47802581059866134</v>
      </c>
      <c r="AX24">
        <f t="shared" si="1"/>
        <v>0.90322580645161288</v>
      </c>
      <c r="AY24" s="62">
        <f t="shared" si="2"/>
        <v>-0.43176524828266183</v>
      </c>
      <c r="AZ24" s="68" t="str">
        <f t="shared" si="3"/>
        <v>No</v>
      </c>
      <c r="BA24" s="68" t="str">
        <f t="shared" si="4"/>
        <v>No</v>
      </c>
    </row>
    <row r="25" spans="1:53" hidden="1">
      <c r="A25" t="s">
        <v>1815</v>
      </c>
      <c r="B25" t="s">
        <v>2430</v>
      </c>
      <c r="C25">
        <v>184</v>
      </c>
      <c r="F25" t="s">
        <v>1241</v>
      </c>
      <c r="G25" t="s">
        <v>1972</v>
      </c>
      <c r="I25">
        <v>2014</v>
      </c>
      <c r="N25" t="s">
        <v>36</v>
      </c>
      <c r="P25" t="s">
        <v>60</v>
      </c>
      <c r="Q25" t="s">
        <v>900</v>
      </c>
      <c r="R25" t="s">
        <v>888</v>
      </c>
      <c r="S25" t="s">
        <v>1991</v>
      </c>
      <c r="V25" t="s">
        <v>907</v>
      </c>
      <c r="Z25">
        <v>5</v>
      </c>
      <c r="AA25">
        <v>5</v>
      </c>
      <c r="AC25">
        <v>365</v>
      </c>
      <c r="AD25">
        <v>14.4</v>
      </c>
      <c r="AE25">
        <v>432</v>
      </c>
      <c r="AF25">
        <v>17.100000000000001</v>
      </c>
      <c r="AG25" t="s">
        <v>3429</v>
      </c>
      <c r="AI25">
        <v>14.4</v>
      </c>
      <c r="AJ25" t="s">
        <v>2035</v>
      </c>
      <c r="AK25" t="s">
        <v>770</v>
      </c>
      <c r="AN25">
        <v>53.3</v>
      </c>
      <c r="AO25">
        <v>1.5652475842498528</v>
      </c>
      <c r="AP25">
        <v>24.2</v>
      </c>
      <c r="AQ25">
        <v>8.2734515167492226</v>
      </c>
      <c r="AS25">
        <v>-0.78959999999999997</v>
      </c>
      <c r="AT25">
        <v>2.35E-2</v>
      </c>
      <c r="AW25" s="28">
        <f t="shared" si="0"/>
        <v>-4.8874786044139018</v>
      </c>
      <c r="AX25">
        <f t="shared" si="1"/>
        <v>0.90322580645161288</v>
      </c>
      <c r="AY25" s="62">
        <f t="shared" si="2"/>
        <v>-4.4144968039867498</v>
      </c>
      <c r="AZ25" s="68" t="str">
        <f t="shared" si="3"/>
        <v>No</v>
      </c>
      <c r="BA25" s="68" t="str">
        <f t="shared" si="4"/>
        <v>No</v>
      </c>
    </row>
    <row r="26" spans="1:53" hidden="1">
      <c r="A26" t="s">
        <v>1815</v>
      </c>
      <c r="B26" t="s">
        <v>2275</v>
      </c>
      <c r="C26">
        <v>184</v>
      </c>
      <c r="F26" t="s">
        <v>1241</v>
      </c>
      <c r="G26" t="s">
        <v>1972</v>
      </c>
      <c r="I26">
        <v>2018</v>
      </c>
      <c r="N26" t="s">
        <v>36</v>
      </c>
      <c r="P26" t="s">
        <v>60</v>
      </c>
      <c r="Q26" t="s">
        <v>900</v>
      </c>
      <c r="R26" t="s">
        <v>888</v>
      </c>
      <c r="S26" t="s">
        <v>1991</v>
      </c>
      <c r="V26" t="s">
        <v>1015</v>
      </c>
      <c r="Z26">
        <v>5</v>
      </c>
      <c r="AA26">
        <v>5</v>
      </c>
      <c r="AC26">
        <v>365</v>
      </c>
      <c r="AD26">
        <v>14.4</v>
      </c>
      <c r="AE26">
        <v>1292</v>
      </c>
      <c r="AF26">
        <v>15.9</v>
      </c>
      <c r="AG26" t="s">
        <v>3429</v>
      </c>
      <c r="AI26">
        <v>14.4</v>
      </c>
      <c r="AJ26" t="s">
        <v>2020</v>
      </c>
      <c r="AK26" t="s">
        <v>59</v>
      </c>
      <c r="AN26">
        <v>99.9</v>
      </c>
      <c r="AO26">
        <v>0.22360679774997899</v>
      </c>
      <c r="AP26">
        <v>97.4</v>
      </c>
      <c r="AQ26">
        <v>2.9068883707497268</v>
      </c>
      <c r="AS26">
        <v>-2.53E-2</v>
      </c>
      <c r="AT26">
        <v>2.0000000000000001E-4</v>
      </c>
      <c r="AW26" s="28">
        <f t="shared" si="0"/>
        <v>-1.212678125181665</v>
      </c>
      <c r="AX26">
        <f t="shared" si="1"/>
        <v>0.90322580645161288</v>
      </c>
      <c r="AY26" s="62">
        <f t="shared" si="2"/>
        <v>-1.0953221775834392</v>
      </c>
      <c r="AZ26" s="68" t="str">
        <f t="shared" si="3"/>
        <v>No</v>
      </c>
      <c r="BA26" s="68" t="str">
        <f t="shared" si="4"/>
        <v>No</v>
      </c>
    </row>
    <row r="27" spans="1:53" hidden="1">
      <c r="A27" t="s">
        <v>1815</v>
      </c>
      <c r="B27" t="s">
        <v>2284</v>
      </c>
      <c r="C27">
        <v>184</v>
      </c>
      <c r="F27" t="s">
        <v>1241</v>
      </c>
      <c r="G27" t="s">
        <v>1972</v>
      </c>
      <c r="I27">
        <v>2021</v>
      </c>
      <c r="N27" t="s">
        <v>36</v>
      </c>
      <c r="P27" t="s">
        <v>60</v>
      </c>
      <c r="Q27" t="s">
        <v>900</v>
      </c>
      <c r="R27" t="s">
        <v>888</v>
      </c>
      <c r="S27" t="s">
        <v>1991</v>
      </c>
      <c r="V27" t="s">
        <v>1015</v>
      </c>
      <c r="Z27">
        <v>5</v>
      </c>
      <c r="AA27">
        <v>5</v>
      </c>
      <c r="AC27">
        <v>365</v>
      </c>
      <c r="AD27">
        <v>14.4</v>
      </c>
      <c r="AE27">
        <v>1292</v>
      </c>
      <c r="AF27">
        <v>15.9</v>
      </c>
      <c r="AG27" t="s">
        <v>3429</v>
      </c>
      <c r="AI27">
        <v>14.4</v>
      </c>
      <c r="AJ27" t="s">
        <v>677</v>
      </c>
      <c r="AK27" t="s">
        <v>59</v>
      </c>
      <c r="AN27">
        <v>98.4</v>
      </c>
      <c r="AO27">
        <v>1.7888543819998319</v>
      </c>
      <c r="AP27">
        <v>97.9</v>
      </c>
      <c r="AQ27">
        <v>3.1304951684997055</v>
      </c>
      <c r="AS27">
        <v>-5.1000000000000004E-3</v>
      </c>
      <c r="AT27">
        <v>2.9999999999999997E-4</v>
      </c>
      <c r="AW27" s="28">
        <f t="shared" si="0"/>
        <v>-0.19611613513818402</v>
      </c>
      <c r="AX27">
        <f t="shared" si="1"/>
        <v>0.90322580645161288</v>
      </c>
      <c r="AY27" s="62">
        <f t="shared" si="2"/>
        <v>-0.17713715431835975</v>
      </c>
      <c r="AZ27" s="68" t="str">
        <f t="shared" si="3"/>
        <v>No</v>
      </c>
      <c r="BA27" s="68" t="str">
        <f t="shared" si="4"/>
        <v>No</v>
      </c>
    </row>
    <row r="28" spans="1:53" hidden="1">
      <c r="A28" t="s">
        <v>1815</v>
      </c>
      <c r="B28" t="s">
        <v>2298</v>
      </c>
      <c r="C28">
        <v>184</v>
      </c>
      <c r="F28" t="s">
        <v>1241</v>
      </c>
      <c r="G28" t="s">
        <v>1972</v>
      </c>
      <c r="I28">
        <v>2015</v>
      </c>
      <c r="N28" t="s">
        <v>36</v>
      </c>
      <c r="P28" t="s">
        <v>60</v>
      </c>
      <c r="Q28" t="s">
        <v>900</v>
      </c>
      <c r="R28" t="s">
        <v>888</v>
      </c>
      <c r="S28" t="s">
        <v>1991</v>
      </c>
      <c r="V28" t="s">
        <v>1015</v>
      </c>
      <c r="Z28">
        <v>5</v>
      </c>
      <c r="AA28">
        <v>5</v>
      </c>
      <c r="AC28">
        <v>365</v>
      </c>
      <c r="AD28">
        <v>14.4</v>
      </c>
      <c r="AE28">
        <v>1218</v>
      </c>
      <c r="AF28">
        <v>17.100000000000001</v>
      </c>
      <c r="AG28" t="s">
        <v>3429</v>
      </c>
      <c r="AI28">
        <v>14.4</v>
      </c>
      <c r="AJ28" t="s">
        <v>2024</v>
      </c>
      <c r="AK28" t="s">
        <v>40</v>
      </c>
      <c r="AN28">
        <v>18.600000000000001</v>
      </c>
      <c r="AO28">
        <v>0.22360679774997899</v>
      </c>
      <c r="AP28">
        <v>16.3</v>
      </c>
      <c r="AQ28">
        <v>0.67082039324993692</v>
      </c>
      <c r="AS28">
        <v>-0.13200000000000001</v>
      </c>
      <c r="AT28">
        <v>4.0000000000000002E-4</v>
      </c>
      <c r="AW28" s="28">
        <f t="shared" si="0"/>
        <v>-4.6000000000000014</v>
      </c>
      <c r="AX28">
        <f t="shared" si="1"/>
        <v>0.90322580645161288</v>
      </c>
      <c r="AY28" s="62">
        <f t="shared" si="2"/>
        <v>-4.1548387096774206</v>
      </c>
      <c r="AZ28" s="68" t="str">
        <f t="shared" si="3"/>
        <v>No</v>
      </c>
      <c r="BA28" s="68" t="str">
        <f t="shared" si="4"/>
        <v>No</v>
      </c>
    </row>
    <row r="29" spans="1:53" hidden="1">
      <c r="A29" t="s">
        <v>1815</v>
      </c>
      <c r="B29" t="s">
        <v>2304</v>
      </c>
      <c r="C29">
        <v>184</v>
      </c>
      <c r="F29" t="s">
        <v>1241</v>
      </c>
      <c r="G29" t="s">
        <v>1972</v>
      </c>
      <c r="I29">
        <v>2020</v>
      </c>
      <c r="N29" t="s">
        <v>36</v>
      </c>
      <c r="P29" t="s">
        <v>60</v>
      </c>
      <c r="Q29" t="s">
        <v>900</v>
      </c>
      <c r="R29" t="s">
        <v>888</v>
      </c>
      <c r="S29" t="s">
        <v>1991</v>
      </c>
      <c r="V29" t="s">
        <v>1015</v>
      </c>
      <c r="Z29">
        <v>5</v>
      </c>
      <c r="AA29">
        <v>5</v>
      </c>
      <c r="AC29">
        <v>365</v>
      </c>
      <c r="AD29">
        <v>14.4</v>
      </c>
      <c r="AE29">
        <v>1292</v>
      </c>
      <c r="AF29">
        <v>15.9</v>
      </c>
      <c r="AG29" t="s">
        <v>3429</v>
      </c>
      <c r="AI29">
        <v>14.4</v>
      </c>
      <c r="AJ29" t="s">
        <v>2024</v>
      </c>
      <c r="AK29" t="s">
        <v>40</v>
      </c>
      <c r="AN29">
        <v>18.600000000000001</v>
      </c>
      <c r="AO29">
        <v>0.22360679774997899</v>
      </c>
      <c r="AP29">
        <v>19.2</v>
      </c>
      <c r="AQ29">
        <v>0.89442719099991597</v>
      </c>
      <c r="AS29">
        <v>3.1699999999999999E-2</v>
      </c>
      <c r="AT29">
        <v>5.0000000000000001E-4</v>
      </c>
      <c r="AW29" s="28">
        <f t="shared" si="0"/>
        <v>0.9203579866168411</v>
      </c>
      <c r="AX29">
        <f t="shared" si="1"/>
        <v>0.90322580645161288</v>
      </c>
      <c r="AY29" s="62">
        <f t="shared" si="2"/>
        <v>0.83129108468617907</v>
      </c>
      <c r="AZ29" s="68" t="str">
        <f t="shared" si="3"/>
        <v>No</v>
      </c>
      <c r="BA29" s="68" t="str">
        <f t="shared" si="4"/>
        <v>No</v>
      </c>
    </row>
    <row r="30" spans="1:53" hidden="1">
      <c r="A30" t="s">
        <v>1815</v>
      </c>
      <c r="B30" t="s">
        <v>2305</v>
      </c>
      <c r="C30">
        <v>184</v>
      </c>
      <c r="F30" t="s">
        <v>1241</v>
      </c>
      <c r="G30" t="s">
        <v>1972</v>
      </c>
      <c r="I30">
        <v>2019</v>
      </c>
      <c r="N30" t="s">
        <v>36</v>
      </c>
      <c r="P30" t="s">
        <v>60</v>
      </c>
      <c r="Q30" t="s">
        <v>900</v>
      </c>
      <c r="R30" t="s">
        <v>888</v>
      </c>
      <c r="S30" t="s">
        <v>1991</v>
      </c>
      <c r="V30" t="s">
        <v>1015</v>
      </c>
      <c r="Z30">
        <v>5</v>
      </c>
      <c r="AA30">
        <v>5</v>
      </c>
      <c r="AC30">
        <v>365</v>
      </c>
      <c r="AD30">
        <v>14.4</v>
      </c>
      <c r="AE30">
        <v>1218</v>
      </c>
      <c r="AF30">
        <v>17.100000000000001</v>
      </c>
      <c r="AG30" t="s">
        <v>3429</v>
      </c>
      <c r="AI30">
        <v>14.4</v>
      </c>
      <c r="AJ30" t="s">
        <v>2020</v>
      </c>
      <c r="AK30" t="s">
        <v>59</v>
      </c>
      <c r="AN30">
        <v>99.9</v>
      </c>
      <c r="AO30">
        <v>0.22360679774997899</v>
      </c>
      <c r="AP30">
        <v>88.1</v>
      </c>
      <c r="AQ30">
        <v>4.2485291572496005</v>
      </c>
      <c r="AS30">
        <v>-0.12570000000000001</v>
      </c>
      <c r="AT30">
        <v>5.0000000000000001E-4</v>
      </c>
      <c r="AW30" s="28">
        <f t="shared" si="0"/>
        <v>-3.9224527223557524</v>
      </c>
      <c r="AX30">
        <f t="shared" si="1"/>
        <v>0.90322580645161288</v>
      </c>
      <c r="AY30" s="62">
        <f t="shared" si="2"/>
        <v>-3.5428605234180988</v>
      </c>
      <c r="AZ30" s="68" t="str">
        <f t="shared" si="3"/>
        <v>No</v>
      </c>
      <c r="BA30" s="68" t="str">
        <f t="shared" si="4"/>
        <v>No</v>
      </c>
    </row>
    <row r="31" spans="1:53" hidden="1">
      <c r="A31" t="s">
        <v>1815</v>
      </c>
      <c r="B31" t="s">
        <v>2320</v>
      </c>
      <c r="C31">
        <v>184</v>
      </c>
      <c r="F31" t="s">
        <v>1241</v>
      </c>
      <c r="G31" t="s">
        <v>1972</v>
      </c>
      <c r="I31">
        <v>2020</v>
      </c>
      <c r="N31" t="s">
        <v>36</v>
      </c>
      <c r="P31" t="s">
        <v>60</v>
      </c>
      <c r="Q31" t="s">
        <v>900</v>
      </c>
      <c r="R31" t="s">
        <v>888</v>
      </c>
      <c r="S31" t="s">
        <v>1991</v>
      </c>
      <c r="V31" t="s">
        <v>1015</v>
      </c>
      <c r="Z31">
        <v>5</v>
      </c>
      <c r="AA31">
        <v>5</v>
      </c>
      <c r="AC31">
        <v>365</v>
      </c>
      <c r="AD31">
        <v>14.4</v>
      </c>
      <c r="AE31">
        <v>1218</v>
      </c>
      <c r="AF31">
        <v>17.100000000000001</v>
      </c>
      <c r="AG31" t="s">
        <v>3450</v>
      </c>
      <c r="AI31">
        <v>14.4</v>
      </c>
      <c r="AJ31" t="s">
        <v>2034</v>
      </c>
      <c r="AK31" t="s">
        <v>770</v>
      </c>
      <c r="AN31">
        <v>10.763</v>
      </c>
      <c r="AO31">
        <v>0.3801315561749643</v>
      </c>
      <c r="AP31">
        <v>11.692</v>
      </c>
      <c r="AQ31">
        <v>0.22360679774997899</v>
      </c>
      <c r="AS31">
        <v>8.2799999999999999E-2</v>
      </c>
      <c r="AT31">
        <v>2.9999999999999997E-4</v>
      </c>
      <c r="AW31" s="28">
        <f t="shared" si="0"/>
        <v>2.9790027834071524</v>
      </c>
      <c r="AX31">
        <f t="shared" si="1"/>
        <v>0.90322580645161288</v>
      </c>
      <c r="AY31" s="62">
        <f t="shared" si="2"/>
        <v>2.6907121914645247</v>
      </c>
      <c r="AZ31" s="68" t="str">
        <f t="shared" si="3"/>
        <v>No</v>
      </c>
      <c r="BA31" s="68" t="str">
        <f t="shared" si="4"/>
        <v>No</v>
      </c>
    </row>
    <row r="32" spans="1:53" hidden="1">
      <c r="A32" t="s">
        <v>1815</v>
      </c>
      <c r="B32" t="s">
        <v>2327</v>
      </c>
      <c r="C32">
        <v>184</v>
      </c>
      <c r="F32" t="s">
        <v>1241</v>
      </c>
      <c r="G32" t="s">
        <v>1972</v>
      </c>
      <c r="I32">
        <v>2015</v>
      </c>
      <c r="N32" t="s">
        <v>36</v>
      </c>
      <c r="P32" t="s">
        <v>60</v>
      </c>
      <c r="Q32" t="s">
        <v>900</v>
      </c>
      <c r="R32" t="s">
        <v>888</v>
      </c>
      <c r="S32" t="s">
        <v>1991</v>
      </c>
      <c r="V32" t="s">
        <v>1015</v>
      </c>
      <c r="Z32">
        <v>5</v>
      </c>
      <c r="AA32">
        <v>5</v>
      </c>
      <c r="AC32">
        <v>365</v>
      </c>
      <c r="AD32">
        <v>14.4</v>
      </c>
      <c r="AE32">
        <v>1292</v>
      </c>
      <c r="AF32">
        <v>15.9</v>
      </c>
      <c r="AG32" t="s">
        <v>3450</v>
      </c>
      <c r="AI32">
        <v>14.4</v>
      </c>
      <c r="AJ32" t="s">
        <v>2034</v>
      </c>
      <c r="AK32" t="s">
        <v>770</v>
      </c>
      <c r="AN32">
        <v>10.763</v>
      </c>
      <c r="AO32">
        <v>0.3801315561749643</v>
      </c>
      <c r="AP32">
        <v>11.359</v>
      </c>
      <c r="AQ32">
        <v>0.26832815729997478</v>
      </c>
      <c r="AS32">
        <v>5.3900000000000003E-2</v>
      </c>
      <c r="AT32">
        <v>4.0000000000000002E-4</v>
      </c>
      <c r="AW32" s="28">
        <f t="shared" si="0"/>
        <v>1.8114748434756236</v>
      </c>
      <c r="AX32">
        <f t="shared" si="1"/>
        <v>0.90322580645161288</v>
      </c>
      <c r="AY32" s="62">
        <f t="shared" si="2"/>
        <v>1.6361708263650794</v>
      </c>
      <c r="AZ32" s="68" t="str">
        <f t="shared" si="3"/>
        <v>No</v>
      </c>
      <c r="BA32" s="68" t="str">
        <f t="shared" si="4"/>
        <v>No</v>
      </c>
    </row>
    <row r="33" spans="1:53" hidden="1">
      <c r="A33" t="s">
        <v>1815</v>
      </c>
      <c r="B33" t="s">
        <v>2333</v>
      </c>
      <c r="C33">
        <v>184</v>
      </c>
      <c r="F33" t="s">
        <v>1241</v>
      </c>
      <c r="G33" t="s">
        <v>1972</v>
      </c>
      <c r="I33">
        <v>2018</v>
      </c>
      <c r="N33" t="s">
        <v>36</v>
      </c>
      <c r="P33" t="s">
        <v>60</v>
      </c>
      <c r="Q33" t="s">
        <v>900</v>
      </c>
      <c r="R33" t="s">
        <v>888</v>
      </c>
      <c r="S33" t="s">
        <v>1991</v>
      </c>
      <c r="V33" t="s">
        <v>1015</v>
      </c>
      <c r="Z33">
        <v>5</v>
      </c>
      <c r="AA33">
        <v>5</v>
      </c>
      <c r="AC33">
        <v>365</v>
      </c>
      <c r="AD33">
        <v>14.4</v>
      </c>
      <c r="AE33">
        <v>1292</v>
      </c>
      <c r="AF33">
        <v>15.9</v>
      </c>
      <c r="AG33" t="s">
        <v>3429</v>
      </c>
      <c r="AI33">
        <v>14.4</v>
      </c>
      <c r="AJ33" t="s">
        <v>2025</v>
      </c>
      <c r="AK33" t="s">
        <v>904</v>
      </c>
      <c r="AN33">
        <v>102.42700000000001</v>
      </c>
      <c r="AO33">
        <v>7.9380413201242535</v>
      </c>
      <c r="AP33">
        <v>137.316</v>
      </c>
      <c r="AQ33">
        <v>2.0795432190748047</v>
      </c>
      <c r="AS33">
        <v>0.29310000000000003</v>
      </c>
      <c r="AT33">
        <v>1.1999999999999999E-3</v>
      </c>
      <c r="AW33" s="28">
        <f t="shared" si="0"/>
        <v>6.012798328293341</v>
      </c>
      <c r="AX33">
        <f t="shared" si="1"/>
        <v>0.90322580645161288</v>
      </c>
      <c r="AY33" s="62">
        <f t="shared" si="2"/>
        <v>5.430914619103663</v>
      </c>
      <c r="AZ33" s="68" t="str">
        <f t="shared" si="3"/>
        <v>No</v>
      </c>
      <c r="BA33" s="68" t="str">
        <f t="shared" si="4"/>
        <v>No</v>
      </c>
    </row>
    <row r="34" spans="1:53" hidden="1">
      <c r="A34" t="s">
        <v>1815</v>
      </c>
      <c r="B34" t="s">
        <v>2340</v>
      </c>
      <c r="C34">
        <v>184</v>
      </c>
      <c r="F34" t="s">
        <v>1241</v>
      </c>
      <c r="G34" t="s">
        <v>1972</v>
      </c>
      <c r="I34">
        <v>2018</v>
      </c>
      <c r="N34" t="s">
        <v>36</v>
      </c>
      <c r="P34" t="s">
        <v>60</v>
      </c>
      <c r="Q34" t="s">
        <v>900</v>
      </c>
      <c r="R34" t="s">
        <v>888</v>
      </c>
      <c r="S34" t="s">
        <v>1991</v>
      </c>
      <c r="V34" t="s">
        <v>1015</v>
      </c>
      <c r="Z34">
        <v>5</v>
      </c>
      <c r="AA34">
        <v>5</v>
      </c>
      <c r="AC34">
        <v>365</v>
      </c>
      <c r="AD34">
        <v>14.4</v>
      </c>
      <c r="AE34">
        <v>1218</v>
      </c>
      <c r="AF34">
        <v>17.100000000000001</v>
      </c>
      <c r="AG34" t="s">
        <v>3429</v>
      </c>
      <c r="AI34">
        <v>14.4</v>
      </c>
      <c r="AJ34" t="s">
        <v>2025</v>
      </c>
      <c r="AK34" t="s">
        <v>904</v>
      </c>
      <c r="AN34">
        <v>102.42700000000001</v>
      </c>
      <c r="AO34">
        <v>7.9380413201242535</v>
      </c>
      <c r="AP34">
        <v>121.959</v>
      </c>
      <c r="AQ34">
        <v>5.8137767414994537</v>
      </c>
      <c r="AS34">
        <v>0.17449999999999999</v>
      </c>
      <c r="AT34">
        <v>1.6999999999999999E-3</v>
      </c>
      <c r="AW34" s="28">
        <f t="shared" si="0"/>
        <v>2.8073463490569854</v>
      </c>
      <c r="AX34">
        <f t="shared" si="1"/>
        <v>0.90322580645161288</v>
      </c>
      <c r="AY34" s="62">
        <f t="shared" si="2"/>
        <v>2.5356676701159868</v>
      </c>
      <c r="AZ34" s="68" t="str">
        <f t="shared" si="3"/>
        <v>No</v>
      </c>
      <c r="BA34" s="68" t="str">
        <f t="shared" si="4"/>
        <v>No</v>
      </c>
    </row>
    <row r="35" spans="1:53" hidden="1">
      <c r="A35" t="s">
        <v>1815</v>
      </c>
      <c r="B35" t="s">
        <v>2353</v>
      </c>
      <c r="C35">
        <v>184</v>
      </c>
      <c r="F35" t="s">
        <v>1241</v>
      </c>
      <c r="G35" t="s">
        <v>1972</v>
      </c>
      <c r="I35">
        <v>2018</v>
      </c>
      <c r="N35" t="s">
        <v>36</v>
      </c>
      <c r="P35" t="s">
        <v>60</v>
      </c>
      <c r="Q35" t="s">
        <v>900</v>
      </c>
      <c r="R35" t="s">
        <v>888</v>
      </c>
      <c r="S35" t="s">
        <v>1991</v>
      </c>
      <c r="V35" t="s">
        <v>1015</v>
      </c>
      <c r="Z35">
        <v>5</v>
      </c>
      <c r="AA35">
        <v>5</v>
      </c>
      <c r="AC35">
        <v>365</v>
      </c>
      <c r="AD35">
        <v>14.4</v>
      </c>
      <c r="AE35">
        <v>1292</v>
      </c>
      <c r="AF35">
        <v>15.9</v>
      </c>
      <c r="AG35" t="s">
        <v>3450</v>
      </c>
      <c r="AI35">
        <v>14.4</v>
      </c>
      <c r="AJ35" t="s">
        <v>2031</v>
      </c>
      <c r="AK35" t="s">
        <v>770</v>
      </c>
      <c r="AN35">
        <v>0.71299999999999997</v>
      </c>
      <c r="AO35">
        <v>0.71554175279993271</v>
      </c>
      <c r="AP35">
        <v>6.032</v>
      </c>
      <c r="AQ35">
        <v>4.7851854718495508</v>
      </c>
      <c r="AS35">
        <v>-5.5100000000000003E-2</v>
      </c>
      <c r="AT35">
        <v>5.0000000000000001E-4</v>
      </c>
      <c r="AW35" s="28">
        <f t="shared" si="0"/>
        <v>1.5546917046329494</v>
      </c>
      <c r="AX35">
        <f t="shared" si="1"/>
        <v>0.90322580645161288</v>
      </c>
      <c r="AY35" s="62">
        <f t="shared" si="2"/>
        <v>1.4042376687007285</v>
      </c>
      <c r="AZ35" s="68" t="str">
        <f t="shared" si="3"/>
        <v>No</v>
      </c>
      <c r="BA35" s="68" t="str">
        <f t="shared" si="4"/>
        <v>No</v>
      </c>
    </row>
    <row r="36" spans="1:53" hidden="1">
      <c r="A36" t="s">
        <v>1815</v>
      </c>
      <c r="B36" t="s">
        <v>2355</v>
      </c>
      <c r="C36">
        <v>184</v>
      </c>
      <c r="F36" t="s">
        <v>1241</v>
      </c>
      <c r="G36" t="s">
        <v>1972</v>
      </c>
      <c r="I36">
        <v>2017</v>
      </c>
      <c r="N36" t="s">
        <v>36</v>
      </c>
      <c r="P36" t="s">
        <v>60</v>
      </c>
      <c r="Q36" t="s">
        <v>900</v>
      </c>
      <c r="R36" t="s">
        <v>888</v>
      </c>
      <c r="S36" t="s">
        <v>1991</v>
      </c>
      <c r="V36" t="s">
        <v>1015</v>
      </c>
      <c r="Z36">
        <v>5</v>
      </c>
      <c r="AA36">
        <v>5</v>
      </c>
      <c r="AC36">
        <v>365</v>
      </c>
      <c r="AD36">
        <v>14.4</v>
      </c>
      <c r="AE36">
        <v>1218</v>
      </c>
      <c r="AF36">
        <v>17.100000000000001</v>
      </c>
      <c r="AG36" t="s">
        <v>3429</v>
      </c>
      <c r="AI36">
        <v>14.4</v>
      </c>
      <c r="AJ36" t="s">
        <v>677</v>
      </c>
      <c r="AK36" t="s">
        <v>59</v>
      </c>
      <c r="AN36">
        <v>98.4</v>
      </c>
      <c r="AO36">
        <v>1.7888543819998319</v>
      </c>
      <c r="AP36">
        <v>88.9</v>
      </c>
      <c r="AQ36">
        <v>8.9442719099991592</v>
      </c>
      <c r="AS36">
        <v>-0.10150000000000001</v>
      </c>
      <c r="AT36">
        <v>2.0999999999999999E-3</v>
      </c>
      <c r="AW36" s="28">
        <f t="shared" si="0"/>
        <v>-1.4729124732468504</v>
      </c>
      <c r="AX36">
        <f t="shared" si="1"/>
        <v>0.90322580645161288</v>
      </c>
      <c r="AY36" s="62">
        <f t="shared" si="2"/>
        <v>-1.330372556481026</v>
      </c>
      <c r="AZ36" s="68" t="str">
        <f t="shared" si="3"/>
        <v>No</v>
      </c>
      <c r="BA36" s="68" t="str">
        <f t="shared" si="4"/>
        <v>No</v>
      </c>
    </row>
    <row r="37" spans="1:53" hidden="1">
      <c r="A37" t="s">
        <v>1815</v>
      </c>
      <c r="B37" t="s">
        <v>2372</v>
      </c>
      <c r="C37">
        <v>184</v>
      </c>
      <c r="F37" t="s">
        <v>1241</v>
      </c>
      <c r="G37" t="s">
        <v>1972</v>
      </c>
      <c r="I37">
        <v>2018</v>
      </c>
      <c r="N37" t="s">
        <v>36</v>
      </c>
      <c r="P37" t="s">
        <v>60</v>
      </c>
      <c r="Q37" t="s">
        <v>900</v>
      </c>
      <c r="R37" t="s">
        <v>888</v>
      </c>
      <c r="S37" t="s">
        <v>1991</v>
      </c>
      <c r="V37" t="s">
        <v>1015</v>
      </c>
      <c r="Z37">
        <v>5</v>
      </c>
      <c r="AA37">
        <v>5</v>
      </c>
      <c r="AC37">
        <v>365</v>
      </c>
      <c r="AD37">
        <v>14.4</v>
      </c>
      <c r="AE37">
        <v>1218</v>
      </c>
      <c r="AF37">
        <v>17.100000000000001</v>
      </c>
      <c r="AG37" t="s">
        <v>3450</v>
      </c>
      <c r="AI37">
        <v>14.4</v>
      </c>
      <c r="AJ37" t="s">
        <v>2031</v>
      </c>
      <c r="AK37" t="s">
        <v>770</v>
      </c>
      <c r="AN37">
        <v>0.71299999999999997</v>
      </c>
      <c r="AO37">
        <v>0.71554175279993271</v>
      </c>
      <c r="AP37">
        <v>22.777999999999999</v>
      </c>
      <c r="AQ37">
        <v>7.5131884043992931</v>
      </c>
      <c r="AS37">
        <v>-0.25130000000000002</v>
      </c>
      <c r="AT37">
        <v>1.9E-3</v>
      </c>
      <c r="AW37" s="28">
        <f t="shared" si="0"/>
        <v>4.1346041794234205</v>
      </c>
      <c r="AX37">
        <f t="shared" si="1"/>
        <v>0.90322580645161288</v>
      </c>
      <c r="AY37" s="62">
        <f t="shared" si="2"/>
        <v>3.7344811943179281</v>
      </c>
      <c r="AZ37" s="68" t="str">
        <f t="shared" si="3"/>
        <v>No</v>
      </c>
      <c r="BA37" s="68" t="str">
        <f t="shared" si="4"/>
        <v>No</v>
      </c>
    </row>
    <row r="38" spans="1:53" hidden="1">
      <c r="A38" t="s">
        <v>1815</v>
      </c>
      <c r="B38" t="s">
        <v>2381</v>
      </c>
      <c r="C38">
        <v>184</v>
      </c>
      <c r="F38" t="s">
        <v>1241</v>
      </c>
      <c r="G38" t="s">
        <v>1972</v>
      </c>
      <c r="I38">
        <v>2018</v>
      </c>
      <c r="N38" t="s">
        <v>36</v>
      </c>
      <c r="P38" t="s">
        <v>60</v>
      </c>
      <c r="Q38" t="s">
        <v>900</v>
      </c>
      <c r="R38" t="s">
        <v>888</v>
      </c>
      <c r="S38" t="s">
        <v>1991</v>
      </c>
      <c r="V38" t="s">
        <v>1015</v>
      </c>
      <c r="Z38">
        <v>5</v>
      </c>
      <c r="AA38">
        <v>5</v>
      </c>
      <c r="AC38">
        <v>365</v>
      </c>
      <c r="AD38">
        <v>14.4</v>
      </c>
      <c r="AE38">
        <v>1292</v>
      </c>
      <c r="AF38">
        <v>15.9</v>
      </c>
      <c r="AG38" t="s">
        <v>3450</v>
      </c>
      <c r="AI38">
        <v>14.4</v>
      </c>
      <c r="AJ38" t="s">
        <v>2039</v>
      </c>
      <c r="AK38" t="s">
        <v>770</v>
      </c>
      <c r="AN38">
        <v>13.493</v>
      </c>
      <c r="AO38">
        <v>0.20124611797498107</v>
      </c>
      <c r="AP38">
        <v>12.864000000000001</v>
      </c>
      <c r="AQ38">
        <v>0.51429563482495166</v>
      </c>
      <c r="AS38">
        <v>-4.7699999999999999E-2</v>
      </c>
      <c r="AT38">
        <v>4.0000000000000002E-4</v>
      </c>
      <c r="AW38" s="28">
        <f t="shared" si="0"/>
        <v>-1.6107039495558302</v>
      </c>
      <c r="AX38">
        <f t="shared" si="1"/>
        <v>0.90322580645161288</v>
      </c>
      <c r="AY38" s="62">
        <f t="shared" si="2"/>
        <v>-1.4548293737923628</v>
      </c>
      <c r="AZ38" s="68" t="str">
        <f t="shared" si="3"/>
        <v>No</v>
      </c>
      <c r="BA38" s="68" t="str">
        <f t="shared" si="4"/>
        <v>No</v>
      </c>
    </row>
    <row r="39" spans="1:53" hidden="1">
      <c r="A39" t="s">
        <v>1815</v>
      </c>
      <c r="B39" t="s">
        <v>2389</v>
      </c>
      <c r="C39">
        <v>184</v>
      </c>
      <c r="F39" t="s">
        <v>1241</v>
      </c>
      <c r="G39" t="s">
        <v>1972</v>
      </c>
      <c r="I39">
        <v>2014</v>
      </c>
      <c r="N39" t="s">
        <v>36</v>
      </c>
      <c r="P39" t="s">
        <v>60</v>
      </c>
      <c r="Q39" t="s">
        <v>900</v>
      </c>
      <c r="R39" t="s">
        <v>888</v>
      </c>
      <c r="S39" t="s">
        <v>1991</v>
      </c>
      <c r="V39" t="s">
        <v>1015</v>
      </c>
      <c r="Z39">
        <v>5</v>
      </c>
      <c r="AA39">
        <v>5</v>
      </c>
      <c r="AC39">
        <v>365</v>
      </c>
      <c r="AD39">
        <v>14.4</v>
      </c>
      <c r="AE39">
        <v>1218</v>
      </c>
      <c r="AF39">
        <v>17.100000000000001</v>
      </c>
      <c r="AG39" t="s">
        <v>3450</v>
      </c>
      <c r="AI39">
        <v>14.4</v>
      </c>
      <c r="AJ39" t="s">
        <v>2039</v>
      </c>
      <c r="AK39" t="s">
        <v>770</v>
      </c>
      <c r="AN39">
        <v>13.493</v>
      </c>
      <c r="AO39">
        <v>0.20124611797498107</v>
      </c>
      <c r="AP39">
        <v>12.305999999999999</v>
      </c>
      <c r="AQ39">
        <v>0.17888543819998318</v>
      </c>
      <c r="AS39">
        <v>-9.2100000000000001E-2</v>
      </c>
      <c r="AT39">
        <v>1E-4</v>
      </c>
      <c r="AW39" s="28">
        <f t="shared" si="0"/>
        <v>-6.234429432179633</v>
      </c>
      <c r="AX39">
        <f t="shared" si="1"/>
        <v>0.90322580645161288</v>
      </c>
      <c r="AY39" s="62">
        <f t="shared" si="2"/>
        <v>-5.6310975516461204</v>
      </c>
      <c r="AZ39" s="68" t="str">
        <f t="shared" si="3"/>
        <v>No</v>
      </c>
      <c r="BA39" s="68" t="str">
        <f t="shared" si="4"/>
        <v>No</v>
      </c>
    </row>
    <row r="40" spans="1:53" hidden="1">
      <c r="A40" t="s">
        <v>1815</v>
      </c>
      <c r="B40" t="s">
        <v>2404</v>
      </c>
      <c r="C40">
        <v>184</v>
      </c>
      <c r="F40" t="s">
        <v>1241</v>
      </c>
      <c r="G40" t="s">
        <v>1972</v>
      </c>
      <c r="I40">
        <v>2018</v>
      </c>
      <c r="N40" t="s">
        <v>36</v>
      </c>
      <c r="P40" t="s">
        <v>60</v>
      </c>
      <c r="Q40" t="s">
        <v>900</v>
      </c>
      <c r="R40" t="s">
        <v>888</v>
      </c>
      <c r="S40" t="s">
        <v>1991</v>
      </c>
      <c r="V40" t="s">
        <v>1015</v>
      </c>
      <c r="Z40">
        <v>5</v>
      </c>
      <c r="AA40">
        <v>5</v>
      </c>
      <c r="AC40">
        <v>365</v>
      </c>
      <c r="AD40">
        <v>14.4</v>
      </c>
      <c r="AE40">
        <v>1292</v>
      </c>
      <c r="AF40">
        <v>15.9</v>
      </c>
      <c r="AG40" t="s">
        <v>3429</v>
      </c>
      <c r="AI40">
        <v>14.4</v>
      </c>
      <c r="AJ40" t="s">
        <v>2035</v>
      </c>
      <c r="AK40" t="s">
        <v>770</v>
      </c>
      <c r="AN40">
        <v>53.3</v>
      </c>
      <c r="AO40">
        <v>1.5652475842498528</v>
      </c>
      <c r="AP40">
        <v>20.2</v>
      </c>
      <c r="AQ40">
        <v>3.5777087639996639</v>
      </c>
      <c r="AS40">
        <v>-0.97030000000000005</v>
      </c>
      <c r="AT40">
        <v>6.4000000000000003E-3</v>
      </c>
      <c r="AW40" s="28">
        <f t="shared" si="0"/>
        <v>-11.98693277602945</v>
      </c>
      <c r="AX40">
        <f t="shared" si="1"/>
        <v>0.90322580645161288</v>
      </c>
      <c r="AY40" s="62">
        <f t="shared" si="2"/>
        <v>-10.82690702351047</v>
      </c>
      <c r="AZ40" s="68" t="str">
        <f t="shared" si="3"/>
        <v>No</v>
      </c>
      <c r="BA40" s="68" t="str">
        <f t="shared" si="4"/>
        <v>Yes</v>
      </c>
    </row>
    <row r="41" spans="1:53" hidden="1">
      <c r="A41" t="s">
        <v>1815</v>
      </c>
      <c r="B41" t="s">
        <v>2432</v>
      </c>
      <c r="C41">
        <v>184</v>
      </c>
      <c r="F41" t="s">
        <v>1241</v>
      </c>
      <c r="G41" t="s">
        <v>1972</v>
      </c>
      <c r="I41">
        <v>2014</v>
      </c>
      <c r="N41" t="s">
        <v>36</v>
      </c>
      <c r="P41" t="s">
        <v>60</v>
      </c>
      <c r="Q41" t="s">
        <v>900</v>
      </c>
      <c r="R41" t="s">
        <v>888</v>
      </c>
      <c r="S41" t="s">
        <v>1991</v>
      </c>
      <c r="V41" t="s">
        <v>1015</v>
      </c>
      <c r="Z41">
        <v>5</v>
      </c>
      <c r="AA41">
        <v>5</v>
      </c>
      <c r="AC41">
        <v>365</v>
      </c>
      <c r="AD41">
        <v>14.4</v>
      </c>
      <c r="AE41">
        <v>1218</v>
      </c>
      <c r="AF41">
        <v>17.100000000000001</v>
      </c>
      <c r="AG41" t="s">
        <v>3429</v>
      </c>
      <c r="AI41">
        <v>14.4</v>
      </c>
      <c r="AJ41" t="s">
        <v>2035</v>
      </c>
      <c r="AK41" t="s">
        <v>770</v>
      </c>
      <c r="AN41">
        <v>53.3</v>
      </c>
      <c r="AO41">
        <v>1.5652475842498528</v>
      </c>
      <c r="AP41">
        <v>19.7</v>
      </c>
      <c r="AQ41">
        <v>7.1554175279993277</v>
      </c>
      <c r="AS41">
        <v>-0.99529999999999996</v>
      </c>
      <c r="AT41">
        <v>2.6599999999999999E-2</v>
      </c>
      <c r="AW41" s="28">
        <f t="shared" si="0"/>
        <v>-6.4873811125836269</v>
      </c>
      <c r="AX41">
        <f t="shared" si="1"/>
        <v>0.90322580645161288</v>
      </c>
      <c r="AY41" s="62">
        <f t="shared" si="2"/>
        <v>-5.8595700371723076</v>
      </c>
      <c r="AZ41" s="68" t="str">
        <f t="shared" si="3"/>
        <v>No</v>
      </c>
      <c r="BA41" s="68" t="str">
        <f t="shared" si="4"/>
        <v>No</v>
      </c>
    </row>
    <row r="42" spans="1:53" hidden="1">
      <c r="A42" t="s">
        <v>1815</v>
      </c>
      <c r="B42" t="s">
        <v>2579</v>
      </c>
      <c r="C42">
        <v>36</v>
      </c>
      <c r="F42" t="s">
        <v>1241</v>
      </c>
      <c r="G42" t="s">
        <v>1699</v>
      </c>
      <c r="I42">
        <v>2011</v>
      </c>
      <c r="N42" t="s">
        <v>36</v>
      </c>
      <c r="P42" t="s">
        <v>60</v>
      </c>
      <c r="Q42" t="s">
        <v>900</v>
      </c>
      <c r="R42" t="s">
        <v>911</v>
      </c>
      <c r="S42" t="s">
        <v>1753</v>
      </c>
      <c r="V42" t="s">
        <v>905</v>
      </c>
      <c r="Z42">
        <v>5</v>
      </c>
      <c r="AA42">
        <v>5</v>
      </c>
      <c r="AC42">
        <v>487</v>
      </c>
      <c r="AD42">
        <v>28.4</v>
      </c>
      <c r="AE42">
        <v>861</v>
      </c>
      <c r="AF42">
        <v>28.4</v>
      </c>
      <c r="AG42" t="s">
        <v>3345</v>
      </c>
      <c r="AH42">
        <v>2.935003151453655</v>
      </c>
      <c r="AI42">
        <v>28.4</v>
      </c>
      <c r="AJ42" t="s">
        <v>1791</v>
      </c>
      <c r="AK42" t="s">
        <v>770</v>
      </c>
      <c r="AM42"/>
      <c r="AN42">
        <v>46.7</v>
      </c>
      <c r="AO42">
        <v>13.640014662748717</v>
      </c>
      <c r="AP42">
        <v>32.9</v>
      </c>
      <c r="AQ42">
        <v>14.534441853748634</v>
      </c>
      <c r="AS42">
        <v>-0.35</v>
      </c>
      <c r="AT42">
        <v>5.6099999999999997E-2</v>
      </c>
      <c r="AW42" s="28">
        <f t="shared" si="0"/>
        <v>-0.9791174747949194</v>
      </c>
      <c r="AX42">
        <f t="shared" si="1"/>
        <v>0.90322580645161288</v>
      </c>
      <c r="AY42" s="62">
        <f t="shared" si="2"/>
        <v>-0.88436417078250784</v>
      </c>
      <c r="AZ42" s="68" t="str">
        <f t="shared" si="3"/>
        <v>No</v>
      </c>
      <c r="BA42" s="68" t="str">
        <f t="shared" si="4"/>
        <v>No</v>
      </c>
    </row>
    <row r="43" spans="1:53" hidden="1">
      <c r="A43" t="s">
        <v>1815</v>
      </c>
      <c r="B43" t="s">
        <v>2582</v>
      </c>
      <c r="C43">
        <v>36</v>
      </c>
      <c r="F43" t="s">
        <v>1241</v>
      </c>
      <c r="G43" t="s">
        <v>1699</v>
      </c>
      <c r="I43">
        <v>2011</v>
      </c>
      <c r="N43" t="s">
        <v>36</v>
      </c>
      <c r="P43" t="s">
        <v>60</v>
      </c>
      <c r="Q43" t="s">
        <v>900</v>
      </c>
      <c r="R43" t="s">
        <v>911</v>
      </c>
      <c r="S43" t="s">
        <v>1753</v>
      </c>
      <c r="V43" t="s">
        <v>905</v>
      </c>
      <c r="Z43">
        <v>27</v>
      </c>
      <c r="AA43">
        <v>5</v>
      </c>
      <c r="AC43">
        <v>546</v>
      </c>
      <c r="AD43">
        <v>28.9</v>
      </c>
      <c r="AE43">
        <v>926</v>
      </c>
      <c r="AF43">
        <v>28.9</v>
      </c>
      <c r="AG43" t="s">
        <v>3344</v>
      </c>
      <c r="AH43">
        <v>2.9666109866819341</v>
      </c>
      <c r="AI43">
        <v>28.9</v>
      </c>
      <c r="AJ43" t="s">
        <v>1798</v>
      </c>
      <c r="AK43" t="s">
        <v>40</v>
      </c>
      <c r="AM43"/>
      <c r="AN43">
        <v>18.600000000000001</v>
      </c>
      <c r="AO43">
        <v>9.353074360871938</v>
      </c>
      <c r="AP43">
        <v>14.6</v>
      </c>
      <c r="AQ43">
        <v>5.3665631459994954</v>
      </c>
      <c r="AS43">
        <v>-0.24199999999999999</v>
      </c>
      <c r="AT43">
        <v>3.6400000000000002E-2</v>
      </c>
      <c r="AW43" s="28">
        <f t="shared" si="0"/>
        <v>-0.44817821675096114</v>
      </c>
      <c r="AX43">
        <f t="shared" si="1"/>
        <v>0.97478991596638653</v>
      </c>
      <c r="AY43" s="62">
        <f t="shared" si="2"/>
        <v>-0.4368796062446344</v>
      </c>
      <c r="AZ43" s="68" t="str">
        <f t="shared" si="3"/>
        <v>No</v>
      </c>
      <c r="BA43" s="68" t="str">
        <f t="shared" si="4"/>
        <v>No</v>
      </c>
    </row>
    <row r="44" spans="1:53" hidden="1">
      <c r="A44" t="s">
        <v>1815</v>
      </c>
      <c r="B44" t="s">
        <v>2583</v>
      </c>
      <c r="C44">
        <v>36</v>
      </c>
      <c r="F44" t="s">
        <v>1241</v>
      </c>
      <c r="G44" t="s">
        <v>1699</v>
      </c>
      <c r="I44">
        <v>2010</v>
      </c>
      <c r="N44" t="s">
        <v>36</v>
      </c>
      <c r="P44" t="s">
        <v>60</v>
      </c>
      <c r="Q44" t="s">
        <v>900</v>
      </c>
      <c r="R44" t="s">
        <v>911</v>
      </c>
      <c r="S44" t="s">
        <v>1753</v>
      </c>
      <c r="V44" t="s">
        <v>905</v>
      </c>
      <c r="Z44">
        <v>5</v>
      </c>
      <c r="AA44">
        <v>5</v>
      </c>
      <c r="AC44">
        <v>487</v>
      </c>
      <c r="AD44">
        <v>28.4</v>
      </c>
      <c r="AE44">
        <v>861</v>
      </c>
      <c r="AF44">
        <v>28.4</v>
      </c>
      <c r="AG44" t="s">
        <v>3345</v>
      </c>
      <c r="AH44">
        <v>2.935003151453655</v>
      </c>
      <c r="AI44">
        <v>28.4</v>
      </c>
      <c r="AJ44" t="s">
        <v>69</v>
      </c>
      <c r="AK44" t="s">
        <v>69</v>
      </c>
      <c r="AM44"/>
      <c r="AN44">
        <v>45.9</v>
      </c>
      <c r="AO44">
        <v>10.956733089748971</v>
      </c>
      <c r="AP44">
        <v>56</v>
      </c>
      <c r="AQ44">
        <v>41.81447117924607</v>
      </c>
      <c r="AS44">
        <v>-0.20699999999999999</v>
      </c>
      <c r="AT44">
        <v>0.1888</v>
      </c>
      <c r="AW44" s="28">
        <f t="shared" si="0"/>
        <v>0.33043787493141463</v>
      </c>
      <c r="AX44">
        <f t="shared" si="1"/>
        <v>0.90322580645161288</v>
      </c>
      <c r="AY44" s="62">
        <f t="shared" si="2"/>
        <v>0.29846001606708417</v>
      </c>
      <c r="AZ44" s="68" t="str">
        <f t="shared" si="3"/>
        <v>No</v>
      </c>
      <c r="BA44" s="68" t="str">
        <f t="shared" si="4"/>
        <v>No</v>
      </c>
    </row>
    <row r="45" spans="1:53" hidden="1">
      <c r="A45" t="s">
        <v>1815</v>
      </c>
      <c r="B45" t="s">
        <v>2584</v>
      </c>
      <c r="C45">
        <v>36</v>
      </c>
      <c r="F45" t="s">
        <v>1241</v>
      </c>
      <c r="G45" t="s">
        <v>1699</v>
      </c>
      <c r="I45">
        <v>2010</v>
      </c>
      <c r="N45" t="s">
        <v>36</v>
      </c>
      <c r="P45" t="s">
        <v>60</v>
      </c>
      <c r="Q45" t="s">
        <v>900</v>
      </c>
      <c r="R45" t="s">
        <v>911</v>
      </c>
      <c r="S45" t="s">
        <v>1753</v>
      </c>
      <c r="V45" t="s">
        <v>905</v>
      </c>
      <c r="Z45">
        <v>27</v>
      </c>
      <c r="AA45">
        <v>5</v>
      </c>
      <c r="AC45">
        <v>546</v>
      </c>
      <c r="AD45">
        <v>28.9</v>
      </c>
      <c r="AE45">
        <v>926</v>
      </c>
      <c r="AF45">
        <v>28.9</v>
      </c>
      <c r="AG45" t="s">
        <v>3344</v>
      </c>
      <c r="AH45">
        <v>2.9666109866819341</v>
      </c>
      <c r="AI45">
        <v>28.9</v>
      </c>
      <c r="AJ45" t="s">
        <v>1801</v>
      </c>
      <c r="AK45" t="s">
        <v>40</v>
      </c>
      <c r="AM45"/>
      <c r="AN45">
        <v>79</v>
      </c>
      <c r="AO45">
        <v>35.333836474405096</v>
      </c>
      <c r="AP45">
        <v>72.099999999999994</v>
      </c>
      <c r="AQ45">
        <v>18.335757415498275</v>
      </c>
      <c r="AS45">
        <v>-9.0999999999999998E-2</v>
      </c>
      <c r="AT45">
        <v>2.0299999999999999E-2</v>
      </c>
      <c r="AW45" s="28">
        <f t="shared" si="0"/>
        <v>-0.20554998498007201</v>
      </c>
      <c r="AX45">
        <f t="shared" si="1"/>
        <v>0.97478991596638653</v>
      </c>
      <c r="AY45" s="62">
        <f t="shared" si="2"/>
        <v>-0.20036805258561641</v>
      </c>
      <c r="AZ45" s="68" t="str">
        <f t="shared" si="3"/>
        <v>No</v>
      </c>
      <c r="BA45" s="68" t="str">
        <f t="shared" si="4"/>
        <v>No</v>
      </c>
    </row>
    <row r="46" spans="1:53" hidden="1">
      <c r="A46" t="s">
        <v>1815</v>
      </c>
      <c r="B46" t="s">
        <v>2578</v>
      </c>
      <c r="C46">
        <v>36</v>
      </c>
      <c r="F46" t="s">
        <v>1241</v>
      </c>
      <c r="G46" t="s">
        <v>1699</v>
      </c>
      <c r="I46">
        <v>2011</v>
      </c>
      <c r="N46" t="s">
        <v>36</v>
      </c>
      <c r="P46" t="s">
        <v>60</v>
      </c>
      <c r="Q46" t="s">
        <v>900</v>
      </c>
      <c r="R46" t="s">
        <v>911</v>
      </c>
      <c r="S46" t="s">
        <v>1753</v>
      </c>
      <c r="V46" t="s">
        <v>907</v>
      </c>
      <c r="Z46">
        <v>5</v>
      </c>
      <c r="AA46">
        <v>5</v>
      </c>
      <c r="AC46">
        <v>487</v>
      </c>
      <c r="AD46">
        <v>28.4</v>
      </c>
      <c r="AE46">
        <v>493</v>
      </c>
      <c r="AF46">
        <v>29.6</v>
      </c>
      <c r="AG46" t="s">
        <v>3345</v>
      </c>
      <c r="AH46">
        <v>2.6928469192772302</v>
      </c>
      <c r="AI46">
        <v>28.4</v>
      </c>
      <c r="AJ46" t="s">
        <v>1791</v>
      </c>
      <c r="AK46" t="s">
        <v>770</v>
      </c>
      <c r="AM46"/>
      <c r="AN46">
        <v>46.7</v>
      </c>
      <c r="AO46">
        <v>13.640014662748717</v>
      </c>
      <c r="AP46">
        <v>30.5</v>
      </c>
      <c r="AQ46">
        <v>25.267568145747628</v>
      </c>
      <c r="AS46">
        <v>-0.42599999999999999</v>
      </c>
      <c r="AT46">
        <v>0.15429999999999999</v>
      </c>
      <c r="AW46" s="28">
        <f t="shared" si="0"/>
        <v>-0.79787467839612036</v>
      </c>
      <c r="AX46">
        <f t="shared" si="1"/>
        <v>0.90322580645161288</v>
      </c>
      <c r="AY46" s="62">
        <f t="shared" si="2"/>
        <v>-0.7206609998416571</v>
      </c>
      <c r="AZ46" s="68" t="str">
        <f t="shared" si="3"/>
        <v>No</v>
      </c>
      <c r="BA46" s="68" t="str">
        <f t="shared" si="4"/>
        <v>No</v>
      </c>
    </row>
    <row r="47" spans="1:53" hidden="1">
      <c r="A47" t="s">
        <v>1815</v>
      </c>
      <c r="B47" t="s">
        <v>2580</v>
      </c>
      <c r="C47">
        <v>36</v>
      </c>
      <c r="F47" t="s">
        <v>1241</v>
      </c>
      <c r="G47" t="s">
        <v>1699</v>
      </c>
      <c r="I47">
        <v>2011</v>
      </c>
      <c r="N47" t="s">
        <v>36</v>
      </c>
      <c r="P47" t="s">
        <v>60</v>
      </c>
      <c r="Q47" t="s">
        <v>900</v>
      </c>
      <c r="R47" t="s">
        <v>911</v>
      </c>
      <c r="S47" t="s">
        <v>1753</v>
      </c>
      <c r="V47" t="s">
        <v>907</v>
      </c>
      <c r="Z47">
        <v>5</v>
      </c>
      <c r="AA47">
        <v>5</v>
      </c>
      <c r="AC47">
        <v>487</v>
      </c>
      <c r="AD47">
        <v>28.4</v>
      </c>
      <c r="AE47">
        <v>493</v>
      </c>
      <c r="AF47">
        <v>29.6</v>
      </c>
      <c r="AG47" t="s">
        <v>3345</v>
      </c>
      <c r="AH47">
        <v>2.6928469192772302</v>
      </c>
      <c r="AI47">
        <v>28.4</v>
      </c>
      <c r="AJ47" t="s">
        <v>69</v>
      </c>
      <c r="AK47" t="s">
        <v>69</v>
      </c>
      <c r="AM47"/>
      <c r="AN47">
        <v>45.9</v>
      </c>
      <c r="AO47">
        <v>10.956733089748971</v>
      </c>
      <c r="AP47">
        <v>61.3</v>
      </c>
      <c r="AQ47">
        <v>29.963310898497184</v>
      </c>
      <c r="AS47">
        <v>-0.33500000000000002</v>
      </c>
      <c r="AT47">
        <v>0.12809999999999999</v>
      </c>
      <c r="AW47" s="28">
        <f t="shared" si="0"/>
        <v>0.68264329388031497</v>
      </c>
      <c r="AX47">
        <f t="shared" si="1"/>
        <v>0.90322580645161288</v>
      </c>
      <c r="AY47" s="62">
        <f t="shared" si="2"/>
        <v>0.61658103963383282</v>
      </c>
      <c r="AZ47" s="68" t="str">
        <f t="shared" si="3"/>
        <v>No</v>
      </c>
      <c r="BA47" s="68" t="str">
        <f t="shared" si="4"/>
        <v>No</v>
      </c>
    </row>
    <row r="48" spans="1:53" hidden="1">
      <c r="A48" t="s">
        <v>1815</v>
      </c>
      <c r="B48" t="s">
        <v>2581</v>
      </c>
      <c r="C48">
        <v>36</v>
      </c>
      <c r="F48" t="s">
        <v>1241</v>
      </c>
      <c r="G48" t="s">
        <v>1699</v>
      </c>
      <c r="I48">
        <v>2011</v>
      </c>
      <c r="N48" t="s">
        <v>36</v>
      </c>
      <c r="P48" t="s">
        <v>60</v>
      </c>
      <c r="Q48" t="s">
        <v>900</v>
      </c>
      <c r="R48" t="s">
        <v>911</v>
      </c>
      <c r="S48" t="s">
        <v>1753</v>
      </c>
      <c r="V48" t="s">
        <v>907</v>
      </c>
      <c r="Z48">
        <v>27</v>
      </c>
      <c r="AA48">
        <v>5</v>
      </c>
      <c r="AC48">
        <v>546</v>
      </c>
      <c r="AD48">
        <v>28.9</v>
      </c>
      <c r="AE48">
        <v>540</v>
      </c>
      <c r="AF48">
        <v>29.9</v>
      </c>
      <c r="AG48" t="s">
        <v>3344</v>
      </c>
      <c r="AH48">
        <v>2.7323937598229686</v>
      </c>
      <c r="AI48">
        <v>28.9</v>
      </c>
      <c r="AJ48" t="s">
        <v>1798</v>
      </c>
      <c r="AK48" t="s">
        <v>40</v>
      </c>
      <c r="AM48"/>
      <c r="AN48">
        <v>18.600000000000001</v>
      </c>
      <c r="AO48">
        <v>9.353074360871938</v>
      </c>
      <c r="AP48">
        <v>14</v>
      </c>
      <c r="AQ48">
        <v>2.2360679774997898</v>
      </c>
      <c r="AS48">
        <v>-0.28399999999999997</v>
      </c>
      <c r="AT48">
        <v>1.4500000000000001E-2</v>
      </c>
      <c r="AW48" s="28">
        <f t="shared" si="0"/>
        <v>-0.52598858693378814</v>
      </c>
      <c r="AX48">
        <f t="shared" si="1"/>
        <v>0.97478991596638653</v>
      </c>
      <c r="AY48" s="62">
        <f t="shared" si="2"/>
        <v>-0.51272837045646569</v>
      </c>
      <c r="AZ48" s="68" t="str">
        <f t="shared" si="3"/>
        <v>No</v>
      </c>
      <c r="BA48" s="68" t="str">
        <f t="shared" si="4"/>
        <v>No</v>
      </c>
    </row>
    <row r="49" spans="1:53" hidden="1">
      <c r="A49" t="s">
        <v>1815</v>
      </c>
      <c r="B49" t="s">
        <v>2586</v>
      </c>
      <c r="C49">
        <v>36</v>
      </c>
      <c r="F49" t="s">
        <v>1241</v>
      </c>
      <c r="G49" t="s">
        <v>1699</v>
      </c>
      <c r="I49">
        <v>2010</v>
      </c>
      <c r="N49" t="s">
        <v>36</v>
      </c>
      <c r="P49" t="s">
        <v>60</v>
      </c>
      <c r="Q49" t="s">
        <v>900</v>
      </c>
      <c r="R49" t="s">
        <v>911</v>
      </c>
      <c r="S49" t="s">
        <v>1753</v>
      </c>
      <c r="V49" t="s">
        <v>907</v>
      </c>
      <c r="Z49">
        <v>27</v>
      </c>
      <c r="AA49">
        <v>5</v>
      </c>
      <c r="AC49">
        <v>546</v>
      </c>
      <c r="AD49">
        <v>28.9</v>
      </c>
      <c r="AE49">
        <v>540</v>
      </c>
      <c r="AF49">
        <v>29.9</v>
      </c>
      <c r="AG49" t="s">
        <v>3344</v>
      </c>
      <c r="AH49">
        <v>2.7323937598229686</v>
      </c>
      <c r="AI49">
        <v>28.9</v>
      </c>
      <c r="AJ49" t="s">
        <v>1801</v>
      </c>
      <c r="AK49" t="s">
        <v>40</v>
      </c>
      <c r="AM49"/>
      <c r="AN49">
        <v>79</v>
      </c>
      <c r="AO49">
        <v>35.333836474405096</v>
      </c>
      <c r="AP49">
        <v>85.8</v>
      </c>
      <c r="AQ49">
        <v>20.124611797498108</v>
      </c>
      <c r="AS49">
        <v>8.3000000000000004E-2</v>
      </c>
      <c r="AT49">
        <v>1.84E-2</v>
      </c>
      <c r="AW49" s="28">
        <f t="shared" si="0"/>
        <v>0.20175146111302028</v>
      </c>
      <c r="AX49">
        <f t="shared" si="1"/>
        <v>0.97478991596638653</v>
      </c>
      <c r="AY49" s="62">
        <f t="shared" si="2"/>
        <v>0.19666528982445675</v>
      </c>
      <c r="AZ49" s="68" t="str">
        <f t="shared" si="3"/>
        <v>No</v>
      </c>
      <c r="BA49" s="68" t="str">
        <f t="shared" si="4"/>
        <v>No</v>
      </c>
    </row>
    <row r="50" spans="1:53" hidden="1">
      <c r="A50" t="s">
        <v>1815</v>
      </c>
      <c r="B50" t="s">
        <v>2576</v>
      </c>
      <c r="C50">
        <v>36</v>
      </c>
      <c r="F50" t="s">
        <v>1241</v>
      </c>
      <c r="G50" t="s">
        <v>1699</v>
      </c>
      <c r="I50">
        <v>2011</v>
      </c>
      <c r="N50" t="s">
        <v>36</v>
      </c>
      <c r="P50" t="s">
        <v>60</v>
      </c>
      <c r="Q50" t="s">
        <v>900</v>
      </c>
      <c r="R50" t="s">
        <v>911</v>
      </c>
      <c r="S50" t="s">
        <v>1753</v>
      </c>
      <c r="V50" t="s">
        <v>1015</v>
      </c>
      <c r="Z50">
        <v>27</v>
      </c>
      <c r="AA50">
        <v>5</v>
      </c>
      <c r="AC50">
        <v>546</v>
      </c>
      <c r="AD50">
        <v>28.9</v>
      </c>
      <c r="AE50">
        <v>1006</v>
      </c>
      <c r="AF50">
        <v>29.9</v>
      </c>
      <c r="AG50" t="s">
        <v>3344</v>
      </c>
      <c r="AH50">
        <v>3.0025979807199086</v>
      </c>
      <c r="AI50">
        <v>28.9</v>
      </c>
      <c r="AJ50" t="s">
        <v>1798</v>
      </c>
      <c r="AK50" t="s">
        <v>40</v>
      </c>
      <c r="AM50"/>
      <c r="AN50">
        <v>18.600000000000001</v>
      </c>
      <c r="AO50">
        <v>9.353074360871938</v>
      </c>
      <c r="AP50">
        <v>10.199999999999999</v>
      </c>
      <c r="AQ50">
        <v>3.1304951684997055</v>
      </c>
      <c r="AS50">
        <v>-0.60099999999999998</v>
      </c>
      <c r="AT50">
        <v>2.8199999999999999E-2</v>
      </c>
      <c r="AW50" s="28">
        <f t="shared" si="0"/>
        <v>-0.95650725223493371</v>
      </c>
      <c r="AX50">
        <f t="shared" si="1"/>
        <v>0.97478991596638653</v>
      </c>
      <c r="AY50" s="62">
        <f t="shared" si="2"/>
        <v>-0.93239362402733028</v>
      </c>
      <c r="AZ50" s="68" t="str">
        <f t="shared" si="3"/>
        <v>No</v>
      </c>
      <c r="BA50" s="68" t="str">
        <f t="shared" si="4"/>
        <v>No</v>
      </c>
    </row>
    <row r="51" spans="1:53" hidden="1">
      <c r="A51" t="s">
        <v>1815</v>
      </c>
      <c r="B51" t="s">
        <v>2577</v>
      </c>
      <c r="C51">
        <v>36</v>
      </c>
      <c r="F51" t="s">
        <v>1241</v>
      </c>
      <c r="G51" t="s">
        <v>1699</v>
      </c>
      <c r="I51">
        <v>2011</v>
      </c>
      <c r="N51" t="s">
        <v>36</v>
      </c>
      <c r="P51" t="s">
        <v>60</v>
      </c>
      <c r="Q51" t="s">
        <v>900</v>
      </c>
      <c r="R51" t="s">
        <v>911</v>
      </c>
      <c r="S51" t="s">
        <v>1753</v>
      </c>
      <c r="V51" t="s">
        <v>1015</v>
      </c>
      <c r="Z51">
        <v>27</v>
      </c>
      <c r="AA51">
        <v>5</v>
      </c>
      <c r="AC51">
        <v>546</v>
      </c>
      <c r="AD51">
        <v>28.9</v>
      </c>
      <c r="AE51">
        <v>1006</v>
      </c>
      <c r="AF51">
        <v>29.9</v>
      </c>
      <c r="AG51" t="s">
        <v>3344</v>
      </c>
      <c r="AH51">
        <v>3.0025979807199086</v>
      </c>
      <c r="AI51">
        <v>28.9</v>
      </c>
      <c r="AJ51" t="s">
        <v>1801</v>
      </c>
      <c r="AK51" t="s">
        <v>40</v>
      </c>
      <c r="AM51"/>
      <c r="AN51">
        <v>79</v>
      </c>
      <c r="AO51">
        <v>35.333836474405096</v>
      </c>
      <c r="AP51">
        <v>49.4</v>
      </c>
      <c r="AQ51">
        <v>13.863621460498697</v>
      </c>
      <c r="AS51">
        <v>-0.46899999999999997</v>
      </c>
      <c r="AT51">
        <v>2.3199999999999998E-2</v>
      </c>
      <c r="AW51" s="28">
        <f t="shared" si="0"/>
        <v>-0.88938924374486161</v>
      </c>
      <c r="AX51">
        <f t="shared" si="1"/>
        <v>0.97478991596638653</v>
      </c>
      <c r="AY51" s="62">
        <f t="shared" si="2"/>
        <v>-0.8669676661714617</v>
      </c>
      <c r="AZ51" s="68" t="str">
        <f t="shared" si="3"/>
        <v>No</v>
      </c>
      <c r="BA51" s="68" t="str">
        <f t="shared" si="4"/>
        <v>No</v>
      </c>
    </row>
    <row r="52" spans="1:53" hidden="1">
      <c r="A52" t="s">
        <v>1815</v>
      </c>
      <c r="B52" t="s">
        <v>2585</v>
      </c>
      <c r="C52">
        <v>36</v>
      </c>
      <c r="F52" t="s">
        <v>1241</v>
      </c>
      <c r="G52" t="s">
        <v>1699</v>
      </c>
      <c r="I52">
        <v>2010</v>
      </c>
      <c r="N52" t="s">
        <v>36</v>
      </c>
      <c r="P52" t="s">
        <v>60</v>
      </c>
      <c r="Q52" t="s">
        <v>900</v>
      </c>
      <c r="R52" t="s">
        <v>911</v>
      </c>
      <c r="S52" t="s">
        <v>1753</v>
      </c>
      <c r="V52" t="s">
        <v>1015</v>
      </c>
      <c r="Z52">
        <v>5</v>
      </c>
      <c r="AA52">
        <v>4</v>
      </c>
      <c r="AC52">
        <v>487</v>
      </c>
      <c r="AD52">
        <v>28.4</v>
      </c>
      <c r="AE52">
        <v>950</v>
      </c>
      <c r="AF52">
        <v>29.5</v>
      </c>
      <c r="AG52" t="s">
        <v>3345</v>
      </c>
      <c r="AH52">
        <v>2.9777236052888476</v>
      </c>
      <c r="AI52">
        <v>28.4</v>
      </c>
      <c r="AJ52" t="s">
        <v>1791</v>
      </c>
      <c r="AK52" t="s">
        <v>770</v>
      </c>
      <c r="AM52"/>
      <c r="AN52">
        <v>46.7</v>
      </c>
      <c r="AO52">
        <v>13.640014662748717</v>
      </c>
      <c r="AP52">
        <v>45.9</v>
      </c>
      <c r="AQ52">
        <v>25.2</v>
      </c>
      <c r="AS52">
        <v>-1.7000000000000001E-2</v>
      </c>
      <c r="AT52">
        <v>9.2399999999999996E-2</v>
      </c>
      <c r="AW52" s="28">
        <f t="shared" si="0"/>
        <v>-4.1121769839166419E-2</v>
      </c>
      <c r="AX52">
        <f t="shared" si="1"/>
        <v>0.88888888888888884</v>
      </c>
      <c r="AY52" s="62">
        <f t="shared" si="2"/>
        <v>-3.6552684301481259E-2</v>
      </c>
      <c r="AZ52" s="68" t="str">
        <f t="shared" si="3"/>
        <v>No</v>
      </c>
      <c r="BA52" s="68" t="str">
        <f t="shared" si="4"/>
        <v>No</v>
      </c>
    </row>
    <row r="53" spans="1:53" hidden="1">
      <c r="A53" t="s">
        <v>1815</v>
      </c>
      <c r="B53" t="s">
        <v>2587</v>
      </c>
      <c r="C53">
        <v>36</v>
      </c>
      <c r="F53" t="s">
        <v>1241</v>
      </c>
      <c r="G53" t="s">
        <v>1699</v>
      </c>
      <c r="I53">
        <v>2010</v>
      </c>
      <c r="N53" t="s">
        <v>36</v>
      </c>
      <c r="P53" t="s">
        <v>60</v>
      </c>
      <c r="Q53" t="s">
        <v>900</v>
      </c>
      <c r="R53" t="s">
        <v>911</v>
      </c>
      <c r="S53" t="s">
        <v>1753</v>
      </c>
      <c r="V53" t="s">
        <v>1015</v>
      </c>
      <c r="Z53">
        <v>5</v>
      </c>
      <c r="AA53">
        <v>4</v>
      </c>
      <c r="AC53">
        <v>487</v>
      </c>
      <c r="AD53">
        <v>28.4</v>
      </c>
      <c r="AE53">
        <v>950</v>
      </c>
      <c r="AF53">
        <v>29.5</v>
      </c>
      <c r="AG53" t="s">
        <v>3345</v>
      </c>
      <c r="AH53">
        <v>2.9777236052888476</v>
      </c>
      <c r="AI53">
        <v>28.4</v>
      </c>
      <c r="AJ53" t="s">
        <v>69</v>
      </c>
      <c r="AK53" t="s">
        <v>69</v>
      </c>
      <c r="AM53"/>
      <c r="AN53">
        <v>45.9</v>
      </c>
      <c r="AO53">
        <v>10.956733089748971</v>
      </c>
      <c r="AP53">
        <v>39</v>
      </c>
      <c r="AQ53">
        <v>24.4</v>
      </c>
      <c r="AS53">
        <v>0.12</v>
      </c>
      <c r="AT53">
        <v>4.82E-2</v>
      </c>
      <c r="AW53" s="28">
        <f t="shared" si="0"/>
        <v>-0.38347877173459682</v>
      </c>
      <c r="AX53">
        <f t="shared" si="1"/>
        <v>0.88888888888888884</v>
      </c>
      <c r="AY53" s="62">
        <f t="shared" si="2"/>
        <v>-0.34087001931964162</v>
      </c>
      <c r="AZ53" s="68" t="str">
        <f t="shared" si="3"/>
        <v>No</v>
      </c>
      <c r="BA53" s="68" t="str">
        <f t="shared" si="4"/>
        <v>No</v>
      </c>
    </row>
    <row r="54" spans="1:53" hidden="1">
      <c r="A54" t="s">
        <v>1815</v>
      </c>
      <c r="B54" t="s">
        <v>2949</v>
      </c>
      <c r="C54">
        <v>224</v>
      </c>
      <c r="F54" t="s">
        <v>1241</v>
      </c>
      <c r="G54" t="s">
        <v>1728</v>
      </c>
      <c r="I54">
        <v>2010</v>
      </c>
      <c r="N54" t="s">
        <v>36</v>
      </c>
      <c r="P54" t="s">
        <v>60</v>
      </c>
      <c r="Q54" t="s">
        <v>900</v>
      </c>
      <c r="R54" t="s">
        <v>1741</v>
      </c>
      <c r="S54" t="s">
        <v>1775</v>
      </c>
      <c r="V54" t="s">
        <v>905</v>
      </c>
      <c r="Z54">
        <v>440</v>
      </c>
      <c r="AA54">
        <v>440</v>
      </c>
      <c r="AC54">
        <v>420</v>
      </c>
      <c r="AD54">
        <v>27</v>
      </c>
      <c r="AE54">
        <v>1113</v>
      </c>
      <c r="AF54">
        <v>27</v>
      </c>
      <c r="AG54" t="s">
        <v>3383</v>
      </c>
      <c r="AH54">
        <v>3.0464951643347082</v>
      </c>
      <c r="AI54">
        <v>27</v>
      </c>
      <c r="AJ54" t="s">
        <v>1205</v>
      </c>
      <c r="AK54" t="s">
        <v>40</v>
      </c>
      <c r="AM54"/>
      <c r="AN54">
        <v>106.8775852</v>
      </c>
      <c r="AO54">
        <v>34.400930219980971</v>
      </c>
      <c r="AP54">
        <v>85.270436680000003</v>
      </c>
      <c r="AQ54">
        <v>74.045904680812697</v>
      </c>
      <c r="AS54">
        <v>-0.22600000000000001</v>
      </c>
      <c r="AT54">
        <v>1.9E-3</v>
      </c>
      <c r="AW54" s="28">
        <f t="shared" si="0"/>
        <v>-0.37425932833077907</v>
      </c>
      <c r="AX54">
        <f t="shared" si="1"/>
        <v>0.9991455425804614</v>
      </c>
      <c r="AY54" s="62">
        <f t="shared" si="2"/>
        <v>-0.3739395396708553</v>
      </c>
      <c r="AZ54" s="68" t="str">
        <f t="shared" si="3"/>
        <v>No</v>
      </c>
      <c r="BA54" s="68" t="str">
        <f t="shared" si="4"/>
        <v>No</v>
      </c>
    </row>
    <row r="55" spans="1:53" hidden="1">
      <c r="A55" t="s">
        <v>1815</v>
      </c>
      <c r="B55" t="s">
        <v>3295</v>
      </c>
      <c r="C55">
        <v>224</v>
      </c>
      <c r="F55" t="s">
        <v>1241</v>
      </c>
      <c r="G55" t="s">
        <v>1728</v>
      </c>
      <c r="I55">
        <v>2017</v>
      </c>
      <c r="N55" t="s">
        <v>36</v>
      </c>
      <c r="P55" t="s">
        <v>60</v>
      </c>
      <c r="Q55" t="s">
        <v>900</v>
      </c>
      <c r="R55" t="s">
        <v>1741</v>
      </c>
      <c r="S55" t="s">
        <v>1775</v>
      </c>
      <c r="V55" t="s">
        <v>905</v>
      </c>
      <c r="Z55">
        <v>20</v>
      </c>
      <c r="AA55">
        <v>20</v>
      </c>
      <c r="AC55">
        <v>420</v>
      </c>
      <c r="AD55" s="37">
        <v>27</v>
      </c>
      <c r="AE55">
        <v>1113</v>
      </c>
      <c r="AF55" s="37">
        <v>27</v>
      </c>
      <c r="AG55" t="s">
        <v>3424</v>
      </c>
      <c r="AH55">
        <v>3.0464951643347082</v>
      </c>
      <c r="AI55" s="37">
        <v>27</v>
      </c>
      <c r="AJ55" t="s">
        <v>1099</v>
      </c>
      <c r="AK55" t="s">
        <v>40</v>
      </c>
      <c r="AM55"/>
      <c r="AN55">
        <v>1.5349999999999999</v>
      </c>
      <c r="AO55">
        <v>21.779302100847953</v>
      </c>
      <c r="AP55">
        <v>3.661</v>
      </c>
      <c r="AQ55">
        <v>26.47504485359751</v>
      </c>
      <c r="AS55">
        <v>0.86899999999999999</v>
      </c>
      <c r="AT55">
        <v>12.6755</v>
      </c>
      <c r="AW55" s="28">
        <f t="shared" si="0"/>
        <v>8.7702136208200221E-2</v>
      </c>
      <c r="AX55">
        <f t="shared" si="1"/>
        <v>0.98013245033112584</v>
      </c>
      <c r="AY55" s="62">
        <f t="shared" si="2"/>
        <v>8.595970966101743E-2</v>
      </c>
      <c r="AZ55" s="68" t="str">
        <f t="shared" si="3"/>
        <v>No</v>
      </c>
      <c r="BA55" s="68" t="str">
        <f t="shared" si="4"/>
        <v>No</v>
      </c>
    </row>
    <row r="56" spans="1:53" hidden="1">
      <c r="A56" t="s">
        <v>1815</v>
      </c>
      <c r="B56" t="s">
        <v>3325</v>
      </c>
      <c r="C56">
        <v>224</v>
      </c>
      <c r="F56" t="s">
        <v>1241</v>
      </c>
      <c r="G56" t="s">
        <v>1728</v>
      </c>
      <c r="I56">
        <v>2010</v>
      </c>
      <c r="N56" t="s">
        <v>36</v>
      </c>
      <c r="P56" t="s">
        <v>60</v>
      </c>
      <c r="Q56" t="s">
        <v>900</v>
      </c>
      <c r="R56" t="s">
        <v>1741</v>
      </c>
      <c r="S56" t="s">
        <v>1775</v>
      </c>
      <c r="V56" t="s">
        <v>905</v>
      </c>
      <c r="Z56">
        <v>44</v>
      </c>
      <c r="AA56">
        <v>44</v>
      </c>
      <c r="AC56">
        <v>420</v>
      </c>
      <c r="AD56" s="37">
        <v>27</v>
      </c>
      <c r="AE56">
        <v>1113</v>
      </c>
      <c r="AF56" s="37">
        <v>27</v>
      </c>
      <c r="AG56" t="s">
        <v>3424</v>
      </c>
      <c r="AH56">
        <v>3.0464951643347082</v>
      </c>
      <c r="AI56" s="37">
        <v>27</v>
      </c>
      <c r="AJ56" t="s">
        <v>1812</v>
      </c>
      <c r="AK56" t="s">
        <v>69</v>
      </c>
      <c r="AM56"/>
      <c r="AN56">
        <v>93.8</v>
      </c>
      <c r="AO56">
        <v>7.4292395303960959</v>
      </c>
      <c r="AP56">
        <v>74.64</v>
      </c>
      <c r="AQ56">
        <v>30.247618088041243</v>
      </c>
      <c r="AS56">
        <v>-0.22900000000000001</v>
      </c>
      <c r="AT56">
        <v>3.8999999999999998E-3</v>
      </c>
      <c r="AW56" s="28">
        <f t="shared" si="0"/>
        <v>-0.8699605601238477</v>
      </c>
      <c r="AX56">
        <f t="shared" si="1"/>
        <v>0.99125364431486884</v>
      </c>
      <c r="AY56" s="62">
        <f t="shared" si="2"/>
        <v>-0.8623515756329686</v>
      </c>
      <c r="AZ56" s="68" t="str">
        <f t="shared" si="3"/>
        <v>No</v>
      </c>
      <c r="BA56" s="68" t="str">
        <f t="shared" si="4"/>
        <v>No</v>
      </c>
    </row>
    <row r="57" spans="1:53" hidden="1">
      <c r="A57" t="s">
        <v>1815</v>
      </c>
      <c r="B57" t="s">
        <v>2950</v>
      </c>
      <c r="C57">
        <v>224</v>
      </c>
      <c r="F57" t="s">
        <v>1241</v>
      </c>
      <c r="G57" t="s">
        <v>1728</v>
      </c>
      <c r="I57">
        <v>2010</v>
      </c>
      <c r="N57" t="s">
        <v>36</v>
      </c>
      <c r="P57" t="s">
        <v>60</v>
      </c>
      <c r="Q57" t="s">
        <v>900</v>
      </c>
      <c r="R57" t="s">
        <v>1741</v>
      </c>
      <c r="S57" t="s">
        <v>1775</v>
      </c>
      <c r="V57" t="s">
        <v>907</v>
      </c>
      <c r="Z57">
        <v>440</v>
      </c>
      <c r="AA57">
        <v>440</v>
      </c>
      <c r="AC57">
        <v>420</v>
      </c>
      <c r="AD57">
        <v>27</v>
      </c>
      <c r="AE57">
        <v>420</v>
      </c>
      <c r="AF57">
        <v>31</v>
      </c>
      <c r="AG57" t="s">
        <v>3383</v>
      </c>
      <c r="AH57">
        <v>2.6232492903979003</v>
      </c>
      <c r="AI57">
        <v>27</v>
      </c>
      <c r="AJ57" t="s">
        <v>1205</v>
      </c>
      <c r="AK57" t="s">
        <v>40</v>
      </c>
      <c r="AM57"/>
      <c r="AN57">
        <v>106.8775852</v>
      </c>
      <c r="AO57">
        <v>34.400930219980971</v>
      </c>
      <c r="AP57">
        <v>85.769315779999999</v>
      </c>
      <c r="AQ57">
        <v>50.133062942533243</v>
      </c>
      <c r="AS57">
        <v>-0.22</v>
      </c>
      <c r="AT57">
        <v>1E-3</v>
      </c>
      <c r="AW57" s="28">
        <f t="shared" si="0"/>
        <v>-0.49097310581470638</v>
      </c>
      <c r="AX57">
        <f t="shared" si="1"/>
        <v>0.9991455425804614</v>
      </c>
      <c r="AY57" s="62">
        <f t="shared" si="2"/>
        <v>-0.49055359020164907</v>
      </c>
      <c r="AZ57" s="68" t="str">
        <f t="shared" si="3"/>
        <v>No</v>
      </c>
      <c r="BA57" s="68" t="str">
        <f t="shared" si="4"/>
        <v>No</v>
      </c>
    </row>
    <row r="58" spans="1:53" hidden="1">
      <c r="A58" t="s">
        <v>1815</v>
      </c>
      <c r="B58" t="s">
        <v>3297</v>
      </c>
      <c r="C58">
        <v>224</v>
      </c>
      <c r="F58" t="s">
        <v>1241</v>
      </c>
      <c r="G58" t="s">
        <v>1728</v>
      </c>
      <c r="I58">
        <v>2010</v>
      </c>
      <c r="N58" t="s">
        <v>36</v>
      </c>
      <c r="P58" t="s">
        <v>60</v>
      </c>
      <c r="Q58" t="s">
        <v>900</v>
      </c>
      <c r="R58" t="s">
        <v>1741</v>
      </c>
      <c r="S58" t="s">
        <v>1775</v>
      </c>
      <c r="V58" t="s">
        <v>907</v>
      </c>
      <c r="Z58">
        <v>20</v>
      </c>
      <c r="AA58">
        <v>20</v>
      </c>
      <c r="AC58">
        <v>420</v>
      </c>
      <c r="AD58" s="37">
        <v>27</v>
      </c>
      <c r="AE58">
        <v>420</v>
      </c>
      <c r="AF58" s="37">
        <v>31</v>
      </c>
      <c r="AG58" t="s">
        <v>3424</v>
      </c>
      <c r="AH58">
        <v>2.6232492903979003</v>
      </c>
      <c r="AI58" s="37">
        <v>27</v>
      </c>
      <c r="AJ58" t="s">
        <v>1099</v>
      </c>
      <c r="AK58" t="s">
        <v>40</v>
      </c>
      <c r="AM58"/>
      <c r="AN58">
        <v>1.5349999999999999</v>
      </c>
      <c r="AO58">
        <v>21.779302100847953</v>
      </c>
      <c r="AP58">
        <v>11.843999999999999</v>
      </c>
      <c r="AQ58">
        <v>29.471375943447228</v>
      </c>
      <c r="AS58">
        <v>2.0430000000000001</v>
      </c>
      <c r="AT58">
        <v>10.370799999999999</v>
      </c>
      <c r="AW58" s="28">
        <f t="shared" si="0"/>
        <v>0.39784114903372225</v>
      </c>
      <c r="AX58">
        <f t="shared" si="1"/>
        <v>0.98013245033112584</v>
      </c>
      <c r="AY58" s="62">
        <f t="shared" si="2"/>
        <v>0.38993702024497279</v>
      </c>
      <c r="AZ58" s="68" t="str">
        <f t="shared" si="3"/>
        <v>No</v>
      </c>
      <c r="BA58" s="68" t="str">
        <f t="shared" si="4"/>
        <v>No</v>
      </c>
    </row>
    <row r="59" spans="1:53" hidden="1">
      <c r="A59" t="s">
        <v>1815</v>
      </c>
      <c r="B59" t="s">
        <v>3300</v>
      </c>
      <c r="C59">
        <v>224</v>
      </c>
      <c r="F59" t="s">
        <v>1241</v>
      </c>
      <c r="G59" t="s">
        <v>1728</v>
      </c>
      <c r="I59">
        <v>2010</v>
      </c>
      <c r="N59" t="s">
        <v>36</v>
      </c>
      <c r="P59" t="s">
        <v>60</v>
      </c>
      <c r="Q59" t="s">
        <v>900</v>
      </c>
      <c r="R59" t="s">
        <v>1741</v>
      </c>
      <c r="S59" t="s">
        <v>1775</v>
      </c>
      <c r="V59" t="s">
        <v>907</v>
      </c>
      <c r="Z59">
        <v>44</v>
      </c>
      <c r="AA59">
        <v>44</v>
      </c>
      <c r="AC59">
        <v>420</v>
      </c>
      <c r="AD59" s="37">
        <v>27</v>
      </c>
      <c r="AE59">
        <v>420</v>
      </c>
      <c r="AF59" s="37">
        <v>31</v>
      </c>
      <c r="AG59" t="s">
        <v>3424</v>
      </c>
      <c r="AH59">
        <v>2.6232492903979003</v>
      </c>
      <c r="AI59" s="37">
        <v>27</v>
      </c>
      <c r="AJ59" t="s">
        <v>1812</v>
      </c>
      <c r="AK59" t="s">
        <v>69</v>
      </c>
      <c r="AM59"/>
      <c r="AN59">
        <v>93.8</v>
      </c>
      <c r="AO59">
        <v>7.4292395303960959</v>
      </c>
      <c r="AP59">
        <v>39.42</v>
      </c>
      <c r="AQ59">
        <v>18.50676633018313</v>
      </c>
      <c r="AS59">
        <v>-0.86699999999999999</v>
      </c>
      <c r="AT59">
        <v>5.1999999999999998E-3</v>
      </c>
      <c r="AW59" s="28">
        <f t="shared" si="0"/>
        <v>-3.8563787551535893</v>
      </c>
      <c r="AX59">
        <f t="shared" si="1"/>
        <v>0.99125364431486884</v>
      </c>
      <c r="AY59" s="62">
        <f t="shared" si="2"/>
        <v>-3.8226494949044327</v>
      </c>
      <c r="AZ59" s="68" t="str">
        <f t="shared" si="3"/>
        <v>No</v>
      </c>
      <c r="BA59" s="68" t="str">
        <f t="shared" si="4"/>
        <v>No</v>
      </c>
    </row>
    <row r="60" spans="1:53" hidden="1">
      <c r="A60" t="s">
        <v>1815</v>
      </c>
      <c r="B60" t="s">
        <v>2948</v>
      </c>
      <c r="C60">
        <v>224</v>
      </c>
      <c r="F60" t="s">
        <v>1241</v>
      </c>
      <c r="G60" t="s">
        <v>1728</v>
      </c>
      <c r="I60">
        <v>2010</v>
      </c>
      <c r="N60" t="s">
        <v>36</v>
      </c>
      <c r="P60" t="s">
        <v>60</v>
      </c>
      <c r="Q60" t="s">
        <v>900</v>
      </c>
      <c r="R60" t="s">
        <v>1741</v>
      </c>
      <c r="S60" t="s">
        <v>1775</v>
      </c>
      <c r="V60" t="s">
        <v>1015</v>
      </c>
      <c r="Z60">
        <v>440</v>
      </c>
      <c r="AA60">
        <v>440</v>
      </c>
      <c r="AC60">
        <v>420</v>
      </c>
      <c r="AD60">
        <v>27</v>
      </c>
      <c r="AE60">
        <v>1113</v>
      </c>
      <c r="AF60">
        <v>31</v>
      </c>
      <c r="AG60" t="s">
        <v>3383</v>
      </c>
      <c r="AH60">
        <v>3.0464951643347082</v>
      </c>
      <c r="AI60">
        <v>27</v>
      </c>
      <c r="AJ60" t="s">
        <v>1205</v>
      </c>
      <c r="AK60" t="s">
        <v>40</v>
      </c>
      <c r="AM60"/>
      <c r="AN60">
        <v>106.8775852</v>
      </c>
      <c r="AO60">
        <v>34.400930219980971</v>
      </c>
      <c r="AP60">
        <v>71.779861699999998</v>
      </c>
      <c r="AQ60">
        <v>191.5124956758697</v>
      </c>
      <c r="AS60">
        <v>-0.39800000000000002</v>
      </c>
      <c r="AT60">
        <v>1.6400000000000001E-2</v>
      </c>
      <c r="AW60" s="28">
        <f t="shared" si="0"/>
        <v>-0.25509444591484737</v>
      </c>
      <c r="AX60">
        <f t="shared" si="1"/>
        <v>0.9991455425804614</v>
      </c>
      <c r="AY60" s="62">
        <f t="shared" si="2"/>
        <v>-0.25487647857285234</v>
      </c>
      <c r="AZ60" s="68" t="str">
        <f t="shared" si="3"/>
        <v>No</v>
      </c>
      <c r="BA60" s="68" t="str">
        <f t="shared" si="4"/>
        <v>No</v>
      </c>
    </row>
    <row r="61" spans="1:53" hidden="1">
      <c r="A61" t="s">
        <v>1815</v>
      </c>
      <c r="B61" t="s">
        <v>3296</v>
      </c>
      <c r="C61">
        <v>224</v>
      </c>
      <c r="F61" t="s">
        <v>1241</v>
      </c>
      <c r="G61" t="s">
        <v>1728</v>
      </c>
      <c r="I61">
        <v>2010</v>
      </c>
      <c r="N61" t="s">
        <v>36</v>
      </c>
      <c r="P61" t="s">
        <v>60</v>
      </c>
      <c r="Q61" t="s">
        <v>900</v>
      </c>
      <c r="R61" t="s">
        <v>1741</v>
      </c>
      <c r="S61" t="s">
        <v>1775</v>
      </c>
      <c r="V61" t="s">
        <v>1015</v>
      </c>
      <c r="Z61">
        <v>20</v>
      </c>
      <c r="AA61">
        <v>20</v>
      </c>
      <c r="AC61">
        <v>420</v>
      </c>
      <c r="AD61" s="37">
        <v>27</v>
      </c>
      <c r="AE61">
        <v>1113</v>
      </c>
      <c r="AF61" s="37">
        <v>31</v>
      </c>
      <c r="AG61" t="s">
        <v>3424</v>
      </c>
      <c r="AH61">
        <v>3.0464951643347082</v>
      </c>
      <c r="AI61" s="37">
        <v>27</v>
      </c>
      <c r="AJ61" t="s">
        <v>1099</v>
      </c>
      <c r="AK61" t="s">
        <v>40</v>
      </c>
      <c r="AM61"/>
      <c r="AN61">
        <v>1.5349999999999999</v>
      </c>
      <c r="AO61">
        <v>21.779302100847953</v>
      </c>
      <c r="AP61">
        <v>8.5760000000000005</v>
      </c>
      <c r="AQ61">
        <v>19.856283640198136</v>
      </c>
      <c r="AS61">
        <v>1.72</v>
      </c>
      <c r="AT61">
        <v>10.3294</v>
      </c>
      <c r="AW61" s="28">
        <f t="shared" si="0"/>
        <v>0.33786011821645967</v>
      </c>
      <c r="AX61">
        <f t="shared" si="1"/>
        <v>0.98013245033112584</v>
      </c>
      <c r="AY61" s="62">
        <f t="shared" si="2"/>
        <v>0.33114766553666247</v>
      </c>
      <c r="AZ61" s="68" t="str">
        <f t="shared" si="3"/>
        <v>No</v>
      </c>
      <c r="BA61" s="68" t="str">
        <f t="shared" si="4"/>
        <v>No</v>
      </c>
    </row>
    <row r="62" spans="1:53" hidden="1">
      <c r="A62" t="s">
        <v>1815</v>
      </c>
      <c r="B62" t="s">
        <v>3298</v>
      </c>
      <c r="C62">
        <v>224</v>
      </c>
      <c r="F62" t="s">
        <v>1241</v>
      </c>
      <c r="G62" t="s">
        <v>1728</v>
      </c>
      <c r="I62">
        <v>2010</v>
      </c>
      <c r="N62" t="s">
        <v>36</v>
      </c>
      <c r="P62" t="s">
        <v>60</v>
      </c>
      <c r="Q62" t="s">
        <v>900</v>
      </c>
      <c r="R62" t="s">
        <v>1741</v>
      </c>
      <c r="S62" t="s">
        <v>1775</v>
      </c>
      <c r="V62" t="s">
        <v>1015</v>
      </c>
      <c r="Z62">
        <v>44</v>
      </c>
      <c r="AA62">
        <v>44</v>
      </c>
      <c r="AC62">
        <v>420</v>
      </c>
      <c r="AD62" s="37">
        <v>27</v>
      </c>
      <c r="AE62">
        <v>1113</v>
      </c>
      <c r="AF62" s="37">
        <v>31</v>
      </c>
      <c r="AG62" t="s">
        <v>3424</v>
      </c>
      <c r="AH62">
        <v>3.0464951643347082</v>
      </c>
      <c r="AI62" s="37">
        <v>27</v>
      </c>
      <c r="AJ62" t="s">
        <v>1812</v>
      </c>
      <c r="AK62" t="s">
        <v>69</v>
      </c>
      <c r="AM62"/>
      <c r="AN62">
        <v>93.8</v>
      </c>
      <c r="AO62">
        <v>7.4292395303960959</v>
      </c>
      <c r="AP62">
        <v>25.91</v>
      </c>
      <c r="AQ62">
        <v>25.936005860579229</v>
      </c>
      <c r="AS62">
        <v>-1.286</v>
      </c>
      <c r="AT62">
        <v>2.29E-2</v>
      </c>
      <c r="AW62" s="28">
        <f t="shared" si="0"/>
        <v>-3.5587206353526404</v>
      </c>
      <c r="AX62">
        <f t="shared" si="1"/>
        <v>0.99125364431486884</v>
      </c>
      <c r="AY62" s="62">
        <f t="shared" si="2"/>
        <v>-3.5275947988918301</v>
      </c>
      <c r="AZ62" s="68" t="str">
        <f t="shared" si="3"/>
        <v>No</v>
      </c>
      <c r="BA62" s="68" t="str">
        <f t="shared" si="4"/>
        <v>No</v>
      </c>
    </row>
    <row r="63" spans="1:53" hidden="1">
      <c r="A63" t="s">
        <v>1815</v>
      </c>
      <c r="B63" t="s">
        <v>2816</v>
      </c>
      <c r="C63">
        <v>191</v>
      </c>
      <c r="F63" t="s">
        <v>1241</v>
      </c>
      <c r="G63" t="s">
        <v>1720</v>
      </c>
      <c r="I63">
        <v>2013</v>
      </c>
      <c r="N63" t="s">
        <v>36</v>
      </c>
      <c r="P63" t="s">
        <v>60</v>
      </c>
      <c r="Q63" t="s">
        <v>900</v>
      </c>
      <c r="R63" t="s">
        <v>1742</v>
      </c>
      <c r="S63" t="s">
        <v>1769</v>
      </c>
      <c r="V63" t="s">
        <v>905</v>
      </c>
      <c r="Z63">
        <v>33</v>
      </c>
      <c r="AA63">
        <v>21</v>
      </c>
      <c r="AC63">
        <v>406</v>
      </c>
      <c r="AD63">
        <v>6.7</v>
      </c>
      <c r="AE63">
        <v>1238</v>
      </c>
      <c r="AF63">
        <v>6.7</v>
      </c>
      <c r="AG63" t="s">
        <v>3372</v>
      </c>
      <c r="AH63">
        <v>3.0927206446840994</v>
      </c>
      <c r="AI63">
        <v>6.7</v>
      </c>
      <c r="AJ63" t="s">
        <v>1811</v>
      </c>
      <c r="AK63" t="s">
        <v>770</v>
      </c>
      <c r="AM63"/>
      <c r="AN63">
        <v>63.51</v>
      </c>
      <c r="AO63">
        <v>28.493030726828621</v>
      </c>
      <c r="AP63">
        <v>14.86</v>
      </c>
      <c r="AQ63">
        <v>43.351166074282247</v>
      </c>
      <c r="AS63">
        <v>-1.4530000000000001</v>
      </c>
      <c r="AT63">
        <v>0.41139999999999999</v>
      </c>
      <c r="AW63" s="28">
        <f t="shared" si="0"/>
        <v>-1.3914669293980355</v>
      </c>
      <c r="AX63">
        <f t="shared" si="1"/>
        <v>0.98550724637681164</v>
      </c>
      <c r="AY63" s="62">
        <f t="shared" si="2"/>
        <v>-1.3713007420154553</v>
      </c>
      <c r="AZ63" s="68" t="str">
        <f t="shared" si="3"/>
        <v>No</v>
      </c>
      <c r="BA63" s="68" t="str">
        <f t="shared" si="4"/>
        <v>No</v>
      </c>
    </row>
    <row r="64" spans="1:53" hidden="1">
      <c r="A64" t="s">
        <v>1815</v>
      </c>
      <c r="B64" t="s">
        <v>2819</v>
      </c>
      <c r="C64">
        <v>191</v>
      </c>
      <c r="F64" t="s">
        <v>1241</v>
      </c>
      <c r="G64" t="s">
        <v>1720</v>
      </c>
      <c r="I64">
        <v>2013</v>
      </c>
      <c r="N64" t="s">
        <v>36</v>
      </c>
      <c r="P64" t="s">
        <v>60</v>
      </c>
      <c r="Q64" t="s">
        <v>900</v>
      </c>
      <c r="R64" t="s">
        <v>1742</v>
      </c>
      <c r="S64" t="s">
        <v>1769</v>
      </c>
      <c r="V64" t="s">
        <v>905</v>
      </c>
      <c r="Z64">
        <v>74</v>
      </c>
      <c r="AA64">
        <v>74</v>
      </c>
      <c r="AC64">
        <v>406</v>
      </c>
      <c r="AD64">
        <v>6.7</v>
      </c>
      <c r="AE64">
        <v>1238</v>
      </c>
      <c r="AF64">
        <v>6.7</v>
      </c>
      <c r="AG64" t="s">
        <v>3372</v>
      </c>
      <c r="AH64">
        <v>3.0927206446840994</v>
      </c>
      <c r="AI64">
        <v>6.7</v>
      </c>
      <c r="AJ64" t="s">
        <v>1797</v>
      </c>
      <c r="AK64" t="s">
        <v>770</v>
      </c>
      <c r="AM64"/>
      <c r="AN64">
        <v>17.82</v>
      </c>
      <c r="AO64">
        <v>9.8066508044285943</v>
      </c>
      <c r="AP64">
        <v>16.3</v>
      </c>
      <c r="AQ64">
        <v>12.215301879200529</v>
      </c>
      <c r="AS64">
        <v>-8.8999999999999996E-2</v>
      </c>
      <c r="AT64">
        <v>1.17E-2</v>
      </c>
      <c r="AW64" s="28">
        <f t="shared" si="0"/>
        <v>-0.1372257032038674</v>
      </c>
      <c r="AX64">
        <f t="shared" si="1"/>
        <v>0.99485420240137223</v>
      </c>
      <c r="AY64" s="62">
        <f t="shared" si="2"/>
        <v>-0.13651956750985092</v>
      </c>
      <c r="AZ64" s="68" t="str">
        <f t="shared" si="3"/>
        <v>No</v>
      </c>
      <c r="BA64" s="68" t="str">
        <f t="shared" si="4"/>
        <v>No</v>
      </c>
    </row>
    <row r="65" spans="1:53" hidden="1">
      <c r="A65" t="s">
        <v>1815</v>
      </c>
      <c r="B65" t="s">
        <v>2820</v>
      </c>
      <c r="C65">
        <v>191</v>
      </c>
      <c r="F65" t="s">
        <v>1241</v>
      </c>
      <c r="G65" t="s">
        <v>1720</v>
      </c>
      <c r="I65">
        <v>2013</v>
      </c>
      <c r="N65" t="s">
        <v>36</v>
      </c>
      <c r="P65" t="s">
        <v>60</v>
      </c>
      <c r="Q65" t="s">
        <v>900</v>
      </c>
      <c r="R65" t="s">
        <v>1742</v>
      </c>
      <c r="S65" t="s">
        <v>1769</v>
      </c>
      <c r="V65" t="s">
        <v>905</v>
      </c>
      <c r="Z65">
        <v>9</v>
      </c>
      <c r="AA65">
        <v>7</v>
      </c>
      <c r="AC65">
        <v>406</v>
      </c>
      <c r="AD65">
        <v>6.7</v>
      </c>
      <c r="AE65">
        <v>1238</v>
      </c>
      <c r="AF65">
        <v>6.7</v>
      </c>
      <c r="AG65" t="s">
        <v>3372</v>
      </c>
      <c r="AH65">
        <v>3.0927206446840994</v>
      </c>
      <c r="AI65">
        <v>6.7</v>
      </c>
      <c r="AJ65" t="s">
        <v>1792</v>
      </c>
      <c r="AK65" t="s">
        <v>904</v>
      </c>
      <c r="AM65"/>
      <c r="AN65">
        <v>50.09</v>
      </c>
      <c r="AO65">
        <v>6.48</v>
      </c>
      <c r="AP65">
        <v>48.28</v>
      </c>
      <c r="AQ65">
        <v>8.5986917609599196</v>
      </c>
      <c r="AS65">
        <v>-3.6999999999999998E-2</v>
      </c>
      <c r="AT65">
        <v>6.4000000000000003E-3</v>
      </c>
      <c r="AW65" s="28">
        <f t="shared" si="0"/>
        <v>-0.24256107358888818</v>
      </c>
      <c r="AX65">
        <f t="shared" si="1"/>
        <v>0.94545454545454544</v>
      </c>
      <c r="AY65" s="62">
        <f t="shared" si="2"/>
        <v>-0.22933046957494882</v>
      </c>
      <c r="AZ65" s="68" t="str">
        <f t="shared" si="3"/>
        <v>No</v>
      </c>
      <c r="BA65" s="68" t="str">
        <f t="shared" si="4"/>
        <v>No</v>
      </c>
    </row>
    <row r="66" spans="1:53" hidden="1">
      <c r="A66" t="s">
        <v>1815</v>
      </c>
      <c r="B66" t="s">
        <v>2823</v>
      </c>
      <c r="C66">
        <v>191</v>
      </c>
      <c r="F66" t="s">
        <v>1241</v>
      </c>
      <c r="G66" t="s">
        <v>1720</v>
      </c>
      <c r="I66">
        <v>2013</v>
      </c>
      <c r="N66" t="s">
        <v>36</v>
      </c>
      <c r="P66" t="s">
        <v>60</v>
      </c>
      <c r="Q66" t="s">
        <v>900</v>
      </c>
      <c r="R66" t="s">
        <v>1742</v>
      </c>
      <c r="S66" t="s">
        <v>1769</v>
      </c>
      <c r="V66" t="s">
        <v>905</v>
      </c>
      <c r="Z66">
        <v>23</v>
      </c>
      <c r="AA66">
        <v>23</v>
      </c>
      <c r="AC66">
        <v>406</v>
      </c>
      <c r="AD66">
        <v>6.7</v>
      </c>
      <c r="AE66">
        <v>1238</v>
      </c>
      <c r="AF66">
        <v>6.7</v>
      </c>
      <c r="AG66" t="s">
        <v>3372</v>
      </c>
      <c r="AH66">
        <v>3.0927206446840994</v>
      </c>
      <c r="AI66">
        <v>6.7</v>
      </c>
      <c r="AJ66" t="s">
        <v>1812</v>
      </c>
      <c r="AK66" t="s">
        <v>59</v>
      </c>
      <c r="AM66"/>
      <c r="AN66">
        <v>98.74</v>
      </c>
      <c r="AO66">
        <v>4.4601233166808294</v>
      </c>
      <c r="AP66">
        <v>98.7</v>
      </c>
      <c r="AQ66">
        <v>1.4387494569938157</v>
      </c>
      <c r="AS66">
        <v>0</v>
      </c>
      <c r="AT66">
        <v>1E-4</v>
      </c>
      <c r="AW66" s="28">
        <f t="shared" ref="AW66:AW129" si="5">(AP66-$AN66)/SQRT(((AA66-1)*AQ66*AQ66+($Z66-1)*$AO66*$AO66)/(AA66+$Z66-2))</f>
        <v>-1.2070690777811697E-2</v>
      </c>
      <c r="AX66">
        <f t="shared" ref="AX66:AX129" si="6">1-(3/(4*(AA66+$Z66-2)-1))</f>
        <v>0.98285714285714287</v>
      </c>
      <c r="AY66" s="62">
        <f t="shared" ref="AY66:AY129" si="7">AX66*AW66</f>
        <v>-1.1863764650192069E-2</v>
      </c>
      <c r="AZ66" s="68" t="str">
        <f t="shared" ref="AZ66:AZ129" si="8">IF(AY66&gt;10,"Yes","No")</f>
        <v>No</v>
      </c>
      <c r="BA66" s="68" t="str">
        <f t="shared" ref="BA66:BA129" si="9">IF(AY66&lt;-10,"Yes","No")</f>
        <v>No</v>
      </c>
    </row>
    <row r="67" spans="1:53" hidden="1">
      <c r="A67" t="s">
        <v>1815</v>
      </c>
      <c r="B67" t="s">
        <v>2828</v>
      </c>
      <c r="C67">
        <v>191</v>
      </c>
      <c r="F67" t="s">
        <v>1241</v>
      </c>
      <c r="G67" t="s">
        <v>1720</v>
      </c>
      <c r="I67">
        <v>2015</v>
      </c>
      <c r="N67" t="s">
        <v>36</v>
      </c>
      <c r="P67" t="s">
        <v>60</v>
      </c>
      <c r="Q67" t="s">
        <v>900</v>
      </c>
      <c r="R67" t="s">
        <v>1742</v>
      </c>
      <c r="S67" t="s">
        <v>1769</v>
      </c>
      <c r="V67" t="s">
        <v>905</v>
      </c>
      <c r="Z67">
        <v>33</v>
      </c>
      <c r="AA67">
        <v>21</v>
      </c>
      <c r="AC67">
        <v>406</v>
      </c>
      <c r="AD67">
        <v>6.7</v>
      </c>
      <c r="AE67">
        <v>1238</v>
      </c>
      <c r="AF67">
        <v>6.7</v>
      </c>
      <c r="AG67" t="s">
        <v>3372</v>
      </c>
      <c r="AH67">
        <v>3.0927206446840994</v>
      </c>
      <c r="AI67">
        <v>6.7</v>
      </c>
      <c r="AJ67" t="s">
        <v>1788</v>
      </c>
      <c r="AK67" t="s">
        <v>1279</v>
      </c>
      <c r="AM67"/>
      <c r="AN67">
        <v>2.78</v>
      </c>
      <c r="AO67">
        <v>1.7233687939614086</v>
      </c>
      <c r="AP67">
        <v>3.25</v>
      </c>
      <c r="AQ67">
        <v>1.3747727084867518</v>
      </c>
      <c r="AS67">
        <v>0.156</v>
      </c>
      <c r="AT67">
        <v>2.0199999999999999E-2</v>
      </c>
      <c r="AW67" s="28">
        <f t="shared" si="5"/>
        <v>0.29405941999399154</v>
      </c>
      <c r="AX67">
        <f t="shared" si="6"/>
        <v>0.98550724637681164</v>
      </c>
      <c r="AY67" s="62">
        <f t="shared" si="7"/>
        <v>0.28979768926944094</v>
      </c>
      <c r="AZ67" s="68" t="str">
        <f t="shared" si="8"/>
        <v>No</v>
      </c>
      <c r="BA67" s="68" t="str">
        <f t="shared" si="9"/>
        <v>No</v>
      </c>
    </row>
    <row r="68" spans="1:53" hidden="1">
      <c r="A68" t="s">
        <v>1815</v>
      </c>
      <c r="B68" t="s">
        <v>2817</v>
      </c>
      <c r="C68">
        <v>191</v>
      </c>
      <c r="F68" t="s">
        <v>1241</v>
      </c>
      <c r="G68" t="s">
        <v>1720</v>
      </c>
      <c r="I68">
        <v>2013</v>
      </c>
      <c r="N68" t="s">
        <v>36</v>
      </c>
      <c r="P68" t="s">
        <v>60</v>
      </c>
      <c r="Q68" t="s">
        <v>900</v>
      </c>
      <c r="R68" t="s">
        <v>1742</v>
      </c>
      <c r="S68" t="s">
        <v>1769</v>
      </c>
      <c r="V68" t="s">
        <v>907</v>
      </c>
      <c r="Z68">
        <v>74</v>
      </c>
      <c r="AA68">
        <v>74</v>
      </c>
      <c r="AC68">
        <v>406</v>
      </c>
      <c r="AD68">
        <v>6.7</v>
      </c>
      <c r="AE68">
        <v>443</v>
      </c>
      <c r="AF68">
        <v>9.5</v>
      </c>
      <c r="AG68" t="s">
        <v>3372</v>
      </c>
      <c r="AH68">
        <v>2.6464037262230695</v>
      </c>
      <c r="AI68">
        <v>6.7</v>
      </c>
      <c r="AJ68" t="s">
        <v>1797</v>
      </c>
      <c r="AK68" t="s">
        <v>770</v>
      </c>
      <c r="AM68"/>
      <c r="AN68">
        <v>17.82</v>
      </c>
      <c r="AO68">
        <v>9.8066508044285943</v>
      </c>
      <c r="AP68">
        <v>14.5</v>
      </c>
      <c r="AQ68">
        <v>8.1722090036904955</v>
      </c>
      <c r="AS68">
        <v>-0.20599999999999999</v>
      </c>
      <c r="AT68">
        <v>8.3999999999999995E-3</v>
      </c>
      <c r="AW68" s="28">
        <f t="shared" si="5"/>
        <v>-0.36780590991422629</v>
      </c>
      <c r="AX68">
        <f t="shared" si="6"/>
        <v>0.99485420240137223</v>
      </c>
      <c r="AY68" s="62">
        <f t="shared" si="7"/>
        <v>-0.36591325514622858</v>
      </c>
      <c r="AZ68" s="68" t="str">
        <f t="shared" si="8"/>
        <v>No</v>
      </c>
      <c r="BA68" s="68" t="str">
        <f t="shared" si="9"/>
        <v>No</v>
      </c>
    </row>
    <row r="69" spans="1:53" hidden="1">
      <c r="A69" t="s">
        <v>1815</v>
      </c>
      <c r="B69" t="s">
        <v>2822</v>
      </c>
      <c r="C69">
        <v>191</v>
      </c>
      <c r="F69" t="s">
        <v>1241</v>
      </c>
      <c r="G69" t="s">
        <v>1720</v>
      </c>
      <c r="I69">
        <v>2013</v>
      </c>
      <c r="N69" t="s">
        <v>36</v>
      </c>
      <c r="P69" t="s">
        <v>60</v>
      </c>
      <c r="Q69" t="s">
        <v>900</v>
      </c>
      <c r="R69" t="s">
        <v>1742</v>
      </c>
      <c r="S69" t="s">
        <v>1769</v>
      </c>
      <c r="V69" t="s">
        <v>907</v>
      </c>
      <c r="Z69">
        <v>23</v>
      </c>
      <c r="AA69">
        <v>23</v>
      </c>
      <c r="AC69">
        <v>406</v>
      </c>
      <c r="AD69">
        <v>6.7</v>
      </c>
      <c r="AE69">
        <v>443</v>
      </c>
      <c r="AF69">
        <v>9.5</v>
      </c>
      <c r="AG69" t="s">
        <v>3372</v>
      </c>
      <c r="AH69">
        <v>2.6464037262230695</v>
      </c>
      <c r="AI69">
        <v>6.7</v>
      </c>
      <c r="AJ69" t="s">
        <v>1812</v>
      </c>
      <c r="AK69" t="s">
        <v>59</v>
      </c>
      <c r="AM69"/>
      <c r="AN69">
        <v>98.74</v>
      </c>
      <c r="AO69">
        <v>4.4601233166808294</v>
      </c>
      <c r="AP69">
        <v>97</v>
      </c>
      <c r="AQ69">
        <v>4.6519565776133378</v>
      </c>
      <c r="AS69">
        <v>-1.7999999999999999E-2</v>
      </c>
      <c r="AT69">
        <v>2.0000000000000001E-4</v>
      </c>
      <c r="AW69" s="28">
        <f t="shared" si="5"/>
        <v>-0.38182600520215698</v>
      </c>
      <c r="AX69">
        <f t="shared" si="6"/>
        <v>0.98285714285714287</v>
      </c>
      <c r="AY69" s="62">
        <f t="shared" si="7"/>
        <v>-0.37528041654154859</v>
      </c>
      <c r="AZ69" s="68" t="str">
        <f t="shared" si="8"/>
        <v>No</v>
      </c>
      <c r="BA69" s="68" t="str">
        <f t="shared" si="9"/>
        <v>No</v>
      </c>
    </row>
    <row r="70" spans="1:53" hidden="1">
      <c r="A70" t="s">
        <v>1815</v>
      </c>
      <c r="B70" t="s">
        <v>2826</v>
      </c>
      <c r="C70">
        <v>191</v>
      </c>
      <c r="F70" t="s">
        <v>1241</v>
      </c>
      <c r="G70" t="s">
        <v>1720</v>
      </c>
      <c r="I70">
        <v>2015</v>
      </c>
      <c r="N70" t="s">
        <v>36</v>
      </c>
      <c r="P70" t="s">
        <v>60</v>
      </c>
      <c r="Q70" t="s">
        <v>900</v>
      </c>
      <c r="R70" t="s">
        <v>1742</v>
      </c>
      <c r="S70" t="s">
        <v>1769</v>
      </c>
      <c r="V70" t="s">
        <v>907</v>
      </c>
      <c r="Z70">
        <v>33</v>
      </c>
      <c r="AA70">
        <v>27</v>
      </c>
      <c r="AC70">
        <v>406</v>
      </c>
      <c r="AD70">
        <v>6.7</v>
      </c>
      <c r="AE70">
        <v>443</v>
      </c>
      <c r="AF70">
        <v>9.5</v>
      </c>
      <c r="AG70" t="s">
        <v>3372</v>
      </c>
      <c r="AH70">
        <v>2.6464037262230695</v>
      </c>
      <c r="AI70">
        <v>6.7</v>
      </c>
      <c r="AJ70" t="s">
        <v>1811</v>
      </c>
      <c r="AK70" t="s">
        <v>770</v>
      </c>
      <c r="AM70"/>
      <c r="AN70">
        <v>63.51</v>
      </c>
      <c r="AO70">
        <v>28.493030726828621</v>
      </c>
      <c r="AP70">
        <v>72.92</v>
      </c>
      <c r="AQ70">
        <v>25.98076211353316</v>
      </c>
      <c r="AS70">
        <v>0.13800000000000001</v>
      </c>
      <c r="AT70">
        <v>1.0800000000000001E-2</v>
      </c>
      <c r="AW70" s="28">
        <f t="shared" si="5"/>
        <v>0.34348899748421691</v>
      </c>
      <c r="AX70">
        <f t="shared" si="6"/>
        <v>0.98701298701298701</v>
      </c>
      <c r="AY70" s="62">
        <f t="shared" si="7"/>
        <v>0.33902810141299333</v>
      </c>
      <c r="AZ70" s="68" t="str">
        <f t="shared" si="8"/>
        <v>No</v>
      </c>
      <c r="BA70" s="68" t="str">
        <f t="shared" si="9"/>
        <v>No</v>
      </c>
    </row>
    <row r="71" spans="1:53" hidden="1">
      <c r="A71" t="s">
        <v>1815</v>
      </c>
      <c r="B71" t="s">
        <v>2827</v>
      </c>
      <c r="C71">
        <v>191</v>
      </c>
      <c r="F71" t="s">
        <v>1241</v>
      </c>
      <c r="G71" t="s">
        <v>1720</v>
      </c>
      <c r="I71">
        <v>2015</v>
      </c>
      <c r="N71" t="s">
        <v>36</v>
      </c>
      <c r="P71" t="s">
        <v>60</v>
      </c>
      <c r="Q71" t="s">
        <v>900</v>
      </c>
      <c r="R71" t="s">
        <v>1742</v>
      </c>
      <c r="S71" t="s">
        <v>1769</v>
      </c>
      <c r="V71" t="s">
        <v>907</v>
      </c>
      <c r="Z71">
        <v>9</v>
      </c>
      <c r="AA71">
        <v>9</v>
      </c>
      <c r="AC71">
        <v>406</v>
      </c>
      <c r="AD71">
        <v>6.7</v>
      </c>
      <c r="AE71">
        <v>443</v>
      </c>
      <c r="AF71">
        <v>9.5</v>
      </c>
      <c r="AG71" t="s">
        <v>3372</v>
      </c>
      <c r="AH71">
        <v>2.6464037262230695</v>
      </c>
      <c r="AI71">
        <v>6.7</v>
      </c>
      <c r="AJ71" t="s">
        <v>1792</v>
      </c>
      <c r="AK71" t="s">
        <v>904</v>
      </c>
      <c r="AM71"/>
      <c r="AN71">
        <v>50.09</v>
      </c>
      <c r="AO71">
        <v>6.48</v>
      </c>
      <c r="AP71">
        <v>58.37</v>
      </c>
      <c r="AQ71">
        <v>12.99</v>
      </c>
      <c r="AS71">
        <v>0.153</v>
      </c>
      <c r="AT71">
        <v>7.4000000000000003E-3</v>
      </c>
      <c r="AW71" s="28">
        <f t="shared" si="5"/>
        <v>0.8066434948713288</v>
      </c>
      <c r="AX71">
        <f t="shared" si="6"/>
        <v>0.95238095238095233</v>
      </c>
      <c r="AY71" s="62">
        <f t="shared" si="7"/>
        <v>0.76823189987745599</v>
      </c>
      <c r="AZ71" s="68" t="str">
        <f t="shared" si="8"/>
        <v>No</v>
      </c>
      <c r="BA71" s="68" t="str">
        <f t="shared" si="9"/>
        <v>No</v>
      </c>
    </row>
    <row r="72" spans="1:53" hidden="1">
      <c r="A72" t="s">
        <v>1815</v>
      </c>
      <c r="B72" t="s">
        <v>2829</v>
      </c>
      <c r="C72">
        <v>191</v>
      </c>
      <c r="F72" t="s">
        <v>1241</v>
      </c>
      <c r="G72" t="s">
        <v>1720</v>
      </c>
      <c r="I72">
        <v>2015</v>
      </c>
      <c r="N72" t="s">
        <v>36</v>
      </c>
      <c r="P72" t="s">
        <v>60</v>
      </c>
      <c r="Q72" t="s">
        <v>900</v>
      </c>
      <c r="R72" t="s">
        <v>1742</v>
      </c>
      <c r="S72" t="s">
        <v>1769</v>
      </c>
      <c r="V72" t="s">
        <v>907</v>
      </c>
      <c r="Z72">
        <v>33</v>
      </c>
      <c r="AA72">
        <v>27</v>
      </c>
      <c r="AC72">
        <v>406</v>
      </c>
      <c r="AD72">
        <v>6.7</v>
      </c>
      <c r="AE72">
        <v>443</v>
      </c>
      <c r="AF72">
        <v>9.5</v>
      </c>
      <c r="AG72" t="s">
        <v>3372</v>
      </c>
      <c r="AH72">
        <v>2.6464037262230695</v>
      </c>
      <c r="AI72">
        <v>6.7</v>
      </c>
      <c r="AJ72" t="s">
        <v>1788</v>
      </c>
      <c r="AK72" t="s">
        <v>1279</v>
      </c>
      <c r="AM72"/>
      <c r="AN72">
        <v>2.78</v>
      </c>
      <c r="AO72">
        <v>1.7233687939614086</v>
      </c>
      <c r="AP72">
        <v>3.68</v>
      </c>
      <c r="AQ72">
        <v>1.299038105676658</v>
      </c>
      <c r="AS72">
        <v>0.28000000000000003</v>
      </c>
      <c r="AT72">
        <v>1.6299999999999999E-2</v>
      </c>
      <c r="AW72" s="28">
        <f t="shared" si="5"/>
        <v>0.58154313668469437</v>
      </c>
      <c r="AX72">
        <f t="shared" si="6"/>
        <v>0.98701298701298701</v>
      </c>
      <c r="AY72" s="62">
        <f t="shared" si="7"/>
        <v>0.57399062841606197</v>
      </c>
      <c r="AZ72" s="68" t="str">
        <f t="shared" si="8"/>
        <v>No</v>
      </c>
      <c r="BA72" s="68" t="str">
        <f t="shared" si="9"/>
        <v>No</v>
      </c>
    </row>
    <row r="73" spans="1:53" hidden="1">
      <c r="A73" t="s">
        <v>1815</v>
      </c>
      <c r="B73" t="s">
        <v>2818</v>
      </c>
      <c r="C73">
        <v>191</v>
      </c>
      <c r="F73" t="s">
        <v>1241</v>
      </c>
      <c r="G73" t="s">
        <v>1720</v>
      </c>
      <c r="I73">
        <v>2013</v>
      </c>
      <c r="N73" t="s">
        <v>36</v>
      </c>
      <c r="P73" t="s">
        <v>60</v>
      </c>
      <c r="Q73" t="s">
        <v>900</v>
      </c>
      <c r="R73" t="s">
        <v>1742</v>
      </c>
      <c r="S73" t="s">
        <v>1769</v>
      </c>
      <c r="V73" t="s">
        <v>1015</v>
      </c>
      <c r="Z73">
        <v>74</v>
      </c>
      <c r="AA73">
        <v>74</v>
      </c>
      <c r="AC73">
        <v>406</v>
      </c>
      <c r="AD73">
        <v>6.7</v>
      </c>
      <c r="AE73">
        <v>1449</v>
      </c>
      <c r="AF73">
        <v>9.5</v>
      </c>
      <c r="AG73" t="s">
        <v>3372</v>
      </c>
      <c r="AH73">
        <v>3.1610683854711747</v>
      </c>
      <c r="AI73">
        <v>6.7</v>
      </c>
      <c r="AJ73" t="s">
        <v>1797</v>
      </c>
      <c r="AK73" t="s">
        <v>770</v>
      </c>
      <c r="AM73"/>
      <c r="AN73">
        <v>17.82</v>
      </c>
      <c r="AO73">
        <v>9.8066508044285943</v>
      </c>
      <c r="AP73">
        <v>14.5</v>
      </c>
      <c r="AQ73">
        <v>8.1722090036904955</v>
      </c>
      <c r="AS73">
        <v>-0.20599999999999999</v>
      </c>
      <c r="AT73">
        <v>8.3999999999999995E-3</v>
      </c>
      <c r="AW73" s="28">
        <f t="shared" si="5"/>
        <v>-0.36780590991422629</v>
      </c>
      <c r="AX73">
        <f t="shared" si="6"/>
        <v>0.99485420240137223</v>
      </c>
      <c r="AY73" s="62">
        <f t="shared" si="7"/>
        <v>-0.36591325514622858</v>
      </c>
      <c r="AZ73" s="68" t="str">
        <f t="shared" si="8"/>
        <v>No</v>
      </c>
      <c r="BA73" s="68" t="str">
        <f t="shared" si="9"/>
        <v>No</v>
      </c>
    </row>
    <row r="74" spans="1:53" hidden="1">
      <c r="A74" t="s">
        <v>1815</v>
      </c>
      <c r="B74" t="s">
        <v>2821</v>
      </c>
      <c r="C74">
        <v>191</v>
      </c>
      <c r="F74" t="s">
        <v>1241</v>
      </c>
      <c r="G74" t="s">
        <v>1720</v>
      </c>
      <c r="I74">
        <v>2013</v>
      </c>
      <c r="N74" t="s">
        <v>36</v>
      </c>
      <c r="P74" t="s">
        <v>60</v>
      </c>
      <c r="Q74" t="s">
        <v>900</v>
      </c>
      <c r="R74" t="s">
        <v>1742</v>
      </c>
      <c r="S74" t="s">
        <v>1769</v>
      </c>
      <c r="V74" t="s">
        <v>1015</v>
      </c>
      <c r="Z74">
        <v>23</v>
      </c>
      <c r="AA74">
        <v>23</v>
      </c>
      <c r="AC74">
        <v>406</v>
      </c>
      <c r="AD74">
        <v>6.7</v>
      </c>
      <c r="AE74">
        <v>1449</v>
      </c>
      <c r="AF74">
        <v>9.5</v>
      </c>
      <c r="AG74" t="s">
        <v>3372</v>
      </c>
      <c r="AH74">
        <v>3.1610683854711747</v>
      </c>
      <c r="AI74">
        <v>6.7</v>
      </c>
      <c r="AJ74" t="s">
        <v>1812</v>
      </c>
      <c r="AK74" t="s">
        <v>59</v>
      </c>
      <c r="AM74"/>
      <c r="AN74">
        <v>98.74</v>
      </c>
      <c r="AO74">
        <v>4.4601233166808294</v>
      </c>
      <c r="AP74">
        <v>95.2</v>
      </c>
      <c r="AQ74">
        <v>4.7958315233127191</v>
      </c>
      <c r="AS74">
        <v>-3.6999999999999998E-2</v>
      </c>
      <c r="AT74">
        <v>2.0000000000000001E-4</v>
      </c>
      <c r="AW74" s="28">
        <f t="shared" si="5"/>
        <v>-0.76441036525742745</v>
      </c>
      <c r="AX74">
        <f t="shared" si="6"/>
        <v>0.98285714285714287</v>
      </c>
      <c r="AY74" s="62">
        <f t="shared" si="7"/>
        <v>-0.75130618756730017</v>
      </c>
      <c r="AZ74" s="68" t="str">
        <f t="shared" si="8"/>
        <v>No</v>
      </c>
      <c r="BA74" s="68" t="str">
        <f t="shared" si="9"/>
        <v>No</v>
      </c>
    </row>
    <row r="75" spans="1:53" hidden="1">
      <c r="A75" t="s">
        <v>1815</v>
      </c>
      <c r="B75" t="s">
        <v>2824</v>
      </c>
      <c r="C75">
        <v>191</v>
      </c>
      <c r="F75" t="s">
        <v>1241</v>
      </c>
      <c r="G75" t="s">
        <v>1720</v>
      </c>
      <c r="I75">
        <v>2013</v>
      </c>
      <c r="N75" t="s">
        <v>36</v>
      </c>
      <c r="P75" t="s">
        <v>60</v>
      </c>
      <c r="Q75" t="s">
        <v>900</v>
      </c>
      <c r="R75" t="s">
        <v>1742</v>
      </c>
      <c r="S75" t="s">
        <v>1769</v>
      </c>
      <c r="V75" t="s">
        <v>1015</v>
      </c>
      <c r="Z75">
        <v>33</v>
      </c>
      <c r="AA75">
        <v>24</v>
      </c>
      <c r="AC75">
        <v>406</v>
      </c>
      <c r="AD75">
        <v>6.7</v>
      </c>
      <c r="AE75">
        <v>1449</v>
      </c>
      <c r="AF75">
        <v>9.5</v>
      </c>
      <c r="AG75" t="s">
        <v>3372</v>
      </c>
      <c r="AH75">
        <v>3.1610683854711747</v>
      </c>
      <c r="AI75">
        <v>6.7</v>
      </c>
      <c r="AJ75" t="s">
        <v>1811</v>
      </c>
      <c r="AK75" t="s">
        <v>770</v>
      </c>
      <c r="AM75"/>
      <c r="AN75">
        <v>63.51</v>
      </c>
      <c r="AO75">
        <v>28.493030726828621</v>
      </c>
      <c r="AP75">
        <v>63.96</v>
      </c>
      <c r="AQ75">
        <v>48.548886701962587</v>
      </c>
      <c r="AS75">
        <v>7.0000000000000001E-3</v>
      </c>
      <c r="AT75">
        <v>3.0099999999999998E-2</v>
      </c>
      <c r="AW75" s="28">
        <f t="shared" si="5"/>
        <v>1.1785101203817995E-2</v>
      </c>
      <c r="AX75">
        <f t="shared" si="6"/>
        <v>0.98630136986301364</v>
      </c>
      <c r="AY75" s="62">
        <f t="shared" si="7"/>
        <v>1.162366146129994E-2</v>
      </c>
      <c r="AZ75" s="68" t="str">
        <f t="shared" si="8"/>
        <v>No</v>
      </c>
      <c r="BA75" s="68" t="str">
        <f t="shared" si="9"/>
        <v>No</v>
      </c>
    </row>
    <row r="76" spans="1:53" hidden="1">
      <c r="A76" t="s">
        <v>1815</v>
      </c>
      <c r="B76" t="s">
        <v>2825</v>
      </c>
      <c r="C76">
        <v>191</v>
      </c>
      <c r="F76" t="s">
        <v>1241</v>
      </c>
      <c r="G76" t="s">
        <v>1720</v>
      </c>
      <c r="I76">
        <v>2013</v>
      </c>
      <c r="N76" t="s">
        <v>36</v>
      </c>
      <c r="P76" t="s">
        <v>60</v>
      </c>
      <c r="Q76" t="s">
        <v>900</v>
      </c>
      <c r="R76" t="s">
        <v>1742</v>
      </c>
      <c r="S76" t="s">
        <v>1769</v>
      </c>
      <c r="V76" t="s">
        <v>1015</v>
      </c>
      <c r="Z76">
        <v>9</v>
      </c>
      <c r="AA76">
        <v>7</v>
      </c>
      <c r="AC76">
        <v>406</v>
      </c>
      <c r="AD76">
        <v>6.7</v>
      </c>
      <c r="AE76">
        <v>1449</v>
      </c>
      <c r="AF76">
        <v>9.5</v>
      </c>
      <c r="AG76" t="s">
        <v>3372</v>
      </c>
      <c r="AH76">
        <v>3.1610683854711747</v>
      </c>
      <c r="AI76">
        <v>6.7</v>
      </c>
      <c r="AJ76" t="s">
        <v>1792</v>
      </c>
      <c r="AK76" t="s">
        <v>904</v>
      </c>
      <c r="AM76"/>
      <c r="AN76">
        <v>50.09</v>
      </c>
      <c r="AO76">
        <v>6.48</v>
      </c>
      <c r="AP76">
        <v>55.85</v>
      </c>
      <c r="AQ76">
        <v>16.059710458162066</v>
      </c>
      <c r="AS76">
        <v>0.109</v>
      </c>
      <c r="AT76">
        <v>1.37E-2</v>
      </c>
      <c r="AW76" s="28">
        <f t="shared" si="5"/>
        <v>0.49660853642638109</v>
      </c>
      <c r="AX76">
        <f t="shared" si="6"/>
        <v>0.94545454545454544</v>
      </c>
      <c r="AY76" s="62">
        <f t="shared" si="7"/>
        <v>0.46952079807585118</v>
      </c>
      <c r="AZ76" s="68" t="str">
        <f t="shared" si="8"/>
        <v>No</v>
      </c>
      <c r="BA76" s="68" t="str">
        <f t="shared" si="9"/>
        <v>No</v>
      </c>
    </row>
    <row r="77" spans="1:53" hidden="1">
      <c r="A77" t="s">
        <v>1815</v>
      </c>
      <c r="B77" t="s">
        <v>2830</v>
      </c>
      <c r="C77">
        <v>191</v>
      </c>
      <c r="F77" t="s">
        <v>1241</v>
      </c>
      <c r="G77" t="s">
        <v>1720</v>
      </c>
      <c r="I77">
        <v>2015</v>
      </c>
      <c r="N77" t="s">
        <v>36</v>
      </c>
      <c r="P77" t="s">
        <v>60</v>
      </c>
      <c r="Q77" t="s">
        <v>900</v>
      </c>
      <c r="R77" t="s">
        <v>1742</v>
      </c>
      <c r="S77" t="s">
        <v>1769</v>
      </c>
      <c r="V77" t="s">
        <v>1015</v>
      </c>
      <c r="Z77">
        <v>33</v>
      </c>
      <c r="AA77">
        <v>24</v>
      </c>
      <c r="AC77">
        <v>406</v>
      </c>
      <c r="AD77">
        <v>6.7</v>
      </c>
      <c r="AE77">
        <v>1449</v>
      </c>
      <c r="AF77">
        <v>9.5</v>
      </c>
      <c r="AG77" t="s">
        <v>3372</v>
      </c>
      <c r="AH77">
        <v>3.1610683854711747</v>
      </c>
      <c r="AI77">
        <v>6.7</v>
      </c>
      <c r="AJ77" t="s">
        <v>1788</v>
      </c>
      <c r="AK77" t="s">
        <v>1279</v>
      </c>
      <c r="AM77"/>
      <c r="AN77">
        <v>2.78</v>
      </c>
      <c r="AO77">
        <v>1.7233687939614086</v>
      </c>
      <c r="AP77">
        <v>4.0599999999999996</v>
      </c>
      <c r="AQ77">
        <v>4.2621121524427297</v>
      </c>
      <c r="AS77">
        <v>0.379</v>
      </c>
      <c r="AT77">
        <v>5.7599999999999998E-2</v>
      </c>
      <c r="AW77" s="28">
        <f t="shared" si="5"/>
        <v>0.41917622536073268</v>
      </c>
      <c r="AX77">
        <f t="shared" si="6"/>
        <v>0.98630136986301364</v>
      </c>
      <c r="AY77" s="62">
        <f t="shared" si="7"/>
        <v>0.41343408528729797</v>
      </c>
      <c r="AZ77" s="68" t="str">
        <f t="shared" si="8"/>
        <v>No</v>
      </c>
      <c r="BA77" s="68" t="str">
        <f t="shared" si="9"/>
        <v>No</v>
      </c>
    </row>
    <row r="78" spans="1:53" hidden="1">
      <c r="A78" t="s">
        <v>1815</v>
      </c>
      <c r="B78" t="s">
        <v>2836</v>
      </c>
      <c r="C78">
        <v>192</v>
      </c>
      <c r="F78" t="s">
        <v>1241</v>
      </c>
      <c r="G78" t="s">
        <v>1721</v>
      </c>
      <c r="I78">
        <v>2015</v>
      </c>
      <c r="N78" t="s">
        <v>36</v>
      </c>
      <c r="P78" t="s">
        <v>60</v>
      </c>
      <c r="Q78" t="s">
        <v>900</v>
      </c>
      <c r="R78" t="s">
        <v>1742</v>
      </c>
      <c r="S78" t="s">
        <v>1770</v>
      </c>
      <c r="V78" t="s">
        <v>905</v>
      </c>
      <c r="Z78">
        <v>3</v>
      </c>
      <c r="AA78">
        <v>3</v>
      </c>
      <c r="AC78">
        <v>416</v>
      </c>
      <c r="AD78">
        <v>29.8</v>
      </c>
      <c r="AE78">
        <v>784</v>
      </c>
      <c r="AF78">
        <v>29.8</v>
      </c>
      <c r="AG78" t="s">
        <v>3373</v>
      </c>
      <c r="AH78">
        <v>2.8943160626844384</v>
      </c>
      <c r="AI78">
        <v>29.8</v>
      </c>
      <c r="AJ78" t="s">
        <v>69</v>
      </c>
      <c r="AK78" t="s">
        <v>69</v>
      </c>
      <c r="AM78"/>
      <c r="AN78">
        <v>20.170000000000002</v>
      </c>
      <c r="AO78">
        <v>7.5517415210003049</v>
      </c>
      <c r="AP78">
        <v>34.03</v>
      </c>
      <c r="AQ78">
        <v>6.3046649395507135</v>
      </c>
      <c r="AS78">
        <v>-0.191</v>
      </c>
      <c r="AT78">
        <v>6.0000000000000001E-3</v>
      </c>
      <c r="AW78" s="28">
        <f t="shared" si="5"/>
        <v>1.9924654724394115</v>
      </c>
      <c r="AX78">
        <f t="shared" si="6"/>
        <v>0.8</v>
      </c>
      <c r="AY78" s="62">
        <f t="shared" si="7"/>
        <v>1.5939723779515294</v>
      </c>
      <c r="AZ78" s="68" t="str">
        <f t="shared" si="8"/>
        <v>No</v>
      </c>
      <c r="BA78" s="68" t="str">
        <f t="shared" si="9"/>
        <v>No</v>
      </c>
    </row>
    <row r="79" spans="1:53" hidden="1">
      <c r="A79" t="s">
        <v>1815</v>
      </c>
      <c r="B79" t="s">
        <v>2839</v>
      </c>
      <c r="C79">
        <v>192</v>
      </c>
      <c r="F79" t="s">
        <v>1241</v>
      </c>
      <c r="G79" t="s">
        <v>1721</v>
      </c>
      <c r="I79">
        <v>2015</v>
      </c>
      <c r="N79" t="s">
        <v>36</v>
      </c>
      <c r="P79" t="s">
        <v>60</v>
      </c>
      <c r="Q79" t="s">
        <v>900</v>
      </c>
      <c r="R79" t="s">
        <v>1742</v>
      </c>
      <c r="S79" t="s">
        <v>1770</v>
      </c>
      <c r="V79" t="s">
        <v>905</v>
      </c>
      <c r="Z79">
        <v>3</v>
      </c>
      <c r="AA79">
        <v>3</v>
      </c>
      <c r="AC79">
        <v>416</v>
      </c>
      <c r="AD79">
        <v>29.8</v>
      </c>
      <c r="AE79">
        <v>784</v>
      </c>
      <c r="AF79">
        <v>29.8</v>
      </c>
      <c r="AG79" t="s">
        <v>3373</v>
      </c>
      <c r="AH79">
        <v>2.8943160626844384</v>
      </c>
      <c r="AI79">
        <v>29.8</v>
      </c>
      <c r="AJ79" t="s">
        <v>1202</v>
      </c>
      <c r="AK79" t="s">
        <v>770</v>
      </c>
      <c r="AM79"/>
      <c r="AN79">
        <v>54.85</v>
      </c>
      <c r="AO79">
        <v>6.3046649395507135</v>
      </c>
      <c r="AP79">
        <v>50.65</v>
      </c>
      <c r="AQ79">
        <v>11.015843136138059</v>
      </c>
      <c r="AS79">
        <v>-0.08</v>
      </c>
      <c r="AT79">
        <v>2.0199999999999999E-2</v>
      </c>
      <c r="AW79" s="28">
        <f t="shared" si="5"/>
        <v>-0.46797187516241945</v>
      </c>
      <c r="AX79">
        <f t="shared" si="6"/>
        <v>0.8</v>
      </c>
      <c r="AY79" s="62">
        <f t="shared" si="7"/>
        <v>-0.37437750012993559</v>
      </c>
      <c r="AZ79" s="68" t="str">
        <f t="shared" si="8"/>
        <v>No</v>
      </c>
      <c r="BA79" s="68" t="str">
        <f t="shared" si="9"/>
        <v>No</v>
      </c>
    </row>
    <row r="80" spans="1:53" hidden="1">
      <c r="A80" t="s">
        <v>1815</v>
      </c>
      <c r="B80" t="s">
        <v>2842</v>
      </c>
      <c r="C80">
        <v>192</v>
      </c>
      <c r="F80" t="s">
        <v>1241</v>
      </c>
      <c r="G80" t="s">
        <v>1721</v>
      </c>
      <c r="I80">
        <v>2014</v>
      </c>
      <c r="N80" t="s">
        <v>36</v>
      </c>
      <c r="P80" t="s">
        <v>60</v>
      </c>
      <c r="Q80" t="s">
        <v>900</v>
      </c>
      <c r="R80" t="s">
        <v>1742</v>
      </c>
      <c r="S80" t="s">
        <v>1770</v>
      </c>
      <c r="V80" t="s">
        <v>905</v>
      </c>
      <c r="Z80">
        <v>3</v>
      </c>
      <c r="AA80">
        <v>3</v>
      </c>
      <c r="AC80">
        <v>416</v>
      </c>
      <c r="AD80">
        <v>29.8</v>
      </c>
      <c r="AE80">
        <v>784</v>
      </c>
      <c r="AF80">
        <v>29.8</v>
      </c>
      <c r="AG80" t="s">
        <v>3373</v>
      </c>
      <c r="AH80">
        <v>2.8943160626844384</v>
      </c>
      <c r="AI80">
        <v>29.8</v>
      </c>
      <c r="AJ80" t="s">
        <v>1205</v>
      </c>
      <c r="AK80" t="s">
        <v>40</v>
      </c>
      <c r="AM80"/>
      <c r="AN80">
        <v>490.45</v>
      </c>
      <c r="AO80">
        <v>8.4177669247847433</v>
      </c>
      <c r="AP80">
        <v>471.91</v>
      </c>
      <c r="AQ80">
        <v>15.172765074303364</v>
      </c>
      <c r="AS80">
        <v>-3.9E-2</v>
      </c>
      <c r="AT80">
        <v>4.0000000000000002E-4</v>
      </c>
      <c r="AW80" s="28">
        <f t="shared" si="5"/>
        <v>-1.5110882631389526</v>
      </c>
      <c r="AX80">
        <f t="shared" si="6"/>
        <v>0.8</v>
      </c>
      <c r="AY80" s="62">
        <f t="shared" si="7"/>
        <v>-1.2088706105111622</v>
      </c>
      <c r="AZ80" s="68" t="str">
        <f t="shared" si="8"/>
        <v>No</v>
      </c>
      <c r="BA80" s="68" t="str">
        <f t="shared" si="9"/>
        <v>No</v>
      </c>
    </row>
    <row r="81" spans="1:53" hidden="1">
      <c r="A81" t="s">
        <v>1815</v>
      </c>
      <c r="B81" t="s">
        <v>2843</v>
      </c>
      <c r="C81">
        <v>192</v>
      </c>
      <c r="F81" t="s">
        <v>1241</v>
      </c>
      <c r="G81" t="s">
        <v>1721</v>
      </c>
      <c r="I81">
        <v>2014</v>
      </c>
      <c r="N81" t="s">
        <v>36</v>
      </c>
      <c r="P81" t="s">
        <v>60</v>
      </c>
      <c r="Q81" t="s">
        <v>900</v>
      </c>
      <c r="R81" t="s">
        <v>1742</v>
      </c>
      <c r="S81" t="s">
        <v>1770</v>
      </c>
      <c r="V81" t="s">
        <v>905</v>
      </c>
      <c r="Z81">
        <v>3</v>
      </c>
      <c r="AA81">
        <v>3</v>
      </c>
      <c r="AC81">
        <v>416</v>
      </c>
      <c r="AD81">
        <v>29.8</v>
      </c>
      <c r="AE81">
        <v>784</v>
      </c>
      <c r="AF81">
        <v>29.8</v>
      </c>
      <c r="AG81" t="s">
        <v>3373</v>
      </c>
      <c r="AH81">
        <v>2.8943160626844384</v>
      </c>
      <c r="AI81">
        <v>29.8</v>
      </c>
      <c r="AJ81" t="s">
        <v>1793</v>
      </c>
      <c r="AK81" t="s">
        <v>904</v>
      </c>
      <c r="AM81"/>
      <c r="AN81">
        <v>1.27</v>
      </c>
      <c r="AO81">
        <v>3.4641016151377546E-2</v>
      </c>
      <c r="AP81">
        <v>1.23</v>
      </c>
      <c r="AQ81">
        <v>6.9282032302755092E-2</v>
      </c>
      <c r="AS81">
        <v>-3.2000000000000001E-2</v>
      </c>
      <c r="AT81">
        <v>1.2999999999999999E-3</v>
      </c>
      <c r="AW81" s="28">
        <f t="shared" si="5"/>
        <v>-0.7302967433402221</v>
      </c>
      <c r="AX81">
        <f t="shared" si="6"/>
        <v>0.8</v>
      </c>
      <c r="AY81" s="62">
        <f t="shared" si="7"/>
        <v>-0.58423739467217772</v>
      </c>
      <c r="AZ81" s="68" t="str">
        <f t="shared" si="8"/>
        <v>No</v>
      </c>
      <c r="BA81" s="68" t="str">
        <f t="shared" si="9"/>
        <v>No</v>
      </c>
    </row>
    <row r="82" spans="1:53" hidden="1">
      <c r="A82" t="s">
        <v>1815</v>
      </c>
      <c r="B82" t="s">
        <v>2845</v>
      </c>
      <c r="C82">
        <v>192</v>
      </c>
      <c r="F82" t="s">
        <v>1241</v>
      </c>
      <c r="G82" t="s">
        <v>1721</v>
      </c>
      <c r="I82">
        <v>2014</v>
      </c>
      <c r="N82" t="s">
        <v>36</v>
      </c>
      <c r="P82" t="s">
        <v>60</v>
      </c>
      <c r="Q82" t="s">
        <v>900</v>
      </c>
      <c r="R82" t="s">
        <v>1742</v>
      </c>
      <c r="S82" t="s">
        <v>1770</v>
      </c>
      <c r="V82" t="s">
        <v>905</v>
      </c>
      <c r="Z82">
        <v>3</v>
      </c>
      <c r="AA82">
        <v>3</v>
      </c>
      <c r="AC82">
        <v>416</v>
      </c>
      <c r="AD82">
        <v>29.8</v>
      </c>
      <c r="AE82">
        <v>784</v>
      </c>
      <c r="AF82">
        <v>29.8</v>
      </c>
      <c r="AG82" t="s">
        <v>3373</v>
      </c>
      <c r="AH82">
        <v>2.8943160626844384</v>
      </c>
      <c r="AI82">
        <v>29.8</v>
      </c>
      <c r="AJ82" t="s">
        <v>1797</v>
      </c>
      <c r="AK82" t="s">
        <v>770</v>
      </c>
      <c r="AM82"/>
      <c r="AN82">
        <v>4.66</v>
      </c>
      <c r="AO82">
        <v>0.57157676649772948</v>
      </c>
      <c r="AP82">
        <v>4.66</v>
      </c>
      <c r="AQ82">
        <v>0.57157676649772948</v>
      </c>
      <c r="AS82">
        <v>0</v>
      </c>
      <c r="AT82">
        <v>0.01</v>
      </c>
      <c r="AW82" s="28">
        <f t="shared" si="5"/>
        <v>0</v>
      </c>
      <c r="AX82">
        <f t="shared" si="6"/>
        <v>0.8</v>
      </c>
      <c r="AY82" s="62">
        <f t="shared" si="7"/>
        <v>0</v>
      </c>
      <c r="AZ82" s="68" t="str">
        <f t="shared" si="8"/>
        <v>No</v>
      </c>
      <c r="BA82" s="68" t="str">
        <f t="shared" si="9"/>
        <v>No</v>
      </c>
    </row>
    <row r="83" spans="1:53" hidden="1">
      <c r="A83" t="s">
        <v>1815</v>
      </c>
      <c r="B83" t="s">
        <v>2832</v>
      </c>
      <c r="C83">
        <v>192</v>
      </c>
      <c r="F83" t="s">
        <v>1241</v>
      </c>
      <c r="G83" t="s">
        <v>1721</v>
      </c>
      <c r="I83">
        <v>2015</v>
      </c>
      <c r="N83" t="s">
        <v>36</v>
      </c>
      <c r="P83" t="s">
        <v>60</v>
      </c>
      <c r="Q83" t="s">
        <v>900</v>
      </c>
      <c r="R83" t="s">
        <v>1742</v>
      </c>
      <c r="S83" t="s">
        <v>1770</v>
      </c>
      <c r="V83" t="s">
        <v>907</v>
      </c>
      <c r="Z83">
        <v>3</v>
      </c>
      <c r="AA83">
        <v>3</v>
      </c>
      <c r="AC83">
        <v>416</v>
      </c>
      <c r="AD83">
        <v>29.8</v>
      </c>
      <c r="AE83">
        <v>412</v>
      </c>
      <c r="AF83">
        <v>33.9</v>
      </c>
      <c r="AG83" t="s">
        <v>3373</v>
      </c>
      <c r="AH83">
        <v>2.6148972160331345</v>
      </c>
      <c r="AI83">
        <v>29.8</v>
      </c>
      <c r="AJ83" t="s">
        <v>69</v>
      </c>
      <c r="AK83" t="s">
        <v>69</v>
      </c>
      <c r="AM83"/>
      <c r="AN83">
        <v>20.170000000000002</v>
      </c>
      <c r="AO83">
        <v>7.5517415210003049</v>
      </c>
      <c r="AP83">
        <v>59.66</v>
      </c>
      <c r="AQ83">
        <v>9.2491513124178031</v>
      </c>
      <c r="AS83">
        <v>-0.68300000000000005</v>
      </c>
      <c r="AT83">
        <v>2.0500000000000001E-2</v>
      </c>
      <c r="AW83" s="28">
        <f t="shared" si="5"/>
        <v>4.6771309305292466</v>
      </c>
      <c r="AX83">
        <f t="shared" si="6"/>
        <v>0.8</v>
      </c>
      <c r="AY83" s="62">
        <f t="shared" si="7"/>
        <v>3.7417047444233975</v>
      </c>
      <c r="AZ83" s="68" t="str">
        <f t="shared" si="8"/>
        <v>No</v>
      </c>
      <c r="BA83" s="68" t="str">
        <f t="shared" si="9"/>
        <v>No</v>
      </c>
    </row>
    <row r="84" spans="1:53" hidden="1">
      <c r="A84" t="s">
        <v>1815</v>
      </c>
      <c r="B84" t="s">
        <v>2834</v>
      </c>
      <c r="C84">
        <v>192</v>
      </c>
      <c r="F84" t="s">
        <v>1241</v>
      </c>
      <c r="G84" t="s">
        <v>1721</v>
      </c>
      <c r="I84">
        <v>2015</v>
      </c>
      <c r="N84" t="s">
        <v>36</v>
      </c>
      <c r="P84" t="s">
        <v>60</v>
      </c>
      <c r="Q84" t="s">
        <v>900</v>
      </c>
      <c r="R84" t="s">
        <v>1742</v>
      </c>
      <c r="S84" t="s">
        <v>1770</v>
      </c>
      <c r="V84" t="s">
        <v>907</v>
      </c>
      <c r="Z84">
        <v>3</v>
      </c>
      <c r="AA84">
        <v>3</v>
      </c>
      <c r="AC84">
        <v>416</v>
      </c>
      <c r="AD84">
        <v>29.8</v>
      </c>
      <c r="AE84">
        <v>412</v>
      </c>
      <c r="AF84">
        <v>33.9</v>
      </c>
      <c r="AG84" t="s">
        <v>3373</v>
      </c>
      <c r="AH84">
        <v>2.6148972160331345</v>
      </c>
      <c r="AI84">
        <v>29.8</v>
      </c>
      <c r="AJ84" t="s">
        <v>1202</v>
      </c>
      <c r="AK84" t="s">
        <v>770</v>
      </c>
      <c r="AM84"/>
      <c r="AN84">
        <v>54.85</v>
      </c>
      <c r="AO84">
        <v>6.3046649395507135</v>
      </c>
      <c r="AP84">
        <v>43.04</v>
      </c>
      <c r="AQ84">
        <v>9.1971897881907374</v>
      </c>
      <c r="AS84">
        <v>-0.24199999999999999</v>
      </c>
      <c r="AT84">
        <v>1.9599999999999999E-2</v>
      </c>
      <c r="AW84" s="28">
        <f t="shared" si="5"/>
        <v>-1.497836910657242</v>
      </c>
      <c r="AX84">
        <f t="shared" si="6"/>
        <v>0.8</v>
      </c>
      <c r="AY84" s="62">
        <f t="shared" si="7"/>
        <v>-1.1982695285257936</v>
      </c>
      <c r="AZ84" s="68" t="str">
        <f t="shared" si="8"/>
        <v>No</v>
      </c>
      <c r="BA84" s="68" t="str">
        <f t="shared" si="9"/>
        <v>No</v>
      </c>
    </row>
    <row r="85" spans="1:53" hidden="1">
      <c r="A85" t="s">
        <v>1815</v>
      </c>
      <c r="B85" t="s">
        <v>2838</v>
      </c>
      <c r="C85">
        <v>192</v>
      </c>
      <c r="F85" t="s">
        <v>1241</v>
      </c>
      <c r="G85" t="s">
        <v>1721</v>
      </c>
      <c r="I85">
        <v>2015</v>
      </c>
      <c r="N85" t="s">
        <v>36</v>
      </c>
      <c r="P85" t="s">
        <v>60</v>
      </c>
      <c r="Q85" t="s">
        <v>900</v>
      </c>
      <c r="R85" t="s">
        <v>1742</v>
      </c>
      <c r="S85" t="s">
        <v>1770</v>
      </c>
      <c r="V85" t="s">
        <v>907</v>
      </c>
      <c r="Z85">
        <v>3</v>
      </c>
      <c r="AA85">
        <v>3</v>
      </c>
      <c r="AC85">
        <v>416</v>
      </c>
      <c r="AD85">
        <v>29.8</v>
      </c>
      <c r="AE85">
        <v>412</v>
      </c>
      <c r="AF85">
        <v>33.9</v>
      </c>
      <c r="AG85" t="s">
        <v>3373</v>
      </c>
      <c r="AH85">
        <v>2.6148972160331345</v>
      </c>
      <c r="AI85">
        <v>29.8</v>
      </c>
      <c r="AJ85" t="s">
        <v>1205</v>
      </c>
      <c r="AK85" t="s">
        <v>40</v>
      </c>
      <c r="AM85"/>
      <c r="AN85">
        <v>490.45</v>
      </c>
      <c r="AO85">
        <v>8.4177669247847433</v>
      </c>
      <c r="AP85">
        <v>438.2</v>
      </c>
      <c r="AQ85">
        <v>15.172765074303364</v>
      </c>
      <c r="AS85">
        <v>-0.113</v>
      </c>
      <c r="AT85">
        <v>5.0000000000000001E-4</v>
      </c>
      <c r="AW85" s="28">
        <f t="shared" si="5"/>
        <v>-4.2585955635927961</v>
      </c>
      <c r="AX85">
        <f t="shared" si="6"/>
        <v>0.8</v>
      </c>
      <c r="AY85" s="62">
        <f t="shared" si="7"/>
        <v>-3.4068764508742371</v>
      </c>
      <c r="AZ85" s="68" t="str">
        <f t="shared" si="8"/>
        <v>No</v>
      </c>
      <c r="BA85" s="68" t="str">
        <f t="shared" si="9"/>
        <v>No</v>
      </c>
    </row>
    <row r="86" spans="1:53" hidden="1">
      <c r="A86" t="s">
        <v>1815</v>
      </c>
      <c r="B86" t="s">
        <v>2840</v>
      </c>
      <c r="C86">
        <v>192</v>
      </c>
      <c r="F86" t="s">
        <v>1241</v>
      </c>
      <c r="G86" t="s">
        <v>1721</v>
      </c>
      <c r="I86">
        <v>2015</v>
      </c>
      <c r="N86" t="s">
        <v>36</v>
      </c>
      <c r="P86" t="s">
        <v>60</v>
      </c>
      <c r="Q86" t="s">
        <v>900</v>
      </c>
      <c r="R86" t="s">
        <v>1742</v>
      </c>
      <c r="S86" t="s">
        <v>1770</v>
      </c>
      <c r="V86" t="s">
        <v>907</v>
      </c>
      <c r="Z86">
        <v>3</v>
      </c>
      <c r="AA86">
        <v>3</v>
      </c>
      <c r="AC86">
        <v>416</v>
      </c>
      <c r="AD86">
        <v>29.8</v>
      </c>
      <c r="AE86">
        <v>412</v>
      </c>
      <c r="AF86">
        <v>33.9</v>
      </c>
      <c r="AG86" t="s">
        <v>3373</v>
      </c>
      <c r="AH86">
        <v>2.6148972160331345</v>
      </c>
      <c r="AI86">
        <v>29.8</v>
      </c>
      <c r="AJ86" t="s">
        <v>1797</v>
      </c>
      <c r="AK86" t="s">
        <v>770</v>
      </c>
      <c r="AM86"/>
      <c r="AN86">
        <v>4.66</v>
      </c>
      <c r="AO86">
        <v>0.57157676649772948</v>
      </c>
      <c r="AP86">
        <v>4.33</v>
      </c>
      <c r="AQ86">
        <v>0.57157676649772948</v>
      </c>
      <c r="AS86">
        <v>-7.2999999999999995E-2</v>
      </c>
      <c r="AT86">
        <v>1.0999999999999999E-2</v>
      </c>
      <c r="AW86" s="28">
        <f t="shared" si="5"/>
        <v>-0.57735026918962595</v>
      </c>
      <c r="AX86">
        <f t="shared" si="6"/>
        <v>0.8</v>
      </c>
      <c r="AY86" s="62">
        <f t="shared" si="7"/>
        <v>-0.46188021535170076</v>
      </c>
      <c r="AZ86" s="68" t="str">
        <f t="shared" si="8"/>
        <v>No</v>
      </c>
      <c r="BA86" s="68" t="str">
        <f t="shared" si="9"/>
        <v>No</v>
      </c>
    </row>
    <row r="87" spans="1:53" hidden="1">
      <c r="A87" t="s">
        <v>1815</v>
      </c>
      <c r="B87" t="s">
        <v>2841</v>
      </c>
      <c r="C87">
        <v>192</v>
      </c>
      <c r="F87" t="s">
        <v>1241</v>
      </c>
      <c r="G87" t="s">
        <v>1721</v>
      </c>
      <c r="I87">
        <v>2014</v>
      </c>
      <c r="N87" t="s">
        <v>36</v>
      </c>
      <c r="P87" t="s">
        <v>60</v>
      </c>
      <c r="Q87" t="s">
        <v>900</v>
      </c>
      <c r="R87" t="s">
        <v>1742</v>
      </c>
      <c r="S87" t="s">
        <v>1770</v>
      </c>
      <c r="V87" t="s">
        <v>907</v>
      </c>
      <c r="Z87">
        <v>3</v>
      </c>
      <c r="AA87">
        <v>3</v>
      </c>
      <c r="AC87">
        <v>416</v>
      </c>
      <c r="AD87">
        <v>29.8</v>
      </c>
      <c r="AE87">
        <v>412</v>
      </c>
      <c r="AF87">
        <v>33.9</v>
      </c>
      <c r="AG87" t="s">
        <v>3373</v>
      </c>
      <c r="AH87">
        <v>2.6148972160331345</v>
      </c>
      <c r="AI87">
        <v>29.8</v>
      </c>
      <c r="AJ87" t="s">
        <v>1793</v>
      </c>
      <c r="AK87" t="s">
        <v>904</v>
      </c>
      <c r="AM87"/>
      <c r="AN87">
        <v>1.27</v>
      </c>
      <c r="AO87">
        <v>3.4641016151377546E-2</v>
      </c>
      <c r="AP87">
        <v>1.19</v>
      </c>
      <c r="AQ87">
        <v>3.4641016151377546E-2</v>
      </c>
      <c r="AS87">
        <v>-6.5000000000000002E-2</v>
      </c>
      <c r="AT87">
        <v>5.9999999999999995E-4</v>
      </c>
      <c r="AW87" s="28">
        <f t="shared" si="5"/>
        <v>-2.3094010767585051</v>
      </c>
      <c r="AX87">
        <f t="shared" si="6"/>
        <v>0.8</v>
      </c>
      <c r="AY87" s="62">
        <f t="shared" si="7"/>
        <v>-1.8475208614068042</v>
      </c>
      <c r="AZ87" s="68" t="str">
        <f t="shared" si="8"/>
        <v>No</v>
      </c>
      <c r="BA87" s="68" t="str">
        <f t="shared" si="9"/>
        <v>No</v>
      </c>
    </row>
    <row r="88" spans="1:53" hidden="1">
      <c r="A88" t="s">
        <v>1815</v>
      </c>
      <c r="B88" t="s">
        <v>2831</v>
      </c>
      <c r="C88">
        <v>192</v>
      </c>
      <c r="F88" t="s">
        <v>1241</v>
      </c>
      <c r="G88" t="s">
        <v>1721</v>
      </c>
      <c r="I88">
        <v>2015</v>
      </c>
      <c r="N88" t="s">
        <v>36</v>
      </c>
      <c r="P88" t="s">
        <v>60</v>
      </c>
      <c r="Q88" t="s">
        <v>900</v>
      </c>
      <c r="R88" t="s">
        <v>1742</v>
      </c>
      <c r="S88" t="s">
        <v>1770</v>
      </c>
      <c r="V88" t="s">
        <v>1015</v>
      </c>
      <c r="Z88">
        <v>3</v>
      </c>
      <c r="AA88">
        <v>3</v>
      </c>
      <c r="AC88">
        <v>416</v>
      </c>
      <c r="AD88">
        <v>29.8</v>
      </c>
      <c r="AE88">
        <v>781</v>
      </c>
      <c r="AF88">
        <v>33.9</v>
      </c>
      <c r="AG88" t="s">
        <v>3373</v>
      </c>
      <c r="AH88">
        <v>2.8926510338773004</v>
      </c>
      <c r="AI88">
        <v>29.8</v>
      </c>
      <c r="AJ88" t="s">
        <v>69</v>
      </c>
      <c r="AK88" t="s">
        <v>69</v>
      </c>
      <c r="AM88"/>
      <c r="AN88">
        <v>20.170000000000002</v>
      </c>
      <c r="AO88">
        <v>7.5517415210003049</v>
      </c>
      <c r="AP88">
        <v>79.83</v>
      </c>
      <c r="AQ88">
        <v>5.4559600438419631</v>
      </c>
      <c r="AS88">
        <v>-1.3759999999999999</v>
      </c>
      <c r="AT88">
        <v>2.7400000000000001E-2</v>
      </c>
      <c r="AW88" s="28">
        <f t="shared" si="5"/>
        <v>9.0562341086941487</v>
      </c>
      <c r="AX88">
        <f t="shared" si="6"/>
        <v>0.8</v>
      </c>
      <c r="AY88" s="62">
        <f t="shared" si="7"/>
        <v>7.2449872869553191</v>
      </c>
      <c r="AZ88" s="68" t="str">
        <f t="shared" si="8"/>
        <v>No</v>
      </c>
      <c r="BA88" s="68" t="str">
        <f t="shared" si="9"/>
        <v>No</v>
      </c>
    </row>
    <row r="89" spans="1:53" hidden="1">
      <c r="A89" t="s">
        <v>1815</v>
      </c>
      <c r="B89" t="s">
        <v>2833</v>
      </c>
      <c r="C89">
        <v>192</v>
      </c>
      <c r="F89" t="s">
        <v>1241</v>
      </c>
      <c r="G89" t="s">
        <v>1721</v>
      </c>
      <c r="I89">
        <v>2015</v>
      </c>
      <c r="N89" t="s">
        <v>36</v>
      </c>
      <c r="P89" t="s">
        <v>60</v>
      </c>
      <c r="Q89" t="s">
        <v>900</v>
      </c>
      <c r="R89" t="s">
        <v>1742</v>
      </c>
      <c r="S89" t="s">
        <v>1770</v>
      </c>
      <c r="V89" t="s">
        <v>1015</v>
      </c>
      <c r="Z89">
        <v>3</v>
      </c>
      <c r="AA89">
        <v>3</v>
      </c>
      <c r="AC89">
        <v>416</v>
      </c>
      <c r="AD89">
        <v>29.8</v>
      </c>
      <c r="AE89">
        <v>781</v>
      </c>
      <c r="AF89">
        <v>33.9</v>
      </c>
      <c r="AG89" t="s">
        <v>3373</v>
      </c>
      <c r="AH89">
        <v>2.8926510338773004</v>
      </c>
      <c r="AI89">
        <v>29.8</v>
      </c>
      <c r="AJ89" t="s">
        <v>1202</v>
      </c>
      <c r="AK89" t="s">
        <v>770</v>
      </c>
      <c r="AM89"/>
      <c r="AN89">
        <v>54.85</v>
      </c>
      <c r="AO89">
        <v>6.3046649395507135</v>
      </c>
      <c r="AP89">
        <v>37.01</v>
      </c>
      <c r="AQ89">
        <v>9.4569974093260694</v>
      </c>
      <c r="AS89">
        <v>-0.39300000000000002</v>
      </c>
      <c r="AT89">
        <v>2.6200000000000001E-2</v>
      </c>
      <c r="AW89" s="28">
        <f t="shared" si="5"/>
        <v>-2.2197606911142409</v>
      </c>
      <c r="AX89">
        <f t="shared" si="6"/>
        <v>0.8</v>
      </c>
      <c r="AY89" s="62">
        <f t="shared" si="7"/>
        <v>-1.7758085528913927</v>
      </c>
      <c r="AZ89" s="68" t="str">
        <f t="shared" si="8"/>
        <v>No</v>
      </c>
      <c r="BA89" s="68" t="str">
        <f t="shared" si="9"/>
        <v>No</v>
      </c>
    </row>
    <row r="90" spans="1:53" hidden="1">
      <c r="A90" t="s">
        <v>1815</v>
      </c>
      <c r="B90" t="s">
        <v>2835</v>
      </c>
      <c r="C90">
        <v>192</v>
      </c>
      <c r="F90" t="s">
        <v>1241</v>
      </c>
      <c r="G90" t="s">
        <v>1721</v>
      </c>
      <c r="I90">
        <v>2015</v>
      </c>
      <c r="N90" t="s">
        <v>36</v>
      </c>
      <c r="P90" t="s">
        <v>60</v>
      </c>
      <c r="Q90" t="s">
        <v>900</v>
      </c>
      <c r="R90" t="s">
        <v>1742</v>
      </c>
      <c r="S90" t="s">
        <v>1770</v>
      </c>
      <c r="V90" t="s">
        <v>1015</v>
      </c>
      <c r="Z90">
        <v>3</v>
      </c>
      <c r="AA90">
        <v>3</v>
      </c>
      <c r="AC90">
        <v>416</v>
      </c>
      <c r="AD90">
        <v>29.8</v>
      </c>
      <c r="AE90">
        <v>781</v>
      </c>
      <c r="AF90">
        <v>33.9</v>
      </c>
      <c r="AG90" t="s">
        <v>3373</v>
      </c>
      <c r="AH90">
        <v>2.8926510338773004</v>
      </c>
      <c r="AI90">
        <v>29.8</v>
      </c>
      <c r="AJ90" t="s">
        <v>1793</v>
      </c>
      <c r="AK90" t="s">
        <v>904</v>
      </c>
      <c r="AM90"/>
      <c r="AN90">
        <v>1.27</v>
      </c>
      <c r="AO90">
        <v>3.4641016151377546E-2</v>
      </c>
      <c r="AP90">
        <v>1.01</v>
      </c>
      <c r="AQ90">
        <v>3.4641016151377546E-2</v>
      </c>
      <c r="AS90">
        <v>-0.22900000000000001</v>
      </c>
      <c r="AT90">
        <v>6.9999999999999999E-4</v>
      </c>
      <c r="AW90" s="28">
        <f t="shared" si="5"/>
        <v>-7.5055534994651349</v>
      </c>
      <c r="AX90">
        <f t="shared" si="6"/>
        <v>0.8</v>
      </c>
      <c r="AY90" s="62">
        <f t="shared" si="7"/>
        <v>-6.0044427995721081</v>
      </c>
      <c r="AZ90" s="68" t="str">
        <f t="shared" si="8"/>
        <v>No</v>
      </c>
      <c r="BA90" s="68" t="str">
        <f t="shared" si="9"/>
        <v>No</v>
      </c>
    </row>
    <row r="91" spans="1:53" hidden="1">
      <c r="A91" t="s">
        <v>1815</v>
      </c>
      <c r="B91" t="s">
        <v>2837</v>
      </c>
      <c r="C91">
        <v>192</v>
      </c>
      <c r="F91" t="s">
        <v>1241</v>
      </c>
      <c r="G91" t="s">
        <v>1721</v>
      </c>
      <c r="I91">
        <v>2015</v>
      </c>
      <c r="N91" t="s">
        <v>36</v>
      </c>
      <c r="P91" t="s">
        <v>60</v>
      </c>
      <c r="Q91" t="s">
        <v>900</v>
      </c>
      <c r="R91" t="s">
        <v>1742</v>
      </c>
      <c r="S91" t="s">
        <v>1770</v>
      </c>
      <c r="V91" t="s">
        <v>1015</v>
      </c>
      <c r="Z91">
        <v>3</v>
      </c>
      <c r="AA91">
        <v>3</v>
      </c>
      <c r="AC91">
        <v>416</v>
      </c>
      <c r="AD91">
        <v>29.8</v>
      </c>
      <c r="AE91">
        <v>781</v>
      </c>
      <c r="AF91">
        <v>33.9</v>
      </c>
      <c r="AG91" t="s">
        <v>3373</v>
      </c>
      <c r="AH91">
        <v>2.8926510338773004</v>
      </c>
      <c r="AI91">
        <v>29.8</v>
      </c>
      <c r="AJ91" t="s">
        <v>1797</v>
      </c>
      <c r="AK91" t="s">
        <v>770</v>
      </c>
      <c r="AM91"/>
      <c r="AN91">
        <v>4.66</v>
      </c>
      <c r="AO91">
        <v>0.57157676649772948</v>
      </c>
      <c r="AP91">
        <v>4</v>
      </c>
      <c r="AQ91">
        <v>3.4641016151377546E-2</v>
      </c>
      <c r="AS91">
        <v>-0.153</v>
      </c>
      <c r="AT91">
        <v>5.0000000000000001E-3</v>
      </c>
      <c r="AW91" s="28">
        <f t="shared" si="5"/>
        <v>-1.6300023293782717</v>
      </c>
      <c r="AX91">
        <f t="shared" si="6"/>
        <v>0.8</v>
      </c>
      <c r="AY91" s="62">
        <f t="shared" si="7"/>
        <v>-1.3040018635026174</v>
      </c>
      <c r="AZ91" s="68" t="str">
        <f t="shared" si="8"/>
        <v>No</v>
      </c>
      <c r="BA91" s="68" t="str">
        <f t="shared" si="9"/>
        <v>No</v>
      </c>
    </row>
    <row r="92" spans="1:53" hidden="1">
      <c r="A92" t="s">
        <v>1815</v>
      </c>
      <c r="B92" t="s">
        <v>2844</v>
      </c>
      <c r="C92">
        <v>192</v>
      </c>
      <c r="F92" t="s">
        <v>1241</v>
      </c>
      <c r="G92" t="s">
        <v>1721</v>
      </c>
      <c r="I92">
        <v>2014</v>
      </c>
      <c r="N92" t="s">
        <v>36</v>
      </c>
      <c r="P92" t="s">
        <v>60</v>
      </c>
      <c r="Q92" t="s">
        <v>900</v>
      </c>
      <c r="R92" t="s">
        <v>1742</v>
      </c>
      <c r="S92" t="s">
        <v>1770</v>
      </c>
      <c r="V92" t="s">
        <v>1015</v>
      </c>
      <c r="Z92">
        <v>3</v>
      </c>
      <c r="AA92">
        <v>3</v>
      </c>
      <c r="AC92">
        <v>416</v>
      </c>
      <c r="AD92">
        <v>29.8</v>
      </c>
      <c r="AE92">
        <v>781</v>
      </c>
      <c r="AF92">
        <v>33.9</v>
      </c>
      <c r="AG92" t="s">
        <v>3373</v>
      </c>
      <c r="AH92">
        <v>2.8926510338773004</v>
      </c>
      <c r="AI92">
        <v>29.8</v>
      </c>
      <c r="AJ92" t="s">
        <v>1205</v>
      </c>
      <c r="AK92" t="s">
        <v>40</v>
      </c>
      <c r="AM92"/>
      <c r="AN92">
        <v>490.45</v>
      </c>
      <c r="AO92">
        <v>8.4177669247847433</v>
      </c>
      <c r="AP92">
        <v>490.45</v>
      </c>
      <c r="AQ92">
        <v>5.0575883581011212</v>
      </c>
      <c r="AS92">
        <v>0</v>
      </c>
      <c r="AT92">
        <v>1E-4</v>
      </c>
      <c r="AW92" s="28">
        <f t="shared" si="5"/>
        <v>0</v>
      </c>
      <c r="AX92">
        <f t="shared" si="6"/>
        <v>0.8</v>
      </c>
      <c r="AY92" s="62">
        <f t="shared" si="7"/>
        <v>0</v>
      </c>
      <c r="AZ92" s="68" t="str">
        <f t="shared" si="8"/>
        <v>No</v>
      </c>
      <c r="BA92" s="68" t="str">
        <f t="shared" si="9"/>
        <v>No</v>
      </c>
    </row>
    <row r="93" spans="1:53" hidden="1">
      <c r="A93" t="s">
        <v>1815</v>
      </c>
      <c r="B93" t="s">
        <v>2872</v>
      </c>
      <c r="C93">
        <v>208</v>
      </c>
      <c r="F93" t="s">
        <v>1241</v>
      </c>
      <c r="G93" t="s">
        <v>1723</v>
      </c>
      <c r="I93">
        <v>2015</v>
      </c>
      <c r="N93" t="s">
        <v>36</v>
      </c>
      <c r="P93" t="s">
        <v>60</v>
      </c>
      <c r="Q93" t="s">
        <v>900</v>
      </c>
      <c r="R93" t="s">
        <v>911</v>
      </c>
      <c r="S93" t="s">
        <v>1772</v>
      </c>
      <c r="V93" t="s">
        <v>905</v>
      </c>
      <c r="Z93">
        <v>3</v>
      </c>
      <c r="AA93">
        <v>3</v>
      </c>
      <c r="AC93">
        <v>420</v>
      </c>
      <c r="AD93">
        <v>28.1</v>
      </c>
      <c r="AE93">
        <v>1746</v>
      </c>
      <c r="AF93">
        <v>28.1</v>
      </c>
      <c r="AG93" t="s">
        <v>3376</v>
      </c>
      <c r="AH93">
        <v>3.2420442393695508</v>
      </c>
      <c r="AI93">
        <v>28.1</v>
      </c>
      <c r="AJ93" t="s">
        <v>69</v>
      </c>
      <c r="AK93" t="s">
        <v>69</v>
      </c>
      <c r="AM93"/>
      <c r="AN93">
        <v>68.77</v>
      </c>
      <c r="AO93">
        <v>19.918584287042087</v>
      </c>
      <c r="AP93">
        <v>57.46</v>
      </c>
      <c r="AQ93">
        <v>14.479944751275813</v>
      </c>
      <c r="AS93">
        <v>-0.18</v>
      </c>
      <c r="AT93">
        <v>4.9099999999999998E-2</v>
      </c>
      <c r="AW93" s="28">
        <f t="shared" si="5"/>
        <v>-0.64951812457404234</v>
      </c>
      <c r="AX93">
        <f t="shared" si="6"/>
        <v>0.8</v>
      </c>
      <c r="AY93" s="62">
        <f t="shared" si="7"/>
        <v>-0.5196144996592339</v>
      </c>
      <c r="AZ93" s="68" t="str">
        <f t="shared" si="8"/>
        <v>No</v>
      </c>
      <c r="BA93" s="68" t="str">
        <f t="shared" si="9"/>
        <v>No</v>
      </c>
    </row>
    <row r="94" spans="1:53" hidden="1">
      <c r="A94" t="s">
        <v>1815</v>
      </c>
      <c r="B94" t="s">
        <v>2875</v>
      </c>
      <c r="C94">
        <v>208</v>
      </c>
      <c r="F94" t="s">
        <v>1241</v>
      </c>
      <c r="G94" t="s">
        <v>1723</v>
      </c>
      <c r="I94">
        <v>2015</v>
      </c>
      <c r="N94" t="s">
        <v>36</v>
      </c>
      <c r="P94" t="s">
        <v>60</v>
      </c>
      <c r="Q94" t="s">
        <v>900</v>
      </c>
      <c r="R94" t="s">
        <v>911</v>
      </c>
      <c r="S94" t="s">
        <v>1772</v>
      </c>
      <c r="V94" t="s">
        <v>905</v>
      </c>
      <c r="Z94">
        <v>3</v>
      </c>
      <c r="AA94">
        <v>3</v>
      </c>
      <c r="AC94">
        <v>420</v>
      </c>
      <c r="AD94">
        <v>28.1</v>
      </c>
      <c r="AE94">
        <v>1056</v>
      </c>
      <c r="AF94">
        <v>28.1</v>
      </c>
      <c r="AG94" t="s">
        <v>3376</v>
      </c>
      <c r="AH94">
        <v>3.0236639181977933</v>
      </c>
      <c r="AI94">
        <v>28.1</v>
      </c>
      <c r="AJ94" t="s">
        <v>69</v>
      </c>
      <c r="AK94" t="s">
        <v>69</v>
      </c>
      <c r="AM94"/>
      <c r="AN94">
        <v>68.77</v>
      </c>
      <c r="AO94">
        <v>19.918584287042087</v>
      </c>
      <c r="AP94">
        <v>61.53</v>
      </c>
      <c r="AQ94">
        <v>5.4386395357662742</v>
      </c>
      <c r="AS94">
        <v>-0.111</v>
      </c>
      <c r="AT94">
        <v>3.0499999999999999E-2</v>
      </c>
      <c r="AW94" s="28">
        <f t="shared" si="5"/>
        <v>-0.49588529300987533</v>
      </c>
      <c r="AX94">
        <f t="shared" si="6"/>
        <v>0.8</v>
      </c>
      <c r="AY94" s="62">
        <f t="shared" si="7"/>
        <v>-0.39670823440790026</v>
      </c>
      <c r="AZ94" s="68" t="str">
        <f t="shared" si="8"/>
        <v>No</v>
      </c>
      <c r="BA94" s="68" t="str">
        <f t="shared" si="9"/>
        <v>No</v>
      </c>
    </row>
    <row r="95" spans="1:53" hidden="1">
      <c r="A95" t="s">
        <v>1815</v>
      </c>
      <c r="B95" t="s">
        <v>2878</v>
      </c>
      <c r="C95">
        <v>208</v>
      </c>
      <c r="F95" t="s">
        <v>1241</v>
      </c>
      <c r="G95" t="s">
        <v>1723</v>
      </c>
      <c r="I95">
        <v>2011</v>
      </c>
      <c r="N95" t="s">
        <v>36</v>
      </c>
      <c r="P95" t="s">
        <v>60</v>
      </c>
      <c r="Q95" t="s">
        <v>900</v>
      </c>
      <c r="R95" t="s">
        <v>911</v>
      </c>
      <c r="S95" t="s">
        <v>1773</v>
      </c>
      <c r="V95" t="s">
        <v>905</v>
      </c>
      <c r="Z95">
        <v>3</v>
      </c>
      <c r="AA95">
        <v>3</v>
      </c>
      <c r="AC95">
        <v>419</v>
      </c>
      <c r="AD95">
        <v>28.1</v>
      </c>
      <c r="AE95">
        <v>1054</v>
      </c>
      <c r="AF95">
        <v>28.1</v>
      </c>
      <c r="AG95" t="s">
        <v>3377</v>
      </c>
      <c r="AH95">
        <v>3.022840610876528</v>
      </c>
      <c r="AI95">
        <v>28.1</v>
      </c>
      <c r="AJ95" t="s">
        <v>69</v>
      </c>
      <c r="AK95" t="s">
        <v>69</v>
      </c>
      <c r="AM95"/>
      <c r="AN95">
        <v>59.72</v>
      </c>
      <c r="AO95">
        <v>6.7896391656699988</v>
      </c>
      <c r="AP95">
        <v>55.65</v>
      </c>
      <c r="AQ95">
        <v>14.029611541307904</v>
      </c>
      <c r="AS95">
        <v>-7.0999999999999994E-2</v>
      </c>
      <c r="AT95">
        <v>2.5499999999999998E-2</v>
      </c>
      <c r="AW95" s="28">
        <f t="shared" si="5"/>
        <v>-0.36929170023333463</v>
      </c>
      <c r="AX95">
        <f t="shared" si="6"/>
        <v>0.8</v>
      </c>
      <c r="AY95" s="62">
        <f t="shared" si="7"/>
        <v>-0.29543336018666772</v>
      </c>
      <c r="AZ95" s="68" t="str">
        <f t="shared" si="8"/>
        <v>No</v>
      </c>
      <c r="BA95" s="68" t="str">
        <f t="shared" si="9"/>
        <v>No</v>
      </c>
    </row>
    <row r="96" spans="1:53" hidden="1">
      <c r="A96" t="s">
        <v>1815</v>
      </c>
      <c r="B96" t="s">
        <v>2879</v>
      </c>
      <c r="C96">
        <v>208</v>
      </c>
      <c r="F96" t="s">
        <v>1241</v>
      </c>
      <c r="G96" t="s">
        <v>1723</v>
      </c>
      <c r="I96">
        <v>2011</v>
      </c>
      <c r="N96" t="s">
        <v>36</v>
      </c>
      <c r="P96" t="s">
        <v>60</v>
      </c>
      <c r="Q96" t="s">
        <v>900</v>
      </c>
      <c r="R96" t="s">
        <v>911</v>
      </c>
      <c r="S96" t="s">
        <v>1773</v>
      </c>
      <c r="V96" t="s">
        <v>905</v>
      </c>
      <c r="Z96">
        <v>3</v>
      </c>
      <c r="AA96">
        <v>3</v>
      </c>
      <c r="AC96">
        <v>419</v>
      </c>
      <c r="AD96">
        <v>28.1</v>
      </c>
      <c r="AE96">
        <v>1758</v>
      </c>
      <c r="AF96">
        <v>28.1</v>
      </c>
      <c r="AG96" t="s">
        <v>3377</v>
      </c>
      <c r="AH96">
        <v>3.245018870737753</v>
      </c>
      <c r="AI96">
        <v>28.1</v>
      </c>
      <c r="AJ96" t="s">
        <v>69</v>
      </c>
      <c r="AK96" t="s">
        <v>69</v>
      </c>
      <c r="AM96"/>
      <c r="AN96">
        <v>59.72</v>
      </c>
      <c r="AO96">
        <v>6.7896391656699988</v>
      </c>
      <c r="AP96">
        <v>57.01</v>
      </c>
      <c r="AQ96">
        <v>6.3219854476264015</v>
      </c>
      <c r="AS96">
        <v>-4.5999999999999999E-2</v>
      </c>
      <c r="AT96">
        <v>8.3999999999999995E-3</v>
      </c>
      <c r="AW96" s="28">
        <f t="shared" si="5"/>
        <v>-0.41311095606559783</v>
      </c>
      <c r="AX96">
        <f t="shared" si="6"/>
        <v>0.8</v>
      </c>
      <c r="AY96" s="62">
        <f t="shared" si="7"/>
        <v>-0.3304887648524783</v>
      </c>
      <c r="AZ96" s="68" t="str">
        <f t="shared" si="8"/>
        <v>No</v>
      </c>
      <c r="BA96" s="68" t="str">
        <f t="shared" si="9"/>
        <v>No</v>
      </c>
    </row>
    <row r="97" spans="1:53" hidden="1">
      <c r="A97" t="s">
        <v>1815</v>
      </c>
      <c r="B97" t="s">
        <v>2874</v>
      </c>
      <c r="C97">
        <v>208</v>
      </c>
      <c r="F97" t="s">
        <v>1241</v>
      </c>
      <c r="G97" t="s">
        <v>1723</v>
      </c>
      <c r="I97">
        <v>2015</v>
      </c>
      <c r="N97" t="s">
        <v>36</v>
      </c>
      <c r="P97" t="s">
        <v>60</v>
      </c>
      <c r="Q97" t="s">
        <v>900</v>
      </c>
      <c r="R97" t="s">
        <v>911</v>
      </c>
      <c r="S97" t="s">
        <v>1772</v>
      </c>
      <c r="V97" t="s">
        <v>907</v>
      </c>
      <c r="Z97">
        <v>3</v>
      </c>
      <c r="AA97">
        <v>3</v>
      </c>
      <c r="AC97">
        <v>420</v>
      </c>
      <c r="AD97">
        <v>28.1</v>
      </c>
      <c r="AE97">
        <v>527</v>
      </c>
      <c r="AF97">
        <v>34.1</v>
      </c>
      <c r="AG97" t="s">
        <v>3376</v>
      </c>
      <c r="AH97">
        <v>2.7218106152125467</v>
      </c>
      <c r="AI97">
        <v>28.1</v>
      </c>
      <c r="AJ97" t="s">
        <v>69</v>
      </c>
      <c r="AK97" t="s">
        <v>69</v>
      </c>
      <c r="AM97"/>
      <c r="AN97">
        <v>68.77</v>
      </c>
      <c r="AO97">
        <v>19.918584287042087</v>
      </c>
      <c r="AP97">
        <v>61.08</v>
      </c>
      <c r="AQ97">
        <v>22.170250336881629</v>
      </c>
      <c r="AS97">
        <v>-0.11899999999999999</v>
      </c>
      <c r="AT97">
        <v>7.1900000000000006E-2</v>
      </c>
      <c r="AW97" s="28">
        <f t="shared" si="5"/>
        <v>-0.36489577956242847</v>
      </c>
      <c r="AX97">
        <f t="shared" si="6"/>
        <v>0.8</v>
      </c>
      <c r="AY97" s="62">
        <f t="shared" si="7"/>
        <v>-0.29191662364994281</v>
      </c>
      <c r="AZ97" s="68" t="str">
        <f t="shared" si="8"/>
        <v>No</v>
      </c>
      <c r="BA97" s="68" t="str">
        <f t="shared" si="9"/>
        <v>No</v>
      </c>
    </row>
    <row r="98" spans="1:53" hidden="1">
      <c r="A98" t="s">
        <v>1815</v>
      </c>
      <c r="B98" t="s">
        <v>2880</v>
      </c>
      <c r="C98">
        <v>208</v>
      </c>
      <c r="F98" t="s">
        <v>1241</v>
      </c>
      <c r="G98" t="s">
        <v>1723</v>
      </c>
      <c r="I98">
        <v>2018</v>
      </c>
      <c r="N98" t="s">
        <v>36</v>
      </c>
      <c r="P98" t="s">
        <v>60</v>
      </c>
      <c r="Q98" t="s">
        <v>900</v>
      </c>
      <c r="R98" t="s">
        <v>911</v>
      </c>
      <c r="S98" t="s">
        <v>1772</v>
      </c>
      <c r="V98" t="s">
        <v>907</v>
      </c>
      <c r="Z98">
        <v>3</v>
      </c>
      <c r="AA98">
        <v>3</v>
      </c>
      <c r="AC98">
        <v>420</v>
      </c>
      <c r="AD98">
        <v>28.1</v>
      </c>
      <c r="AE98">
        <v>474</v>
      </c>
      <c r="AF98">
        <v>31.2</v>
      </c>
      <c r="AG98" t="s">
        <v>3376</v>
      </c>
      <c r="AH98">
        <v>2.6757783416740852</v>
      </c>
      <c r="AI98">
        <v>28.1</v>
      </c>
      <c r="AJ98" t="s">
        <v>69</v>
      </c>
      <c r="AK98" t="s">
        <v>69</v>
      </c>
      <c r="AM98"/>
      <c r="AN98">
        <v>68.77</v>
      </c>
      <c r="AO98">
        <v>19.918584287042087</v>
      </c>
      <c r="AP98">
        <v>66.959999999999994</v>
      </c>
      <c r="AQ98">
        <v>8.6082925136173198</v>
      </c>
      <c r="AS98">
        <v>-2.7E-2</v>
      </c>
      <c r="AT98">
        <v>3.3399999999999999E-2</v>
      </c>
      <c r="AW98" s="28">
        <f t="shared" si="5"/>
        <v>-0.11796442092494482</v>
      </c>
      <c r="AX98">
        <f t="shared" si="6"/>
        <v>0.8</v>
      </c>
      <c r="AY98" s="62">
        <f t="shared" si="7"/>
        <v>-9.4371536739955852E-2</v>
      </c>
      <c r="AZ98" s="68" t="str">
        <f t="shared" si="8"/>
        <v>No</v>
      </c>
      <c r="BA98" s="68" t="str">
        <f t="shared" si="9"/>
        <v>No</v>
      </c>
    </row>
    <row r="99" spans="1:53" hidden="1">
      <c r="A99" t="s">
        <v>1815</v>
      </c>
      <c r="B99" t="s">
        <v>2882</v>
      </c>
      <c r="C99">
        <v>208</v>
      </c>
      <c r="F99" t="s">
        <v>1241</v>
      </c>
      <c r="G99" t="s">
        <v>1723</v>
      </c>
      <c r="I99">
        <v>2011</v>
      </c>
      <c r="N99" t="s">
        <v>36</v>
      </c>
      <c r="P99" t="s">
        <v>60</v>
      </c>
      <c r="Q99" t="s">
        <v>900</v>
      </c>
      <c r="R99" t="s">
        <v>911</v>
      </c>
      <c r="S99" t="s">
        <v>1773</v>
      </c>
      <c r="V99" t="s">
        <v>907</v>
      </c>
      <c r="Z99">
        <v>3</v>
      </c>
      <c r="AA99">
        <v>3</v>
      </c>
      <c r="AC99">
        <v>419</v>
      </c>
      <c r="AD99">
        <v>28.1</v>
      </c>
      <c r="AE99">
        <v>473</v>
      </c>
      <c r="AF99">
        <v>31</v>
      </c>
      <c r="AG99" t="s">
        <v>3377</v>
      </c>
      <c r="AH99">
        <v>2.6748611407378116</v>
      </c>
      <c r="AI99">
        <v>28.1</v>
      </c>
      <c r="AJ99" t="s">
        <v>69</v>
      </c>
      <c r="AK99" t="s">
        <v>69</v>
      </c>
      <c r="AM99"/>
      <c r="AN99">
        <v>59.72</v>
      </c>
      <c r="AO99">
        <v>6.7896391656699988</v>
      </c>
      <c r="AP99">
        <v>63.8</v>
      </c>
      <c r="AQ99">
        <v>4.0703193977868617</v>
      </c>
      <c r="AS99">
        <v>6.6000000000000003E-2</v>
      </c>
      <c r="AT99">
        <v>5.7000000000000002E-3</v>
      </c>
      <c r="AW99" s="28">
        <f t="shared" si="5"/>
        <v>0.72888119917934913</v>
      </c>
      <c r="AX99">
        <f t="shared" si="6"/>
        <v>0.8</v>
      </c>
      <c r="AY99" s="62">
        <f t="shared" si="7"/>
        <v>0.58310495934347928</v>
      </c>
      <c r="AZ99" s="68" t="str">
        <f t="shared" si="8"/>
        <v>No</v>
      </c>
      <c r="BA99" s="68" t="str">
        <f t="shared" si="9"/>
        <v>No</v>
      </c>
    </row>
    <row r="100" spans="1:53" hidden="1">
      <c r="A100" t="s">
        <v>1815</v>
      </c>
      <c r="B100" t="s">
        <v>2870</v>
      </c>
      <c r="C100">
        <v>208</v>
      </c>
      <c r="F100" t="s">
        <v>1241</v>
      </c>
      <c r="G100" t="s">
        <v>1723</v>
      </c>
      <c r="I100">
        <v>2015</v>
      </c>
      <c r="N100" t="s">
        <v>36</v>
      </c>
      <c r="P100" t="s">
        <v>60</v>
      </c>
      <c r="Q100" t="s">
        <v>900</v>
      </c>
      <c r="R100" t="s">
        <v>911</v>
      </c>
      <c r="S100" t="s">
        <v>1772</v>
      </c>
      <c r="V100" t="s">
        <v>1015</v>
      </c>
      <c r="Z100">
        <v>3</v>
      </c>
      <c r="AA100">
        <v>3</v>
      </c>
      <c r="AC100">
        <v>420</v>
      </c>
      <c r="AD100">
        <v>28.1</v>
      </c>
      <c r="AE100">
        <v>1968</v>
      </c>
      <c r="AF100">
        <v>31.2</v>
      </c>
      <c r="AG100" t="s">
        <v>3376</v>
      </c>
      <c r="AH100">
        <v>3.2940250940953226</v>
      </c>
      <c r="AI100">
        <v>28.1</v>
      </c>
      <c r="AJ100" t="s">
        <v>69</v>
      </c>
      <c r="AK100" t="s">
        <v>69</v>
      </c>
      <c r="AM100"/>
      <c r="AN100">
        <v>68.77</v>
      </c>
      <c r="AO100">
        <v>19.918584287042087</v>
      </c>
      <c r="AP100">
        <v>51.58</v>
      </c>
      <c r="AQ100">
        <v>7.2399723756379064</v>
      </c>
      <c r="AS100">
        <v>-0.28799999999999998</v>
      </c>
      <c r="AT100">
        <v>3.4500000000000003E-2</v>
      </c>
      <c r="AW100" s="28">
        <f t="shared" si="5"/>
        <v>-1.1470619061532634</v>
      </c>
      <c r="AX100">
        <f t="shared" si="6"/>
        <v>0.8</v>
      </c>
      <c r="AY100" s="62">
        <f t="shared" si="7"/>
        <v>-0.91764952492261076</v>
      </c>
      <c r="AZ100" s="68" t="str">
        <f t="shared" si="8"/>
        <v>No</v>
      </c>
      <c r="BA100" s="68" t="str">
        <f t="shared" si="9"/>
        <v>No</v>
      </c>
    </row>
    <row r="101" spans="1:53" hidden="1">
      <c r="A101" t="s">
        <v>1815</v>
      </c>
      <c r="B101" t="s">
        <v>2871</v>
      </c>
      <c r="C101">
        <v>208</v>
      </c>
      <c r="F101" t="s">
        <v>1241</v>
      </c>
      <c r="G101" t="s">
        <v>1723</v>
      </c>
      <c r="I101">
        <v>2015</v>
      </c>
      <c r="N101" t="s">
        <v>36</v>
      </c>
      <c r="P101" t="s">
        <v>60</v>
      </c>
      <c r="Q101" t="s">
        <v>900</v>
      </c>
      <c r="R101" t="s">
        <v>911</v>
      </c>
      <c r="S101" t="s">
        <v>1772</v>
      </c>
      <c r="V101" t="s">
        <v>1015</v>
      </c>
      <c r="Z101">
        <v>3</v>
      </c>
      <c r="AA101">
        <v>3</v>
      </c>
      <c r="AC101">
        <v>420</v>
      </c>
      <c r="AD101">
        <v>28.1</v>
      </c>
      <c r="AE101">
        <v>1191</v>
      </c>
      <c r="AF101">
        <v>31.2</v>
      </c>
      <c r="AG101" t="s">
        <v>3376</v>
      </c>
      <c r="AH101">
        <v>3.0759117614827773</v>
      </c>
      <c r="AI101">
        <v>28.1</v>
      </c>
      <c r="AJ101" t="s">
        <v>69</v>
      </c>
      <c r="AK101" t="s">
        <v>69</v>
      </c>
      <c r="AM101"/>
      <c r="AN101">
        <v>68.77</v>
      </c>
      <c r="AO101">
        <v>19.918584287042087</v>
      </c>
      <c r="AP101">
        <v>56.11</v>
      </c>
      <c r="AQ101">
        <v>17.199264519158952</v>
      </c>
      <c r="AS101">
        <v>-0.20300000000000001</v>
      </c>
      <c r="AT101">
        <v>5.9200000000000003E-2</v>
      </c>
      <c r="AW101" s="28">
        <f t="shared" si="5"/>
        <v>-0.68032828540550783</v>
      </c>
      <c r="AX101">
        <f t="shared" si="6"/>
        <v>0.8</v>
      </c>
      <c r="AY101" s="62">
        <f t="shared" si="7"/>
        <v>-0.54426262832440631</v>
      </c>
      <c r="AZ101" s="68" t="str">
        <f t="shared" si="8"/>
        <v>No</v>
      </c>
      <c r="BA101" s="68" t="str">
        <f t="shared" si="9"/>
        <v>No</v>
      </c>
    </row>
    <row r="102" spans="1:53" hidden="1">
      <c r="A102" t="s">
        <v>1815</v>
      </c>
      <c r="B102" t="s">
        <v>2873</v>
      </c>
      <c r="C102">
        <v>208</v>
      </c>
      <c r="F102" t="s">
        <v>1241</v>
      </c>
      <c r="G102" t="s">
        <v>1723</v>
      </c>
      <c r="I102">
        <v>2015</v>
      </c>
      <c r="N102" t="s">
        <v>36</v>
      </c>
      <c r="P102" t="s">
        <v>60</v>
      </c>
      <c r="Q102" t="s">
        <v>900</v>
      </c>
      <c r="R102" t="s">
        <v>911</v>
      </c>
      <c r="S102" t="s">
        <v>1772</v>
      </c>
      <c r="V102" t="s">
        <v>1015</v>
      </c>
      <c r="Z102">
        <v>3</v>
      </c>
      <c r="AA102">
        <v>3</v>
      </c>
      <c r="AC102">
        <v>420</v>
      </c>
      <c r="AD102">
        <v>28.1</v>
      </c>
      <c r="AE102">
        <v>2189</v>
      </c>
      <c r="AF102">
        <v>34.1</v>
      </c>
      <c r="AG102" t="s">
        <v>3376</v>
      </c>
      <c r="AH102">
        <v>3.3402457615679317</v>
      </c>
      <c r="AI102">
        <v>28.1</v>
      </c>
      <c r="AJ102" t="s">
        <v>69</v>
      </c>
      <c r="AK102" t="s">
        <v>69</v>
      </c>
      <c r="AM102"/>
      <c r="AN102">
        <v>68.77</v>
      </c>
      <c r="AO102">
        <v>19.918584287042087</v>
      </c>
      <c r="AP102">
        <v>60.63</v>
      </c>
      <c r="AQ102">
        <v>24.421916386721168</v>
      </c>
      <c r="AS102">
        <v>-0.126</v>
      </c>
      <c r="AT102">
        <v>8.2100000000000006E-2</v>
      </c>
      <c r="AW102" s="28">
        <f t="shared" si="5"/>
        <v>-0.3652796012039542</v>
      </c>
      <c r="AX102">
        <f t="shared" si="6"/>
        <v>0.8</v>
      </c>
      <c r="AY102" s="62">
        <f t="shared" si="7"/>
        <v>-0.29222368096316337</v>
      </c>
      <c r="AZ102" s="68" t="str">
        <f t="shared" si="8"/>
        <v>No</v>
      </c>
      <c r="BA102" s="68" t="str">
        <f t="shared" si="9"/>
        <v>No</v>
      </c>
    </row>
    <row r="103" spans="1:53" hidden="1">
      <c r="A103" t="s">
        <v>1815</v>
      </c>
      <c r="B103" t="s">
        <v>2876</v>
      </c>
      <c r="C103">
        <v>208</v>
      </c>
      <c r="F103" t="s">
        <v>1241</v>
      </c>
      <c r="G103" t="s">
        <v>1723</v>
      </c>
      <c r="I103">
        <v>2015</v>
      </c>
      <c r="N103" t="s">
        <v>36</v>
      </c>
      <c r="P103" t="s">
        <v>60</v>
      </c>
      <c r="Q103" t="s">
        <v>900</v>
      </c>
      <c r="R103" t="s">
        <v>911</v>
      </c>
      <c r="S103" t="s">
        <v>1772</v>
      </c>
      <c r="V103" t="s">
        <v>1015</v>
      </c>
      <c r="Z103">
        <v>3</v>
      </c>
      <c r="AA103">
        <v>3</v>
      </c>
      <c r="AC103">
        <v>420</v>
      </c>
      <c r="AD103">
        <v>28.1</v>
      </c>
      <c r="AE103">
        <v>1325</v>
      </c>
      <c r="AF103">
        <v>34.1</v>
      </c>
      <c r="AG103" t="s">
        <v>3376</v>
      </c>
      <c r="AH103">
        <v>3.1222158782728267</v>
      </c>
      <c r="AI103">
        <v>28.1</v>
      </c>
      <c r="AJ103" t="s">
        <v>69</v>
      </c>
      <c r="AK103" t="s">
        <v>69</v>
      </c>
      <c r="AM103"/>
      <c r="AN103">
        <v>68.77</v>
      </c>
      <c r="AO103">
        <v>19.918584287042087</v>
      </c>
      <c r="AP103">
        <v>61.99</v>
      </c>
      <c r="AQ103">
        <v>17.632277221051169</v>
      </c>
      <c r="AS103">
        <v>-0.104</v>
      </c>
      <c r="AT103">
        <v>5.4899999999999997E-2</v>
      </c>
      <c r="AW103" s="28">
        <f t="shared" si="5"/>
        <v>-0.36044275075907345</v>
      </c>
      <c r="AX103">
        <f t="shared" si="6"/>
        <v>0.8</v>
      </c>
      <c r="AY103" s="62">
        <f t="shared" si="7"/>
        <v>-0.28835420060725875</v>
      </c>
      <c r="AZ103" s="68" t="str">
        <f t="shared" si="8"/>
        <v>No</v>
      </c>
      <c r="BA103" s="68" t="str">
        <f t="shared" si="9"/>
        <v>No</v>
      </c>
    </row>
    <row r="104" spans="1:53" hidden="1">
      <c r="A104" t="s">
        <v>1815</v>
      </c>
      <c r="B104" t="s">
        <v>2877</v>
      </c>
      <c r="C104">
        <v>208</v>
      </c>
      <c r="F104" t="s">
        <v>1241</v>
      </c>
      <c r="G104" t="s">
        <v>1723</v>
      </c>
      <c r="I104">
        <v>2015</v>
      </c>
      <c r="N104" t="s">
        <v>36</v>
      </c>
      <c r="P104" t="s">
        <v>60</v>
      </c>
      <c r="Q104" t="s">
        <v>900</v>
      </c>
      <c r="R104" t="s">
        <v>911</v>
      </c>
      <c r="S104" t="s">
        <v>1773</v>
      </c>
      <c r="V104" t="s">
        <v>1015</v>
      </c>
      <c r="Z104">
        <v>3</v>
      </c>
      <c r="AA104">
        <v>3</v>
      </c>
      <c r="AC104">
        <v>419</v>
      </c>
      <c r="AD104">
        <v>28.1</v>
      </c>
      <c r="AE104">
        <v>1981</v>
      </c>
      <c r="AF104">
        <v>31</v>
      </c>
      <c r="AG104" t="s">
        <v>3377</v>
      </c>
      <c r="AH104">
        <v>3.2968844755385471</v>
      </c>
      <c r="AI104">
        <v>28.1</v>
      </c>
      <c r="AJ104" t="s">
        <v>69</v>
      </c>
      <c r="AK104" t="s">
        <v>69</v>
      </c>
      <c r="AM104"/>
      <c r="AN104">
        <v>59.72</v>
      </c>
      <c r="AO104">
        <v>6.7896391656699988</v>
      </c>
      <c r="AP104">
        <v>54.29</v>
      </c>
      <c r="AQ104">
        <v>14.029611541307904</v>
      </c>
      <c r="AS104">
        <v>-9.5000000000000001E-2</v>
      </c>
      <c r="AT104">
        <v>2.6599999999999999E-2</v>
      </c>
      <c r="AW104" s="28">
        <f t="shared" si="5"/>
        <v>-0.49269138384938743</v>
      </c>
      <c r="AX104">
        <f t="shared" si="6"/>
        <v>0.8</v>
      </c>
      <c r="AY104" s="62">
        <f t="shared" si="7"/>
        <v>-0.39415310707950996</v>
      </c>
      <c r="AZ104" s="68" t="str">
        <f t="shared" si="8"/>
        <v>No</v>
      </c>
      <c r="BA104" s="68" t="str">
        <f t="shared" si="9"/>
        <v>No</v>
      </c>
    </row>
    <row r="105" spans="1:53" hidden="1">
      <c r="A105" t="s">
        <v>1815</v>
      </c>
      <c r="B105" t="s">
        <v>2881</v>
      </c>
      <c r="C105">
        <v>208</v>
      </c>
      <c r="F105" t="s">
        <v>1241</v>
      </c>
      <c r="G105" t="s">
        <v>1723</v>
      </c>
      <c r="I105">
        <v>2018</v>
      </c>
      <c r="N105" t="s">
        <v>36</v>
      </c>
      <c r="P105" t="s">
        <v>60</v>
      </c>
      <c r="Q105" t="s">
        <v>900</v>
      </c>
      <c r="R105" t="s">
        <v>911</v>
      </c>
      <c r="S105" t="s">
        <v>1773</v>
      </c>
      <c r="V105" t="s">
        <v>1015</v>
      </c>
      <c r="Z105">
        <v>3</v>
      </c>
      <c r="AA105">
        <v>3</v>
      </c>
      <c r="AC105">
        <v>419</v>
      </c>
      <c r="AD105">
        <v>28.1</v>
      </c>
      <c r="AE105">
        <v>1188</v>
      </c>
      <c r="AF105">
        <v>31</v>
      </c>
      <c r="AG105" t="s">
        <v>3377</v>
      </c>
      <c r="AH105">
        <v>3.0748164406451748</v>
      </c>
      <c r="AI105">
        <v>28.1</v>
      </c>
      <c r="AJ105" t="s">
        <v>69</v>
      </c>
      <c r="AK105" t="s">
        <v>69</v>
      </c>
      <c r="AM105"/>
      <c r="AN105">
        <v>59.72</v>
      </c>
      <c r="AO105">
        <v>6.7896391656699988</v>
      </c>
      <c r="AP105">
        <v>61.08</v>
      </c>
      <c r="AQ105">
        <v>8.1579593036494114</v>
      </c>
      <c r="AS105">
        <v>2.3E-2</v>
      </c>
      <c r="AT105">
        <v>1.0200000000000001E-2</v>
      </c>
      <c r="AW105" s="28">
        <f t="shared" si="5"/>
        <v>0.18121135873608288</v>
      </c>
      <c r="AX105">
        <f t="shared" si="6"/>
        <v>0.8</v>
      </c>
      <c r="AY105" s="62">
        <f t="shared" si="7"/>
        <v>0.14496908698886632</v>
      </c>
      <c r="AZ105" s="68" t="str">
        <f t="shared" si="8"/>
        <v>No</v>
      </c>
      <c r="BA105" s="68" t="str">
        <f t="shared" si="9"/>
        <v>No</v>
      </c>
    </row>
    <row r="106" spans="1:53" hidden="1">
      <c r="A106" t="s">
        <v>1815</v>
      </c>
      <c r="B106" t="s">
        <v>2392</v>
      </c>
      <c r="C106">
        <v>243</v>
      </c>
      <c r="F106" t="s">
        <v>1241</v>
      </c>
      <c r="G106" t="s">
        <v>1978</v>
      </c>
      <c r="I106">
        <v>2018</v>
      </c>
      <c r="N106" t="s">
        <v>36</v>
      </c>
      <c r="P106" t="s">
        <v>60</v>
      </c>
      <c r="Q106" t="s">
        <v>900</v>
      </c>
      <c r="R106" t="s">
        <v>888</v>
      </c>
      <c r="S106" t="s">
        <v>1997</v>
      </c>
      <c r="V106" t="s">
        <v>905</v>
      </c>
      <c r="Z106">
        <v>3</v>
      </c>
      <c r="AA106">
        <v>3</v>
      </c>
      <c r="AC106">
        <v>608</v>
      </c>
      <c r="AD106">
        <v>27</v>
      </c>
      <c r="AE106">
        <v>1767</v>
      </c>
      <c r="AF106">
        <v>27</v>
      </c>
      <c r="AG106" t="s">
        <v>3436</v>
      </c>
      <c r="AI106">
        <v>27</v>
      </c>
      <c r="AJ106" t="s">
        <v>2018</v>
      </c>
      <c r="AK106" t="s">
        <v>1279</v>
      </c>
      <c r="AN106">
        <v>7.8194945850000002</v>
      </c>
      <c r="AO106">
        <v>1.3506244573064998</v>
      </c>
      <c r="AP106">
        <v>6.866425993</v>
      </c>
      <c r="AQ106">
        <v>1.9509019933098164</v>
      </c>
      <c r="AS106">
        <v>-0.13</v>
      </c>
      <c r="AT106">
        <v>3.6900000000000002E-2</v>
      </c>
      <c r="AW106" s="28">
        <f t="shared" si="5"/>
        <v>-0.56803755716005422</v>
      </c>
      <c r="AX106">
        <f t="shared" si="6"/>
        <v>0.8</v>
      </c>
      <c r="AY106" s="62">
        <f t="shared" si="7"/>
        <v>-0.45443004572804341</v>
      </c>
      <c r="AZ106" s="68" t="str">
        <f t="shared" si="8"/>
        <v>No</v>
      </c>
      <c r="BA106" s="68" t="str">
        <f t="shared" si="9"/>
        <v>No</v>
      </c>
    </row>
    <row r="107" spans="1:53" hidden="1">
      <c r="A107" t="s">
        <v>1815</v>
      </c>
      <c r="B107" t="s">
        <v>2431</v>
      </c>
      <c r="C107">
        <v>243</v>
      </c>
      <c r="F107" t="s">
        <v>1241</v>
      </c>
      <c r="G107" t="s">
        <v>1978</v>
      </c>
      <c r="I107">
        <v>2017</v>
      </c>
      <c r="N107" t="s">
        <v>36</v>
      </c>
      <c r="P107" t="s">
        <v>60</v>
      </c>
      <c r="Q107" t="s">
        <v>900</v>
      </c>
      <c r="R107" t="s">
        <v>888</v>
      </c>
      <c r="S107" t="s">
        <v>1997</v>
      </c>
      <c r="V107" t="s">
        <v>905</v>
      </c>
      <c r="Z107">
        <v>3</v>
      </c>
      <c r="AA107">
        <v>3</v>
      </c>
      <c r="AC107">
        <v>608</v>
      </c>
      <c r="AD107">
        <v>27</v>
      </c>
      <c r="AE107">
        <v>1767</v>
      </c>
      <c r="AF107">
        <v>27</v>
      </c>
      <c r="AG107" t="s">
        <v>3436</v>
      </c>
      <c r="AI107">
        <v>27</v>
      </c>
      <c r="AJ107" t="s">
        <v>1205</v>
      </c>
      <c r="AK107" t="s">
        <v>40</v>
      </c>
      <c r="AN107">
        <v>17.054913289999998</v>
      </c>
      <c r="AO107">
        <v>1.3547854582243171</v>
      </c>
      <c r="AP107">
        <v>12.58310724</v>
      </c>
      <c r="AQ107">
        <v>1.4837020777739549</v>
      </c>
      <c r="AS107">
        <v>-0.30409999999999998</v>
      </c>
      <c r="AT107">
        <v>6.7000000000000002E-3</v>
      </c>
      <c r="AW107" s="28">
        <f t="shared" si="5"/>
        <v>-3.1475925376384315</v>
      </c>
      <c r="AX107">
        <f t="shared" si="6"/>
        <v>0.8</v>
      </c>
      <c r="AY107" s="62">
        <f t="shared" si="7"/>
        <v>-2.5180740301107454</v>
      </c>
      <c r="AZ107" s="68" t="str">
        <f t="shared" si="8"/>
        <v>No</v>
      </c>
      <c r="BA107" s="68" t="str">
        <f t="shared" si="9"/>
        <v>No</v>
      </c>
    </row>
    <row r="108" spans="1:53" hidden="1">
      <c r="A108" t="s">
        <v>1815</v>
      </c>
      <c r="B108" t="s">
        <v>2459</v>
      </c>
      <c r="C108">
        <v>243</v>
      </c>
      <c r="F108" t="s">
        <v>1241</v>
      </c>
      <c r="G108" t="s">
        <v>1978</v>
      </c>
      <c r="N108" t="s">
        <v>36</v>
      </c>
      <c r="P108" t="s">
        <v>60</v>
      </c>
      <c r="Q108" t="s">
        <v>900</v>
      </c>
      <c r="R108" t="s">
        <v>888</v>
      </c>
      <c r="S108" t="s">
        <v>1997</v>
      </c>
      <c r="V108" t="s">
        <v>905</v>
      </c>
      <c r="Z108">
        <v>3</v>
      </c>
      <c r="AA108">
        <v>3</v>
      </c>
      <c r="AC108">
        <v>608</v>
      </c>
      <c r="AD108">
        <v>27</v>
      </c>
      <c r="AE108">
        <v>1767</v>
      </c>
      <c r="AF108">
        <v>27</v>
      </c>
      <c r="AG108" t="s">
        <v>3436</v>
      </c>
      <c r="AI108">
        <v>27</v>
      </c>
      <c r="AJ108" t="s">
        <v>2013</v>
      </c>
      <c r="AK108" t="s">
        <v>770</v>
      </c>
      <c r="AN108">
        <v>45.313569540000003</v>
      </c>
      <c r="AO108">
        <v>24.220132467639392</v>
      </c>
      <c r="AP108">
        <v>16.765539950000001</v>
      </c>
      <c r="AQ108">
        <v>8.4220046035918106</v>
      </c>
      <c r="AS108">
        <v>-0.99429999999999996</v>
      </c>
      <c r="AT108">
        <v>0.17929999999999999</v>
      </c>
      <c r="AW108" s="28">
        <f t="shared" si="5"/>
        <v>-1.5744482965489888</v>
      </c>
      <c r="AX108">
        <f t="shared" si="6"/>
        <v>0.8</v>
      </c>
      <c r="AY108" s="62">
        <f t="shared" si="7"/>
        <v>-1.2595586372391911</v>
      </c>
      <c r="AZ108" s="68" t="str">
        <f t="shared" si="8"/>
        <v>No</v>
      </c>
      <c r="BA108" s="68" t="str">
        <f t="shared" si="9"/>
        <v>No</v>
      </c>
    </row>
    <row r="109" spans="1:53" hidden="1">
      <c r="A109" t="s">
        <v>1815</v>
      </c>
      <c r="B109" t="s">
        <v>2231</v>
      </c>
      <c r="C109">
        <v>243</v>
      </c>
      <c r="F109" t="s">
        <v>1241</v>
      </c>
      <c r="G109" t="s">
        <v>1978</v>
      </c>
      <c r="I109">
        <v>2018</v>
      </c>
      <c r="N109" t="s">
        <v>36</v>
      </c>
      <c r="P109" t="s">
        <v>60</v>
      </c>
      <c r="Q109" t="s">
        <v>900</v>
      </c>
      <c r="R109" t="s">
        <v>888</v>
      </c>
      <c r="S109" t="s">
        <v>1997</v>
      </c>
      <c r="V109" t="s">
        <v>907</v>
      </c>
      <c r="Z109">
        <v>3</v>
      </c>
      <c r="AA109">
        <v>3</v>
      </c>
      <c r="AC109">
        <v>608</v>
      </c>
      <c r="AD109">
        <v>27</v>
      </c>
      <c r="AE109">
        <v>745</v>
      </c>
      <c r="AF109">
        <v>32</v>
      </c>
      <c r="AG109" t="s">
        <v>3436</v>
      </c>
      <c r="AI109">
        <v>27</v>
      </c>
      <c r="AJ109" t="s">
        <v>2013</v>
      </c>
      <c r="AK109" t="s">
        <v>770</v>
      </c>
      <c r="AN109">
        <v>45.313569540000003</v>
      </c>
      <c r="AO109">
        <v>24.220132467639392</v>
      </c>
      <c r="AP109">
        <v>73.265914800000004</v>
      </c>
      <c r="AQ109">
        <v>9.4763430381341713</v>
      </c>
      <c r="AS109">
        <v>0.48049999999999998</v>
      </c>
      <c r="AT109">
        <v>0.1008</v>
      </c>
      <c r="AW109" s="28">
        <f t="shared" si="5"/>
        <v>1.5199396620516514</v>
      </c>
      <c r="AX109">
        <f t="shared" si="6"/>
        <v>0.8</v>
      </c>
      <c r="AY109" s="62">
        <f t="shared" si="7"/>
        <v>1.2159517296413211</v>
      </c>
      <c r="AZ109" s="68" t="str">
        <f t="shared" si="8"/>
        <v>No</v>
      </c>
      <c r="BA109" s="68" t="str">
        <f t="shared" si="9"/>
        <v>No</v>
      </c>
    </row>
    <row r="110" spans="1:53" hidden="1">
      <c r="A110" t="s">
        <v>1815</v>
      </c>
      <c r="B110" t="s">
        <v>2242</v>
      </c>
      <c r="C110">
        <v>243</v>
      </c>
      <c r="F110" t="s">
        <v>1241</v>
      </c>
      <c r="G110" t="s">
        <v>1978</v>
      </c>
      <c r="I110">
        <v>2018</v>
      </c>
      <c r="N110" t="s">
        <v>36</v>
      </c>
      <c r="P110" t="s">
        <v>60</v>
      </c>
      <c r="Q110" t="s">
        <v>900</v>
      </c>
      <c r="R110" t="s">
        <v>888</v>
      </c>
      <c r="S110" t="s">
        <v>1997</v>
      </c>
      <c r="V110" t="s">
        <v>907</v>
      </c>
      <c r="Z110">
        <v>3</v>
      </c>
      <c r="AA110">
        <v>3</v>
      </c>
      <c r="AC110">
        <v>608</v>
      </c>
      <c r="AD110">
        <v>27</v>
      </c>
      <c r="AE110">
        <v>745</v>
      </c>
      <c r="AF110">
        <v>32</v>
      </c>
      <c r="AG110" t="s">
        <v>3436</v>
      </c>
      <c r="AI110">
        <v>27</v>
      </c>
      <c r="AJ110" t="s">
        <v>2018</v>
      </c>
      <c r="AK110" t="s">
        <v>1279</v>
      </c>
      <c r="AN110">
        <v>7.8194945850000002</v>
      </c>
      <c r="AO110">
        <v>1.3506244573064998</v>
      </c>
      <c r="AP110">
        <v>10.722021659999999</v>
      </c>
      <c r="AQ110">
        <v>1.2005550720066327</v>
      </c>
      <c r="AS110">
        <v>0.31569999999999998</v>
      </c>
      <c r="AT110">
        <v>1.41E-2</v>
      </c>
      <c r="AW110" s="28">
        <f t="shared" si="5"/>
        <v>2.2715127360070908</v>
      </c>
      <c r="AX110">
        <f t="shared" si="6"/>
        <v>0.8</v>
      </c>
      <c r="AY110" s="62">
        <f t="shared" si="7"/>
        <v>1.8172101888056726</v>
      </c>
      <c r="AZ110" s="68" t="str">
        <f t="shared" si="8"/>
        <v>No</v>
      </c>
      <c r="BA110" s="68" t="str">
        <f t="shared" si="9"/>
        <v>No</v>
      </c>
    </row>
    <row r="111" spans="1:53" hidden="1">
      <c r="A111" t="s">
        <v>1815</v>
      </c>
      <c r="B111" t="s">
        <v>2283</v>
      </c>
      <c r="C111">
        <v>243</v>
      </c>
      <c r="F111" t="s">
        <v>1241</v>
      </c>
      <c r="G111" t="s">
        <v>1978</v>
      </c>
      <c r="I111">
        <v>2018</v>
      </c>
      <c r="N111" t="s">
        <v>36</v>
      </c>
      <c r="P111" t="s">
        <v>60</v>
      </c>
      <c r="Q111" t="s">
        <v>900</v>
      </c>
      <c r="R111" t="s">
        <v>888</v>
      </c>
      <c r="S111" t="s">
        <v>1997</v>
      </c>
      <c r="V111" t="s">
        <v>907</v>
      </c>
      <c r="Z111">
        <v>3</v>
      </c>
      <c r="AA111">
        <v>3</v>
      </c>
      <c r="AC111">
        <v>608</v>
      </c>
      <c r="AD111">
        <v>27</v>
      </c>
      <c r="AE111">
        <v>745</v>
      </c>
      <c r="AF111">
        <v>32</v>
      </c>
      <c r="AG111" t="s">
        <v>3436</v>
      </c>
      <c r="AI111">
        <v>27</v>
      </c>
      <c r="AJ111" t="s">
        <v>1205</v>
      </c>
      <c r="AK111" t="s">
        <v>40</v>
      </c>
      <c r="AN111">
        <v>17.054913289999998</v>
      </c>
      <c r="AO111">
        <v>1.3547854582243171</v>
      </c>
      <c r="AP111">
        <v>21.115401540000001</v>
      </c>
      <c r="AQ111">
        <v>0.58078097975194487</v>
      </c>
      <c r="AS111">
        <v>0.21360000000000001</v>
      </c>
      <c r="AT111">
        <v>2.3999999999999998E-3</v>
      </c>
      <c r="AW111" s="28">
        <f t="shared" si="5"/>
        <v>3.8957255907505717</v>
      </c>
      <c r="AX111">
        <f t="shared" si="6"/>
        <v>0.8</v>
      </c>
      <c r="AY111" s="62">
        <f t="shared" si="7"/>
        <v>3.1165804726004573</v>
      </c>
      <c r="AZ111" s="68" t="str">
        <f t="shared" si="8"/>
        <v>No</v>
      </c>
      <c r="BA111" s="68" t="str">
        <f t="shared" si="9"/>
        <v>No</v>
      </c>
    </row>
    <row r="112" spans="1:53" hidden="1">
      <c r="A112" t="s">
        <v>1815</v>
      </c>
      <c r="B112" t="s">
        <v>2239</v>
      </c>
      <c r="C112">
        <v>243</v>
      </c>
      <c r="F112" t="s">
        <v>1241</v>
      </c>
      <c r="G112" t="s">
        <v>1978</v>
      </c>
      <c r="I112">
        <v>2018</v>
      </c>
      <c r="N112" t="s">
        <v>36</v>
      </c>
      <c r="P112" t="s">
        <v>60</v>
      </c>
      <c r="Q112" t="s">
        <v>900</v>
      </c>
      <c r="R112" t="s">
        <v>888</v>
      </c>
      <c r="S112" t="s">
        <v>1997</v>
      </c>
      <c r="V112" t="s">
        <v>1015</v>
      </c>
      <c r="Z112">
        <v>3</v>
      </c>
      <c r="AA112">
        <v>3</v>
      </c>
      <c r="AC112">
        <v>608</v>
      </c>
      <c r="AD112">
        <v>27</v>
      </c>
      <c r="AE112">
        <v>2113</v>
      </c>
      <c r="AF112">
        <v>32</v>
      </c>
      <c r="AG112" t="s">
        <v>3436</v>
      </c>
      <c r="AI112">
        <v>27</v>
      </c>
      <c r="AJ112" t="s">
        <v>2018</v>
      </c>
      <c r="AK112" t="s">
        <v>1279</v>
      </c>
      <c r="AN112">
        <v>7.8194945850000002</v>
      </c>
      <c r="AO112">
        <v>1.3506244573064998</v>
      </c>
      <c r="AP112">
        <v>11.06859206</v>
      </c>
      <c r="AQ112">
        <v>0.41269080611053321</v>
      </c>
      <c r="AS112">
        <v>0.34749999999999998</v>
      </c>
      <c r="AT112">
        <v>1.04E-2</v>
      </c>
      <c r="AW112" s="28">
        <f t="shared" si="5"/>
        <v>3.253574116562163</v>
      </c>
      <c r="AX112">
        <f t="shared" si="6"/>
        <v>0.8</v>
      </c>
      <c r="AY112" s="62">
        <f t="shared" si="7"/>
        <v>2.6028592932497308</v>
      </c>
      <c r="AZ112" s="68" t="str">
        <f t="shared" si="8"/>
        <v>No</v>
      </c>
      <c r="BA112" s="68" t="str">
        <f t="shared" si="9"/>
        <v>No</v>
      </c>
    </row>
    <row r="113" spans="1:53" hidden="1">
      <c r="A113" t="s">
        <v>1815</v>
      </c>
      <c r="B113" t="s">
        <v>2291</v>
      </c>
      <c r="C113">
        <v>243</v>
      </c>
      <c r="F113" t="s">
        <v>1241</v>
      </c>
      <c r="G113" t="s">
        <v>1978</v>
      </c>
      <c r="I113">
        <v>2019</v>
      </c>
      <c r="N113" t="s">
        <v>36</v>
      </c>
      <c r="P113" t="s">
        <v>60</v>
      </c>
      <c r="Q113" t="s">
        <v>900</v>
      </c>
      <c r="R113" t="s">
        <v>888</v>
      </c>
      <c r="S113" t="s">
        <v>1997</v>
      </c>
      <c r="V113" t="s">
        <v>1015</v>
      </c>
      <c r="Z113">
        <v>3</v>
      </c>
      <c r="AA113">
        <v>3</v>
      </c>
      <c r="AC113">
        <v>608</v>
      </c>
      <c r="AD113">
        <v>27</v>
      </c>
      <c r="AE113">
        <v>2113</v>
      </c>
      <c r="AF113">
        <v>32</v>
      </c>
      <c r="AG113" t="s">
        <v>3436</v>
      </c>
      <c r="AI113">
        <v>27</v>
      </c>
      <c r="AJ113" t="s">
        <v>1205</v>
      </c>
      <c r="AK113" t="s">
        <v>40</v>
      </c>
      <c r="AN113">
        <v>17.054913289999998</v>
      </c>
      <c r="AO113">
        <v>1.3547854582243171</v>
      </c>
      <c r="AP113">
        <v>20.926965880000001</v>
      </c>
      <c r="AQ113">
        <v>0.83871516970048898</v>
      </c>
      <c r="AS113">
        <v>0.2046</v>
      </c>
      <c r="AT113">
        <v>2.5999999999999999E-3</v>
      </c>
      <c r="AW113" s="28">
        <f t="shared" si="5"/>
        <v>3.4366442559794037</v>
      </c>
      <c r="AX113">
        <f t="shared" si="6"/>
        <v>0.8</v>
      </c>
      <c r="AY113" s="62">
        <f t="shared" si="7"/>
        <v>2.7493154047835233</v>
      </c>
      <c r="AZ113" s="68" t="str">
        <f t="shared" si="8"/>
        <v>No</v>
      </c>
      <c r="BA113" s="68" t="str">
        <f t="shared" si="9"/>
        <v>No</v>
      </c>
    </row>
    <row r="114" spans="1:53" hidden="1">
      <c r="A114" t="s">
        <v>1815</v>
      </c>
      <c r="B114" t="s">
        <v>2324</v>
      </c>
      <c r="C114">
        <v>243</v>
      </c>
      <c r="F114" t="s">
        <v>1241</v>
      </c>
      <c r="G114" t="s">
        <v>1978</v>
      </c>
      <c r="I114">
        <v>2021</v>
      </c>
      <c r="N114" t="s">
        <v>36</v>
      </c>
      <c r="P114" t="s">
        <v>60</v>
      </c>
      <c r="Q114" t="s">
        <v>900</v>
      </c>
      <c r="R114" t="s">
        <v>888</v>
      </c>
      <c r="S114" t="s">
        <v>1997</v>
      </c>
      <c r="V114" t="s">
        <v>1015</v>
      </c>
      <c r="Z114">
        <v>3</v>
      </c>
      <c r="AA114">
        <v>3</v>
      </c>
      <c r="AC114">
        <v>608</v>
      </c>
      <c r="AD114">
        <v>27</v>
      </c>
      <c r="AE114">
        <v>2113</v>
      </c>
      <c r="AF114">
        <v>32</v>
      </c>
      <c r="AG114" t="s">
        <v>3436</v>
      </c>
      <c r="AI114">
        <v>27</v>
      </c>
      <c r="AJ114" t="s">
        <v>2013</v>
      </c>
      <c r="AK114" t="s">
        <v>770</v>
      </c>
      <c r="AN114">
        <v>45.313569540000003</v>
      </c>
      <c r="AO114">
        <v>24.220132467639392</v>
      </c>
      <c r="AP114">
        <v>48.369405780000001</v>
      </c>
      <c r="AQ114">
        <v>21.047248643455468</v>
      </c>
      <c r="AS114">
        <v>6.5299999999999997E-2</v>
      </c>
      <c r="AT114">
        <v>0.1583</v>
      </c>
      <c r="AW114" s="28">
        <f t="shared" si="5"/>
        <v>0.13468229034107718</v>
      </c>
      <c r="AX114">
        <f t="shared" si="6"/>
        <v>0.8</v>
      </c>
      <c r="AY114" s="62">
        <f t="shared" si="7"/>
        <v>0.10774583227286175</v>
      </c>
      <c r="AZ114" s="68" t="str">
        <f t="shared" si="8"/>
        <v>No</v>
      </c>
      <c r="BA114" s="68" t="str">
        <f t="shared" si="9"/>
        <v>No</v>
      </c>
    </row>
    <row r="115" spans="1:53" hidden="1">
      <c r="A115" t="s">
        <v>1815</v>
      </c>
      <c r="B115" t="s">
        <v>2696</v>
      </c>
      <c r="C115">
        <v>75</v>
      </c>
      <c r="F115" t="s">
        <v>1241</v>
      </c>
      <c r="G115" t="s">
        <v>1709</v>
      </c>
      <c r="I115">
        <v>2017</v>
      </c>
      <c r="N115" t="s">
        <v>36</v>
      </c>
      <c r="P115" t="s">
        <v>60</v>
      </c>
      <c r="Q115" t="s">
        <v>900</v>
      </c>
      <c r="R115" t="s">
        <v>1741</v>
      </c>
      <c r="S115" t="s">
        <v>1761</v>
      </c>
      <c r="V115" t="s">
        <v>905</v>
      </c>
      <c r="Z115">
        <v>3</v>
      </c>
      <c r="AA115">
        <v>3</v>
      </c>
      <c r="AC115">
        <v>458</v>
      </c>
      <c r="AD115">
        <v>-1.6</v>
      </c>
      <c r="AE115">
        <v>1045</v>
      </c>
      <c r="AF115">
        <v>-1.6</v>
      </c>
      <c r="AG115" t="s">
        <v>3360</v>
      </c>
      <c r="AH115">
        <v>3.019116290447073</v>
      </c>
      <c r="AI115">
        <v>-1.6</v>
      </c>
      <c r="AJ115" t="s">
        <v>1099</v>
      </c>
      <c r="AK115" t="s">
        <v>40</v>
      </c>
      <c r="AM115"/>
      <c r="AN115">
        <v>5.98</v>
      </c>
      <c r="AO115">
        <v>0.24248711305964282</v>
      </c>
      <c r="AP115">
        <v>2.97</v>
      </c>
      <c r="AQ115">
        <v>3.7065887281973975</v>
      </c>
      <c r="AS115">
        <v>-0.69899999999999995</v>
      </c>
      <c r="AT115">
        <v>0.51870000000000005</v>
      </c>
      <c r="AW115" s="28">
        <f t="shared" si="5"/>
        <v>-1.1459870717612055</v>
      </c>
      <c r="AX115">
        <f t="shared" si="6"/>
        <v>0.8</v>
      </c>
      <c r="AY115" s="62">
        <f t="shared" si="7"/>
        <v>-0.91678965740896445</v>
      </c>
      <c r="AZ115" s="68" t="str">
        <f t="shared" si="8"/>
        <v>No</v>
      </c>
      <c r="BA115" s="68" t="str">
        <f t="shared" si="9"/>
        <v>No</v>
      </c>
    </row>
    <row r="116" spans="1:53" hidden="1">
      <c r="A116" t="s">
        <v>1815</v>
      </c>
      <c r="B116" t="s">
        <v>2697</v>
      </c>
      <c r="C116">
        <v>75</v>
      </c>
      <c r="F116" t="s">
        <v>1241</v>
      </c>
      <c r="G116" t="s">
        <v>1709</v>
      </c>
      <c r="I116">
        <v>2017</v>
      </c>
      <c r="N116" t="s">
        <v>36</v>
      </c>
      <c r="P116" t="s">
        <v>60</v>
      </c>
      <c r="Q116" t="s">
        <v>900</v>
      </c>
      <c r="R116" t="s">
        <v>1741</v>
      </c>
      <c r="S116" t="s">
        <v>1761</v>
      </c>
      <c r="V116" t="s">
        <v>905</v>
      </c>
      <c r="Z116">
        <v>3</v>
      </c>
      <c r="AA116">
        <v>3</v>
      </c>
      <c r="AC116">
        <v>458</v>
      </c>
      <c r="AD116">
        <v>-1.6</v>
      </c>
      <c r="AE116">
        <v>1045</v>
      </c>
      <c r="AF116">
        <v>-1.6</v>
      </c>
      <c r="AG116" t="s">
        <v>3360</v>
      </c>
      <c r="AH116">
        <v>3.019116290447073</v>
      </c>
      <c r="AI116">
        <v>-1.6</v>
      </c>
      <c r="AJ116" t="s">
        <v>1790</v>
      </c>
      <c r="AK116" t="s">
        <v>770</v>
      </c>
      <c r="AM116"/>
      <c r="AN116">
        <v>29.04</v>
      </c>
      <c r="AO116">
        <v>7.4304979644704829</v>
      </c>
      <c r="AP116">
        <v>56.57</v>
      </c>
      <c r="AQ116">
        <v>34.104080401031197</v>
      </c>
      <c r="AS116">
        <v>-0.49099999999999999</v>
      </c>
      <c r="AT116">
        <v>0.2092</v>
      </c>
      <c r="AW116" s="28">
        <f t="shared" si="5"/>
        <v>1.1154342617507704</v>
      </c>
      <c r="AX116">
        <f t="shared" si="6"/>
        <v>0.8</v>
      </c>
      <c r="AY116" s="62">
        <f t="shared" si="7"/>
        <v>0.89234740940061641</v>
      </c>
      <c r="AZ116" s="68" t="str">
        <f t="shared" si="8"/>
        <v>No</v>
      </c>
      <c r="BA116" s="68" t="str">
        <f t="shared" si="9"/>
        <v>No</v>
      </c>
    </row>
    <row r="117" spans="1:53" hidden="1">
      <c r="A117" t="s">
        <v>1815</v>
      </c>
      <c r="B117" t="s">
        <v>2699</v>
      </c>
      <c r="C117">
        <v>75</v>
      </c>
      <c r="F117" t="s">
        <v>1241</v>
      </c>
      <c r="G117" t="s">
        <v>1709</v>
      </c>
      <c r="I117">
        <v>2017</v>
      </c>
      <c r="N117" t="s">
        <v>36</v>
      </c>
      <c r="P117" t="s">
        <v>60</v>
      </c>
      <c r="Q117" t="s">
        <v>900</v>
      </c>
      <c r="R117" t="s">
        <v>1741</v>
      </c>
      <c r="S117" t="s">
        <v>1761</v>
      </c>
      <c r="V117" t="s">
        <v>905</v>
      </c>
      <c r="Z117">
        <v>3</v>
      </c>
      <c r="AA117">
        <v>3</v>
      </c>
      <c r="AC117">
        <v>458</v>
      </c>
      <c r="AD117">
        <v>-1.6</v>
      </c>
      <c r="AE117">
        <v>714</v>
      </c>
      <c r="AF117">
        <v>-1.6</v>
      </c>
      <c r="AG117" t="s">
        <v>3360</v>
      </c>
      <c r="AH117">
        <v>2.8536982117761744</v>
      </c>
      <c r="AI117">
        <v>-1.6</v>
      </c>
      <c r="AJ117" t="s">
        <v>1790</v>
      </c>
      <c r="AK117" t="s">
        <v>770</v>
      </c>
      <c r="AM117"/>
      <c r="AN117">
        <v>29.04</v>
      </c>
      <c r="AO117">
        <v>7.4304979644704829</v>
      </c>
      <c r="AP117">
        <v>51.77</v>
      </c>
      <c r="AQ117">
        <v>15.744341840801093</v>
      </c>
      <c r="AS117">
        <v>-0.38600000000000001</v>
      </c>
      <c r="AT117">
        <v>3.9199999999999999E-2</v>
      </c>
      <c r="AW117" s="28">
        <f t="shared" si="5"/>
        <v>1.8463919636027697</v>
      </c>
      <c r="AX117">
        <f t="shared" si="6"/>
        <v>0.8</v>
      </c>
      <c r="AY117" s="62">
        <f t="shared" si="7"/>
        <v>1.4771135708822158</v>
      </c>
      <c r="AZ117" s="68" t="str">
        <f t="shared" si="8"/>
        <v>No</v>
      </c>
      <c r="BA117" s="68" t="str">
        <f t="shared" si="9"/>
        <v>No</v>
      </c>
    </row>
    <row r="118" spans="1:53" hidden="1">
      <c r="A118" t="s">
        <v>1815</v>
      </c>
      <c r="B118" t="s">
        <v>2707</v>
      </c>
      <c r="C118">
        <v>75</v>
      </c>
      <c r="F118" t="s">
        <v>1241</v>
      </c>
      <c r="G118" t="s">
        <v>1709</v>
      </c>
      <c r="I118">
        <v>2017</v>
      </c>
      <c r="N118" t="s">
        <v>36</v>
      </c>
      <c r="P118" t="s">
        <v>60</v>
      </c>
      <c r="Q118" t="s">
        <v>900</v>
      </c>
      <c r="R118" t="s">
        <v>1741</v>
      </c>
      <c r="S118" t="s">
        <v>1761</v>
      </c>
      <c r="V118" t="s">
        <v>905</v>
      </c>
      <c r="Z118">
        <v>3</v>
      </c>
      <c r="AA118">
        <v>3</v>
      </c>
      <c r="AC118">
        <v>458</v>
      </c>
      <c r="AD118">
        <v>-1.6</v>
      </c>
      <c r="AE118">
        <v>714</v>
      </c>
      <c r="AF118">
        <v>-1.6</v>
      </c>
      <c r="AG118" t="s">
        <v>3360</v>
      </c>
      <c r="AH118">
        <v>2.8536982117761744</v>
      </c>
      <c r="AI118">
        <v>-1.6</v>
      </c>
      <c r="AJ118" t="s">
        <v>1805</v>
      </c>
      <c r="AK118" t="s">
        <v>904</v>
      </c>
      <c r="AM118"/>
      <c r="AN118">
        <v>3.43</v>
      </c>
      <c r="AO118">
        <v>0.57157676649772948</v>
      </c>
      <c r="AP118">
        <v>7.11</v>
      </c>
      <c r="AQ118">
        <v>0.84870489570874985</v>
      </c>
      <c r="AS118">
        <v>3.9E-2</v>
      </c>
      <c r="AT118">
        <v>1E-4</v>
      </c>
      <c r="AW118" s="28">
        <f t="shared" si="5"/>
        <v>5.0861536479226608</v>
      </c>
      <c r="AX118">
        <f t="shared" si="6"/>
        <v>0.8</v>
      </c>
      <c r="AY118" s="62">
        <f t="shared" si="7"/>
        <v>4.0689229183381288</v>
      </c>
      <c r="AZ118" s="68" t="str">
        <f t="shared" si="8"/>
        <v>No</v>
      </c>
      <c r="BA118" s="68" t="str">
        <f t="shared" si="9"/>
        <v>No</v>
      </c>
    </row>
    <row r="119" spans="1:53" hidden="1">
      <c r="A119" t="s">
        <v>1815</v>
      </c>
      <c r="B119" t="s">
        <v>2711</v>
      </c>
      <c r="C119">
        <v>75</v>
      </c>
      <c r="F119" t="s">
        <v>1241</v>
      </c>
      <c r="G119" t="s">
        <v>1709</v>
      </c>
      <c r="I119">
        <v>2017</v>
      </c>
      <c r="N119" t="s">
        <v>36</v>
      </c>
      <c r="P119" t="s">
        <v>60</v>
      </c>
      <c r="Q119" t="s">
        <v>900</v>
      </c>
      <c r="R119" t="s">
        <v>1741</v>
      </c>
      <c r="S119" t="s">
        <v>1761</v>
      </c>
      <c r="V119" t="s">
        <v>905</v>
      </c>
      <c r="Z119">
        <v>3</v>
      </c>
      <c r="AA119">
        <v>3</v>
      </c>
      <c r="AC119">
        <v>458</v>
      </c>
      <c r="AD119">
        <v>-1.6</v>
      </c>
      <c r="AE119">
        <v>1045</v>
      </c>
      <c r="AF119">
        <v>-1.6</v>
      </c>
      <c r="AG119" t="s">
        <v>3360</v>
      </c>
      <c r="AH119">
        <v>3.019116290447073</v>
      </c>
      <c r="AI119">
        <v>-1.6</v>
      </c>
      <c r="AJ119" t="s">
        <v>1805</v>
      </c>
      <c r="AK119" t="s">
        <v>904</v>
      </c>
      <c r="AM119"/>
      <c r="AN119">
        <v>3.43</v>
      </c>
      <c r="AO119">
        <v>0.57157676649772948</v>
      </c>
      <c r="AP119">
        <v>12.32</v>
      </c>
      <c r="AQ119">
        <v>2.1131019852340303</v>
      </c>
      <c r="AS119">
        <v>9.7000000000000003E-2</v>
      </c>
      <c r="AT119">
        <v>2.0000000000000001E-4</v>
      </c>
      <c r="AW119" s="28">
        <f t="shared" si="5"/>
        <v>5.7433182955438138</v>
      </c>
      <c r="AX119">
        <f t="shared" si="6"/>
        <v>0.8</v>
      </c>
      <c r="AY119" s="62">
        <f t="shared" si="7"/>
        <v>4.5946546364350516</v>
      </c>
      <c r="AZ119" s="68" t="str">
        <f t="shared" si="8"/>
        <v>No</v>
      </c>
      <c r="BA119" s="68" t="str">
        <f t="shared" si="9"/>
        <v>No</v>
      </c>
    </row>
    <row r="120" spans="1:53" hidden="1">
      <c r="A120" t="s">
        <v>1815</v>
      </c>
      <c r="B120" t="s">
        <v>2712</v>
      </c>
      <c r="C120">
        <v>75</v>
      </c>
      <c r="F120" t="s">
        <v>1241</v>
      </c>
      <c r="G120" t="s">
        <v>1709</v>
      </c>
      <c r="I120">
        <v>2011</v>
      </c>
      <c r="N120" t="s">
        <v>36</v>
      </c>
      <c r="P120" t="s">
        <v>60</v>
      </c>
      <c r="Q120" t="s">
        <v>900</v>
      </c>
      <c r="R120" t="s">
        <v>1741</v>
      </c>
      <c r="S120" t="s">
        <v>1761</v>
      </c>
      <c r="V120" t="s">
        <v>905</v>
      </c>
      <c r="Z120">
        <v>3</v>
      </c>
      <c r="AA120">
        <v>3</v>
      </c>
      <c r="AC120">
        <v>458</v>
      </c>
      <c r="AD120">
        <v>-1.6</v>
      </c>
      <c r="AE120">
        <v>714</v>
      </c>
      <c r="AF120">
        <v>-1.6</v>
      </c>
      <c r="AG120" t="s">
        <v>3360</v>
      </c>
      <c r="AH120">
        <v>2.8536982117761744</v>
      </c>
      <c r="AI120">
        <v>-1.6</v>
      </c>
      <c r="AJ120" t="s">
        <v>1099</v>
      </c>
      <c r="AK120" t="s">
        <v>40</v>
      </c>
      <c r="AM120"/>
      <c r="AN120">
        <v>5.98</v>
      </c>
      <c r="AO120">
        <v>0.24248711305964282</v>
      </c>
      <c r="AP120">
        <v>6.59</v>
      </c>
      <c r="AQ120">
        <v>0.74478184725461716</v>
      </c>
      <c r="AS120">
        <v>9.8000000000000004E-2</v>
      </c>
      <c r="AT120">
        <v>4.8999999999999998E-3</v>
      </c>
      <c r="AW120" s="28">
        <f t="shared" si="5"/>
        <v>1.1013809217524717</v>
      </c>
      <c r="AX120">
        <f t="shared" si="6"/>
        <v>0.8</v>
      </c>
      <c r="AY120" s="62">
        <f t="shared" si="7"/>
        <v>0.88110473740197737</v>
      </c>
      <c r="AZ120" s="68" t="str">
        <f t="shared" si="8"/>
        <v>No</v>
      </c>
      <c r="BA120" s="68" t="str">
        <f t="shared" si="9"/>
        <v>No</v>
      </c>
    </row>
    <row r="121" spans="1:53" hidden="1">
      <c r="A121" t="s">
        <v>1815</v>
      </c>
      <c r="B121" t="s">
        <v>2856</v>
      </c>
      <c r="C121">
        <v>200</v>
      </c>
      <c r="F121" t="s">
        <v>1241</v>
      </c>
      <c r="G121" t="s">
        <v>1709</v>
      </c>
      <c r="I121">
        <v>2015</v>
      </c>
      <c r="N121" t="s">
        <v>36</v>
      </c>
      <c r="P121" t="s">
        <v>60</v>
      </c>
      <c r="Q121" t="s">
        <v>900</v>
      </c>
      <c r="R121" t="s">
        <v>1741</v>
      </c>
      <c r="S121" t="s">
        <v>1761</v>
      </c>
      <c r="V121" t="s">
        <v>905</v>
      </c>
      <c r="Z121">
        <v>6</v>
      </c>
      <c r="AA121">
        <v>6</v>
      </c>
      <c r="AC121">
        <v>350</v>
      </c>
      <c r="AD121">
        <v>-1.6</v>
      </c>
      <c r="AE121">
        <v>554</v>
      </c>
      <c r="AF121">
        <v>-1.6</v>
      </c>
      <c r="AG121" t="s">
        <v>3375</v>
      </c>
      <c r="AH121">
        <v>2.7435097647284299</v>
      </c>
      <c r="AI121">
        <v>-1.6</v>
      </c>
      <c r="AJ121" t="s">
        <v>1790</v>
      </c>
      <c r="AK121" t="s">
        <v>770</v>
      </c>
      <c r="AM121"/>
      <c r="AN121">
        <v>61.38</v>
      </c>
      <c r="AO121">
        <v>7.4954386129165247</v>
      </c>
      <c r="AP121">
        <v>67.22</v>
      </c>
      <c r="AQ121">
        <v>8.1568008434679822</v>
      </c>
      <c r="AS121">
        <v>-0.16400000000000001</v>
      </c>
      <c r="AT121">
        <v>1.66E-2</v>
      </c>
      <c r="AW121" s="28">
        <f t="shared" si="5"/>
        <v>0.74555385319758372</v>
      </c>
      <c r="AX121">
        <f t="shared" si="6"/>
        <v>0.92307692307692313</v>
      </c>
      <c r="AY121" s="62">
        <f t="shared" si="7"/>
        <v>0.68820355679776957</v>
      </c>
      <c r="AZ121" s="68" t="str">
        <f t="shared" si="8"/>
        <v>No</v>
      </c>
      <c r="BA121" s="68" t="str">
        <f t="shared" si="9"/>
        <v>No</v>
      </c>
    </row>
    <row r="122" spans="1:53" hidden="1">
      <c r="A122" t="s">
        <v>1815</v>
      </c>
      <c r="B122" t="s">
        <v>2857</v>
      </c>
      <c r="C122">
        <v>200</v>
      </c>
      <c r="F122" t="s">
        <v>1241</v>
      </c>
      <c r="G122" t="s">
        <v>1709</v>
      </c>
      <c r="I122">
        <v>2015</v>
      </c>
      <c r="N122" t="s">
        <v>36</v>
      </c>
      <c r="P122" t="s">
        <v>60</v>
      </c>
      <c r="Q122" t="s">
        <v>900</v>
      </c>
      <c r="R122" t="s">
        <v>1741</v>
      </c>
      <c r="S122" t="s">
        <v>1761</v>
      </c>
      <c r="V122" t="s">
        <v>905</v>
      </c>
      <c r="Z122">
        <v>6</v>
      </c>
      <c r="AA122">
        <v>6</v>
      </c>
      <c r="AC122">
        <v>350</v>
      </c>
      <c r="AD122">
        <v>-1.6</v>
      </c>
      <c r="AE122">
        <v>823</v>
      </c>
      <c r="AF122">
        <v>-1.6</v>
      </c>
      <c r="AG122" t="s">
        <v>3375</v>
      </c>
      <c r="AH122">
        <v>2.9153998352122699</v>
      </c>
      <c r="AI122">
        <v>-1.6</v>
      </c>
      <c r="AJ122" t="s">
        <v>1790</v>
      </c>
      <c r="AK122" t="s">
        <v>770</v>
      </c>
      <c r="AM122"/>
      <c r="AN122">
        <v>61.38</v>
      </c>
      <c r="AO122">
        <v>7.4954386129165247</v>
      </c>
      <c r="AP122">
        <v>64.72</v>
      </c>
      <c r="AQ122">
        <v>10.875734457957311</v>
      </c>
      <c r="AS122">
        <v>-0.09</v>
      </c>
      <c r="AT122">
        <v>2.2100000000000002E-2</v>
      </c>
      <c r="AW122" s="28">
        <f t="shared" si="5"/>
        <v>0.35760991187110092</v>
      </c>
      <c r="AX122">
        <f t="shared" si="6"/>
        <v>0.92307692307692313</v>
      </c>
      <c r="AY122" s="62">
        <f t="shared" si="7"/>
        <v>0.33010145711178546</v>
      </c>
      <c r="AZ122" s="68" t="str">
        <f t="shared" si="8"/>
        <v>No</v>
      </c>
      <c r="BA122" s="68" t="str">
        <f t="shared" si="9"/>
        <v>No</v>
      </c>
    </row>
    <row r="123" spans="1:53" hidden="1">
      <c r="A123" t="s">
        <v>1815</v>
      </c>
      <c r="B123" t="s">
        <v>2863</v>
      </c>
      <c r="C123">
        <v>200</v>
      </c>
      <c r="F123" t="s">
        <v>1241</v>
      </c>
      <c r="G123" t="s">
        <v>1709</v>
      </c>
      <c r="I123">
        <v>2015</v>
      </c>
      <c r="N123" t="s">
        <v>36</v>
      </c>
      <c r="P123" t="s">
        <v>60</v>
      </c>
      <c r="Q123" t="s">
        <v>900</v>
      </c>
      <c r="R123" t="s">
        <v>1741</v>
      </c>
      <c r="S123" t="s">
        <v>1761</v>
      </c>
      <c r="V123" t="s">
        <v>905</v>
      </c>
      <c r="Z123">
        <v>6</v>
      </c>
      <c r="AA123">
        <v>6</v>
      </c>
      <c r="AC123">
        <v>350</v>
      </c>
      <c r="AD123">
        <v>-1.6</v>
      </c>
      <c r="AE123">
        <v>554</v>
      </c>
      <c r="AF123">
        <v>-1.6</v>
      </c>
      <c r="AG123" t="s">
        <v>3375</v>
      </c>
      <c r="AH123">
        <v>2.7435097647284299</v>
      </c>
      <c r="AI123">
        <v>-1.6</v>
      </c>
      <c r="AJ123" t="s">
        <v>1811</v>
      </c>
      <c r="AK123" t="s">
        <v>770</v>
      </c>
      <c r="AM123"/>
      <c r="AN123">
        <v>13.25</v>
      </c>
      <c r="AO123">
        <v>7.4219539206330287</v>
      </c>
      <c r="AP123">
        <v>19.309999999999999</v>
      </c>
      <c r="AQ123">
        <v>11.145178329663459</v>
      </c>
      <c r="AS123">
        <v>0.377</v>
      </c>
      <c r="AT123">
        <v>0.10780000000000001</v>
      </c>
      <c r="AW123" s="28">
        <f t="shared" si="5"/>
        <v>0.64002508032267358</v>
      </c>
      <c r="AX123">
        <f t="shared" si="6"/>
        <v>0.92307692307692313</v>
      </c>
      <c r="AY123" s="62">
        <f t="shared" si="7"/>
        <v>0.59079238183631411</v>
      </c>
      <c r="AZ123" s="68" t="str">
        <f t="shared" si="8"/>
        <v>No</v>
      </c>
      <c r="BA123" s="68" t="str">
        <f t="shared" si="9"/>
        <v>No</v>
      </c>
    </row>
    <row r="124" spans="1:53" hidden="1">
      <c r="A124" t="s">
        <v>1815</v>
      </c>
      <c r="B124" t="s">
        <v>2864</v>
      </c>
      <c r="C124">
        <v>200</v>
      </c>
      <c r="F124" t="s">
        <v>1241</v>
      </c>
      <c r="G124" t="s">
        <v>1709</v>
      </c>
      <c r="I124">
        <v>2015</v>
      </c>
      <c r="N124" t="s">
        <v>36</v>
      </c>
      <c r="P124" t="s">
        <v>60</v>
      </c>
      <c r="Q124" t="s">
        <v>900</v>
      </c>
      <c r="R124" t="s">
        <v>1741</v>
      </c>
      <c r="S124" t="s">
        <v>1761</v>
      </c>
      <c r="V124" t="s">
        <v>905</v>
      </c>
      <c r="Z124">
        <v>6</v>
      </c>
      <c r="AA124">
        <v>6</v>
      </c>
      <c r="AC124">
        <v>350</v>
      </c>
      <c r="AD124">
        <v>-1.6</v>
      </c>
      <c r="AE124">
        <v>823</v>
      </c>
      <c r="AF124">
        <v>-1.6</v>
      </c>
      <c r="AG124" t="s">
        <v>3375</v>
      </c>
      <c r="AH124">
        <v>2.9153998352122699</v>
      </c>
      <c r="AI124">
        <v>-1.6</v>
      </c>
      <c r="AJ124" t="s">
        <v>1811</v>
      </c>
      <c r="AK124" t="s">
        <v>770</v>
      </c>
      <c r="AM124"/>
      <c r="AN124">
        <v>13.25</v>
      </c>
      <c r="AO124">
        <v>7.4219539206330287</v>
      </c>
      <c r="AP124">
        <v>25.75</v>
      </c>
      <c r="AQ124">
        <v>9.2835661251482442</v>
      </c>
      <c r="AS124">
        <v>0.66400000000000003</v>
      </c>
      <c r="AT124">
        <v>7.3999999999999996E-2</v>
      </c>
      <c r="AW124" s="28">
        <f t="shared" si="5"/>
        <v>1.4873050010695708</v>
      </c>
      <c r="AX124">
        <f t="shared" si="6"/>
        <v>0.92307692307692313</v>
      </c>
      <c r="AY124" s="62">
        <f t="shared" si="7"/>
        <v>1.3728969240642193</v>
      </c>
      <c r="AZ124" s="68" t="str">
        <f t="shared" si="8"/>
        <v>No</v>
      </c>
      <c r="BA124" s="68" t="str">
        <f t="shared" si="9"/>
        <v>No</v>
      </c>
    </row>
    <row r="125" spans="1:53" hidden="1">
      <c r="A125" t="s">
        <v>1815</v>
      </c>
      <c r="B125" t="s">
        <v>3229</v>
      </c>
      <c r="C125">
        <v>200</v>
      </c>
      <c r="F125" t="s">
        <v>1241</v>
      </c>
      <c r="G125" t="s">
        <v>1709</v>
      </c>
      <c r="I125">
        <v>2010</v>
      </c>
      <c r="N125" t="s">
        <v>36</v>
      </c>
      <c r="P125" t="s">
        <v>60</v>
      </c>
      <c r="Q125" t="s">
        <v>900</v>
      </c>
      <c r="R125" t="s">
        <v>1741</v>
      </c>
      <c r="S125" t="s">
        <v>1761</v>
      </c>
      <c r="V125" t="s">
        <v>905</v>
      </c>
      <c r="Z125">
        <v>6</v>
      </c>
      <c r="AA125">
        <v>6</v>
      </c>
      <c r="AC125">
        <v>350</v>
      </c>
      <c r="AD125" s="37">
        <v>-1.6</v>
      </c>
      <c r="AE125">
        <v>823</v>
      </c>
      <c r="AF125" s="37">
        <v>-1.6</v>
      </c>
      <c r="AG125" t="s">
        <v>3415</v>
      </c>
      <c r="AH125">
        <v>2.9153998352122699</v>
      </c>
      <c r="AI125" s="37">
        <v>-1.6</v>
      </c>
      <c r="AJ125" t="s">
        <v>1813</v>
      </c>
      <c r="AK125" t="s">
        <v>59</v>
      </c>
      <c r="AM125"/>
      <c r="AN125">
        <v>84.13</v>
      </c>
      <c r="AO125">
        <v>2.3025203582161873</v>
      </c>
      <c r="AP125">
        <v>84.84</v>
      </c>
      <c r="AQ125">
        <v>3.4537805373242807</v>
      </c>
      <c r="AS125">
        <v>8.0000000000000002E-3</v>
      </c>
      <c r="AT125">
        <v>4.0000000000000002E-4</v>
      </c>
      <c r="AW125" s="28">
        <f t="shared" si="5"/>
        <v>0.24189572170555992</v>
      </c>
      <c r="AX125">
        <f t="shared" si="6"/>
        <v>0.92307692307692313</v>
      </c>
      <c r="AY125" s="62">
        <f t="shared" si="7"/>
        <v>0.22328835849743994</v>
      </c>
      <c r="AZ125" s="68" t="str">
        <f t="shared" si="8"/>
        <v>No</v>
      </c>
      <c r="BA125" s="68" t="str">
        <f t="shared" si="9"/>
        <v>No</v>
      </c>
    </row>
    <row r="126" spans="1:53" hidden="1">
      <c r="A126" t="s">
        <v>1815</v>
      </c>
      <c r="B126" t="s">
        <v>3230</v>
      </c>
      <c r="C126">
        <v>200</v>
      </c>
      <c r="F126" t="s">
        <v>1241</v>
      </c>
      <c r="G126" t="s">
        <v>1709</v>
      </c>
      <c r="I126">
        <v>2010</v>
      </c>
      <c r="N126" t="s">
        <v>36</v>
      </c>
      <c r="P126" t="s">
        <v>60</v>
      </c>
      <c r="Q126" t="s">
        <v>900</v>
      </c>
      <c r="R126" t="s">
        <v>1741</v>
      </c>
      <c r="S126" t="s">
        <v>1761</v>
      </c>
      <c r="V126" t="s">
        <v>905</v>
      </c>
      <c r="Z126">
        <v>6</v>
      </c>
      <c r="AA126">
        <v>6</v>
      </c>
      <c r="AC126">
        <v>350</v>
      </c>
      <c r="AD126" s="37">
        <v>-1.6</v>
      </c>
      <c r="AE126">
        <v>554</v>
      </c>
      <c r="AF126" s="37">
        <v>-1.6</v>
      </c>
      <c r="AG126" t="s">
        <v>3415</v>
      </c>
      <c r="AH126">
        <v>2.7435097647284299</v>
      </c>
      <c r="AI126" s="37">
        <v>-1.6</v>
      </c>
      <c r="AJ126" t="s">
        <v>1813</v>
      </c>
      <c r="AK126" t="s">
        <v>59</v>
      </c>
      <c r="AM126"/>
      <c r="AN126">
        <v>84.13</v>
      </c>
      <c r="AO126">
        <v>2.3025203582161873</v>
      </c>
      <c r="AP126">
        <v>85.55</v>
      </c>
      <c r="AQ126">
        <v>5.192918254700337</v>
      </c>
      <c r="AS126">
        <v>1.7000000000000001E-2</v>
      </c>
      <c r="AT126">
        <v>6.9999999999999999E-4</v>
      </c>
      <c r="AW126" s="28">
        <f t="shared" si="5"/>
        <v>0.35352271027692467</v>
      </c>
      <c r="AX126">
        <f t="shared" si="6"/>
        <v>0.92307692307692313</v>
      </c>
      <c r="AY126" s="62">
        <f t="shared" si="7"/>
        <v>0.32632865564023816</v>
      </c>
      <c r="AZ126" s="68" t="str">
        <f t="shared" si="8"/>
        <v>No</v>
      </c>
      <c r="BA126" s="68" t="str">
        <f t="shared" si="9"/>
        <v>No</v>
      </c>
    </row>
    <row r="127" spans="1:53" hidden="1">
      <c r="A127" t="s">
        <v>1815</v>
      </c>
      <c r="B127" t="s">
        <v>2702</v>
      </c>
      <c r="C127">
        <v>75</v>
      </c>
      <c r="F127" t="s">
        <v>1241</v>
      </c>
      <c r="G127" t="s">
        <v>1709</v>
      </c>
      <c r="I127">
        <v>2017</v>
      </c>
      <c r="N127" t="s">
        <v>36</v>
      </c>
      <c r="P127" t="s">
        <v>60</v>
      </c>
      <c r="Q127" t="s">
        <v>900</v>
      </c>
      <c r="R127" t="s">
        <v>1741</v>
      </c>
      <c r="S127" t="s">
        <v>1761</v>
      </c>
      <c r="V127" t="s">
        <v>907</v>
      </c>
      <c r="Z127">
        <v>3</v>
      </c>
      <c r="AA127">
        <v>3</v>
      </c>
      <c r="AC127">
        <v>458</v>
      </c>
      <c r="AD127">
        <v>-1.6</v>
      </c>
      <c r="AE127">
        <v>462</v>
      </c>
      <c r="AF127">
        <v>0.4</v>
      </c>
      <c r="AG127" t="s">
        <v>3360</v>
      </c>
      <c r="AH127">
        <v>2.6646419755561257</v>
      </c>
      <c r="AI127">
        <v>-1.6</v>
      </c>
      <c r="AJ127" t="s">
        <v>1790</v>
      </c>
      <c r="AK127" t="s">
        <v>770</v>
      </c>
      <c r="AM127"/>
      <c r="AN127">
        <v>29.04</v>
      </c>
      <c r="AO127">
        <v>7.4304979644704829</v>
      </c>
      <c r="AP127">
        <v>36.11</v>
      </c>
      <c r="AQ127">
        <v>7.8808311744383905</v>
      </c>
      <c r="AS127">
        <v>-0.105</v>
      </c>
      <c r="AT127">
        <v>8.6999999999999994E-3</v>
      </c>
      <c r="AW127" s="28">
        <f t="shared" si="5"/>
        <v>0.92310000783727997</v>
      </c>
      <c r="AX127">
        <f t="shared" si="6"/>
        <v>0.8</v>
      </c>
      <c r="AY127" s="62">
        <f t="shared" si="7"/>
        <v>0.73848000626982402</v>
      </c>
      <c r="AZ127" s="68" t="str">
        <f t="shared" si="8"/>
        <v>No</v>
      </c>
      <c r="BA127" s="68" t="str">
        <f t="shared" si="9"/>
        <v>No</v>
      </c>
    </row>
    <row r="128" spans="1:53" hidden="1">
      <c r="A128" t="s">
        <v>1815</v>
      </c>
      <c r="B128" t="s">
        <v>2703</v>
      </c>
      <c r="C128">
        <v>75</v>
      </c>
      <c r="F128" t="s">
        <v>1241</v>
      </c>
      <c r="G128" t="s">
        <v>1709</v>
      </c>
      <c r="I128">
        <v>2017</v>
      </c>
      <c r="N128" t="s">
        <v>36</v>
      </c>
      <c r="P128" t="s">
        <v>60</v>
      </c>
      <c r="Q128" t="s">
        <v>900</v>
      </c>
      <c r="R128" t="s">
        <v>1741</v>
      </c>
      <c r="S128" t="s">
        <v>1761</v>
      </c>
      <c r="V128" t="s">
        <v>907</v>
      </c>
      <c r="Z128">
        <v>3</v>
      </c>
      <c r="AA128">
        <v>3</v>
      </c>
      <c r="AC128">
        <v>458</v>
      </c>
      <c r="AD128">
        <v>-1.6</v>
      </c>
      <c r="AE128">
        <v>460</v>
      </c>
      <c r="AF128">
        <v>-0.5</v>
      </c>
      <c r="AG128" t="s">
        <v>3360</v>
      </c>
      <c r="AH128">
        <v>2.6627578316815739</v>
      </c>
      <c r="AI128">
        <v>-1.6</v>
      </c>
      <c r="AJ128" t="s">
        <v>1805</v>
      </c>
      <c r="AK128" t="s">
        <v>904</v>
      </c>
      <c r="AM128"/>
      <c r="AN128">
        <v>3.43</v>
      </c>
      <c r="AO128">
        <v>0.57157676649772948</v>
      </c>
      <c r="AP128">
        <v>3.27</v>
      </c>
      <c r="AQ128">
        <v>1.2643970895252803</v>
      </c>
      <c r="AS128">
        <v>-2E-3</v>
      </c>
      <c r="AT128">
        <v>1E-4</v>
      </c>
      <c r="AW128" s="28">
        <f t="shared" si="5"/>
        <v>-0.16307015978580774</v>
      </c>
      <c r="AX128">
        <f t="shared" si="6"/>
        <v>0.8</v>
      </c>
      <c r="AY128" s="62">
        <f t="shared" si="7"/>
        <v>-0.13045612782864621</v>
      </c>
      <c r="AZ128" s="68" t="str">
        <f t="shared" si="8"/>
        <v>No</v>
      </c>
      <c r="BA128" s="68" t="str">
        <f t="shared" si="9"/>
        <v>No</v>
      </c>
    </row>
    <row r="129" spans="1:53" hidden="1">
      <c r="A129" t="s">
        <v>1815</v>
      </c>
      <c r="B129" t="s">
        <v>2704</v>
      </c>
      <c r="C129">
        <v>75</v>
      </c>
      <c r="F129" t="s">
        <v>1241</v>
      </c>
      <c r="G129" t="s">
        <v>1709</v>
      </c>
      <c r="I129">
        <v>2017</v>
      </c>
      <c r="N129" t="s">
        <v>36</v>
      </c>
      <c r="P129" t="s">
        <v>60</v>
      </c>
      <c r="Q129" t="s">
        <v>900</v>
      </c>
      <c r="R129" t="s">
        <v>1741</v>
      </c>
      <c r="S129" t="s">
        <v>1761</v>
      </c>
      <c r="V129" t="s">
        <v>907</v>
      </c>
      <c r="Z129">
        <v>3</v>
      </c>
      <c r="AA129">
        <v>3</v>
      </c>
      <c r="AC129">
        <v>458</v>
      </c>
      <c r="AD129">
        <v>-1.6</v>
      </c>
      <c r="AE129">
        <v>462</v>
      </c>
      <c r="AF129">
        <v>0.4</v>
      </c>
      <c r="AG129" t="s">
        <v>3360</v>
      </c>
      <c r="AH129">
        <v>2.6646419755561257</v>
      </c>
      <c r="AI129">
        <v>-1.6</v>
      </c>
      <c r="AJ129" t="s">
        <v>1805</v>
      </c>
      <c r="AK129" t="s">
        <v>904</v>
      </c>
      <c r="AM129"/>
      <c r="AN129">
        <v>3.43</v>
      </c>
      <c r="AO129">
        <v>0.57157676649772948</v>
      </c>
      <c r="AP129">
        <v>4.6500000000000004</v>
      </c>
      <c r="AQ129">
        <v>2.2343455417638518</v>
      </c>
      <c r="AS129">
        <v>1.2999999999999999E-2</v>
      </c>
      <c r="AT129">
        <v>2.0000000000000001E-4</v>
      </c>
      <c r="AW129" s="28">
        <f t="shared" si="5"/>
        <v>0.74810030765530966</v>
      </c>
      <c r="AX129">
        <f t="shared" si="6"/>
        <v>0.8</v>
      </c>
      <c r="AY129" s="62">
        <f t="shared" si="7"/>
        <v>0.59848024612424777</v>
      </c>
      <c r="AZ129" s="68" t="str">
        <f t="shared" si="8"/>
        <v>No</v>
      </c>
      <c r="BA129" s="68" t="str">
        <f t="shared" si="9"/>
        <v>No</v>
      </c>
    </row>
    <row r="130" spans="1:53" hidden="1">
      <c r="A130" t="s">
        <v>1815</v>
      </c>
      <c r="B130" t="s">
        <v>2710</v>
      </c>
      <c r="C130">
        <v>75</v>
      </c>
      <c r="F130" t="s">
        <v>1241</v>
      </c>
      <c r="G130" t="s">
        <v>1709</v>
      </c>
      <c r="I130">
        <v>2017</v>
      </c>
      <c r="N130" t="s">
        <v>36</v>
      </c>
      <c r="P130" t="s">
        <v>60</v>
      </c>
      <c r="Q130" t="s">
        <v>900</v>
      </c>
      <c r="R130" t="s">
        <v>1741</v>
      </c>
      <c r="S130" t="s">
        <v>1761</v>
      </c>
      <c r="V130" t="s">
        <v>907</v>
      </c>
      <c r="Z130">
        <v>3</v>
      </c>
      <c r="AA130">
        <v>3</v>
      </c>
      <c r="AC130">
        <v>458</v>
      </c>
      <c r="AD130">
        <v>-1.6</v>
      </c>
      <c r="AE130">
        <v>460</v>
      </c>
      <c r="AF130">
        <v>-0.5</v>
      </c>
      <c r="AG130" t="s">
        <v>3360</v>
      </c>
      <c r="AH130">
        <v>2.6627578316815739</v>
      </c>
      <c r="AI130">
        <v>-1.6</v>
      </c>
      <c r="AJ130" t="s">
        <v>1790</v>
      </c>
      <c r="AK130" t="s">
        <v>770</v>
      </c>
      <c r="AM130"/>
      <c r="AN130">
        <v>29.04</v>
      </c>
      <c r="AO130">
        <v>7.4304979644704829</v>
      </c>
      <c r="AP130">
        <v>22.8</v>
      </c>
      <c r="AQ130">
        <v>2.4941531628991829</v>
      </c>
      <c r="AS130">
        <v>8.4000000000000005E-2</v>
      </c>
      <c r="AT130">
        <v>4.0000000000000001E-3</v>
      </c>
      <c r="AW130" s="28">
        <f t="shared" ref="AW130:AW193" si="10">(AP130-$AN130)/SQRT(((AA130-1)*AQ130*AQ130+($Z130-1)*$AO130*$AO130)/(AA130+$Z130-2))</f>
        <v>-1.1258962484080608</v>
      </c>
      <c r="AX130">
        <f t="shared" ref="AX130:AX193" si="11">1-(3/(4*(AA130+$Z130-2)-1))</f>
        <v>0.8</v>
      </c>
      <c r="AY130" s="62">
        <f t="shared" ref="AY130:AY193" si="12">AX130*AW130</f>
        <v>-0.90071699872644873</v>
      </c>
      <c r="AZ130" s="68" t="str">
        <f t="shared" ref="AZ130:AZ193" si="13">IF(AY130&gt;10,"Yes","No")</f>
        <v>No</v>
      </c>
      <c r="BA130" s="68" t="str">
        <f t="shared" ref="BA130:BA193" si="14">IF(AY130&lt;-10,"Yes","No")</f>
        <v>No</v>
      </c>
    </row>
    <row r="131" spans="1:53" hidden="1">
      <c r="A131" t="s">
        <v>1815</v>
      </c>
      <c r="B131" t="s">
        <v>2713</v>
      </c>
      <c r="C131">
        <v>75</v>
      </c>
      <c r="F131" t="s">
        <v>1241</v>
      </c>
      <c r="G131" t="s">
        <v>1709</v>
      </c>
      <c r="I131">
        <v>2011</v>
      </c>
      <c r="N131" t="s">
        <v>36</v>
      </c>
      <c r="P131" t="s">
        <v>60</v>
      </c>
      <c r="Q131" t="s">
        <v>900</v>
      </c>
      <c r="R131" t="s">
        <v>1741</v>
      </c>
      <c r="S131" t="s">
        <v>1761</v>
      </c>
      <c r="V131" t="s">
        <v>907</v>
      </c>
      <c r="Z131">
        <v>3</v>
      </c>
      <c r="AA131">
        <v>3</v>
      </c>
      <c r="AC131">
        <v>458</v>
      </c>
      <c r="AD131">
        <v>-1.6</v>
      </c>
      <c r="AE131">
        <v>460</v>
      </c>
      <c r="AF131">
        <v>-0.5</v>
      </c>
      <c r="AG131" t="s">
        <v>3360</v>
      </c>
      <c r="AH131">
        <v>2.6627578316815739</v>
      </c>
      <c r="AI131">
        <v>-1.6</v>
      </c>
      <c r="AJ131" t="s">
        <v>1099</v>
      </c>
      <c r="AK131" t="s">
        <v>40</v>
      </c>
      <c r="AM131"/>
      <c r="AN131">
        <v>5.98</v>
      </c>
      <c r="AO131">
        <v>0.24248711305964282</v>
      </c>
      <c r="AP131">
        <v>7.64</v>
      </c>
      <c r="AQ131">
        <v>1.0738715006927038</v>
      </c>
      <c r="AS131">
        <v>0.246</v>
      </c>
      <c r="AT131">
        <v>7.1000000000000004E-3</v>
      </c>
      <c r="AW131" s="28">
        <f t="shared" si="10"/>
        <v>2.1324152314856373</v>
      </c>
      <c r="AX131">
        <f t="shared" si="11"/>
        <v>0.8</v>
      </c>
      <c r="AY131" s="62">
        <f t="shared" si="12"/>
        <v>1.7059321851885099</v>
      </c>
      <c r="AZ131" s="68" t="str">
        <f t="shared" si="13"/>
        <v>No</v>
      </c>
      <c r="BA131" s="68" t="str">
        <f t="shared" si="14"/>
        <v>No</v>
      </c>
    </row>
    <row r="132" spans="1:53" hidden="1">
      <c r="A132" t="s">
        <v>1815</v>
      </c>
      <c r="B132" t="s">
        <v>2714</v>
      </c>
      <c r="C132">
        <v>75</v>
      </c>
      <c r="F132" t="s">
        <v>1241</v>
      </c>
      <c r="G132" t="s">
        <v>1709</v>
      </c>
      <c r="I132">
        <v>2011</v>
      </c>
      <c r="N132" t="s">
        <v>36</v>
      </c>
      <c r="P132" t="s">
        <v>60</v>
      </c>
      <c r="Q132" t="s">
        <v>900</v>
      </c>
      <c r="R132" t="s">
        <v>1741</v>
      </c>
      <c r="S132" t="s">
        <v>1761</v>
      </c>
      <c r="V132" t="s">
        <v>907</v>
      </c>
      <c r="Z132">
        <v>3</v>
      </c>
      <c r="AA132">
        <v>3</v>
      </c>
      <c r="AC132">
        <v>458</v>
      </c>
      <c r="AD132">
        <v>-1.6</v>
      </c>
      <c r="AE132">
        <v>462</v>
      </c>
      <c r="AF132">
        <v>0.4</v>
      </c>
      <c r="AG132" t="s">
        <v>3360</v>
      </c>
      <c r="AH132">
        <v>2.6646419755561257</v>
      </c>
      <c r="AI132">
        <v>-1.6</v>
      </c>
      <c r="AJ132" t="s">
        <v>1099</v>
      </c>
      <c r="AK132" t="s">
        <v>40</v>
      </c>
      <c r="AM132"/>
      <c r="AN132">
        <v>5.98</v>
      </c>
      <c r="AO132">
        <v>0.24248711305964282</v>
      </c>
      <c r="AP132">
        <v>7.97</v>
      </c>
      <c r="AQ132">
        <v>0.57157676649772948</v>
      </c>
      <c r="AS132">
        <v>0.28799999999999998</v>
      </c>
      <c r="AT132">
        <v>2.3E-3</v>
      </c>
      <c r="AW132" s="28">
        <f t="shared" si="10"/>
        <v>4.5326885938101391</v>
      </c>
      <c r="AX132">
        <f t="shared" si="11"/>
        <v>0.8</v>
      </c>
      <c r="AY132" s="62">
        <f t="shared" si="12"/>
        <v>3.6261508750481113</v>
      </c>
      <c r="AZ132" s="68" t="str">
        <f t="shared" si="13"/>
        <v>No</v>
      </c>
      <c r="BA132" s="68" t="str">
        <f t="shared" si="14"/>
        <v>No</v>
      </c>
    </row>
    <row r="133" spans="1:53" hidden="1">
      <c r="A133" t="s">
        <v>1815</v>
      </c>
      <c r="B133" t="s">
        <v>2859</v>
      </c>
      <c r="C133">
        <v>200</v>
      </c>
      <c r="F133" t="s">
        <v>1241</v>
      </c>
      <c r="G133" t="s">
        <v>1709</v>
      </c>
      <c r="I133">
        <v>2015</v>
      </c>
      <c r="N133" t="s">
        <v>36</v>
      </c>
      <c r="P133" t="s">
        <v>60</v>
      </c>
      <c r="Q133" t="s">
        <v>900</v>
      </c>
      <c r="R133" t="s">
        <v>1741</v>
      </c>
      <c r="S133" t="s">
        <v>1761</v>
      </c>
      <c r="V133" t="s">
        <v>907</v>
      </c>
      <c r="Z133">
        <v>6</v>
      </c>
      <c r="AA133">
        <v>6</v>
      </c>
      <c r="AC133">
        <v>350</v>
      </c>
      <c r="AD133">
        <v>-1.6</v>
      </c>
      <c r="AE133">
        <v>393</v>
      </c>
      <c r="AF133">
        <v>0.4</v>
      </c>
      <c r="AG133" t="s">
        <v>3375</v>
      </c>
      <c r="AH133">
        <v>2.5943925503754266</v>
      </c>
      <c r="AI133">
        <v>-1.6</v>
      </c>
      <c r="AJ133" t="s">
        <v>1790</v>
      </c>
      <c r="AK133" t="s">
        <v>770</v>
      </c>
      <c r="AM133"/>
      <c r="AN133">
        <v>61.38</v>
      </c>
      <c r="AO133">
        <v>7.4954386129165247</v>
      </c>
      <c r="AP133">
        <v>56.11</v>
      </c>
      <c r="AQ133">
        <v>6.1237243569579451</v>
      </c>
      <c r="AS133">
        <v>0.128</v>
      </c>
      <c r="AT133">
        <v>9.4999999999999998E-3</v>
      </c>
      <c r="AW133" s="28">
        <f t="shared" si="10"/>
        <v>-0.77001371974059818</v>
      </c>
      <c r="AX133">
        <f t="shared" si="11"/>
        <v>0.92307692307692313</v>
      </c>
      <c r="AY133" s="62">
        <f t="shared" si="12"/>
        <v>-0.71078189514516754</v>
      </c>
      <c r="AZ133" s="68" t="str">
        <f t="shared" si="13"/>
        <v>No</v>
      </c>
      <c r="BA133" s="68" t="str">
        <f t="shared" si="14"/>
        <v>No</v>
      </c>
    </row>
    <row r="134" spans="1:53" hidden="1">
      <c r="A134" t="s">
        <v>1815</v>
      </c>
      <c r="B134" t="s">
        <v>2862</v>
      </c>
      <c r="C134">
        <v>200</v>
      </c>
      <c r="F134" t="s">
        <v>1241</v>
      </c>
      <c r="G134" t="s">
        <v>1709</v>
      </c>
      <c r="I134">
        <v>2015</v>
      </c>
      <c r="N134" t="s">
        <v>36</v>
      </c>
      <c r="P134" t="s">
        <v>60</v>
      </c>
      <c r="Q134" t="s">
        <v>900</v>
      </c>
      <c r="R134" t="s">
        <v>1741</v>
      </c>
      <c r="S134" t="s">
        <v>1761</v>
      </c>
      <c r="V134" t="s">
        <v>907</v>
      </c>
      <c r="Z134">
        <v>6</v>
      </c>
      <c r="AA134">
        <v>6</v>
      </c>
      <c r="AC134">
        <v>350</v>
      </c>
      <c r="AD134">
        <v>-1.6</v>
      </c>
      <c r="AE134">
        <v>367</v>
      </c>
      <c r="AF134">
        <v>-0.5</v>
      </c>
      <c r="AG134" t="s">
        <v>3375</v>
      </c>
      <c r="AH134">
        <v>2.5646660642520893</v>
      </c>
      <c r="AI134">
        <v>-1.6</v>
      </c>
      <c r="AJ134" t="s">
        <v>1790</v>
      </c>
      <c r="AK134" t="s">
        <v>770</v>
      </c>
      <c r="AM134"/>
      <c r="AN134">
        <v>61.38</v>
      </c>
      <c r="AO134">
        <v>7.4954386129165247</v>
      </c>
      <c r="AP134">
        <v>50.83</v>
      </c>
      <c r="AQ134">
        <v>6.809581484937234</v>
      </c>
      <c r="AS134">
        <v>0.24199999999999999</v>
      </c>
      <c r="AT134">
        <v>9.4999999999999998E-3</v>
      </c>
      <c r="AW134" s="28">
        <f t="shared" si="10"/>
        <v>-1.4733142527229894</v>
      </c>
      <c r="AX134">
        <f t="shared" si="11"/>
        <v>0.92307692307692313</v>
      </c>
      <c r="AY134" s="62">
        <f t="shared" si="12"/>
        <v>-1.3599823871289134</v>
      </c>
      <c r="AZ134" s="68" t="str">
        <f t="shared" si="13"/>
        <v>No</v>
      </c>
      <c r="BA134" s="68" t="str">
        <f t="shared" si="14"/>
        <v>No</v>
      </c>
    </row>
    <row r="135" spans="1:53" hidden="1">
      <c r="A135" t="s">
        <v>1815</v>
      </c>
      <c r="B135" t="s">
        <v>2866</v>
      </c>
      <c r="C135">
        <v>200</v>
      </c>
      <c r="F135" t="s">
        <v>1241</v>
      </c>
      <c r="G135" t="s">
        <v>1709</v>
      </c>
      <c r="I135">
        <v>2015</v>
      </c>
      <c r="N135" t="s">
        <v>36</v>
      </c>
      <c r="P135" t="s">
        <v>60</v>
      </c>
      <c r="Q135" t="s">
        <v>900</v>
      </c>
      <c r="R135" t="s">
        <v>1741</v>
      </c>
      <c r="S135" t="s">
        <v>1761</v>
      </c>
      <c r="V135" t="s">
        <v>907</v>
      </c>
      <c r="Z135">
        <v>6</v>
      </c>
      <c r="AA135">
        <v>6</v>
      </c>
      <c r="AC135">
        <v>350</v>
      </c>
      <c r="AD135">
        <v>-1.6</v>
      </c>
      <c r="AE135">
        <v>393</v>
      </c>
      <c r="AF135">
        <v>0.4</v>
      </c>
      <c r="AG135" t="s">
        <v>3375</v>
      </c>
      <c r="AH135">
        <v>2.5943925503754266</v>
      </c>
      <c r="AI135">
        <v>-1.6</v>
      </c>
      <c r="AJ135" t="s">
        <v>1811</v>
      </c>
      <c r="AK135" t="s">
        <v>770</v>
      </c>
      <c r="AM135"/>
      <c r="AN135">
        <v>13.25</v>
      </c>
      <c r="AO135">
        <v>7.4219539206330287</v>
      </c>
      <c r="AP135">
        <v>93.18</v>
      </c>
      <c r="AQ135">
        <v>5.5603417161178141</v>
      </c>
      <c r="AS135">
        <v>1.9510000000000001</v>
      </c>
      <c r="AT135">
        <v>5.2900000000000003E-2</v>
      </c>
      <c r="AW135" s="28">
        <f t="shared" si="10"/>
        <v>12.189012302518492</v>
      </c>
      <c r="AX135">
        <f t="shared" si="11"/>
        <v>0.92307692307692313</v>
      </c>
      <c r="AY135" s="62">
        <f t="shared" si="12"/>
        <v>11.251395971555532</v>
      </c>
      <c r="AZ135" s="68" t="str">
        <f t="shared" si="13"/>
        <v>Yes</v>
      </c>
      <c r="BA135" s="68" t="str">
        <f t="shared" si="14"/>
        <v>No</v>
      </c>
    </row>
    <row r="136" spans="1:53" hidden="1">
      <c r="A136" t="s">
        <v>1815</v>
      </c>
      <c r="B136" t="s">
        <v>2868</v>
      </c>
      <c r="C136">
        <v>200</v>
      </c>
      <c r="F136" t="s">
        <v>1241</v>
      </c>
      <c r="G136" t="s">
        <v>1709</v>
      </c>
      <c r="I136">
        <v>2015</v>
      </c>
      <c r="N136" t="s">
        <v>36</v>
      </c>
      <c r="P136" t="s">
        <v>60</v>
      </c>
      <c r="Q136" t="s">
        <v>900</v>
      </c>
      <c r="R136" t="s">
        <v>1741</v>
      </c>
      <c r="S136" t="s">
        <v>1761</v>
      </c>
      <c r="V136" t="s">
        <v>907</v>
      </c>
      <c r="Z136">
        <v>6</v>
      </c>
      <c r="AA136">
        <v>6</v>
      </c>
      <c r="AC136">
        <v>350</v>
      </c>
      <c r="AD136">
        <v>-1.6</v>
      </c>
      <c r="AE136">
        <v>367</v>
      </c>
      <c r="AF136">
        <v>-0.5</v>
      </c>
      <c r="AG136" t="s">
        <v>3375</v>
      </c>
      <c r="AH136">
        <v>2.5646660642520893</v>
      </c>
      <c r="AI136">
        <v>-1.6</v>
      </c>
      <c r="AJ136" t="s">
        <v>1811</v>
      </c>
      <c r="AK136" t="s">
        <v>770</v>
      </c>
      <c r="AM136"/>
      <c r="AN136">
        <v>13.25</v>
      </c>
      <c r="AO136">
        <v>7.4219539206330287</v>
      </c>
      <c r="AP136">
        <v>95.07</v>
      </c>
      <c r="AQ136">
        <v>6.4911478183754214</v>
      </c>
      <c r="AS136">
        <v>1.9710000000000001</v>
      </c>
      <c r="AT136">
        <v>5.3100000000000001E-2</v>
      </c>
      <c r="AW136" s="28">
        <f t="shared" si="10"/>
        <v>11.735342555328655</v>
      </c>
      <c r="AX136">
        <f t="shared" si="11"/>
        <v>0.92307692307692313</v>
      </c>
      <c r="AY136" s="62">
        <f t="shared" si="12"/>
        <v>10.832623897226451</v>
      </c>
      <c r="AZ136" s="68" t="str">
        <f t="shared" si="13"/>
        <v>Yes</v>
      </c>
      <c r="BA136" s="68" t="str">
        <f t="shared" si="14"/>
        <v>No</v>
      </c>
    </row>
    <row r="137" spans="1:53" hidden="1">
      <c r="A137" t="s">
        <v>1815</v>
      </c>
      <c r="B137" t="s">
        <v>3226</v>
      </c>
      <c r="C137">
        <v>200</v>
      </c>
      <c r="F137" t="s">
        <v>1241</v>
      </c>
      <c r="G137" t="s">
        <v>1709</v>
      </c>
      <c r="I137">
        <v>2015</v>
      </c>
      <c r="N137" t="s">
        <v>36</v>
      </c>
      <c r="P137" t="s">
        <v>60</v>
      </c>
      <c r="Q137" t="s">
        <v>900</v>
      </c>
      <c r="R137" t="s">
        <v>1741</v>
      </c>
      <c r="S137" t="s">
        <v>1761</v>
      </c>
      <c r="V137" t="s">
        <v>907</v>
      </c>
      <c r="Z137">
        <v>6</v>
      </c>
      <c r="AA137">
        <v>6</v>
      </c>
      <c r="AC137">
        <v>350</v>
      </c>
      <c r="AD137" s="37">
        <v>-1.6</v>
      </c>
      <c r="AE137">
        <v>393</v>
      </c>
      <c r="AF137" s="37">
        <v>0.4</v>
      </c>
      <c r="AG137" t="s">
        <v>3415</v>
      </c>
      <c r="AH137">
        <v>2.5943925503754266</v>
      </c>
      <c r="AI137" s="37">
        <v>-1.6</v>
      </c>
      <c r="AJ137" t="s">
        <v>1813</v>
      </c>
      <c r="AK137" t="s">
        <v>59</v>
      </c>
      <c r="AM137"/>
      <c r="AN137">
        <v>84.13</v>
      </c>
      <c r="AO137">
        <v>2.3025203582161873</v>
      </c>
      <c r="AP137">
        <v>81.53</v>
      </c>
      <c r="AQ137">
        <v>6.9565508695042251</v>
      </c>
      <c r="AS137">
        <v>-3.1E-2</v>
      </c>
      <c r="AT137">
        <v>1.2999999999999999E-3</v>
      </c>
      <c r="AW137" s="28">
        <f t="shared" si="10"/>
        <v>-0.50178839567538325</v>
      </c>
      <c r="AX137">
        <f t="shared" si="11"/>
        <v>0.92307692307692313</v>
      </c>
      <c r="AY137" s="62">
        <f t="shared" si="12"/>
        <v>-0.46318928831573841</v>
      </c>
      <c r="AZ137" s="68" t="str">
        <f t="shared" si="13"/>
        <v>No</v>
      </c>
      <c r="BA137" s="68" t="str">
        <f t="shared" si="14"/>
        <v>No</v>
      </c>
    </row>
    <row r="138" spans="1:53" hidden="1">
      <c r="A138" t="s">
        <v>1815</v>
      </c>
      <c r="B138" t="s">
        <v>3227</v>
      </c>
      <c r="C138">
        <v>200</v>
      </c>
      <c r="F138" t="s">
        <v>1241</v>
      </c>
      <c r="G138" t="s">
        <v>1709</v>
      </c>
      <c r="I138">
        <v>2010</v>
      </c>
      <c r="N138" t="s">
        <v>36</v>
      </c>
      <c r="P138" t="s">
        <v>60</v>
      </c>
      <c r="Q138" t="s">
        <v>900</v>
      </c>
      <c r="R138" t="s">
        <v>1741</v>
      </c>
      <c r="S138" t="s">
        <v>1761</v>
      </c>
      <c r="V138" t="s">
        <v>907</v>
      </c>
      <c r="Z138">
        <v>6</v>
      </c>
      <c r="AA138">
        <v>6</v>
      </c>
      <c r="AC138">
        <v>350</v>
      </c>
      <c r="AD138" s="37">
        <v>-1.6</v>
      </c>
      <c r="AE138">
        <v>367</v>
      </c>
      <c r="AF138" s="37">
        <v>-0.5</v>
      </c>
      <c r="AG138" t="s">
        <v>3415</v>
      </c>
      <c r="AH138">
        <v>2.5646660642520893</v>
      </c>
      <c r="AI138" s="37">
        <v>-1.6</v>
      </c>
      <c r="AJ138" t="s">
        <v>1813</v>
      </c>
      <c r="AK138" t="s">
        <v>59</v>
      </c>
      <c r="AM138"/>
      <c r="AN138">
        <v>84.13</v>
      </c>
      <c r="AO138">
        <v>2.3025203582161873</v>
      </c>
      <c r="AP138">
        <v>81.77</v>
      </c>
      <c r="AQ138">
        <v>4.0416580755922435</v>
      </c>
      <c r="AS138">
        <v>-2.8000000000000001E-2</v>
      </c>
      <c r="AT138">
        <v>5.0000000000000001E-4</v>
      </c>
      <c r="AW138" s="28">
        <f t="shared" si="10"/>
        <v>-0.71751749148148591</v>
      </c>
      <c r="AX138">
        <f t="shared" si="11"/>
        <v>0.92307692307692313</v>
      </c>
      <c r="AY138" s="62">
        <f t="shared" si="12"/>
        <v>-0.66232383829060237</v>
      </c>
      <c r="AZ138" s="68" t="str">
        <f t="shared" si="13"/>
        <v>No</v>
      </c>
      <c r="BA138" s="68" t="str">
        <f t="shared" si="14"/>
        <v>No</v>
      </c>
    </row>
    <row r="139" spans="1:53" hidden="1">
      <c r="A139" t="s">
        <v>1815</v>
      </c>
      <c r="B139" t="s">
        <v>2698</v>
      </c>
      <c r="C139">
        <v>75</v>
      </c>
      <c r="F139" t="s">
        <v>1241</v>
      </c>
      <c r="G139" t="s">
        <v>1709</v>
      </c>
      <c r="I139">
        <v>2017</v>
      </c>
      <c r="N139" t="s">
        <v>36</v>
      </c>
      <c r="P139" t="s">
        <v>60</v>
      </c>
      <c r="Q139" t="s">
        <v>900</v>
      </c>
      <c r="R139" t="s">
        <v>1741</v>
      </c>
      <c r="S139" t="s">
        <v>1761</v>
      </c>
      <c r="V139" t="s">
        <v>1015</v>
      </c>
      <c r="Z139">
        <v>3</v>
      </c>
      <c r="AA139">
        <v>3</v>
      </c>
      <c r="AC139">
        <v>458</v>
      </c>
      <c r="AD139">
        <v>-1.6</v>
      </c>
      <c r="AE139">
        <v>1052</v>
      </c>
      <c r="AF139">
        <v>0.4</v>
      </c>
      <c r="AG139" t="s">
        <v>3360</v>
      </c>
      <c r="AH139">
        <v>3.0220157398177201</v>
      </c>
      <c r="AI139">
        <v>-1.6</v>
      </c>
      <c r="AJ139" t="s">
        <v>1790</v>
      </c>
      <c r="AK139" t="s">
        <v>770</v>
      </c>
      <c r="AM139"/>
      <c r="AN139">
        <v>29.04</v>
      </c>
      <c r="AO139">
        <v>7.4304979644704829</v>
      </c>
      <c r="AP139">
        <v>54.8</v>
      </c>
      <c r="AQ139">
        <v>2.6153967194290044</v>
      </c>
      <c r="AS139">
        <v>-0.45100000000000001</v>
      </c>
      <c r="AT139">
        <v>4.7999999999999996E-3</v>
      </c>
      <c r="AW139" s="28">
        <f t="shared" si="10"/>
        <v>4.6246712404117778</v>
      </c>
      <c r="AX139">
        <f t="shared" si="11"/>
        <v>0.8</v>
      </c>
      <c r="AY139" s="62">
        <f t="shared" si="12"/>
        <v>3.6997369923294223</v>
      </c>
      <c r="AZ139" s="68" t="str">
        <f t="shared" si="13"/>
        <v>No</v>
      </c>
      <c r="BA139" s="68" t="str">
        <f t="shared" si="14"/>
        <v>No</v>
      </c>
    </row>
    <row r="140" spans="1:53" hidden="1">
      <c r="A140" t="s">
        <v>1815</v>
      </c>
      <c r="B140" t="s">
        <v>2700</v>
      </c>
      <c r="C140">
        <v>75</v>
      </c>
      <c r="F140" t="s">
        <v>1241</v>
      </c>
      <c r="G140" t="s">
        <v>1709</v>
      </c>
      <c r="I140">
        <v>2017</v>
      </c>
      <c r="N140" t="s">
        <v>36</v>
      </c>
      <c r="P140" t="s">
        <v>60</v>
      </c>
      <c r="Q140" t="s">
        <v>900</v>
      </c>
      <c r="R140" t="s">
        <v>1741</v>
      </c>
      <c r="S140" t="s">
        <v>1761</v>
      </c>
      <c r="V140" t="s">
        <v>1015</v>
      </c>
      <c r="Z140">
        <v>3</v>
      </c>
      <c r="AA140">
        <v>3</v>
      </c>
      <c r="AC140">
        <v>458</v>
      </c>
      <c r="AD140">
        <v>-1.6</v>
      </c>
      <c r="AE140">
        <v>1021</v>
      </c>
      <c r="AF140">
        <v>-0.5</v>
      </c>
      <c r="AG140" t="s">
        <v>3360</v>
      </c>
      <c r="AH140">
        <v>3.0090257420869104</v>
      </c>
      <c r="AI140">
        <v>-1.6</v>
      </c>
      <c r="AJ140" t="s">
        <v>1790</v>
      </c>
      <c r="AK140" t="s">
        <v>770</v>
      </c>
      <c r="AM140"/>
      <c r="AN140">
        <v>29.04</v>
      </c>
      <c r="AO140">
        <v>7.4304979644704829</v>
      </c>
      <c r="AP140">
        <v>49.24</v>
      </c>
      <c r="AQ140">
        <v>23.625173015239486</v>
      </c>
      <c r="AS140">
        <v>-0.33500000000000002</v>
      </c>
      <c r="AT140">
        <v>7.5899999999999995E-2</v>
      </c>
      <c r="AW140" s="28">
        <f t="shared" si="10"/>
        <v>1.1534751766365834</v>
      </c>
      <c r="AX140">
        <f t="shared" si="11"/>
        <v>0.8</v>
      </c>
      <c r="AY140" s="62">
        <f t="shared" si="12"/>
        <v>0.92278014130926678</v>
      </c>
      <c r="AZ140" s="68" t="str">
        <f t="shared" si="13"/>
        <v>No</v>
      </c>
      <c r="BA140" s="68" t="str">
        <f t="shared" si="14"/>
        <v>No</v>
      </c>
    </row>
    <row r="141" spans="1:53" hidden="1">
      <c r="A141" t="s">
        <v>1815</v>
      </c>
      <c r="B141" t="s">
        <v>2701</v>
      </c>
      <c r="C141">
        <v>75</v>
      </c>
      <c r="F141" t="s">
        <v>1241</v>
      </c>
      <c r="G141" t="s">
        <v>1709</v>
      </c>
      <c r="I141">
        <v>2017</v>
      </c>
      <c r="N141" t="s">
        <v>36</v>
      </c>
      <c r="P141" t="s">
        <v>60</v>
      </c>
      <c r="Q141" t="s">
        <v>900</v>
      </c>
      <c r="R141" t="s">
        <v>1741</v>
      </c>
      <c r="S141" t="s">
        <v>1761</v>
      </c>
      <c r="V141" t="s">
        <v>1015</v>
      </c>
      <c r="Z141">
        <v>3</v>
      </c>
      <c r="AA141">
        <v>3</v>
      </c>
      <c r="AC141">
        <v>458</v>
      </c>
      <c r="AD141">
        <v>-1.6</v>
      </c>
      <c r="AE141">
        <v>704</v>
      </c>
      <c r="AF141">
        <v>-0.5</v>
      </c>
      <c r="AG141" t="s">
        <v>3360</v>
      </c>
      <c r="AH141">
        <v>2.847572659142112</v>
      </c>
      <c r="AI141">
        <v>-1.6</v>
      </c>
      <c r="AJ141" t="s">
        <v>1790</v>
      </c>
      <c r="AK141" t="s">
        <v>770</v>
      </c>
      <c r="AM141"/>
      <c r="AN141">
        <v>29.04</v>
      </c>
      <c r="AO141">
        <v>7.4304979644704829</v>
      </c>
      <c r="AP141">
        <v>48.74</v>
      </c>
      <c r="AQ141">
        <v>11.362253297651833</v>
      </c>
      <c r="AS141">
        <v>-0.32500000000000001</v>
      </c>
      <c r="AT141">
        <v>0.02</v>
      </c>
      <c r="AW141" s="28">
        <f t="shared" si="10"/>
        <v>2.0521217441746789</v>
      </c>
      <c r="AX141">
        <f t="shared" si="11"/>
        <v>0.8</v>
      </c>
      <c r="AY141" s="62">
        <f t="shared" si="12"/>
        <v>1.6416973953397431</v>
      </c>
      <c r="AZ141" s="68" t="str">
        <f t="shared" si="13"/>
        <v>No</v>
      </c>
      <c r="BA141" s="68" t="str">
        <f t="shared" si="14"/>
        <v>No</v>
      </c>
    </row>
    <row r="142" spans="1:53" hidden="1">
      <c r="A142" t="s">
        <v>1815</v>
      </c>
      <c r="B142" t="s">
        <v>2705</v>
      </c>
      <c r="C142">
        <v>75</v>
      </c>
      <c r="F142" t="s">
        <v>1241</v>
      </c>
      <c r="G142" t="s">
        <v>1709</v>
      </c>
      <c r="I142">
        <v>2017</v>
      </c>
      <c r="N142" t="s">
        <v>36</v>
      </c>
      <c r="P142" t="s">
        <v>60</v>
      </c>
      <c r="Q142" t="s">
        <v>900</v>
      </c>
      <c r="R142" t="s">
        <v>1741</v>
      </c>
      <c r="S142" t="s">
        <v>1761</v>
      </c>
      <c r="V142" t="s">
        <v>1015</v>
      </c>
      <c r="Z142">
        <v>3</v>
      </c>
      <c r="AA142">
        <v>3</v>
      </c>
      <c r="AC142">
        <v>458</v>
      </c>
      <c r="AD142">
        <v>-1.6</v>
      </c>
      <c r="AE142">
        <v>704</v>
      </c>
      <c r="AF142">
        <v>-0.5</v>
      </c>
      <c r="AG142" t="s">
        <v>3360</v>
      </c>
      <c r="AH142">
        <v>2.847572659142112</v>
      </c>
      <c r="AI142">
        <v>-1.6</v>
      </c>
      <c r="AJ142" t="s">
        <v>1805</v>
      </c>
      <c r="AK142" t="s">
        <v>904</v>
      </c>
      <c r="AM142"/>
      <c r="AN142">
        <v>3.43</v>
      </c>
      <c r="AO142">
        <v>0.57157676649772948</v>
      </c>
      <c r="AP142">
        <v>5.17</v>
      </c>
      <c r="AQ142">
        <v>1.4722431864335457</v>
      </c>
      <c r="AS142">
        <v>1.7999999999999999E-2</v>
      </c>
      <c r="AT142">
        <v>1E-4</v>
      </c>
      <c r="AW142" s="28">
        <f t="shared" si="10"/>
        <v>1.5581117715101962</v>
      </c>
      <c r="AX142">
        <f t="shared" si="11"/>
        <v>0.8</v>
      </c>
      <c r="AY142" s="62">
        <f t="shared" si="12"/>
        <v>1.2464894172081571</v>
      </c>
      <c r="AZ142" s="68" t="str">
        <f t="shared" si="13"/>
        <v>No</v>
      </c>
      <c r="BA142" s="68" t="str">
        <f t="shared" si="14"/>
        <v>No</v>
      </c>
    </row>
    <row r="143" spans="1:53" hidden="1">
      <c r="A143" t="s">
        <v>1815</v>
      </c>
      <c r="B143" t="s">
        <v>2706</v>
      </c>
      <c r="C143">
        <v>75</v>
      </c>
      <c r="F143" t="s">
        <v>1241</v>
      </c>
      <c r="G143" t="s">
        <v>1709</v>
      </c>
      <c r="I143">
        <v>2017</v>
      </c>
      <c r="N143" t="s">
        <v>36</v>
      </c>
      <c r="P143" t="s">
        <v>60</v>
      </c>
      <c r="Q143" t="s">
        <v>900</v>
      </c>
      <c r="R143" t="s">
        <v>1741</v>
      </c>
      <c r="S143" t="s">
        <v>1761</v>
      </c>
      <c r="V143" t="s">
        <v>1015</v>
      </c>
      <c r="Z143">
        <v>3</v>
      </c>
      <c r="AA143">
        <v>3</v>
      </c>
      <c r="AC143">
        <v>458</v>
      </c>
      <c r="AD143">
        <v>-1.6</v>
      </c>
      <c r="AE143">
        <v>704</v>
      </c>
      <c r="AF143">
        <v>-0.5</v>
      </c>
      <c r="AG143" t="s">
        <v>3360</v>
      </c>
      <c r="AH143">
        <v>2.847572659142112</v>
      </c>
      <c r="AI143">
        <v>-1.6</v>
      </c>
      <c r="AJ143" t="s">
        <v>1099</v>
      </c>
      <c r="AK143" t="s">
        <v>40</v>
      </c>
      <c r="AM143"/>
      <c r="AN143">
        <v>5.98</v>
      </c>
      <c r="AO143">
        <v>0.24248711305964282</v>
      </c>
      <c r="AP143">
        <v>6.16</v>
      </c>
      <c r="AQ143">
        <v>0.1905255888325765</v>
      </c>
      <c r="AS143">
        <v>0.03</v>
      </c>
      <c r="AT143">
        <v>8.9999999999999998E-4</v>
      </c>
      <c r="AW143" s="28">
        <f t="shared" si="10"/>
        <v>0.82546230236049811</v>
      </c>
      <c r="AX143">
        <f t="shared" si="11"/>
        <v>0.8</v>
      </c>
      <c r="AY143" s="62">
        <f t="shared" si="12"/>
        <v>0.66036984188839853</v>
      </c>
      <c r="AZ143" s="68" t="str">
        <f t="shared" si="13"/>
        <v>No</v>
      </c>
      <c r="BA143" s="68" t="str">
        <f t="shared" si="14"/>
        <v>No</v>
      </c>
    </row>
    <row r="144" spans="1:53" hidden="1">
      <c r="A144" t="s">
        <v>1815</v>
      </c>
      <c r="B144" t="s">
        <v>2708</v>
      </c>
      <c r="C144">
        <v>75</v>
      </c>
      <c r="F144" t="s">
        <v>1241</v>
      </c>
      <c r="G144" t="s">
        <v>1709</v>
      </c>
      <c r="I144">
        <v>2017</v>
      </c>
      <c r="N144" t="s">
        <v>36</v>
      </c>
      <c r="P144" t="s">
        <v>60</v>
      </c>
      <c r="Q144" t="s">
        <v>900</v>
      </c>
      <c r="R144" t="s">
        <v>1741</v>
      </c>
      <c r="S144" t="s">
        <v>1761</v>
      </c>
      <c r="V144" t="s">
        <v>1015</v>
      </c>
      <c r="Z144">
        <v>3</v>
      </c>
      <c r="AA144">
        <v>3</v>
      </c>
      <c r="AC144">
        <v>458</v>
      </c>
      <c r="AD144">
        <v>-1.6</v>
      </c>
      <c r="AE144">
        <v>1052</v>
      </c>
      <c r="AF144">
        <v>0.4</v>
      </c>
      <c r="AG144" t="s">
        <v>3360</v>
      </c>
      <c r="AH144">
        <v>3.0220157398177201</v>
      </c>
      <c r="AI144">
        <v>-1.6</v>
      </c>
      <c r="AJ144" t="s">
        <v>1805</v>
      </c>
      <c r="AK144" t="s">
        <v>904</v>
      </c>
      <c r="AM144"/>
      <c r="AN144">
        <v>3.43</v>
      </c>
      <c r="AO144">
        <v>0.57157676649772948</v>
      </c>
      <c r="AP144">
        <v>7.6</v>
      </c>
      <c r="AQ144">
        <v>1.1085125168440815</v>
      </c>
      <c r="AS144">
        <v>4.3999999999999997E-2</v>
      </c>
      <c r="AT144">
        <v>1E-4</v>
      </c>
      <c r="AW144" s="28">
        <f t="shared" si="10"/>
        <v>4.7284199941706637</v>
      </c>
      <c r="AX144">
        <f t="shared" si="11"/>
        <v>0.8</v>
      </c>
      <c r="AY144" s="62">
        <f t="shared" si="12"/>
        <v>3.7827359953365312</v>
      </c>
      <c r="AZ144" s="68" t="str">
        <f t="shared" si="13"/>
        <v>No</v>
      </c>
      <c r="BA144" s="68" t="str">
        <f t="shared" si="14"/>
        <v>No</v>
      </c>
    </row>
    <row r="145" spans="1:53" hidden="1">
      <c r="A145" t="s">
        <v>1815</v>
      </c>
      <c r="B145" t="s">
        <v>2709</v>
      </c>
      <c r="C145">
        <v>75</v>
      </c>
      <c r="F145" t="s">
        <v>1241</v>
      </c>
      <c r="G145" t="s">
        <v>1709</v>
      </c>
      <c r="I145">
        <v>2017</v>
      </c>
      <c r="N145" t="s">
        <v>36</v>
      </c>
      <c r="P145" t="s">
        <v>60</v>
      </c>
      <c r="Q145" t="s">
        <v>900</v>
      </c>
      <c r="R145" t="s">
        <v>1741</v>
      </c>
      <c r="S145" t="s">
        <v>1761</v>
      </c>
      <c r="V145" t="s">
        <v>1015</v>
      </c>
      <c r="Z145">
        <v>3</v>
      </c>
      <c r="AA145">
        <v>3</v>
      </c>
      <c r="AC145">
        <v>458</v>
      </c>
      <c r="AD145">
        <v>-1.6</v>
      </c>
      <c r="AE145">
        <v>1021</v>
      </c>
      <c r="AF145">
        <v>-0.5</v>
      </c>
      <c r="AG145" t="s">
        <v>3360</v>
      </c>
      <c r="AH145">
        <v>3.0090257420869104</v>
      </c>
      <c r="AI145">
        <v>-1.6</v>
      </c>
      <c r="AJ145" t="s">
        <v>1805</v>
      </c>
      <c r="AK145" t="s">
        <v>904</v>
      </c>
      <c r="AM145"/>
      <c r="AN145">
        <v>3.43</v>
      </c>
      <c r="AO145">
        <v>0.57157676649772948</v>
      </c>
      <c r="AP145">
        <v>9.6199999999999992</v>
      </c>
      <c r="AQ145">
        <v>1.3163586137523466</v>
      </c>
      <c r="AS145">
        <v>6.6000000000000003E-2</v>
      </c>
      <c r="AT145">
        <v>1E-4</v>
      </c>
      <c r="AW145" s="28">
        <f t="shared" si="10"/>
        <v>6.099928559354642</v>
      </c>
      <c r="AX145">
        <f t="shared" si="11"/>
        <v>0.8</v>
      </c>
      <c r="AY145" s="62">
        <f t="shared" si="12"/>
        <v>4.8799428474837141</v>
      </c>
      <c r="AZ145" s="68" t="str">
        <f t="shared" si="13"/>
        <v>No</v>
      </c>
      <c r="BA145" s="68" t="str">
        <f t="shared" si="14"/>
        <v>No</v>
      </c>
    </row>
    <row r="146" spans="1:53" hidden="1">
      <c r="A146" t="s">
        <v>1815</v>
      </c>
      <c r="B146" t="s">
        <v>2715</v>
      </c>
      <c r="C146">
        <v>75</v>
      </c>
      <c r="F146" t="s">
        <v>1241</v>
      </c>
      <c r="G146" t="s">
        <v>1709</v>
      </c>
      <c r="I146">
        <v>2011</v>
      </c>
      <c r="N146" t="s">
        <v>36</v>
      </c>
      <c r="P146" t="s">
        <v>60</v>
      </c>
      <c r="Q146" t="s">
        <v>900</v>
      </c>
      <c r="R146" t="s">
        <v>1741</v>
      </c>
      <c r="S146" t="s">
        <v>1761</v>
      </c>
      <c r="V146" t="s">
        <v>1015</v>
      </c>
      <c r="Z146">
        <v>3</v>
      </c>
      <c r="AA146">
        <v>3</v>
      </c>
      <c r="AC146">
        <v>458</v>
      </c>
      <c r="AD146">
        <v>-1.6</v>
      </c>
      <c r="AE146">
        <v>1021</v>
      </c>
      <c r="AF146">
        <v>-0.5</v>
      </c>
      <c r="AG146" t="s">
        <v>3360</v>
      </c>
      <c r="AH146">
        <v>3.0090257420869104</v>
      </c>
      <c r="AI146">
        <v>-1.6</v>
      </c>
      <c r="AJ146" t="s">
        <v>1099</v>
      </c>
      <c r="AK146" t="s">
        <v>40</v>
      </c>
      <c r="AM146"/>
      <c r="AN146">
        <v>5.98</v>
      </c>
      <c r="AO146">
        <v>0.24248711305964282</v>
      </c>
      <c r="AP146">
        <v>8.94</v>
      </c>
      <c r="AQ146">
        <v>1.0045894683899488</v>
      </c>
      <c r="AS146">
        <v>0.40300000000000002</v>
      </c>
      <c r="AT146">
        <v>4.7999999999999996E-3</v>
      </c>
      <c r="AW146" s="28">
        <f t="shared" si="10"/>
        <v>4.0506160811294016</v>
      </c>
      <c r="AX146">
        <f t="shared" si="11"/>
        <v>0.8</v>
      </c>
      <c r="AY146" s="62">
        <f t="shared" si="12"/>
        <v>3.2404928649035214</v>
      </c>
      <c r="AZ146" s="68" t="str">
        <f t="shared" si="13"/>
        <v>No</v>
      </c>
      <c r="BA146" s="68" t="str">
        <f t="shared" si="14"/>
        <v>No</v>
      </c>
    </row>
    <row r="147" spans="1:53" hidden="1">
      <c r="A147" t="s">
        <v>1815</v>
      </c>
      <c r="B147" t="s">
        <v>2716</v>
      </c>
      <c r="C147">
        <v>75</v>
      </c>
      <c r="F147" t="s">
        <v>1241</v>
      </c>
      <c r="G147" t="s">
        <v>1709</v>
      </c>
      <c r="I147">
        <v>2011</v>
      </c>
      <c r="N147" t="s">
        <v>36</v>
      </c>
      <c r="P147" t="s">
        <v>60</v>
      </c>
      <c r="Q147" t="s">
        <v>900</v>
      </c>
      <c r="R147" t="s">
        <v>1741</v>
      </c>
      <c r="S147" t="s">
        <v>1761</v>
      </c>
      <c r="V147" t="s">
        <v>1015</v>
      </c>
      <c r="Z147">
        <v>3</v>
      </c>
      <c r="AA147">
        <v>3</v>
      </c>
      <c r="AC147">
        <v>458</v>
      </c>
      <c r="AD147">
        <v>-1.6</v>
      </c>
      <c r="AE147">
        <v>1052</v>
      </c>
      <c r="AF147">
        <v>0.4</v>
      </c>
      <c r="AG147" t="s">
        <v>3360</v>
      </c>
      <c r="AH147">
        <v>3.0220157398177201</v>
      </c>
      <c r="AI147">
        <v>-1.6</v>
      </c>
      <c r="AJ147" t="s">
        <v>1099</v>
      </c>
      <c r="AK147" t="s">
        <v>40</v>
      </c>
      <c r="AM147"/>
      <c r="AN147">
        <v>5.98</v>
      </c>
      <c r="AO147">
        <v>0.24248711305964282</v>
      </c>
      <c r="AP147">
        <v>10.14</v>
      </c>
      <c r="AQ147">
        <v>2.3209480821422956</v>
      </c>
      <c r="AS147">
        <v>0.52900000000000003</v>
      </c>
      <c r="AT147">
        <v>1.7999999999999999E-2</v>
      </c>
      <c r="AW147" s="28">
        <f t="shared" si="10"/>
        <v>2.5210732229324679</v>
      </c>
      <c r="AX147">
        <f t="shared" si="11"/>
        <v>0.8</v>
      </c>
      <c r="AY147" s="62">
        <f t="shared" si="12"/>
        <v>2.0168585783459743</v>
      </c>
      <c r="AZ147" s="68" t="str">
        <f t="shared" si="13"/>
        <v>No</v>
      </c>
      <c r="BA147" s="68" t="str">
        <f t="shared" si="14"/>
        <v>No</v>
      </c>
    </row>
    <row r="148" spans="1:53" hidden="1">
      <c r="A148" t="s">
        <v>1815</v>
      </c>
      <c r="B148" t="s">
        <v>2858</v>
      </c>
      <c r="C148">
        <v>200</v>
      </c>
      <c r="F148" t="s">
        <v>1241</v>
      </c>
      <c r="G148" t="s">
        <v>1709</v>
      </c>
      <c r="I148">
        <v>2015</v>
      </c>
      <c r="N148" t="s">
        <v>36</v>
      </c>
      <c r="P148" t="s">
        <v>60</v>
      </c>
      <c r="Q148" t="s">
        <v>900</v>
      </c>
      <c r="R148" t="s">
        <v>1741</v>
      </c>
      <c r="S148" t="s">
        <v>1761</v>
      </c>
      <c r="V148" t="s">
        <v>1015</v>
      </c>
      <c r="Z148">
        <v>6</v>
      </c>
      <c r="AA148">
        <v>6</v>
      </c>
      <c r="AC148">
        <v>350</v>
      </c>
      <c r="AD148">
        <v>-1.6</v>
      </c>
      <c r="AE148">
        <v>893</v>
      </c>
      <c r="AF148">
        <v>0.4</v>
      </c>
      <c r="AG148" t="s">
        <v>3375</v>
      </c>
      <c r="AH148">
        <v>2.9508514588885464</v>
      </c>
      <c r="AI148">
        <v>-1.6</v>
      </c>
      <c r="AJ148" t="s">
        <v>1790</v>
      </c>
      <c r="AK148" t="s">
        <v>770</v>
      </c>
      <c r="AM148"/>
      <c r="AN148">
        <v>61.38</v>
      </c>
      <c r="AO148">
        <v>7.4954386129165247</v>
      </c>
      <c r="AP148">
        <v>61.38</v>
      </c>
      <c r="AQ148">
        <v>3.404790742468617</v>
      </c>
      <c r="AS148">
        <v>0</v>
      </c>
      <c r="AT148">
        <v>7.6E-3</v>
      </c>
      <c r="AW148" s="28">
        <f t="shared" si="10"/>
        <v>0</v>
      </c>
      <c r="AX148">
        <f t="shared" si="11"/>
        <v>0.92307692307692313</v>
      </c>
      <c r="AY148" s="62">
        <f t="shared" si="12"/>
        <v>0</v>
      </c>
      <c r="AZ148" s="68" t="str">
        <f t="shared" si="13"/>
        <v>No</v>
      </c>
      <c r="BA148" s="68" t="str">
        <f t="shared" si="14"/>
        <v>No</v>
      </c>
    </row>
    <row r="149" spans="1:53" hidden="1">
      <c r="A149" t="s">
        <v>1815</v>
      </c>
      <c r="B149" t="s">
        <v>2860</v>
      </c>
      <c r="C149">
        <v>200</v>
      </c>
      <c r="F149" t="s">
        <v>1241</v>
      </c>
      <c r="G149" t="s">
        <v>1709</v>
      </c>
      <c r="I149">
        <v>2015</v>
      </c>
      <c r="N149" t="s">
        <v>36</v>
      </c>
      <c r="P149" t="s">
        <v>60</v>
      </c>
      <c r="Q149" t="s">
        <v>900</v>
      </c>
      <c r="R149" t="s">
        <v>1741</v>
      </c>
      <c r="S149" t="s">
        <v>1761</v>
      </c>
      <c r="V149" t="s">
        <v>1015</v>
      </c>
      <c r="Z149">
        <v>6</v>
      </c>
      <c r="AA149">
        <v>6</v>
      </c>
      <c r="AC149">
        <v>350</v>
      </c>
      <c r="AD149">
        <v>-1.6</v>
      </c>
      <c r="AE149">
        <v>569</v>
      </c>
      <c r="AF149">
        <v>-0.5</v>
      </c>
      <c r="AG149" t="s">
        <v>3375</v>
      </c>
      <c r="AH149">
        <v>2.7551122663950713</v>
      </c>
      <c r="AI149">
        <v>-1.6</v>
      </c>
      <c r="AJ149" t="s">
        <v>1790</v>
      </c>
      <c r="AK149" t="s">
        <v>770</v>
      </c>
      <c r="AM149"/>
      <c r="AN149">
        <v>61.38</v>
      </c>
      <c r="AO149">
        <v>7.4954386129165247</v>
      </c>
      <c r="AP149">
        <v>55.83</v>
      </c>
      <c r="AQ149">
        <v>8.1568008434679822</v>
      </c>
      <c r="AS149">
        <v>0.13400000000000001</v>
      </c>
      <c r="AT149">
        <v>1.2E-2</v>
      </c>
      <c r="AW149" s="28">
        <f t="shared" si="10"/>
        <v>-0.70853148719975945</v>
      </c>
      <c r="AX149">
        <f t="shared" si="11"/>
        <v>0.92307692307692313</v>
      </c>
      <c r="AY149" s="62">
        <f t="shared" si="12"/>
        <v>-0.65402906510747028</v>
      </c>
      <c r="AZ149" s="68" t="str">
        <f t="shared" si="13"/>
        <v>No</v>
      </c>
      <c r="BA149" s="68" t="str">
        <f t="shared" si="14"/>
        <v>No</v>
      </c>
    </row>
    <row r="150" spans="1:53" hidden="1">
      <c r="A150" t="s">
        <v>1815</v>
      </c>
      <c r="B150" t="s">
        <v>2861</v>
      </c>
      <c r="C150">
        <v>200</v>
      </c>
      <c r="F150" t="s">
        <v>1241</v>
      </c>
      <c r="G150" t="s">
        <v>1709</v>
      </c>
      <c r="I150">
        <v>2015</v>
      </c>
      <c r="N150" t="s">
        <v>36</v>
      </c>
      <c r="P150" t="s">
        <v>60</v>
      </c>
      <c r="Q150" t="s">
        <v>900</v>
      </c>
      <c r="R150" t="s">
        <v>1741</v>
      </c>
      <c r="S150" t="s">
        <v>1761</v>
      </c>
      <c r="V150" t="s">
        <v>1015</v>
      </c>
      <c r="Z150">
        <v>6</v>
      </c>
      <c r="AA150">
        <v>6</v>
      </c>
      <c r="AC150">
        <v>350</v>
      </c>
      <c r="AD150">
        <v>-1.6</v>
      </c>
      <c r="AE150">
        <v>835</v>
      </c>
      <c r="AF150">
        <v>-0.5</v>
      </c>
      <c r="AG150" t="s">
        <v>3375</v>
      </c>
      <c r="AH150">
        <v>2.9216864754836021</v>
      </c>
      <c r="AI150">
        <v>-1.6</v>
      </c>
      <c r="AJ150" t="s">
        <v>1790</v>
      </c>
      <c r="AK150" t="s">
        <v>770</v>
      </c>
      <c r="AM150"/>
      <c r="AN150">
        <v>61.38</v>
      </c>
      <c r="AO150">
        <v>7.4954386129165247</v>
      </c>
      <c r="AP150">
        <v>54.44</v>
      </c>
      <c r="AQ150">
        <v>10.875734457957311</v>
      </c>
      <c r="AS150">
        <v>0.16500000000000001</v>
      </c>
      <c r="AT150">
        <v>1.5800000000000002E-2</v>
      </c>
      <c r="AW150" s="28">
        <f t="shared" si="10"/>
        <v>-0.74305772107348644</v>
      </c>
      <c r="AX150">
        <f t="shared" si="11"/>
        <v>0.92307692307692313</v>
      </c>
      <c r="AY150" s="62">
        <f t="shared" si="12"/>
        <v>-0.68589943483706439</v>
      </c>
      <c r="AZ150" s="68" t="str">
        <f t="shared" si="13"/>
        <v>No</v>
      </c>
      <c r="BA150" s="68" t="str">
        <f t="shared" si="14"/>
        <v>No</v>
      </c>
    </row>
    <row r="151" spans="1:53" hidden="1">
      <c r="A151" t="s">
        <v>1815</v>
      </c>
      <c r="B151" t="s">
        <v>2865</v>
      </c>
      <c r="C151">
        <v>200</v>
      </c>
      <c r="F151" t="s">
        <v>1241</v>
      </c>
      <c r="G151" t="s">
        <v>1709</v>
      </c>
      <c r="I151">
        <v>2015</v>
      </c>
      <c r="N151" t="s">
        <v>36</v>
      </c>
      <c r="P151" t="s">
        <v>60</v>
      </c>
      <c r="Q151" t="s">
        <v>900</v>
      </c>
      <c r="R151" t="s">
        <v>1741</v>
      </c>
      <c r="S151" t="s">
        <v>1761</v>
      </c>
      <c r="V151" t="s">
        <v>1015</v>
      </c>
      <c r="Z151">
        <v>6</v>
      </c>
      <c r="AA151">
        <v>6</v>
      </c>
      <c r="AC151">
        <v>350</v>
      </c>
      <c r="AD151">
        <v>-1.6</v>
      </c>
      <c r="AE151">
        <v>893</v>
      </c>
      <c r="AF151">
        <v>0.4</v>
      </c>
      <c r="AG151" t="s">
        <v>3375</v>
      </c>
      <c r="AH151">
        <v>2.9508514588885464</v>
      </c>
      <c r="AI151">
        <v>-1.6</v>
      </c>
      <c r="AJ151" t="s">
        <v>1811</v>
      </c>
      <c r="AK151" t="s">
        <v>770</v>
      </c>
      <c r="AM151"/>
      <c r="AN151">
        <v>13.25</v>
      </c>
      <c r="AO151">
        <v>7.4219539206330287</v>
      </c>
      <c r="AP151">
        <v>89.01</v>
      </c>
      <c r="AQ151">
        <v>7.4219539206330287</v>
      </c>
      <c r="AS151">
        <v>1.905</v>
      </c>
      <c r="AT151">
        <v>5.3499999999999999E-2</v>
      </c>
      <c r="AW151" s="28">
        <f t="shared" si="10"/>
        <v>10.207554615690519</v>
      </c>
      <c r="AX151">
        <f t="shared" si="11"/>
        <v>0.92307692307692313</v>
      </c>
      <c r="AY151" s="62">
        <f t="shared" si="12"/>
        <v>9.4223581067912487</v>
      </c>
      <c r="AZ151" s="68" t="str">
        <f t="shared" si="13"/>
        <v>No</v>
      </c>
      <c r="BA151" s="68" t="str">
        <f t="shared" si="14"/>
        <v>No</v>
      </c>
    </row>
    <row r="152" spans="1:53" hidden="1">
      <c r="A152" t="s">
        <v>1815</v>
      </c>
      <c r="B152" t="s">
        <v>2867</v>
      </c>
      <c r="C152">
        <v>200</v>
      </c>
      <c r="F152" t="s">
        <v>1241</v>
      </c>
      <c r="G152" t="s">
        <v>1709</v>
      </c>
      <c r="I152">
        <v>2015</v>
      </c>
      <c r="N152" t="s">
        <v>36</v>
      </c>
      <c r="P152" t="s">
        <v>60</v>
      </c>
      <c r="Q152" t="s">
        <v>900</v>
      </c>
      <c r="R152" t="s">
        <v>1741</v>
      </c>
      <c r="S152" t="s">
        <v>1761</v>
      </c>
      <c r="V152" t="s">
        <v>1015</v>
      </c>
      <c r="Z152">
        <v>6</v>
      </c>
      <c r="AA152">
        <v>6</v>
      </c>
      <c r="AC152">
        <v>350</v>
      </c>
      <c r="AD152">
        <v>-1.6</v>
      </c>
      <c r="AE152">
        <v>569</v>
      </c>
      <c r="AF152">
        <v>-0.5</v>
      </c>
      <c r="AG152" t="s">
        <v>3375</v>
      </c>
      <c r="AH152">
        <v>2.7551122663950713</v>
      </c>
      <c r="AI152">
        <v>-1.6</v>
      </c>
      <c r="AJ152" t="s">
        <v>1811</v>
      </c>
      <c r="AK152" t="s">
        <v>770</v>
      </c>
      <c r="AM152"/>
      <c r="AN152">
        <v>13.25</v>
      </c>
      <c r="AO152">
        <v>7.4219539206330287</v>
      </c>
      <c r="AP152">
        <v>93.56</v>
      </c>
      <c r="AQ152">
        <v>5.5603417161178141</v>
      </c>
      <c r="AS152">
        <v>1.9550000000000001</v>
      </c>
      <c r="AT152">
        <v>5.2900000000000003E-2</v>
      </c>
      <c r="AW152" s="28">
        <f t="shared" si="10"/>
        <v>12.246960815904668</v>
      </c>
      <c r="AX152">
        <f t="shared" si="11"/>
        <v>0.92307692307692313</v>
      </c>
      <c r="AY152" s="62">
        <f t="shared" si="12"/>
        <v>11.304886906988925</v>
      </c>
      <c r="AZ152" s="68" t="str">
        <f t="shared" si="13"/>
        <v>Yes</v>
      </c>
      <c r="BA152" s="68" t="str">
        <f t="shared" si="14"/>
        <v>No</v>
      </c>
    </row>
    <row r="153" spans="1:53" hidden="1">
      <c r="A153" t="s">
        <v>1815</v>
      </c>
      <c r="B153" t="s">
        <v>2869</v>
      </c>
      <c r="C153">
        <v>200</v>
      </c>
      <c r="F153" t="s">
        <v>1241</v>
      </c>
      <c r="G153" t="s">
        <v>1709</v>
      </c>
      <c r="I153">
        <v>2015</v>
      </c>
      <c r="N153" t="s">
        <v>36</v>
      </c>
      <c r="P153" t="s">
        <v>60</v>
      </c>
      <c r="Q153" t="s">
        <v>900</v>
      </c>
      <c r="R153" t="s">
        <v>1741</v>
      </c>
      <c r="S153" t="s">
        <v>1761</v>
      </c>
      <c r="V153" t="s">
        <v>1015</v>
      </c>
      <c r="Z153">
        <v>6</v>
      </c>
      <c r="AA153">
        <v>6</v>
      </c>
      <c r="AC153">
        <v>350</v>
      </c>
      <c r="AD153">
        <v>-1.6</v>
      </c>
      <c r="AE153">
        <v>835</v>
      </c>
      <c r="AF153">
        <v>-0.5</v>
      </c>
      <c r="AG153" t="s">
        <v>3375</v>
      </c>
      <c r="AH153">
        <v>2.9216864754836021</v>
      </c>
      <c r="AI153">
        <v>-1.6</v>
      </c>
      <c r="AJ153" t="s">
        <v>1811</v>
      </c>
      <c r="AK153" t="s">
        <v>770</v>
      </c>
      <c r="AM153"/>
      <c r="AN153">
        <v>13.25</v>
      </c>
      <c r="AO153">
        <v>7.4219539206330287</v>
      </c>
      <c r="AP153">
        <v>95.83</v>
      </c>
      <c r="AQ153">
        <v>4.629535613860206</v>
      </c>
      <c r="AS153">
        <v>1.9790000000000001</v>
      </c>
      <c r="AT153">
        <v>5.2699999999999997E-2</v>
      </c>
      <c r="AW153" s="28">
        <f t="shared" si="10"/>
        <v>13.35082401753743</v>
      </c>
      <c r="AX153">
        <f t="shared" si="11"/>
        <v>0.92307692307692313</v>
      </c>
      <c r="AY153" s="62">
        <f t="shared" si="12"/>
        <v>12.323837554649936</v>
      </c>
      <c r="AZ153" s="68" t="str">
        <f t="shared" si="13"/>
        <v>Yes</v>
      </c>
      <c r="BA153" s="68" t="str">
        <f t="shared" si="14"/>
        <v>No</v>
      </c>
    </row>
    <row r="154" spans="1:53" hidden="1">
      <c r="A154" t="s">
        <v>1815</v>
      </c>
      <c r="B154" t="s">
        <v>3225</v>
      </c>
      <c r="C154">
        <v>200</v>
      </c>
      <c r="F154" t="s">
        <v>1241</v>
      </c>
      <c r="G154" t="s">
        <v>1709</v>
      </c>
      <c r="I154">
        <v>2015</v>
      </c>
      <c r="N154" t="s">
        <v>36</v>
      </c>
      <c r="P154" t="s">
        <v>60</v>
      </c>
      <c r="Q154" t="s">
        <v>900</v>
      </c>
      <c r="R154" t="s">
        <v>1741</v>
      </c>
      <c r="S154" t="s">
        <v>1761</v>
      </c>
      <c r="V154" t="s">
        <v>1015</v>
      </c>
      <c r="Z154">
        <v>6</v>
      </c>
      <c r="AA154">
        <v>6</v>
      </c>
      <c r="AC154">
        <v>350</v>
      </c>
      <c r="AD154" s="37">
        <v>-1.6</v>
      </c>
      <c r="AE154">
        <v>569</v>
      </c>
      <c r="AF154" s="37">
        <v>-0.5</v>
      </c>
      <c r="AG154" t="s">
        <v>3415</v>
      </c>
      <c r="AH154">
        <v>2.7551122663950713</v>
      </c>
      <c r="AI154" s="37">
        <v>-1.6</v>
      </c>
      <c r="AJ154" t="s">
        <v>1813</v>
      </c>
      <c r="AK154" t="s">
        <v>59</v>
      </c>
      <c r="AM154"/>
      <c r="AN154">
        <v>84.13</v>
      </c>
      <c r="AO154">
        <v>2.3025203582161873</v>
      </c>
      <c r="AP154">
        <v>80.59</v>
      </c>
      <c r="AQ154">
        <v>4.0416580755922435</v>
      </c>
      <c r="AS154">
        <v>-4.2999999999999997E-2</v>
      </c>
      <c r="AT154">
        <v>5.0000000000000001E-4</v>
      </c>
      <c r="AW154" s="28">
        <f t="shared" si="10"/>
        <v>-1.0762762372222268</v>
      </c>
      <c r="AX154">
        <f t="shared" si="11"/>
        <v>0.92307692307692313</v>
      </c>
      <c r="AY154" s="62">
        <f t="shared" si="12"/>
        <v>-0.99348575743590173</v>
      </c>
      <c r="AZ154" s="68" t="str">
        <f t="shared" si="13"/>
        <v>No</v>
      </c>
      <c r="BA154" s="68" t="str">
        <f t="shared" si="14"/>
        <v>No</v>
      </c>
    </row>
    <row r="155" spans="1:53" hidden="1">
      <c r="A155" t="s">
        <v>1815</v>
      </c>
      <c r="B155" t="s">
        <v>3228</v>
      </c>
      <c r="C155">
        <v>200</v>
      </c>
      <c r="F155" t="s">
        <v>1241</v>
      </c>
      <c r="G155" t="s">
        <v>1709</v>
      </c>
      <c r="I155">
        <v>2010</v>
      </c>
      <c r="N155" t="s">
        <v>36</v>
      </c>
      <c r="P155" t="s">
        <v>60</v>
      </c>
      <c r="Q155" t="s">
        <v>900</v>
      </c>
      <c r="R155" t="s">
        <v>1741</v>
      </c>
      <c r="S155" t="s">
        <v>1761</v>
      </c>
      <c r="V155" t="s">
        <v>1015</v>
      </c>
      <c r="Z155">
        <v>6</v>
      </c>
      <c r="AA155">
        <v>6</v>
      </c>
      <c r="AC155">
        <v>350</v>
      </c>
      <c r="AD155" s="37">
        <v>-1.6</v>
      </c>
      <c r="AE155">
        <v>893</v>
      </c>
      <c r="AF155" s="37">
        <v>0.4</v>
      </c>
      <c r="AG155" t="s">
        <v>3415</v>
      </c>
      <c r="AH155">
        <v>2.9508514588885464</v>
      </c>
      <c r="AI155" s="37">
        <v>-1.6</v>
      </c>
      <c r="AJ155" t="s">
        <v>1813</v>
      </c>
      <c r="AK155" t="s">
        <v>59</v>
      </c>
      <c r="AM155"/>
      <c r="AN155">
        <v>84.13</v>
      </c>
      <c r="AO155">
        <v>2.3025203582161873</v>
      </c>
      <c r="AP155">
        <v>81.77</v>
      </c>
      <c r="AQ155">
        <v>5.7807957929682994</v>
      </c>
      <c r="AS155">
        <v>-2.8000000000000001E-2</v>
      </c>
      <c r="AT155">
        <v>1E-3</v>
      </c>
      <c r="AW155" s="28">
        <f t="shared" si="10"/>
        <v>-0.53636917739615619</v>
      </c>
      <c r="AX155">
        <f t="shared" si="11"/>
        <v>0.92307692307692313</v>
      </c>
      <c r="AY155" s="62">
        <f t="shared" si="12"/>
        <v>-0.49511000990414422</v>
      </c>
      <c r="AZ155" s="68" t="str">
        <f t="shared" si="13"/>
        <v>No</v>
      </c>
      <c r="BA155" s="68" t="str">
        <f t="shared" si="14"/>
        <v>No</v>
      </c>
    </row>
    <row r="156" spans="1:53" hidden="1">
      <c r="A156" t="s">
        <v>1815</v>
      </c>
      <c r="B156" t="s">
        <v>3231</v>
      </c>
      <c r="C156">
        <v>200</v>
      </c>
      <c r="F156" t="s">
        <v>1241</v>
      </c>
      <c r="G156" t="s">
        <v>1709</v>
      </c>
      <c r="I156">
        <v>2010</v>
      </c>
      <c r="N156" t="s">
        <v>36</v>
      </c>
      <c r="P156" t="s">
        <v>60</v>
      </c>
      <c r="Q156" t="s">
        <v>900</v>
      </c>
      <c r="R156" t="s">
        <v>1741</v>
      </c>
      <c r="S156" t="s">
        <v>1761</v>
      </c>
      <c r="V156" t="s">
        <v>1015</v>
      </c>
      <c r="Z156">
        <v>6</v>
      </c>
      <c r="AA156">
        <v>6</v>
      </c>
      <c r="AC156">
        <v>350</v>
      </c>
      <c r="AD156" s="37">
        <v>-1.6</v>
      </c>
      <c r="AE156">
        <v>835</v>
      </c>
      <c r="AF156" s="37">
        <v>-0.5</v>
      </c>
      <c r="AG156" t="s">
        <v>3415</v>
      </c>
      <c r="AH156">
        <v>2.9216864754836021</v>
      </c>
      <c r="AI156" s="37">
        <v>-1.6</v>
      </c>
      <c r="AJ156" t="s">
        <v>1813</v>
      </c>
      <c r="AK156" t="s">
        <v>59</v>
      </c>
      <c r="AM156"/>
      <c r="AN156">
        <v>84.13</v>
      </c>
      <c r="AO156">
        <v>2.3025203582161873</v>
      </c>
      <c r="AP156">
        <v>86.02</v>
      </c>
      <c r="AQ156">
        <v>4.0416580755922435</v>
      </c>
      <c r="AS156">
        <v>2.1999999999999999E-2</v>
      </c>
      <c r="AT156">
        <v>5.0000000000000001E-4</v>
      </c>
      <c r="AW156" s="28">
        <f t="shared" si="10"/>
        <v>0.57462205885593609</v>
      </c>
      <c r="AX156">
        <f t="shared" si="11"/>
        <v>0.92307692307692313</v>
      </c>
      <c r="AY156" s="62">
        <f t="shared" si="12"/>
        <v>0.53042036202086407</v>
      </c>
      <c r="AZ156" s="68" t="str">
        <f t="shared" si="13"/>
        <v>No</v>
      </c>
      <c r="BA156" s="68" t="str">
        <f t="shared" si="14"/>
        <v>No</v>
      </c>
    </row>
    <row r="157" spans="1:53" hidden="1">
      <c r="A157" t="s">
        <v>1815</v>
      </c>
      <c r="B157" t="s">
        <v>2638</v>
      </c>
      <c r="C157">
        <v>63</v>
      </c>
      <c r="F157" t="s">
        <v>1241</v>
      </c>
      <c r="G157" t="s">
        <v>1704</v>
      </c>
      <c r="I157">
        <v>2013</v>
      </c>
      <c r="N157" t="s">
        <v>36</v>
      </c>
      <c r="P157" t="s">
        <v>60</v>
      </c>
      <c r="Q157" t="s">
        <v>900</v>
      </c>
      <c r="R157" t="s">
        <v>946</v>
      </c>
      <c r="S157" t="s">
        <v>1756</v>
      </c>
      <c r="V157" t="s">
        <v>905</v>
      </c>
      <c r="Z157">
        <v>8</v>
      </c>
      <c r="AA157">
        <v>8</v>
      </c>
      <c r="AC157">
        <v>338</v>
      </c>
      <c r="AD157">
        <v>20</v>
      </c>
      <c r="AE157">
        <v>1257</v>
      </c>
      <c r="AF157">
        <v>20</v>
      </c>
      <c r="AG157" t="s">
        <v>3351</v>
      </c>
      <c r="AH157">
        <v>3.0993352776859577</v>
      </c>
      <c r="AI157">
        <v>20</v>
      </c>
      <c r="AJ157" t="s">
        <v>1790</v>
      </c>
      <c r="AK157" t="s">
        <v>770</v>
      </c>
      <c r="AM157"/>
      <c r="AN157">
        <v>13.29</v>
      </c>
      <c r="AO157">
        <v>2.1778888860545664</v>
      </c>
      <c r="AP157">
        <v>18.93</v>
      </c>
      <c r="AQ157">
        <v>5.6568542494923806</v>
      </c>
      <c r="AS157">
        <v>-0.35399999999999998</v>
      </c>
      <c r="AT157">
        <v>1.4500000000000001E-2</v>
      </c>
      <c r="AW157" s="28">
        <f t="shared" si="10"/>
        <v>1.3158476628998106</v>
      </c>
      <c r="AX157">
        <f t="shared" si="11"/>
        <v>0.94545454545454544</v>
      </c>
      <c r="AY157" s="62">
        <f t="shared" si="12"/>
        <v>1.2440741540143663</v>
      </c>
      <c r="AZ157" s="68" t="str">
        <f t="shared" si="13"/>
        <v>No</v>
      </c>
      <c r="BA157" s="68" t="str">
        <f t="shared" si="14"/>
        <v>No</v>
      </c>
    </row>
    <row r="158" spans="1:53" hidden="1">
      <c r="A158" t="s">
        <v>1815</v>
      </c>
      <c r="B158" t="s">
        <v>2639</v>
      </c>
      <c r="C158">
        <v>63</v>
      </c>
      <c r="F158" t="s">
        <v>1241</v>
      </c>
      <c r="G158" t="s">
        <v>1704</v>
      </c>
      <c r="I158">
        <v>2013</v>
      </c>
      <c r="N158" t="s">
        <v>36</v>
      </c>
      <c r="P158" t="s">
        <v>60</v>
      </c>
      <c r="Q158" t="s">
        <v>900</v>
      </c>
      <c r="R158" t="s">
        <v>946</v>
      </c>
      <c r="S158" t="s">
        <v>1756</v>
      </c>
      <c r="V158" t="s">
        <v>905</v>
      </c>
      <c r="Z158">
        <v>8</v>
      </c>
      <c r="AA158">
        <v>8</v>
      </c>
      <c r="AC158">
        <v>338</v>
      </c>
      <c r="AD158">
        <v>20</v>
      </c>
      <c r="AE158">
        <v>2054</v>
      </c>
      <c r="AF158">
        <v>20</v>
      </c>
      <c r="AG158" t="s">
        <v>3351</v>
      </c>
      <c r="AH158">
        <v>3.3126004392612596</v>
      </c>
      <c r="AI158">
        <v>20</v>
      </c>
      <c r="AJ158" t="s">
        <v>1790</v>
      </c>
      <c r="AK158" t="s">
        <v>770</v>
      </c>
      <c r="AM158"/>
      <c r="AN158">
        <v>13.29</v>
      </c>
      <c r="AO158">
        <v>2.1778888860545664</v>
      </c>
      <c r="AP158">
        <v>17.72</v>
      </c>
      <c r="AQ158">
        <v>4.0729350596345135</v>
      </c>
      <c r="AS158">
        <v>-0.28799999999999998</v>
      </c>
      <c r="AT158">
        <v>0.01</v>
      </c>
      <c r="AW158" s="28">
        <f t="shared" si="10"/>
        <v>1.356447334707743</v>
      </c>
      <c r="AX158">
        <f t="shared" si="11"/>
        <v>0.94545454545454544</v>
      </c>
      <c r="AY158" s="62">
        <f t="shared" si="12"/>
        <v>1.2824592982691387</v>
      </c>
      <c r="AZ158" s="68" t="str">
        <f t="shared" si="13"/>
        <v>No</v>
      </c>
      <c r="BA158" s="68" t="str">
        <f t="shared" si="14"/>
        <v>No</v>
      </c>
    </row>
    <row r="159" spans="1:53" hidden="1">
      <c r="A159" t="s">
        <v>1815</v>
      </c>
      <c r="B159" t="s">
        <v>2640</v>
      </c>
      <c r="C159">
        <v>63</v>
      </c>
      <c r="F159" t="s">
        <v>1241</v>
      </c>
      <c r="G159" t="s">
        <v>1704</v>
      </c>
      <c r="I159">
        <v>2013</v>
      </c>
      <c r="N159" t="s">
        <v>36</v>
      </c>
      <c r="P159" t="s">
        <v>60</v>
      </c>
      <c r="Q159" t="s">
        <v>900</v>
      </c>
      <c r="R159" t="s">
        <v>946</v>
      </c>
      <c r="S159" t="s">
        <v>1756</v>
      </c>
      <c r="V159" t="s">
        <v>905</v>
      </c>
      <c r="Z159">
        <v>8</v>
      </c>
      <c r="AA159">
        <v>8</v>
      </c>
      <c r="AC159">
        <v>338</v>
      </c>
      <c r="AD159">
        <v>20</v>
      </c>
      <c r="AE159">
        <v>2054</v>
      </c>
      <c r="AF159">
        <v>20</v>
      </c>
      <c r="AG159" t="s">
        <v>3351</v>
      </c>
      <c r="AH159">
        <v>3.3126004392612596</v>
      </c>
      <c r="AI159">
        <v>20</v>
      </c>
      <c r="AJ159" t="s">
        <v>1099</v>
      </c>
      <c r="AK159" t="s">
        <v>40</v>
      </c>
      <c r="AM159"/>
      <c r="AN159">
        <v>377.16</v>
      </c>
      <c r="AO159">
        <v>44.604295757247421</v>
      </c>
      <c r="AP159">
        <v>289.25</v>
      </c>
      <c r="AQ159">
        <v>31.254119728445406</v>
      </c>
      <c r="AS159">
        <v>-0.26500000000000001</v>
      </c>
      <c r="AT159">
        <v>3.2000000000000002E-3</v>
      </c>
      <c r="AW159" s="28">
        <f t="shared" si="10"/>
        <v>-2.2826594058104281</v>
      </c>
      <c r="AX159">
        <f t="shared" si="11"/>
        <v>0.94545454545454544</v>
      </c>
      <c r="AY159" s="62">
        <f t="shared" si="12"/>
        <v>-2.1581507109480409</v>
      </c>
      <c r="AZ159" s="68" t="str">
        <f t="shared" si="13"/>
        <v>No</v>
      </c>
      <c r="BA159" s="68" t="str">
        <f t="shared" si="14"/>
        <v>No</v>
      </c>
    </row>
    <row r="160" spans="1:53" hidden="1">
      <c r="A160" t="s">
        <v>1815</v>
      </c>
      <c r="B160" t="s">
        <v>2641</v>
      </c>
      <c r="C160">
        <v>63</v>
      </c>
      <c r="F160" t="s">
        <v>1241</v>
      </c>
      <c r="G160" t="s">
        <v>1704</v>
      </c>
      <c r="I160">
        <v>2013</v>
      </c>
      <c r="N160" t="s">
        <v>36</v>
      </c>
      <c r="P160" t="s">
        <v>60</v>
      </c>
      <c r="Q160" t="s">
        <v>900</v>
      </c>
      <c r="R160" t="s">
        <v>946</v>
      </c>
      <c r="S160" t="s">
        <v>1756</v>
      </c>
      <c r="V160" t="s">
        <v>905</v>
      </c>
      <c r="Z160">
        <v>8</v>
      </c>
      <c r="AA160">
        <v>8</v>
      </c>
      <c r="AC160">
        <v>338</v>
      </c>
      <c r="AD160">
        <v>20</v>
      </c>
      <c r="AE160">
        <v>757</v>
      </c>
      <c r="AF160">
        <v>20</v>
      </c>
      <c r="AG160" t="s">
        <v>3351</v>
      </c>
      <c r="AH160">
        <v>2.8790958795000727</v>
      </c>
      <c r="AI160">
        <v>20</v>
      </c>
      <c r="AJ160" t="s">
        <v>1790</v>
      </c>
      <c r="AK160" t="s">
        <v>770</v>
      </c>
      <c r="AM160"/>
      <c r="AN160">
        <v>13.29</v>
      </c>
      <c r="AO160">
        <v>2.1778888860545664</v>
      </c>
      <c r="AP160">
        <v>16.61</v>
      </c>
      <c r="AQ160">
        <v>4.0729350596345135</v>
      </c>
      <c r="AS160">
        <v>-0.223</v>
      </c>
      <c r="AT160">
        <v>1.09E-2</v>
      </c>
      <c r="AW160" s="28">
        <f t="shared" si="10"/>
        <v>1.0165700115642682</v>
      </c>
      <c r="AX160">
        <f t="shared" si="11"/>
        <v>0.94545454545454544</v>
      </c>
      <c r="AY160" s="62">
        <f t="shared" si="12"/>
        <v>0.96112073820621713</v>
      </c>
      <c r="AZ160" s="68" t="str">
        <f t="shared" si="13"/>
        <v>No</v>
      </c>
      <c r="BA160" s="68" t="str">
        <f t="shared" si="14"/>
        <v>No</v>
      </c>
    </row>
    <row r="161" spans="1:53" hidden="1">
      <c r="A161" t="s">
        <v>1815</v>
      </c>
      <c r="B161" t="s">
        <v>2642</v>
      </c>
      <c r="C161">
        <v>63</v>
      </c>
      <c r="F161" t="s">
        <v>1241</v>
      </c>
      <c r="G161" t="s">
        <v>1704</v>
      </c>
      <c r="I161">
        <v>2013</v>
      </c>
      <c r="N161" t="s">
        <v>36</v>
      </c>
      <c r="P161" t="s">
        <v>60</v>
      </c>
      <c r="Q161" t="s">
        <v>900</v>
      </c>
      <c r="R161" t="s">
        <v>946</v>
      </c>
      <c r="S161" t="s">
        <v>1756</v>
      </c>
      <c r="V161" t="s">
        <v>905</v>
      </c>
      <c r="Z161">
        <v>8</v>
      </c>
      <c r="AA161">
        <v>8</v>
      </c>
      <c r="AC161">
        <v>338</v>
      </c>
      <c r="AD161">
        <v>20</v>
      </c>
      <c r="AE161">
        <v>1257</v>
      </c>
      <c r="AF161">
        <v>20</v>
      </c>
      <c r="AG161" t="s">
        <v>3351</v>
      </c>
      <c r="AH161">
        <v>3.0993352776859577</v>
      </c>
      <c r="AI161">
        <v>20</v>
      </c>
      <c r="AJ161" t="s">
        <v>1099</v>
      </c>
      <c r="AK161" t="s">
        <v>40</v>
      </c>
      <c r="AM161"/>
      <c r="AN161">
        <v>377.16</v>
      </c>
      <c r="AO161">
        <v>44.604295757247421</v>
      </c>
      <c r="AP161">
        <v>325.39</v>
      </c>
      <c r="AQ161">
        <v>26.785204871346423</v>
      </c>
      <c r="AS161">
        <v>-0.14799999999999999</v>
      </c>
      <c r="AT161">
        <v>2.5999999999999999E-3</v>
      </c>
      <c r="AW161" s="28">
        <f t="shared" si="10"/>
        <v>-1.4071804894890778</v>
      </c>
      <c r="AX161">
        <f t="shared" si="11"/>
        <v>0.94545454545454544</v>
      </c>
      <c r="AY161" s="62">
        <f t="shared" si="12"/>
        <v>-1.3304251900624009</v>
      </c>
      <c r="AZ161" s="68" t="str">
        <f t="shared" si="13"/>
        <v>No</v>
      </c>
      <c r="BA161" s="68" t="str">
        <f t="shared" si="14"/>
        <v>No</v>
      </c>
    </row>
    <row r="162" spans="1:53" hidden="1">
      <c r="A162" t="s">
        <v>1815</v>
      </c>
      <c r="B162" t="s">
        <v>2643</v>
      </c>
      <c r="C162">
        <v>63</v>
      </c>
      <c r="F162" t="s">
        <v>1241</v>
      </c>
      <c r="G162" t="s">
        <v>1704</v>
      </c>
      <c r="I162">
        <v>2009</v>
      </c>
      <c r="N162" t="s">
        <v>36</v>
      </c>
      <c r="P162" t="s">
        <v>60</v>
      </c>
      <c r="Q162" t="s">
        <v>900</v>
      </c>
      <c r="R162" t="s">
        <v>946</v>
      </c>
      <c r="S162" t="s">
        <v>1756</v>
      </c>
      <c r="V162" t="s">
        <v>905</v>
      </c>
      <c r="Z162">
        <v>8</v>
      </c>
      <c r="AA162">
        <v>8</v>
      </c>
      <c r="AC162">
        <v>338</v>
      </c>
      <c r="AD162">
        <v>20</v>
      </c>
      <c r="AE162">
        <v>757</v>
      </c>
      <c r="AF162">
        <v>20</v>
      </c>
      <c r="AG162" t="s">
        <v>3351</v>
      </c>
      <c r="AH162">
        <v>2.8790958795000727</v>
      </c>
      <c r="AI162">
        <v>20</v>
      </c>
      <c r="AJ162" t="s">
        <v>1099</v>
      </c>
      <c r="AK162" t="s">
        <v>40</v>
      </c>
      <c r="AM162"/>
      <c r="AN162">
        <v>377.16</v>
      </c>
      <c r="AO162">
        <v>44.604295757247421</v>
      </c>
      <c r="AP162">
        <v>352.06</v>
      </c>
      <c r="AQ162">
        <v>31.254119728445406</v>
      </c>
      <c r="AS162">
        <v>-6.9000000000000006E-2</v>
      </c>
      <c r="AT162">
        <v>2.7000000000000001E-3</v>
      </c>
      <c r="AW162" s="28">
        <f t="shared" si="10"/>
        <v>-0.6517432725041723</v>
      </c>
      <c r="AX162">
        <f t="shared" si="11"/>
        <v>0.94545454545454544</v>
      </c>
      <c r="AY162" s="62">
        <f t="shared" si="12"/>
        <v>-0.61619363945849015</v>
      </c>
      <c r="AZ162" s="68" t="str">
        <f t="shared" si="13"/>
        <v>No</v>
      </c>
      <c r="BA162" s="68" t="str">
        <f t="shared" si="14"/>
        <v>No</v>
      </c>
    </row>
    <row r="163" spans="1:53" hidden="1">
      <c r="A163" t="s">
        <v>1815</v>
      </c>
      <c r="B163" t="s">
        <v>3099</v>
      </c>
      <c r="C163">
        <v>63</v>
      </c>
      <c r="F163" t="s">
        <v>1241</v>
      </c>
      <c r="G163" t="s">
        <v>1704</v>
      </c>
      <c r="I163">
        <v>2020</v>
      </c>
      <c r="N163" t="s">
        <v>36</v>
      </c>
      <c r="P163" t="s">
        <v>60</v>
      </c>
      <c r="Q163" t="s">
        <v>900</v>
      </c>
      <c r="R163" t="s">
        <v>946</v>
      </c>
      <c r="S163" t="s">
        <v>1756</v>
      </c>
      <c r="V163" t="s">
        <v>905</v>
      </c>
      <c r="Z163">
        <v>8</v>
      </c>
      <c r="AA163">
        <v>8</v>
      </c>
      <c r="AC163">
        <v>338</v>
      </c>
      <c r="AD163" s="37">
        <v>20</v>
      </c>
      <c r="AE163">
        <v>1257</v>
      </c>
      <c r="AF163" s="37">
        <v>20</v>
      </c>
      <c r="AG163" t="s">
        <v>3394</v>
      </c>
      <c r="AH163">
        <v>3.0993352776859577</v>
      </c>
      <c r="AI163" s="37">
        <v>20</v>
      </c>
      <c r="AJ163" t="s">
        <v>1790</v>
      </c>
      <c r="AK163" t="s">
        <v>59</v>
      </c>
      <c r="AM163"/>
      <c r="AN163">
        <v>95.25</v>
      </c>
      <c r="AO163">
        <v>3.5638181771801998</v>
      </c>
      <c r="AP163">
        <v>82.91</v>
      </c>
      <c r="AQ163">
        <v>15.216937931134504</v>
      </c>
      <c r="AS163">
        <v>-0.13900000000000001</v>
      </c>
      <c r="AT163">
        <v>4.4000000000000003E-3</v>
      </c>
      <c r="AW163" s="28">
        <f t="shared" si="10"/>
        <v>-1.1166254889806</v>
      </c>
      <c r="AX163">
        <f t="shared" si="11"/>
        <v>0.94545454545454544</v>
      </c>
      <c r="AY163" s="62">
        <f t="shared" si="12"/>
        <v>-1.0557186441271127</v>
      </c>
      <c r="AZ163" s="68" t="str">
        <f t="shared" si="13"/>
        <v>No</v>
      </c>
      <c r="BA163" s="68" t="str">
        <f t="shared" si="14"/>
        <v>No</v>
      </c>
    </row>
    <row r="164" spans="1:53" hidden="1">
      <c r="A164" t="s">
        <v>1815</v>
      </c>
      <c r="B164" t="s">
        <v>3100</v>
      </c>
      <c r="C164">
        <v>63</v>
      </c>
      <c r="F164" t="s">
        <v>1241</v>
      </c>
      <c r="G164" t="s">
        <v>1704</v>
      </c>
      <c r="I164">
        <v>2020</v>
      </c>
      <c r="N164" t="s">
        <v>36</v>
      </c>
      <c r="P164" t="s">
        <v>60</v>
      </c>
      <c r="Q164" t="s">
        <v>900</v>
      </c>
      <c r="R164" t="s">
        <v>946</v>
      </c>
      <c r="S164" t="s">
        <v>1756</v>
      </c>
      <c r="V164" t="s">
        <v>905</v>
      </c>
      <c r="Z164">
        <v>8</v>
      </c>
      <c r="AA164">
        <v>8</v>
      </c>
      <c r="AC164">
        <v>338</v>
      </c>
      <c r="AD164" s="37">
        <v>20</v>
      </c>
      <c r="AE164">
        <v>2054</v>
      </c>
      <c r="AF164" s="37">
        <v>20</v>
      </c>
      <c r="AG164" t="s">
        <v>3394</v>
      </c>
      <c r="AH164">
        <v>3.3126004392612596</v>
      </c>
      <c r="AI164" s="37">
        <v>20</v>
      </c>
      <c r="AJ164" t="s">
        <v>1790</v>
      </c>
      <c r="AK164" t="s">
        <v>59</v>
      </c>
      <c r="AM164"/>
      <c r="AN164">
        <v>95.25</v>
      </c>
      <c r="AO164">
        <v>3.5638181771801998</v>
      </c>
      <c r="AP164">
        <v>84.49</v>
      </c>
      <c r="AQ164">
        <v>12.529932162625622</v>
      </c>
      <c r="AS164">
        <v>-0.12</v>
      </c>
      <c r="AT164">
        <v>2.8999999999999998E-3</v>
      </c>
      <c r="AW164" s="28">
        <f t="shared" si="10"/>
        <v>-1.1681170096619771</v>
      </c>
      <c r="AX164">
        <f t="shared" si="11"/>
        <v>0.94545454545454544</v>
      </c>
      <c r="AY164" s="62">
        <f t="shared" si="12"/>
        <v>-1.1044015364076873</v>
      </c>
      <c r="AZ164" s="68" t="str">
        <f t="shared" si="13"/>
        <v>No</v>
      </c>
      <c r="BA164" s="68" t="str">
        <f t="shared" si="14"/>
        <v>No</v>
      </c>
    </row>
    <row r="165" spans="1:53" hidden="1">
      <c r="A165" t="s">
        <v>1815</v>
      </c>
      <c r="B165" t="s">
        <v>3103</v>
      </c>
      <c r="C165">
        <v>63</v>
      </c>
      <c r="F165" t="s">
        <v>1241</v>
      </c>
      <c r="G165" t="s">
        <v>1704</v>
      </c>
      <c r="I165">
        <v>2020</v>
      </c>
      <c r="N165" t="s">
        <v>36</v>
      </c>
      <c r="P165" t="s">
        <v>60</v>
      </c>
      <c r="Q165" t="s">
        <v>900</v>
      </c>
      <c r="R165" t="s">
        <v>946</v>
      </c>
      <c r="S165" t="s">
        <v>1756</v>
      </c>
      <c r="V165" t="s">
        <v>905</v>
      </c>
      <c r="Z165">
        <v>8</v>
      </c>
      <c r="AA165">
        <v>8</v>
      </c>
      <c r="AC165">
        <v>338</v>
      </c>
      <c r="AD165" s="37">
        <v>20</v>
      </c>
      <c r="AE165">
        <v>757</v>
      </c>
      <c r="AF165" s="37">
        <v>20</v>
      </c>
      <c r="AG165" t="s">
        <v>3394</v>
      </c>
      <c r="AH165">
        <v>2.8790958795000727</v>
      </c>
      <c r="AI165" s="37">
        <v>20</v>
      </c>
      <c r="AJ165" t="s">
        <v>1790</v>
      </c>
      <c r="AK165" t="s">
        <v>59</v>
      </c>
      <c r="AM165"/>
      <c r="AN165">
        <v>95.25</v>
      </c>
      <c r="AO165">
        <v>3.5638181771801998</v>
      </c>
      <c r="AP165">
        <v>89.55</v>
      </c>
      <c r="AQ165">
        <v>8.0610173055266419</v>
      </c>
      <c r="AS165">
        <v>-6.2E-2</v>
      </c>
      <c r="AT165">
        <v>1.1999999999999999E-3</v>
      </c>
      <c r="AW165" s="28">
        <f t="shared" si="10"/>
        <v>-0.91460381533781865</v>
      </c>
      <c r="AX165">
        <f t="shared" si="11"/>
        <v>0.94545454545454544</v>
      </c>
      <c r="AY165" s="62">
        <f t="shared" si="12"/>
        <v>-0.86471633450121033</v>
      </c>
      <c r="AZ165" s="68" t="str">
        <f t="shared" si="13"/>
        <v>No</v>
      </c>
      <c r="BA165" s="68" t="str">
        <f t="shared" si="14"/>
        <v>No</v>
      </c>
    </row>
    <row r="166" spans="1:53" hidden="1">
      <c r="A166" t="s">
        <v>1815</v>
      </c>
      <c r="B166" t="s">
        <v>2637</v>
      </c>
      <c r="C166">
        <v>63</v>
      </c>
      <c r="F166" t="s">
        <v>1241</v>
      </c>
      <c r="G166" t="s">
        <v>1704</v>
      </c>
      <c r="I166">
        <v>2013</v>
      </c>
      <c r="N166" t="s">
        <v>36</v>
      </c>
      <c r="P166" t="s">
        <v>60</v>
      </c>
      <c r="Q166" t="s">
        <v>900</v>
      </c>
      <c r="R166" t="s">
        <v>946</v>
      </c>
      <c r="S166" t="s">
        <v>1756</v>
      </c>
      <c r="V166" t="s">
        <v>907</v>
      </c>
      <c r="Z166">
        <v>8</v>
      </c>
      <c r="AA166">
        <v>8</v>
      </c>
      <c r="AC166">
        <v>338</v>
      </c>
      <c r="AD166">
        <v>20</v>
      </c>
      <c r="AE166">
        <v>335</v>
      </c>
      <c r="AF166">
        <v>24</v>
      </c>
      <c r="AG166" t="s">
        <v>3351</v>
      </c>
      <c r="AH166">
        <v>2.5250448070368452</v>
      </c>
      <c r="AI166">
        <v>20</v>
      </c>
      <c r="AJ166" t="s">
        <v>1790</v>
      </c>
      <c r="AK166" t="s">
        <v>770</v>
      </c>
      <c r="AM166"/>
      <c r="AN166">
        <v>13.29</v>
      </c>
      <c r="AO166">
        <v>2.1778888860545664</v>
      </c>
      <c r="AP166">
        <v>22.59</v>
      </c>
      <c r="AQ166">
        <v>5.6285699782449186</v>
      </c>
      <c r="AS166">
        <v>-0.53</v>
      </c>
      <c r="AT166">
        <v>1.11E-2</v>
      </c>
      <c r="AW166" s="28">
        <f t="shared" si="10"/>
        <v>2.1792353130233053</v>
      </c>
      <c r="AX166">
        <f t="shared" si="11"/>
        <v>0.94545454545454544</v>
      </c>
      <c r="AY166" s="62">
        <f t="shared" si="12"/>
        <v>2.0603679323129431</v>
      </c>
      <c r="AZ166" s="68" t="str">
        <f t="shared" si="13"/>
        <v>No</v>
      </c>
      <c r="BA166" s="68" t="str">
        <f t="shared" si="14"/>
        <v>No</v>
      </c>
    </row>
    <row r="167" spans="1:53" hidden="1">
      <c r="A167" t="s">
        <v>1815</v>
      </c>
      <c r="B167" t="s">
        <v>2647</v>
      </c>
      <c r="C167">
        <v>63</v>
      </c>
      <c r="F167" t="s">
        <v>1241</v>
      </c>
      <c r="G167" t="s">
        <v>1704</v>
      </c>
      <c r="I167">
        <v>2009</v>
      </c>
      <c r="N167" t="s">
        <v>36</v>
      </c>
      <c r="P167" t="s">
        <v>60</v>
      </c>
      <c r="Q167" t="s">
        <v>900</v>
      </c>
      <c r="R167" t="s">
        <v>946</v>
      </c>
      <c r="S167" t="s">
        <v>1756</v>
      </c>
      <c r="V167" t="s">
        <v>907</v>
      </c>
      <c r="Z167">
        <v>8</v>
      </c>
      <c r="AA167">
        <v>8</v>
      </c>
      <c r="AC167">
        <v>338</v>
      </c>
      <c r="AD167">
        <v>20</v>
      </c>
      <c r="AE167">
        <v>335</v>
      </c>
      <c r="AF167">
        <v>24</v>
      </c>
      <c r="AG167" t="s">
        <v>3351</v>
      </c>
      <c r="AH167">
        <v>2.5250448070368452</v>
      </c>
      <c r="AI167">
        <v>20</v>
      </c>
      <c r="AJ167" t="s">
        <v>1099</v>
      </c>
      <c r="AK167" t="s">
        <v>40</v>
      </c>
      <c r="AM167"/>
      <c r="AN167">
        <v>377.16</v>
      </c>
      <c r="AO167">
        <v>44.604295757247421</v>
      </c>
      <c r="AP167">
        <v>475.74</v>
      </c>
      <c r="AQ167">
        <v>17.847375157148459</v>
      </c>
      <c r="AS167">
        <v>0.23200000000000001</v>
      </c>
      <c r="AT167">
        <v>1.9E-3</v>
      </c>
      <c r="AW167" s="28">
        <f t="shared" si="10"/>
        <v>2.9018779026720667</v>
      </c>
      <c r="AX167">
        <f t="shared" si="11"/>
        <v>0.94545454545454544</v>
      </c>
      <c r="AY167" s="62">
        <f t="shared" si="12"/>
        <v>2.7435936534354086</v>
      </c>
      <c r="AZ167" s="68" t="str">
        <f t="shared" si="13"/>
        <v>No</v>
      </c>
      <c r="BA167" s="68" t="str">
        <f t="shared" si="14"/>
        <v>No</v>
      </c>
    </row>
    <row r="168" spans="1:53" hidden="1">
      <c r="A168" t="s">
        <v>1815</v>
      </c>
      <c r="B168" t="s">
        <v>3101</v>
      </c>
      <c r="C168">
        <v>63</v>
      </c>
      <c r="F168" t="s">
        <v>1241</v>
      </c>
      <c r="G168" t="s">
        <v>1704</v>
      </c>
      <c r="I168">
        <v>2020</v>
      </c>
      <c r="N168" t="s">
        <v>36</v>
      </c>
      <c r="P168" t="s">
        <v>60</v>
      </c>
      <c r="Q168" t="s">
        <v>900</v>
      </c>
      <c r="R168" t="s">
        <v>946</v>
      </c>
      <c r="S168" t="s">
        <v>1756</v>
      </c>
      <c r="V168" t="s">
        <v>907</v>
      </c>
      <c r="Z168">
        <v>8</v>
      </c>
      <c r="AA168">
        <v>8</v>
      </c>
      <c r="AC168">
        <v>338</v>
      </c>
      <c r="AD168" s="37">
        <v>20</v>
      </c>
      <c r="AE168">
        <v>335</v>
      </c>
      <c r="AF168" s="37">
        <v>24</v>
      </c>
      <c r="AG168" t="s">
        <v>3394</v>
      </c>
      <c r="AH168">
        <v>2.5250448070368452</v>
      </c>
      <c r="AI168" s="37">
        <v>20</v>
      </c>
      <c r="AJ168" t="s">
        <v>1790</v>
      </c>
      <c r="AK168" t="s">
        <v>59</v>
      </c>
      <c r="AM168"/>
      <c r="AN168">
        <v>95.25</v>
      </c>
      <c r="AO168">
        <v>3.5638181771801998</v>
      </c>
      <c r="AP168">
        <v>87.02</v>
      </c>
      <c r="AQ168">
        <v>9.8429263941167413</v>
      </c>
      <c r="AS168">
        <v>-0.09</v>
      </c>
      <c r="AT168">
        <v>1.8E-3</v>
      </c>
      <c r="AW168" s="28">
        <f t="shared" si="10"/>
        <v>-1.1118373484396507</v>
      </c>
      <c r="AX168">
        <f t="shared" si="11"/>
        <v>0.94545454545454544</v>
      </c>
      <c r="AY168" s="62">
        <f t="shared" si="12"/>
        <v>-1.0511916748883969</v>
      </c>
      <c r="AZ168" s="68" t="str">
        <f t="shared" si="13"/>
        <v>No</v>
      </c>
      <c r="BA168" s="68" t="str">
        <f t="shared" si="14"/>
        <v>No</v>
      </c>
    </row>
    <row r="169" spans="1:53" hidden="1">
      <c r="A169" t="s">
        <v>1815</v>
      </c>
      <c r="B169" t="s">
        <v>2634</v>
      </c>
      <c r="C169">
        <v>63</v>
      </c>
      <c r="F169" t="s">
        <v>1241</v>
      </c>
      <c r="G169" t="s">
        <v>1704</v>
      </c>
      <c r="I169">
        <v>2013</v>
      </c>
      <c r="N169" t="s">
        <v>36</v>
      </c>
      <c r="P169" t="s">
        <v>60</v>
      </c>
      <c r="Q169" t="s">
        <v>900</v>
      </c>
      <c r="R169" t="s">
        <v>946</v>
      </c>
      <c r="S169" t="s">
        <v>1756</v>
      </c>
      <c r="V169" t="s">
        <v>1015</v>
      </c>
      <c r="Z169">
        <v>8</v>
      </c>
      <c r="AA169">
        <v>8</v>
      </c>
      <c r="AC169">
        <v>338</v>
      </c>
      <c r="AD169">
        <v>20</v>
      </c>
      <c r="AE169">
        <v>1274</v>
      </c>
      <c r="AF169">
        <v>24</v>
      </c>
      <c r="AG169" t="s">
        <v>3351</v>
      </c>
      <c r="AH169">
        <v>3.1051694279993316</v>
      </c>
      <c r="AI169">
        <v>20</v>
      </c>
      <c r="AJ169" t="s">
        <v>1790</v>
      </c>
      <c r="AK169" t="s">
        <v>770</v>
      </c>
      <c r="AM169"/>
      <c r="AN169">
        <v>13.29</v>
      </c>
      <c r="AO169">
        <v>2.1778888860545664</v>
      </c>
      <c r="AP169">
        <v>31.01</v>
      </c>
      <c r="AQ169">
        <v>5.9396969619669999</v>
      </c>
      <c r="AS169">
        <v>-0.84699999999999998</v>
      </c>
      <c r="AT169">
        <v>7.9000000000000008E-3</v>
      </c>
      <c r="AW169" s="28">
        <f t="shared" si="10"/>
        <v>3.9611638851215965</v>
      </c>
      <c r="AX169">
        <f t="shared" si="11"/>
        <v>0.94545454545454544</v>
      </c>
      <c r="AY169" s="62">
        <f t="shared" si="12"/>
        <v>3.7451004004786004</v>
      </c>
      <c r="AZ169" s="68" t="str">
        <f t="shared" si="13"/>
        <v>No</v>
      </c>
      <c r="BA169" s="68" t="str">
        <f t="shared" si="14"/>
        <v>No</v>
      </c>
    </row>
    <row r="170" spans="1:53" hidden="1">
      <c r="A170" t="s">
        <v>1815</v>
      </c>
      <c r="B170" t="s">
        <v>2635</v>
      </c>
      <c r="C170">
        <v>63</v>
      </c>
      <c r="F170" t="s">
        <v>1241</v>
      </c>
      <c r="G170" t="s">
        <v>1704</v>
      </c>
      <c r="I170">
        <v>2013</v>
      </c>
      <c r="N170" t="s">
        <v>36</v>
      </c>
      <c r="P170" t="s">
        <v>60</v>
      </c>
      <c r="Q170" t="s">
        <v>900</v>
      </c>
      <c r="R170" t="s">
        <v>946</v>
      </c>
      <c r="S170" t="s">
        <v>1756</v>
      </c>
      <c r="V170" t="s">
        <v>1015</v>
      </c>
      <c r="Z170">
        <v>8</v>
      </c>
      <c r="AA170">
        <v>8</v>
      </c>
      <c r="AC170">
        <v>338</v>
      </c>
      <c r="AD170">
        <v>20</v>
      </c>
      <c r="AE170">
        <v>2092</v>
      </c>
      <c r="AF170">
        <v>24</v>
      </c>
      <c r="AG170" t="s">
        <v>3351</v>
      </c>
      <c r="AH170">
        <v>3.3205616801952367</v>
      </c>
      <c r="AI170">
        <v>20</v>
      </c>
      <c r="AJ170" t="s">
        <v>1790</v>
      </c>
      <c r="AK170" t="s">
        <v>770</v>
      </c>
      <c r="AM170"/>
      <c r="AN170">
        <v>13.29</v>
      </c>
      <c r="AO170">
        <v>2.1778888860545664</v>
      </c>
      <c r="AP170">
        <v>28.9</v>
      </c>
      <c r="AQ170">
        <v>6.5902352006586238</v>
      </c>
      <c r="AS170">
        <v>-0.77700000000000002</v>
      </c>
      <c r="AT170">
        <v>9.9000000000000008E-3</v>
      </c>
      <c r="AW170" s="28">
        <f t="shared" si="10"/>
        <v>3.1806050468290525</v>
      </c>
      <c r="AX170">
        <f t="shared" si="11"/>
        <v>0.94545454545454544</v>
      </c>
      <c r="AY170" s="62">
        <f t="shared" si="12"/>
        <v>3.007117498820195</v>
      </c>
      <c r="AZ170" s="68" t="str">
        <f t="shared" si="13"/>
        <v>No</v>
      </c>
      <c r="BA170" s="68" t="str">
        <f t="shared" si="14"/>
        <v>No</v>
      </c>
    </row>
    <row r="171" spans="1:53" hidden="1">
      <c r="A171" t="s">
        <v>1815</v>
      </c>
      <c r="B171" t="s">
        <v>2636</v>
      </c>
      <c r="C171">
        <v>63</v>
      </c>
      <c r="F171" t="s">
        <v>1241</v>
      </c>
      <c r="G171" t="s">
        <v>1704</v>
      </c>
      <c r="I171">
        <v>2013</v>
      </c>
      <c r="N171" t="s">
        <v>36</v>
      </c>
      <c r="P171" t="s">
        <v>60</v>
      </c>
      <c r="Q171" t="s">
        <v>900</v>
      </c>
      <c r="R171" t="s">
        <v>946</v>
      </c>
      <c r="S171" t="s">
        <v>1756</v>
      </c>
      <c r="V171" t="s">
        <v>1015</v>
      </c>
      <c r="Z171">
        <v>8</v>
      </c>
      <c r="AA171">
        <v>8</v>
      </c>
      <c r="AC171">
        <v>338</v>
      </c>
      <c r="AD171">
        <v>20</v>
      </c>
      <c r="AE171">
        <v>762</v>
      </c>
      <c r="AF171">
        <v>24</v>
      </c>
      <c r="AG171" t="s">
        <v>3351</v>
      </c>
      <c r="AH171">
        <v>2.8819549713396007</v>
      </c>
      <c r="AI171">
        <v>20</v>
      </c>
      <c r="AJ171" t="s">
        <v>1790</v>
      </c>
      <c r="AK171" t="s">
        <v>770</v>
      </c>
      <c r="AM171"/>
      <c r="AN171">
        <v>13.29</v>
      </c>
      <c r="AO171">
        <v>2.1778888860545664</v>
      </c>
      <c r="AP171">
        <v>26.13</v>
      </c>
      <c r="AQ171">
        <v>6.5902352006586238</v>
      </c>
      <c r="AS171">
        <v>-0.67600000000000005</v>
      </c>
      <c r="AT171">
        <v>1.1299999999999999E-2</v>
      </c>
      <c r="AW171" s="28">
        <f t="shared" si="10"/>
        <v>2.616205560620438</v>
      </c>
      <c r="AX171">
        <f t="shared" si="11"/>
        <v>0.94545454545454544</v>
      </c>
      <c r="AY171" s="62">
        <f t="shared" si="12"/>
        <v>2.4735034391320503</v>
      </c>
      <c r="AZ171" s="68" t="str">
        <f t="shared" si="13"/>
        <v>No</v>
      </c>
      <c r="BA171" s="68" t="str">
        <f t="shared" si="14"/>
        <v>No</v>
      </c>
    </row>
    <row r="172" spans="1:53" hidden="1">
      <c r="A172" t="s">
        <v>1815</v>
      </c>
      <c r="B172" t="s">
        <v>2644</v>
      </c>
      <c r="C172">
        <v>63</v>
      </c>
      <c r="F172" t="s">
        <v>1241</v>
      </c>
      <c r="G172" t="s">
        <v>1704</v>
      </c>
      <c r="I172">
        <v>2009</v>
      </c>
      <c r="N172" t="s">
        <v>36</v>
      </c>
      <c r="P172" t="s">
        <v>60</v>
      </c>
      <c r="Q172" t="s">
        <v>900</v>
      </c>
      <c r="R172" t="s">
        <v>946</v>
      </c>
      <c r="S172" t="s">
        <v>1756</v>
      </c>
      <c r="V172" t="s">
        <v>1015</v>
      </c>
      <c r="Z172">
        <v>8</v>
      </c>
      <c r="AA172">
        <v>8</v>
      </c>
      <c r="AC172">
        <v>338</v>
      </c>
      <c r="AD172">
        <v>20</v>
      </c>
      <c r="AE172">
        <v>1274</v>
      </c>
      <c r="AF172">
        <v>24</v>
      </c>
      <c r="AG172" t="s">
        <v>3351</v>
      </c>
      <c r="AH172">
        <v>3.1051694279993316</v>
      </c>
      <c r="AI172">
        <v>20</v>
      </c>
      <c r="AJ172" t="s">
        <v>1099</v>
      </c>
      <c r="AK172" t="s">
        <v>40</v>
      </c>
      <c r="AM172"/>
      <c r="AN172">
        <v>377.16</v>
      </c>
      <c r="AO172">
        <v>44.604295757247421</v>
      </c>
      <c r="AP172">
        <v>439.74</v>
      </c>
      <c r="AQ172">
        <v>26.756920600098962</v>
      </c>
      <c r="AS172">
        <v>0.154</v>
      </c>
      <c r="AT172">
        <v>2.2000000000000001E-3</v>
      </c>
      <c r="AW172" s="28">
        <f t="shared" si="10"/>
        <v>1.7014873076221886</v>
      </c>
      <c r="AX172">
        <f t="shared" si="11"/>
        <v>0.94545454545454544</v>
      </c>
      <c r="AY172" s="62">
        <f t="shared" si="12"/>
        <v>1.6086789090246145</v>
      </c>
      <c r="AZ172" s="68" t="str">
        <f t="shared" si="13"/>
        <v>No</v>
      </c>
      <c r="BA172" s="68" t="str">
        <f t="shared" si="14"/>
        <v>No</v>
      </c>
    </row>
    <row r="173" spans="1:53" hidden="1">
      <c r="A173" t="s">
        <v>1815</v>
      </c>
      <c r="B173" t="s">
        <v>2645</v>
      </c>
      <c r="C173">
        <v>63</v>
      </c>
      <c r="F173" t="s">
        <v>1241</v>
      </c>
      <c r="G173" t="s">
        <v>1704</v>
      </c>
      <c r="I173">
        <v>2009</v>
      </c>
      <c r="N173" t="s">
        <v>36</v>
      </c>
      <c r="P173" t="s">
        <v>60</v>
      </c>
      <c r="Q173" t="s">
        <v>900</v>
      </c>
      <c r="R173" t="s">
        <v>946</v>
      </c>
      <c r="S173" t="s">
        <v>1756</v>
      </c>
      <c r="V173" t="s">
        <v>1015</v>
      </c>
      <c r="Z173">
        <v>8</v>
      </c>
      <c r="AA173">
        <v>8</v>
      </c>
      <c r="AC173">
        <v>338</v>
      </c>
      <c r="AD173">
        <v>20</v>
      </c>
      <c r="AE173">
        <v>2092</v>
      </c>
      <c r="AF173">
        <v>24</v>
      </c>
      <c r="AG173" t="s">
        <v>3351</v>
      </c>
      <c r="AH173">
        <v>3.3205616801952367</v>
      </c>
      <c r="AI173">
        <v>20</v>
      </c>
      <c r="AJ173" t="s">
        <v>1099</v>
      </c>
      <c r="AK173" t="s">
        <v>40</v>
      </c>
      <c r="AM173"/>
      <c r="AN173">
        <v>377.16</v>
      </c>
      <c r="AO173">
        <v>44.604295757247421</v>
      </c>
      <c r="AP173">
        <v>439.89</v>
      </c>
      <c r="AQ173">
        <v>44.604295757247421</v>
      </c>
      <c r="AS173">
        <v>0.154</v>
      </c>
      <c r="AT173">
        <v>3.0000000000000001E-3</v>
      </c>
      <c r="AW173" s="28">
        <f t="shared" si="10"/>
        <v>1.4063667845222605</v>
      </c>
      <c r="AX173">
        <f t="shared" si="11"/>
        <v>0.94545454545454544</v>
      </c>
      <c r="AY173" s="62">
        <f t="shared" si="12"/>
        <v>1.3296558690028644</v>
      </c>
      <c r="AZ173" s="68" t="str">
        <f t="shared" si="13"/>
        <v>No</v>
      </c>
      <c r="BA173" s="68" t="str">
        <f t="shared" si="14"/>
        <v>No</v>
      </c>
    </row>
    <row r="174" spans="1:53" hidden="1">
      <c r="A174" t="s">
        <v>1815</v>
      </c>
      <c r="B174" t="s">
        <v>2646</v>
      </c>
      <c r="C174">
        <v>63</v>
      </c>
      <c r="F174" t="s">
        <v>1241</v>
      </c>
      <c r="G174" t="s">
        <v>1704</v>
      </c>
      <c r="I174">
        <v>2009</v>
      </c>
      <c r="N174" t="s">
        <v>36</v>
      </c>
      <c r="P174" t="s">
        <v>60</v>
      </c>
      <c r="Q174" t="s">
        <v>900</v>
      </c>
      <c r="R174" t="s">
        <v>946</v>
      </c>
      <c r="S174" t="s">
        <v>1756</v>
      </c>
      <c r="V174" t="s">
        <v>1015</v>
      </c>
      <c r="Z174">
        <v>8</v>
      </c>
      <c r="AA174">
        <v>8</v>
      </c>
      <c r="AC174">
        <v>338</v>
      </c>
      <c r="AD174">
        <v>20</v>
      </c>
      <c r="AE174">
        <v>762</v>
      </c>
      <c r="AF174">
        <v>24</v>
      </c>
      <c r="AG174" t="s">
        <v>3351</v>
      </c>
      <c r="AH174">
        <v>2.8819549713396007</v>
      </c>
      <c r="AI174">
        <v>20</v>
      </c>
      <c r="AJ174" t="s">
        <v>1099</v>
      </c>
      <c r="AK174" t="s">
        <v>40</v>
      </c>
      <c r="AM174"/>
      <c r="AN174">
        <v>377.16</v>
      </c>
      <c r="AO174">
        <v>44.604295757247421</v>
      </c>
      <c r="AP174">
        <v>460.1</v>
      </c>
      <c r="AQ174">
        <v>35.694750314296918</v>
      </c>
      <c r="AS174">
        <v>0.19900000000000001</v>
      </c>
      <c r="AT174">
        <v>2.5000000000000001E-3</v>
      </c>
      <c r="AW174" s="28">
        <f t="shared" si="10"/>
        <v>2.0531783727769297</v>
      </c>
      <c r="AX174">
        <f t="shared" si="11"/>
        <v>0.94545454545454544</v>
      </c>
      <c r="AY174" s="62">
        <f t="shared" si="12"/>
        <v>1.9411868251709152</v>
      </c>
      <c r="AZ174" s="68" t="str">
        <f t="shared" si="13"/>
        <v>No</v>
      </c>
      <c r="BA174" s="68" t="str">
        <f t="shared" si="14"/>
        <v>No</v>
      </c>
    </row>
    <row r="175" spans="1:53" hidden="1">
      <c r="A175" t="s">
        <v>1815</v>
      </c>
      <c r="B175" t="s">
        <v>3097</v>
      </c>
      <c r="C175">
        <v>63</v>
      </c>
      <c r="F175" t="s">
        <v>1241</v>
      </c>
      <c r="G175" t="s">
        <v>1704</v>
      </c>
      <c r="I175">
        <v>2013</v>
      </c>
      <c r="N175" t="s">
        <v>36</v>
      </c>
      <c r="P175" t="s">
        <v>60</v>
      </c>
      <c r="Q175" t="s">
        <v>900</v>
      </c>
      <c r="R175" t="s">
        <v>946</v>
      </c>
      <c r="S175" t="s">
        <v>1756</v>
      </c>
      <c r="V175" t="s">
        <v>1015</v>
      </c>
      <c r="Z175">
        <v>8</v>
      </c>
      <c r="AA175">
        <v>8</v>
      </c>
      <c r="AC175">
        <v>338</v>
      </c>
      <c r="AD175" s="37">
        <v>20</v>
      </c>
      <c r="AE175">
        <v>2092</v>
      </c>
      <c r="AF175" s="37">
        <v>24</v>
      </c>
      <c r="AG175" t="s">
        <v>3394</v>
      </c>
      <c r="AH175">
        <v>3.3205616801952367</v>
      </c>
      <c r="AI175" s="37">
        <v>20</v>
      </c>
      <c r="AJ175" t="s">
        <v>1790</v>
      </c>
      <c r="AK175" t="s">
        <v>59</v>
      </c>
      <c r="AM175"/>
      <c r="AN175">
        <v>95.25</v>
      </c>
      <c r="AO175">
        <v>3.5638181771801998</v>
      </c>
      <c r="AP175">
        <v>72.78</v>
      </c>
      <c r="AQ175">
        <v>7.1559206256078607</v>
      </c>
      <c r="AS175">
        <v>-0.26900000000000002</v>
      </c>
      <c r="AT175">
        <v>1.4E-3</v>
      </c>
      <c r="AW175" s="28">
        <f t="shared" si="10"/>
        <v>-3.9750304239247329</v>
      </c>
      <c r="AX175">
        <f t="shared" si="11"/>
        <v>0.94545454545454544</v>
      </c>
      <c r="AY175" s="62">
        <f t="shared" si="12"/>
        <v>-3.7582105826197476</v>
      </c>
      <c r="AZ175" s="68" t="str">
        <f t="shared" si="13"/>
        <v>No</v>
      </c>
      <c r="BA175" s="68" t="str">
        <f t="shared" si="14"/>
        <v>No</v>
      </c>
    </row>
    <row r="176" spans="1:53" hidden="1">
      <c r="A176" t="s">
        <v>1815</v>
      </c>
      <c r="B176" t="s">
        <v>3098</v>
      </c>
      <c r="C176">
        <v>63</v>
      </c>
      <c r="F176" t="s">
        <v>1241</v>
      </c>
      <c r="G176" t="s">
        <v>1704</v>
      </c>
      <c r="I176">
        <v>2013</v>
      </c>
      <c r="N176" t="s">
        <v>36</v>
      </c>
      <c r="P176" t="s">
        <v>60</v>
      </c>
      <c r="Q176" t="s">
        <v>900</v>
      </c>
      <c r="R176" t="s">
        <v>946</v>
      </c>
      <c r="S176" t="s">
        <v>1756</v>
      </c>
      <c r="V176" t="s">
        <v>1015</v>
      </c>
      <c r="Z176">
        <v>8</v>
      </c>
      <c r="AA176">
        <v>8</v>
      </c>
      <c r="AC176">
        <v>338</v>
      </c>
      <c r="AD176" s="37">
        <v>20</v>
      </c>
      <c r="AE176">
        <v>1274</v>
      </c>
      <c r="AF176" s="37">
        <v>24</v>
      </c>
      <c r="AG176" t="s">
        <v>3394</v>
      </c>
      <c r="AH176">
        <v>3.1051694279993316</v>
      </c>
      <c r="AI176" s="37">
        <v>20</v>
      </c>
      <c r="AJ176" t="s">
        <v>1790</v>
      </c>
      <c r="AK176" t="s">
        <v>59</v>
      </c>
      <c r="AM176"/>
      <c r="AN176">
        <v>95.25</v>
      </c>
      <c r="AO176">
        <v>3.5638181771801998</v>
      </c>
      <c r="AP176">
        <v>76.89</v>
      </c>
      <c r="AQ176">
        <v>12.529932162625622</v>
      </c>
      <c r="AS176">
        <v>-0.214</v>
      </c>
      <c r="AT176">
        <v>3.5000000000000001E-3</v>
      </c>
      <c r="AW176" s="28">
        <f t="shared" si="10"/>
        <v>-1.9931810685310305</v>
      </c>
      <c r="AX176">
        <f t="shared" si="11"/>
        <v>0.94545454545454544</v>
      </c>
      <c r="AY176" s="62">
        <f t="shared" si="12"/>
        <v>-1.8844621011566107</v>
      </c>
      <c r="AZ176" s="68" t="str">
        <f t="shared" si="13"/>
        <v>No</v>
      </c>
      <c r="BA176" s="68" t="str">
        <f t="shared" si="14"/>
        <v>No</v>
      </c>
    </row>
    <row r="177" spans="1:53" hidden="1">
      <c r="A177" t="s">
        <v>1815</v>
      </c>
      <c r="B177" t="s">
        <v>3102</v>
      </c>
      <c r="C177">
        <v>63</v>
      </c>
      <c r="F177" t="s">
        <v>1241</v>
      </c>
      <c r="G177" t="s">
        <v>1704</v>
      </c>
      <c r="I177">
        <v>2020</v>
      </c>
      <c r="N177" t="s">
        <v>36</v>
      </c>
      <c r="P177" t="s">
        <v>60</v>
      </c>
      <c r="Q177" t="s">
        <v>900</v>
      </c>
      <c r="R177" t="s">
        <v>946</v>
      </c>
      <c r="S177" t="s">
        <v>1756</v>
      </c>
      <c r="V177" t="s">
        <v>1015</v>
      </c>
      <c r="Z177">
        <v>8</v>
      </c>
      <c r="AA177">
        <v>8</v>
      </c>
      <c r="AC177">
        <v>338</v>
      </c>
      <c r="AD177" s="37">
        <v>20</v>
      </c>
      <c r="AE177">
        <v>762</v>
      </c>
      <c r="AF177" s="37">
        <v>24</v>
      </c>
      <c r="AG177" t="s">
        <v>3394</v>
      </c>
      <c r="AH177">
        <v>2.8819549713396007</v>
      </c>
      <c r="AI177" s="37">
        <v>20</v>
      </c>
      <c r="AJ177" t="s">
        <v>1790</v>
      </c>
      <c r="AK177" t="s">
        <v>59</v>
      </c>
      <c r="AM177"/>
      <c r="AN177">
        <v>95.25</v>
      </c>
      <c r="AO177">
        <v>3.5638181771801998</v>
      </c>
      <c r="AP177">
        <v>88.29</v>
      </c>
      <c r="AQ177">
        <v>6.2508239456890804</v>
      </c>
      <c r="AS177">
        <v>-7.5999999999999998E-2</v>
      </c>
      <c r="AT177">
        <v>8.0000000000000004E-4</v>
      </c>
      <c r="AW177" s="28">
        <f t="shared" si="10"/>
        <v>-1.3679494697581964</v>
      </c>
      <c r="AX177">
        <f t="shared" si="11"/>
        <v>0.94545454545454544</v>
      </c>
      <c r="AY177" s="62">
        <f t="shared" si="12"/>
        <v>-1.2933340441350221</v>
      </c>
      <c r="AZ177" s="68" t="str">
        <f t="shared" si="13"/>
        <v>No</v>
      </c>
      <c r="BA177" s="68" t="str">
        <f t="shared" si="14"/>
        <v>No</v>
      </c>
    </row>
    <row r="178" spans="1:53" hidden="1">
      <c r="A178" t="s">
        <v>1815</v>
      </c>
      <c r="B178" t="s">
        <v>2629</v>
      </c>
      <c r="C178">
        <v>62</v>
      </c>
      <c r="F178" t="s">
        <v>1241</v>
      </c>
      <c r="G178" t="s">
        <v>1703</v>
      </c>
      <c r="I178">
        <v>2013</v>
      </c>
      <c r="N178" t="s">
        <v>36</v>
      </c>
      <c r="P178" t="s">
        <v>60</v>
      </c>
      <c r="Q178" t="s">
        <v>900</v>
      </c>
      <c r="R178" t="s">
        <v>946</v>
      </c>
      <c r="S178" t="s">
        <v>1755</v>
      </c>
      <c r="V178" t="s">
        <v>905</v>
      </c>
      <c r="Z178">
        <v>7</v>
      </c>
      <c r="AA178">
        <v>7</v>
      </c>
      <c r="AC178">
        <v>423</v>
      </c>
      <c r="AD178">
        <v>19</v>
      </c>
      <c r="AE178">
        <v>1738</v>
      </c>
      <c r="AF178">
        <v>19</v>
      </c>
      <c r="AG178" t="s">
        <v>3350</v>
      </c>
      <c r="AH178">
        <v>3.2400497721126476</v>
      </c>
      <c r="AI178">
        <v>19</v>
      </c>
      <c r="AJ178" t="s">
        <v>1205</v>
      </c>
      <c r="AK178" t="s">
        <v>40</v>
      </c>
      <c r="AM178"/>
      <c r="AN178">
        <v>402.31</v>
      </c>
      <c r="AO178">
        <v>15.609932735281086</v>
      </c>
      <c r="AP178">
        <v>384.63</v>
      </c>
      <c r="AQ178">
        <v>51.248202895321121</v>
      </c>
      <c r="AS178">
        <v>-4.4999999999999998E-2</v>
      </c>
      <c r="AT178">
        <v>2.8E-3</v>
      </c>
      <c r="AW178" s="28">
        <f t="shared" si="10"/>
        <v>-0.46671596354847356</v>
      </c>
      <c r="AX178">
        <f t="shared" si="11"/>
        <v>0.93617021276595747</v>
      </c>
      <c r="AY178" s="62">
        <f t="shared" si="12"/>
        <v>-0.43692558289644334</v>
      </c>
      <c r="AZ178" s="68" t="str">
        <f t="shared" si="13"/>
        <v>No</v>
      </c>
      <c r="BA178" s="68" t="str">
        <f t="shared" si="14"/>
        <v>No</v>
      </c>
    </row>
    <row r="179" spans="1:53" hidden="1">
      <c r="A179" t="s">
        <v>1815</v>
      </c>
      <c r="B179" t="s">
        <v>2631</v>
      </c>
      <c r="C179">
        <v>62</v>
      </c>
      <c r="F179" t="s">
        <v>1241</v>
      </c>
      <c r="G179" t="s">
        <v>1703</v>
      </c>
      <c r="I179">
        <v>2013</v>
      </c>
      <c r="N179" t="s">
        <v>36</v>
      </c>
      <c r="P179" t="s">
        <v>60</v>
      </c>
      <c r="Q179" t="s">
        <v>900</v>
      </c>
      <c r="R179" t="s">
        <v>946</v>
      </c>
      <c r="S179" t="s">
        <v>1755</v>
      </c>
      <c r="V179" t="s">
        <v>905</v>
      </c>
      <c r="Z179">
        <v>7</v>
      </c>
      <c r="AA179">
        <v>7</v>
      </c>
      <c r="AC179">
        <v>423</v>
      </c>
      <c r="AD179">
        <v>19</v>
      </c>
      <c r="AE179">
        <v>1738</v>
      </c>
      <c r="AF179">
        <v>19</v>
      </c>
      <c r="AG179" t="s">
        <v>3350</v>
      </c>
      <c r="AH179">
        <v>3.2400497721126476</v>
      </c>
      <c r="AI179">
        <v>19</v>
      </c>
      <c r="AJ179" t="s">
        <v>1790</v>
      </c>
      <c r="AK179" t="s">
        <v>770</v>
      </c>
      <c r="AM179"/>
      <c r="AN179">
        <v>96.05</v>
      </c>
      <c r="AO179">
        <v>5.3179601352398267</v>
      </c>
      <c r="AP179">
        <v>94.62</v>
      </c>
      <c r="AQ179">
        <v>7.5668487496447288</v>
      </c>
      <c r="AS179">
        <v>-1.4999999999999999E-2</v>
      </c>
      <c r="AT179">
        <v>1.4E-3</v>
      </c>
      <c r="AW179" s="28">
        <f t="shared" si="10"/>
        <v>-0.21866120815187023</v>
      </c>
      <c r="AX179">
        <f t="shared" si="11"/>
        <v>0.93617021276595747</v>
      </c>
      <c r="AY179" s="62">
        <f t="shared" si="12"/>
        <v>-0.20470410975919767</v>
      </c>
      <c r="AZ179" s="68" t="str">
        <f t="shared" si="13"/>
        <v>No</v>
      </c>
      <c r="BA179" s="68" t="str">
        <f t="shared" si="14"/>
        <v>No</v>
      </c>
    </row>
    <row r="180" spans="1:53" hidden="1">
      <c r="A180" t="s">
        <v>1815</v>
      </c>
      <c r="B180" t="s">
        <v>2632</v>
      </c>
      <c r="C180">
        <v>62</v>
      </c>
      <c r="F180" t="s">
        <v>1241</v>
      </c>
      <c r="G180" t="s">
        <v>1703</v>
      </c>
      <c r="I180">
        <v>2013</v>
      </c>
      <c r="N180" t="s">
        <v>36</v>
      </c>
      <c r="P180" t="s">
        <v>60</v>
      </c>
      <c r="Q180" t="s">
        <v>900</v>
      </c>
      <c r="R180" t="s">
        <v>946</v>
      </c>
      <c r="S180" t="s">
        <v>1755</v>
      </c>
      <c r="V180" t="s">
        <v>905</v>
      </c>
      <c r="Z180">
        <v>7</v>
      </c>
      <c r="AA180">
        <v>7</v>
      </c>
      <c r="AC180">
        <v>423</v>
      </c>
      <c r="AD180">
        <v>19</v>
      </c>
      <c r="AE180">
        <v>1058</v>
      </c>
      <c r="AF180">
        <v>19</v>
      </c>
      <c r="AG180" t="s">
        <v>3350</v>
      </c>
      <c r="AH180">
        <v>3.0244856676991669</v>
      </c>
      <c r="AI180">
        <v>19</v>
      </c>
      <c r="AJ180" t="s">
        <v>1205</v>
      </c>
      <c r="AK180" t="s">
        <v>40</v>
      </c>
      <c r="AM180"/>
      <c r="AN180">
        <v>402.31</v>
      </c>
      <c r="AO180">
        <v>15.609932735281086</v>
      </c>
      <c r="AP180">
        <v>399.78</v>
      </c>
      <c r="AQ180">
        <v>34.553512122503555</v>
      </c>
      <c r="AS180">
        <v>-6.0000000000000001E-3</v>
      </c>
      <c r="AT180">
        <v>1.2999999999999999E-3</v>
      </c>
      <c r="AW180" s="28">
        <f t="shared" si="10"/>
        <v>-9.4365705476883305E-2</v>
      </c>
      <c r="AX180">
        <f t="shared" si="11"/>
        <v>0.93617021276595747</v>
      </c>
      <c r="AY180" s="62">
        <f t="shared" si="12"/>
        <v>-8.8342362574103522E-2</v>
      </c>
      <c r="AZ180" s="68" t="str">
        <f t="shared" si="13"/>
        <v>No</v>
      </c>
      <c r="BA180" s="68" t="str">
        <f t="shared" si="14"/>
        <v>No</v>
      </c>
    </row>
    <row r="181" spans="1:53" hidden="1">
      <c r="A181" t="s">
        <v>1815</v>
      </c>
      <c r="B181" t="s">
        <v>2633</v>
      </c>
      <c r="C181">
        <v>62</v>
      </c>
      <c r="F181" t="s">
        <v>1241</v>
      </c>
      <c r="G181" t="s">
        <v>1703</v>
      </c>
      <c r="I181">
        <v>2013</v>
      </c>
      <c r="N181" t="s">
        <v>36</v>
      </c>
      <c r="P181" t="s">
        <v>60</v>
      </c>
      <c r="Q181" t="s">
        <v>900</v>
      </c>
      <c r="R181" t="s">
        <v>946</v>
      </c>
      <c r="S181" t="s">
        <v>1755</v>
      </c>
      <c r="V181" t="s">
        <v>905</v>
      </c>
      <c r="Z181">
        <v>7</v>
      </c>
      <c r="AA181">
        <v>7</v>
      </c>
      <c r="AC181">
        <v>423</v>
      </c>
      <c r="AD181">
        <v>19</v>
      </c>
      <c r="AE181">
        <v>1058</v>
      </c>
      <c r="AF181">
        <v>19</v>
      </c>
      <c r="AG181" t="s">
        <v>3350</v>
      </c>
      <c r="AH181">
        <v>3.0244856676991669</v>
      </c>
      <c r="AI181">
        <v>19</v>
      </c>
      <c r="AJ181" t="s">
        <v>1790</v>
      </c>
      <c r="AK181" t="s">
        <v>770</v>
      </c>
      <c r="AM181"/>
      <c r="AN181">
        <v>96.05</v>
      </c>
      <c r="AO181">
        <v>5.3179601352398267</v>
      </c>
      <c r="AP181">
        <v>95.79</v>
      </c>
      <c r="AQ181">
        <v>11.138613019581927</v>
      </c>
      <c r="AS181">
        <v>-3.0000000000000001E-3</v>
      </c>
      <c r="AT181">
        <v>2.3999999999999998E-3</v>
      </c>
      <c r="AW181" s="28">
        <f t="shared" si="10"/>
        <v>-2.9789826354842647E-2</v>
      </c>
      <c r="AX181">
        <f t="shared" si="11"/>
        <v>0.93617021276595747</v>
      </c>
      <c r="AY181" s="62">
        <f t="shared" si="12"/>
        <v>-2.7888348076873969E-2</v>
      </c>
      <c r="AZ181" s="68" t="str">
        <f t="shared" si="13"/>
        <v>No</v>
      </c>
      <c r="BA181" s="68" t="str">
        <f t="shared" si="14"/>
        <v>No</v>
      </c>
    </row>
    <row r="182" spans="1:53" hidden="1">
      <c r="A182" t="s">
        <v>1815</v>
      </c>
      <c r="B182" t="s">
        <v>3092</v>
      </c>
      <c r="C182">
        <v>62</v>
      </c>
      <c r="F182" t="s">
        <v>1241</v>
      </c>
      <c r="G182" t="s">
        <v>1703</v>
      </c>
      <c r="I182">
        <v>2013</v>
      </c>
      <c r="N182" t="s">
        <v>36</v>
      </c>
      <c r="P182" t="s">
        <v>60</v>
      </c>
      <c r="Q182" t="s">
        <v>900</v>
      </c>
      <c r="R182" t="s">
        <v>946</v>
      </c>
      <c r="S182" t="s">
        <v>1755</v>
      </c>
      <c r="V182" t="s">
        <v>905</v>
      </c>
      <c r="Z182">
        <v>9</v>
      </c>
      <c r="AA182">
        <v>9</v>
      </c>
      <c r="AC182">
        <v>423</v>
      </c>
      <c r="AD182" s="37">
        <v>19</v>
      </c>
      <c r="AE182">
        <v>1738</v>
      </c>
      <c r="AF182" s="37">
        <v>19</v>
      </c>
      <c r="AG182" t="s">
        <v>3393</v>
      </c>
      <c r="AH182">
        <v>3.2400497721126476</v>
      </c>
      <c r="AI182" s="37">
        <v>19</v>
      </c>
      <c r="AJ182" t="s">
        <v>69</v>
      </c>
      <c r="AK182" t="s">
        <v>59</v>
      </c>
      <c r="AM182"/>
      <c r="AN182">
        <v>35.130000000000003</v>
      </c>
      <c r="AO182">
        <v>3.75</v>
      </c>
      <c r="AP182">
        <v>62.66</v>
      </c>
      <c r="AQ182">
        <v>9.5400000000000009</v>
      </c>
      <c r="AS182">
        <v>-0.55200000000000005</v>
      </c>
      <c r="AT182">
        <v>7.6E-3</v>
      </c>
      <c r="AW182" s="28">
        <f t="shared" si="10"/>
        <v>3.79816099786881</v>
      </c>
      <c r="AX182">
        <f t="shared" si="11"/>
        <v>0.95238095238095233</v>
      </c>
      <c r="AY182" s="62">
        <f t="shared" si="12"/>
        <v>3.6172961884464856</v>
      </c>
      <c r="AZ182" s="68" t="str">
        <f t="shared" si="13"/>
        <v>No</v>
      </c>
      <c r="BA182" s="68" t="str">
        <f t="shared" si="14"/>
        <v>No</v>
      </c>
    </row>
    <row r="183" spans="1:53" hidden="1">
      <c r="A183" t="s">
        <v>1815</v>
      </c>
      <c r="B183" t="s">
        <v>2618</v>
      </c>
      <c r="C183">
        <v>62</v>
      </c>
      <c r="F183" t="s">
        <v>1241</v>
      </c>
      <c r="G183" t="s">
        <v>1703</v>
      </c>
      <c r="I183">
        <v>2013</v>
      </c>
      <c r="N183" t="s">
        <v>36</v>
      </c>
      <c r="P183" t="s">
        <v>60</v>
      </c>
      <c r="Q183" t="s">
        <v>900</v>
      </c>
      <c r="R183" t="s">
        <v>946</v>
      </c>
      <c r="S183" t="s">
        <v>1755</v>
      </c>
      <c r="V183" t="s">
        <v>907</v>
      </c>
      <c r="Z183">
        <v>7</v>
      </c>
      <c r="AA183">
        <v>7</v>
      </c>
      <c r="AC183">
        <v>423</v>
      </c>
      <c r="AD183">
        <v>19</v>
      </c>
      <c r="AE183">
        <v>432</v>
      </c>
      <c r="AF183">
        <v>23</v>
      </c>
      <c r="AG183" t="s">
        <v>3350</v>
      </c>
      <c r="AH183">
        <v>2.6354837468149119</v>
      </c>
      <c r="AI183">
        <v>19</v>
      </c>
      <c r="AJ183" t="s">
        <v>1790</v>
      </c>
      <c r="AK183" t="s">
        <v>770</v>
      </c>
      <c r="AM183"/>
      <c r="AN183">
        <v>96.05</v>
      </c>
      <c r="AO183">
        <v>5.3179601352398267</v>
      </c>
      <c r="AP183">
        <v>77.47</v>
      </c>
      <c r="AQ183">
        <v>18.467344151230844</v>
      </c>
      <c r="AS183">
        <v>-0.215</v>
      </c>
      <c r="AT183">
        <v>8.6E-3</v>
      </c>
      <c r="AW183" s="28">
        <f t="shared" si="10"/>
        <v>-1.3672792916665331</v>
      </c>
      <c r="AX183">
        <f t="shared" si="11"/>
        <v>0.93617021276595747</v>
      </c>
      <c r="AY183" s="62">
        <f t="shared" si="12"/>
        <v>-1.2800061453899458</v>
      </c>
      <c r="AZ183" s="68" t="str">
        <f t="shared" si="13"/>
        <v>No</v>
      </c>
      <c r="BA183" s="68" t="str">
        <f t="shared" si="14"/>
        <v>No</v>
      </c>
    </row>
    <row r="184" spans="1:53" hidden="1">
      <c r="A184" t="s">
        <v>1815</v>
      </c>
      <c r="B184" t="s">
        <v>2619</v>
      </c>
      <c r="C184">
        <v>62</v>
      </c>
      <c r="F184" t="s">
        <v>1241</v>
      </c>
      <c r="G184" t="s">
        <v>1703</v>
      </c>
      <c r="I184">
        <v>2013</v>
      </c>
      <c r="N184" t="s">
        <v>36</v>
      </c>
      <c r="P184" t="s">
        <v>60</v>
      </c>
      <c r="Q184" t="s">
        <v>900</v>
      </c>
      <c r="R184" t="s">
        <v>946</v>
      </c>
      <c r="S184" t="s">
        <v>1755</v>
      </c>
      <c r="V184" t="s">
        <v>907</v>
      </c>
      <c r="Z184">
        <v>7</v>
      </c>
      <c r="AA184">
        <v>7</v>
      </c>
      <c r="AC184">
        <v>423</v>
      </c>
      <c r="AD184">
        <v>19</v>
      </c>
      <c r="AE184">
        <v>427</v>
      </c>
      <c r="AF184">
        <v>21</v>
      </c>
      <c r="AG184" t="s">
        <v>3350</v>
      </c>
      <c r="AH184">
        <v>2.6304278750250241</v>
      </c>
      <c r="AI184">
        <v>19</v>
      </c>
      <c r="AJ184" t="s">
        <v>1790</v>
      </c>
      <c r="AK184" t="s">
        <v>770</v>
      </c>
      <c r="AM184"/>
      <c r="AN184">
        <v>96.05</v>
      </c>
      <c r="AO184">
        <v>5.3179601352398267</v>
      </c>
      <c r="AP184">
        <v>83.02</v>
      </c>
      <c r="AQ184">
        <v>12.011710952233242</v>
      </c>
      <c r="AS184">
        <v>-0.14599999999999999</v>
      </c>
      <c r="AT184">
        <v>3.3999999999999998E-3</v>
      </c>
      <c r="AW184" s="28">
        <f t="shared" si="10"/>
        <v>-1.4027715736559425</v>
      </c>
      <c r="AX184">
        <f t="shared" si="11"/>
        <v>0.93617021276595747</v>
      </c>
      <c r="AY184" s="62">
        <f t="shared" si="12"/>
        <v>-1.3132329625715207</v>
      </c>
      <c r="AZ184" s="68" t="str">
        <f t="shared" si="13"/>
        <v>No</v>
      </c>
      <c r="BA184" s="68" t="str">
        <f t="shared" si="14"/>
        <v>No</v>
      </c>
    </row>
    <row r="185" spans="1:53" hidden="1">
      <c r="A185" t="s">
        <v>1815</v>
      </c>
      <c r="B185" t="s">
        <v>2620</v>
      </c>
      <c r="C185">
        <v>62</v>
      </c>
      <c r="F185" t="s">
        <v>1241</v>
      </c>
      <c r="G185" t="s">
        <v>1703</v>
      </c>
      <c r="I185">
        <v>2013</v>
      </c>
      <c r="N185" t="s">
        <v>36</v>
      </c>
      <c r="P185" t="s">
        <v>60</v>
      </c>
      <c r="Q185" t="s">
        <v>900</v>
      </c>
      <c r="R185" t="s">
        <v>946</v>
      </c>
      <c r="S185" t="s">
        <v>1755</v>
      </c>
      <c r="V185" t="s">
        <v>907</v>
      </c>
      <c r="Z185">
        <v>7</v>
      </c>
      <c r="AA185">
        <v>7</v>
      </c>
      <c r="AC185">
        <v>423</v>
      </c>
      <c r="AD185">
        <v>19</v>
      </c>
      <c r="AE185">
        <v>432</v>
      </c>
      <c r="AF185">
        <v>23</v>
      </c>
      <c r="AG185" t="s">
        <v>3350</v>
      </c>
      <c r="AH185">
        <v>2.6354837468149119</v>
      </c>
      <c r="AI185">
        <v>19</v>
      </c>
      <c r="AJ185" t="s">
        <v>1205</v>
      </c>
      <c r="AK185" t="s">
        <v>40</v>
      </c>
      <c r="AM185"/>
      <c r="AN185">
        <v>402.31</v>
      </c>
      <c r="AO185">
        <v>15.609932735281086</v>
      </c>
      <c r="AP185">
        <v>353.47</v>
      </c>
      <c r="AQ185">
        <v>30.082192406804396</v>
      </c>
      <c r="AS185">
        <v>-0.129</v>
      </c>
      <c r="AT185">
        <v>1.1999999999999999E-3</v>
      </c>
      <c r="AW185" s="28">
        <f t="shared" si="10"/>
        <v>-2.0380023384549135</v>
      </c>
      <c r="AX185">
        <f t="shared" si="11"/>
        <v>0.93617021276595747</v>
      </c>
      <c r="AY185" s="62">
        <f t="shared" si="12"/>
        <v>-1.9079170828088552</v>
      </c>
      <c r="AZ185" s="68" t="str">
        <f t="shared" si="13"/>
        <v>No</v>
      </c>
      <c r="BA185" s="68" t="str">
        <f t="shared" si="14"/>
        <v>No</v>
      </c>
    </row>
    <row r="186" spans="1:53" hidden="1">
      <c r="A186" t="s">
        <v>1815</v>
      </c>
      <c r="B186" t="s">
        <v>2628</v>
      </c>
      <c r="C186">
        <v>62</v>
      </c>
      <c r="F186" t="s">
        <v>1241</v>
      </c>
      <c r="G186" t="s">
        <v>1703</v>
      </c>
      <c r="I186">
        <v>2013</v>
      </c>
      <c r="N186" t="s">
        <v>36</v>
      </c>
      <c r="P186" t="s">
        <v>60</v>
      </c>
      <c r="Q186" t="s">
        <v>900</v>
      </c>
      <c r="R186" t="s">
        <v>946</v>
      </c>
      <c r="S186" t="s">
        <v>1755</v>
      </c>
      <c r="V186" t="s">
        <v>907</v>
      </c>
      <c r="Z186">
        <v>7</v>
      </c>
      <c r="AA186">
        <v>7</v>
      </c>
      <c r="AC186">
        <v>423</v>
      </c>
      <c r="AD186">
        <v>19</v>
      </c>
      <c r="AE186">
        <v>427</v>
      </c>
      <c r="AF186">
        <v>21</v>
      </c>
      <c r="AG186" t="s">
        <v>3350</v>
      </c>
      <c r="AH186">
        <v>2.6304278750250241</v>
      </c>
      <c r="AI186">
        <v>19</v>
      </c>
      <c r="AJ186" t="s">
        <v>1205</v>
      </c>
      <c r="AK186" t="s">
        <v>40</v>
      </c>
      <c r="AM186"/>
      <c r="AN186">
        <v>402.31</v>
      </c>
      <c r="AO186">
        <v>15.609932735281086</v>
      </c>
      <c r="AP186">
        <v>376.21</v>
      </c>
      <c r="AQ186">
        <v>34.527054609392913</v>
      </c>
      <c r="AS186">
        <v>-6.7000000000000004E-2</v>
      </c>
      <c r="AT186">
        <v>1.4E-3</v>
      </c>
      <c r="AW186" s="28">
        <f t="shared" si="10"/>
        <v>-0.97411542668626006</v>
      </c>
      <c r="AX186">
        <f t="shared" si="11"/>
        <v>0.93617021276595747</v>
      </c>
      <c r="AY186" s="62">
        <f t="shared" si="12"/>
        <v>-0.91193784625947749</v>
      </c>
      <c r="AZ186" s="68" t="str">
        <f t="shared" si="13"/>
        <v>No</v>
      </c>
      <c r="BA186" s="68" t="str">
        <f t="shared" si="14"/>
        <v>No</v>
      </c>
    </row>
    <row r="187" spans="1:53" hidden="1">
      <c r="A187" t="s">
        <v>1815</v>
      </c>
      <c r="B187" t="s">
        <v>3096</v>
      </c>
      <c r="C187">
        <v>62</v>
      </c>
      <c r="F187" t="s">
        <v>1241</v>
      </c>
      <c r="G187" t="s">
        <v>1703</v>
      </c>
      <c r="I187">
        <v>2013</v>
      </c>
      <c r="N187" t="s">
        <v>36</v>
      </c>
      <c r="P187" t="s">
        <v>60</v>
      </c>
      <c r="Q187" t="s">
        <v>900</v>
      </c>
      <c r="R187" t="s">
        <v>946</v>
      </c>
      <c r="S187" t="s">
        <v>1755</v>
      </c>
      <c r="V187" t="s">
        <v>907</v>
      </c>
      <c r="Z187">
        <v>9</v>
      </c>
      <c r="AA187">
        <v>9</v>
      </c>
      <c r="AC187">
        <v>423</v>
      </c>
      <c r="AD187" s="37">
        <v>19</v>
      </c>
      <c r="AE187">
        <v>432</v>
      </c>
      <c r="AF187" s="37">
        <v>23</v>
      </c>
      <c r="AG187" t="s">
        <v>3393</v>
      </c>
      <c r="AH187">
        <v>2.6354837468149119</v>
      </c>
      <c r="AI187" s="37">
        <v>19</v>
      </c>
      <c r="AJ187" t="s">
        <v>69</v>
      </c>
      <c r="AK187" t="s">
        <v>59</v>
      </c>
      <c r="AM187"/>
      <c r="AN187">
        <v>35.130000000000003</v>
      </c>
      <c r="AO187">
        <v>3.75</v>
      </c>
      <c r="AP187">
        <v>48.83</v>
      </c>
      <c r="AQ187">
        <v>8.6999999999999993</v>
      </c>
      <c r="AS187">
        <v>-0.23699999999999999</v>
      </c>
      <c r="AT187">
        <v>3.5999999999999999E-3</v>
      </c>
      <c r="AW187" s="28">
        <f t="shared" si="10"/>
        <v>2.0450893532218108</v>
      </c>
      <c r="AX187">
        <f t="shared" si="11"/>
        <v>0.95238095238095233</v>
      </c>
      <c r="AY187" s="62">
        <f t="shared" si="12"/>
        <v>1.947704145925534</v>
      </c>
      <c r="AZ187" s="68" t="str">
        <f t="shared" si="13"/>
        <v>No</v>
      </c>
      <c r="BA187" s="68" t="str">
        <f t="shared" si="14"/>
        <v>No</v>
      </c>
    </row>
    <row r="188" spans="1:53" hidden="1">
      <c r="A188" t="s">
        <v>1815</v>
      </c>
      <c r="B188" t="s">
        <v>2621</v>
      </c>
      <c r="C188">
        <v>62</v>
      </c>
      <c r="F188" t="s">
        <v>1241</v>
      </c>
      <c r="G188" t="s">
        <v>1703</v>
      </c>
      <c r="I188">
        <v>2013</v>
      </c>
      <c r="N188" t="s">
        <v>36</v>
      </c>
      <c r="P188" t="s">
        <v>60</v>
      </c>
      <c r="Q188" t="s">
        <v>900</v>
      </c>
      <c r="R188" t="s">
        <v>946</v>
      </c>
      <c r="S188" t="s">
        <v>1755</v>
      </c>
      <c r="V188" t="s">
        <v>1015</v>
      </c>
      <c r="Z188">
        <v>7</v>
      </c>
      <c r="AA188">
        <v>7</v>
      </c>
      <c r="AC188">
        <v>423</v>
      </c>
      <c r="AD188">
        <v>19</v>
      </c>
      <c r="AE188">
        <v>1805</v>
      </c>
      <c r="AF188">
        <v>23</v>
      </c>
      <c r="AG188" t="s">
        <v>3350</v>
      </c>
      <c r="AH188">
        <v>3.2564772062416769</v>
      </c>
      <c r="AI188">
        <v>19</v>
      </c>
      <c r="AJ188" t="s">
        <v>1205</v>
      </c>
      <c r="AK188" t="s">
        <v>40</v>
      </c>
      <c r="AM188"/>
      <c r="AN188">
        <v>402.31</v>
      </c>
      <c r="AO188">
        <v>15.609932735281086</v>
      </c>
      <c r="AP188">
        <v>353.89</v>
      </c>
      <c r="AQ188">
        <v>46.776883179621962</v>
      </c>
      <c r="AS188">
        <v>-0.128</v>
      </c>
      <c r="AT188">
        <v>2.7000000000000001E-3</v>
      </c>
      <c r="AW188" s="28">
        <f t="shared" si="10"/>
        <v>-1.3886110165585666</v>
      </c>
      <c r="AX188">
        <f t="shared" si="11"/>
        <v>0.93617021276595747</v>
      </c>
      <c r="AY188" s="62">
        <f t="shared" si="12"/>
        <v>-1.2999762708207858</v>
      </c>
      <c r="AZ188" s="68" t="str">
        <f t="shared" si="13"/>
        <v>No</v>
      </c>
      <c r="BA188" s="68" t="str">
        <f t="shared" si="14"/>
        <v>No</v>
      </c>
    </row>
    <row r="189" spans="1:53" hidden="1">
      <c r="A189" t="s">
        <v>1815</v>
      </c>
      <c r="B189" t="s">
        <v>2622</v>
      </c>
      <c r="C189">
        <v>62</v>
      </c>
      <c r="F189" t="s">
        <v>1241</v>
      </c>
      <c r="G189" t="s">
        <v>1703</v>
      </c>
      <c r="I189">
        <v>2013</v>
      </c>
      <c r="N189" t="s">
        <v>36</v>
      </c>
      <c r="P189" t="s">
        <v>60</v>
      </c>
      <c r="Q189" t="s">
        <v>900</v>
      </c>
      <c r="R189" t="s">
        <v>946</v>
      </c>
      <c r="S189" t="s">
        <v>1755</v>
      </c>
      <c r="V189" t="s">
        <v>1015</v>
      </c>
      <c r="Z189">
        <v>7</v>
      </c>
      <c r="AA189">
        <v>7</v>
      </c>
      <c r="AC189">
        <v>423</v>
      </c>
      <c r="AD189">
        <v>19</v>
      </c>
      <c r="AE189">
        <v>1076</v>
      </c>
      <c r="AF189">
        <v>21</v>
      </c>
      <c r="AG189" t="s">
        <v>3350</v>
      </c>
      <c r="AH189">
        <v>3.0318122713303706</v>
      </c>
      <c r="AI189">
        <v>19</v>
      </c>
      <c r="AJ189" t="s">
        <v>1790</v>
      </c>
      <c r="AK189" t="s">
        <v>770</v>
      </c>
      <c r="AM189"/>
      <c r="AN189">
        <v>96.05</v>
      </c>
      <c r="AO189">
        <v>5.3179601352398267</v>
      </c>
      <c r="AP189">
        <v>84.87</v>
      </c>
      <c r="AQ189">
        <v>9.7892798509389856</v>
      </c>
      <c r="AS189">
        <v>-0.124</v>
      </c>
      <c r="AT189">
        <v>2.3E-3</v>
      </c>
      <c r="AW189" s="28">
        <f t="shared" si="10"/>
        <v>-1.419228058985412</v>
      </c>
      <c r="AX189">
        <f t="shared" si="11"/>
        <v>0.93617021276595747</v>
      </c>
      <c r="AY189" s="62">
        <f t="shared" si="12"/>
        <v>-1.3286390339437901</v>
      </c>
      <c r="AZ189" s="68" t="str">
        <f t="shared" si="13"/>
        <v>No</v>
      </c>
      <c r="BA189" s="68" t="str">
        <f t="shared" si="14"/>
        <v>No</v>
      </c>
    </row>
    <row r="190" spans="1:53" hidden="1">
      <c r="A190" t="s">
        <v>1815</v>
      </c>
      <c r="B190" t="s">
        <v>2623</v>
      </c>
      <c r="C190">
        <v>62</v>
      </c>
      <c r="F190" t="s">
        <v>1241</v>
      </c>
      <c r="G190" t="s">
        <v>1703</v>
      </c>
      <c r="I190">
        <v>2013</v>
      </c>
      <c r="N190" t="s">
        <v>36</v>
      </c>
      <c r="P190" t="s">
        <v>60</v>
      </c>
      <c r="Q190" t="s">
        <v>900</v>
      </c>
      <c r="R190" t="s">
        <v>946</v>
      </c>
      <c r="S190" t="s">
        <v>1755</v>
      </c>
      <c r="V190" t="s">
        <v>1015</v>
      </c>
      <c r="Z190">
        <v>7</v>
      </c>
      <c r="AA190">
        <v>7</v>
      </c>
      <c r="AC190">
        <v>423</v>
      </c>
      <c r="AD190">
        <v>19</v>
      </c>
      <c r="AE190">
        <v>1094</v>
      </c>
      <c r="AF190">
        <v>23</v>
      </c>
      <c r="AG190" t="s">
        <v>3350</v>
      </c>
      <c r="AH190">
        <v>3.0390173219974121</v>
      </c>
      <c r="AI190">
        <v>19</v>
      </c>
      <c r="AJ190" t="s">
        <v>1205</v>
      </c>
      <c r="AK190" t="s">
        <v>40</v>
      </c>
      <c r="AM190"/>
      <c r="AN190">
        <v>402.31</v>
      </c>
      <c r="AO190">
        <v>15.609932735281086</v>
      </c>
      <c r="AP190">
        <v>358.1</v>
      </c>
      <c r="AQ190">
        <v>45.665667628974838</v>
      </c>
      <c r="AS190">
        <v>-0.11600000000000001</v>
      </c>
      <c r="AT190">
        <v>2.5000000000000001E-3</v>
      </c>
      <c r="AW190" s="28">
        <f t="shared" si="10"/>
        <v>-1.2955333744561548</v>
      </c>
      <c r="AX190">
        <f t="shared" si="11"/>
        <v>0.93617021276595747</v>
      </c>
      <c r="AY190" s="62">
        <f t="shared" si="12"/>
        <v>-1.2128397548100174</v>
      </c>
      <c r="AZ190" s="68" t="str">
        <f t="shared" si="13"/>
        <v>No</v>
      </c>
      <c r="BA190" s="68" t="str">
        <f t="shared" si="14"/>
        <v>No</v>
      </c>
    </row>
    <row r="191" spans="1:53" hidden="1">
      <c r="A191" t="s">
        <v>1815</v>
      </c>
      <c r="B191" t="s">
        <v>2624</v>
      </c>
      <c r="C191">
        <v>62</v>
      </c>
      <c r="F191" t="s">
        <v>1241</v>
      </c>
      <c r="G191" t="s">
        <v>1703</v>
      </c>
      <c r="I191">
        <v>2013</v>
      </c>
      <c r="N191" t="s">
        <v>36</v>
      </c>
      <c r="P191" t="s">
        <v>60</v>
      </c>
      <c r="Q191" t="s">
        <v>900</v>
      </c>
      <c r="R191" t="s">
        <v>946</v>
      </c>
      <c r="S191" t="s">
        <v>1755</v>
      </c>
      <c r="V191" t="s">
        <v>1015</v>
      </c>
      <c r="Z191">
        <v>7</v>
      </c>
      <c r="AA191">
        <v>7</v>
      </c>
      <c r="AC191">
        <v>423</v>
      </c>
      <c r="AD191">
        <v>19</v>
      </c>
      <c r="AE191">
        <v>1094</v>
      </c>
      <c r="AF191">
        <v>23</v>
      </c>
      <c r="AG191" t="s">
        <v>3350</v>
      </c>
      <c r="AH191">
        <v>3.0390173219974121</v>
      </c>
      <c r="AI191">
        <v>19</v>
      </c>
      <c r="AJ191" t="s">
        <v>1790</v>
      </c>
      <c r="AK191" t="s">
        <v>770</v>
      </c>
      <c r="AM191"/>
      <c r="AN191">
        <v>96.05</v>
      </c>
      <c r="AO191">
        <v>5.3179601352398267</v>
      </c>
      <c r="AP191">
        <v>85.79</v>
      </c>
      <c r="AQ191">
        <v>12.646691266888745</v>
      </c>
      <c r="AS191">
        <v>-0.113</v>
      </c>
      <c r="AT191">
        <v>3.5000000000000001E-3</v>
      </c>
      <c r="AW191" s="28">
        <f t="shared" si="10"/>
        <v>-1.0576209644062311</v>
      </c>
      <c r="AX191">
        <f t="shared" si="11"/>
        <v>0.93617021276595747</v>
      </c>
      <c r="AY191" s="62">
        <f t="shared" si="12"/>
        <v>-0.99011324327391848</v>
      </c>
      <c r="AZ191" s="68" t="str">
        <f t="shared" si="13"/>
        <v>No</v>
      </c>
      <c r="BA191" s="68" t="str">
        <f t="shared" si="14"/>
        <v>No</v>
      </c>
    </row>
    <row r="192" spans="1:53" hidden="1">
      <c r="A192" t="s">
        <v>1815</v>
      </c>
      <c r="B192" t="s">
        <v>2625</v>
      </c>
      <c r="C192">
        <v>62</v>
      </c>
      <c r="F192" t="s">
        <v>1241</v>
      </c>
      <c r="G192" t="s">
        <v>1703</v>
      </c>
      <c r="I192">
        <v>2013</v>
      </c>
      <c r="N192" t="s">
        <v>36</v>
      </c>
      <c r="P192" t="s">
        <v>60</v>
      </c>
      <c r="Q192" t="s">
        <v>900</v>
      </c>
      <c r="R192" t="s">
        <v>946</v>
      </c>
      <c r="S192" t="s">
        <v>1755</v>
      </c>
      <c r="V192" t="s">
        <v>1015</v>
      </c>
      <c r="Z192">
        <v>7</v>
      </c>
      <c r="AA192">
        <v>7</v>
      </c>
      <c r="AC192">
        <v>423</v>
      </c>
      <c r="AD192">
        <v>19</v>
      </c>
      <c r="AE192">
        <v>1076</v>
      </c>
      <c r="AF192">
        <v>21</v>
      </c>
      <c r="AG192" t="s">
        <v>3350</v>
      </c>
      <c r="AH192">
        <v>3.0318122713303706</v>
      </c>
      <c r="AI192">
        <v>19</v>
      </c>
      <c r="AJ192" t="s">
        <v>1205</v>
      </c>
      <c r="AK192" t="s">
        <v>40</v>
      </c>
      <c r="AM192"/>
      <c r="AN192">
        <v>402.31</v>
      </c>
      <c r="AO192">
        <v>15.609932735281086</v>
      </c>
      <c r="AP192">
        <v>367.78</v>
      </c>
      <c r="AQ192">
        <v>18.943579387222471</v>
      </c>
      <c r="AS192">
        <v>-0.09</v>
      </c>
      <c r="AT192">
        <v>5.9999999999999995E-4</v>
      </c>
      <c r="AW192" s="28">
        <f t="shared" si="10"/>
        <v>-1.9894018928858281</v>
      </c>
      <c r="AX192">
        <f t="shared" si="11"/>
        <v>0.93617021276595747</v>
      </c>
      <c r="AY192" s="62">
        <f t="shared" si="12"/>
        <v>-1.8624187933399243</v>
      </c>
      <c r="AZ192" s="68" t="str">
        <f t="shared" si="13"/>
        <v>No</v>
      </c>
      <c r="BA192" s="68" t="str">
        <f t="shared" si="14"/>
        <v>No</v>
      </c>
    </row>
    <row r="193" spans="1:53" hidden="1">
      <c r="A193" t="s">
        <v>1815</v>
      </c>
      <c r="B193" t="s">
        <v>2626</v>
      </c>
      <c r="C193">
        <v>62</v>
      </c>
      <c r="F193" t="s">
        <v>1241</v>
      </c>
      <c r="G193" t="s">
        <v>1703</v>
      </c>
      <c r="I193">
        <v>2013</v>
      </c>
      <c r="N193" t="s">
        <v>36</v>
      </c>
      <c r="P193" t="s">
        <v>60</v>
      </c>
      <c r="Q193" t="s">
        <v>900</v>
      </c>
      <c r="R193" t="s">
        <v>946</v>
      </c>
      <c r="S193" t="s">
        <v>1755</v>
      </c>
      <c r="V193" t="s">
        <v>1015</v>
      </c>
      <c r="Z193">
        <v>7</v>
      </c>
      <c r="AA193">
        <v>7</v>
      </c>
      <c r="AC193">
        <v>423</v>
      </c>
      <c r="AD193">
        <v>19</v>
      </c>
      <c r="AE193">
        <v>1772</v>
      </c>
      <c r="AF193">
        <v>21</v>
      </c>
      <c r="AG193" t="s">
        <v>3350</v>
      </c>
      <c r="AH193">
        <v>3.248463717551032</v>
      </c>
      <c r="AI193">
        <v>19</v>
      </c>
      <c r="AJ193" t="s">
        <v>1205</v>
      </c>
      <c r="AK193" t="s">
        <v>40</v>
      </c>
      <c r="AM193"/>
      <c r="AN193">
        <v>402.31</v>
      </c>
      <c r="AO193">
        <v>15.609932735281086</v>
      </c>
      <c r="AP193">
        <v>368.21</v>
      </c>
      <c r="AQ193">
        <v>48.999314280916217</v>
      </c>
      <c r="AS193">
        <v>-8.8999999999999996E-2</v>
      </c>
      <c r="AT193">
        <v>2.7000000000000001E-3</v>
      </c>
      <c r="AW193" s="28">
        <f t="shared" si="10"/>
        <v>-0.93775448540765083</v>
      </c>
      <c r="AX193">
        <f t="shared" si="11"/>
        <v>0.93617021276595747</v>
      </c>
      <c r="AY193" s="62">
        <f t="shared" si="12"/>
        <v>-0.87789781612631146</v>
      </c>
      <c r="AZ193" s="68" t="str">
        <f t="shared" si="13"/>
        <v>No</v>
      </c>
      <c r="BA193" s="68" t="str">
        <f t="shared" si="14"/>
        <v>No</v>
      </c>
    </row>
    <row r="194" spans="1:53" hidden="1">
      <c r="A194" t="s">
        <v>1815</v>
      </c>
      <c r="B194" t="s">
        <v>2627</v>
      </c>
      <c r="C194">
        <v>62</v>
      </c>
      <c r="F194" t="s">
        <v>1241</v>
      </c>
      <c r="G194" t="s">
        <v>1703</v>
      </c>
      <c r="I194">
        <v>2013</v>
      </c>
      <c r="N194" t="s">
        <v>36</v>
      </c>
      <c r="P194" t="s">
        <v>60</v>
      </c>
      <c r="Q194" t="s">
        <v>900</v>
      </c>
      <c r="R194" t="s">
        <v>946</v>
      </c>
      <c r="S194" t="s">
        <v>1755</v>
      </c>
      <c r="V194" t="s">
        <v>1015</v>
      </c>
      <c r="Z194">
        <v>7</v>
      </c>
      <c r="AA194">
        <v>7</v>
      </c>
      <c r="AC194">
        <v>423</v>
      </c>
      <c r="AD194">
        <v>19</v>
      </c>
      <c r="AE194">
        <v>1772</v>
      </c>
      <c r="AF194">
        <v>21</v>
      </c>
      <c r="AG194" t="s">
        <v>3350</v>
      </c>
      <c r="AH194">
        <v>3.248463717551032</v>
      </c>
      <c r="AI194">
        <v>19</v>
      </c>
      <c r="AJ194" t="s">
        <v>1790</v>
      </c>
      <c r="AK194" t="s">
        <v>770</v>
      </c>
      <c r="AM194"/>
      <c r="AN194">
        <v>96.05</v>
      </c>
      <c r="AO194">
        <v>5.3179601352398267</v>
      </c>
      <c r="AP194">
        <v>88.4</v>
      </c>
      <c r="AQ194">
        <v>10.900495401586115</v>
      </c>
      <c r="AS194">
        <v>-8.3000000000000004E-2</v>
      </c>
      <c r="AT194">
        <v>2.5999999999999999E-3</v>
      </c>
      <c r="AW194" s="28">
        <f t="shared" ref="AW194:AW257" si="15">(AP194-$AN194)/SQRT(((AA194-1)*AQ194*AQ194+($Z194-1)*$AO194*$AO194)/(AA194+$Z194-2))</f>
        <v>-0.89200621919771594</v>
      </c>
      <c r="AX194">
        <f t="shared" ref="AX194:AX257" si="16">1-(3/(4*(AA194+$Z194-2)-1))</f>
        <v>0.93617021276595747</v>
      </c>
      <c r="AY194" s="62">
        <f t="shared" ref="AY194:AY257" si="17">AX194*AW194</f>
        <v>-0.83506965201488303</v>
      </c>
      <c r="AZ194" s="68" t="str">
        <f t="shared" ref="AZ194:AZ257" si="18">IF(AY194&gt;10,"Yes","No")</f>
        <v>No</v>
      </c>
      <c r="BA194" s="68" t="str">
        <f t="shared" ref="BA194:BA257" si="19">IF(AY194&lt;-10,"Yes","No")</f>
        <v>No</v>
      </c>
    </row>
    <row r="195" spans="1:53" hidden="1">
      <c r="A195" t="s">
        <v>1815</v>
      </c>
      <c r="B195" t="s">
        <v>2630</v>
      </c>
      <c r="C195">
        <v>62</v>
      </c>
      <c r="F195" t="s">
        <v>1241</v>
      </c>
      <c r="G195" t="s">
        <v>1703</v>
      </c>
      <c r="I195">
        <v>2013</v>
      </c>
      <c r="N195" t="s">
        <v>36</v>
      </c>
      <c r="P195" t="s">
        <v>60</v>
      </c>
      <c r="Q195" t="s">
        <v>900</v>
      </c>
      <c r="R195" t="s">
        <v>946</v>
      </c>
      <c r="S195" t="s">
        <v>1755</v>
      </c>
      <c r="V195" t="s">
        <v>1015</v>
      </c>
      <c r="Z195">
        <v>7</v>
      </c>
      <c r="AA195">
        <v>7</v>
      </c>
      <c r="AC195">
        <v>423</v>
      </c>
      <c r="AD195">
        <v>19</v>
      </c>
      <c r="AE195">
        <v>1805</v>
      </c>
      <c r="AF195">
        <v>23</v>
      </c>
      <c r="AG195" t="s">
        <v>3350</v>
      </c>
      <c r="AH195">
        <v>3.2564772062416769</v>
      </c>
      <c r="AI195">
        <v>19</v>
      </c>
      <c r="AJ195" t="s">
        <v>1790</v>
      </c>
      <c r="AK195" t="s">
        <v>770</v>
      </c>
      <c r="AM195"/>
      <c r="AN195">
        <v>96.05</v>
      </c>
      <c r="AO195">
        <v>5.3179601352398267</v>
      </c>
      <c r="AP195">
        <v>93.86</v>
      </c>
      <c r="AQ195">
        <v>3.3336466519413843</v>
      </c>
      <c r="AS195">
        <v>-2.3E-2</v>
      </c>
      <c r="AT195">
        <v>5.9999999999999995E-4</v>
      </c>
      <c r="AW195" s="28">
        <f t="shared" si="15"/>
        <v>-0.49345167056851513</v>
      </c>
      <c r="AX195">
        <f t="shared" si="16"/>
        <v>0.93617021276595747</v>
      </c>
      <c r="AY195" s="62">
        <f t="shared" si="17"/>
        <v>-0.46195475542584397</v>
      </c>
      <c r="AZ195" s="68" t="str">
        <f t="shared" si="18"/>
        <v>No</v>
      </c>
      <c r="BA195" s="68" t="str">
        <f t="shared" si="19"/>
        <v>No</v>
      </c>
    </row>
    <row r="196" spans="1:53" hidden="1">
      <c r="A196" t="s">
        <v>1815</v>
      </c>
      <c r="B196" t="s">
        <v>3093</v>
      </c>
      <c r="C196">
        <v>62</v>
      </c>
      <c r="F196" t="s">
        <v>1241</v>
      </c>
      <c r="G196" t="s">
        <v>1703</v>
      </c>
      <c r="I196">
        <v>2013</v>
      </c>
      <c r="N196" t="s">
        <v>36</v>
      </c>
      <c r="P196" t="s">
        <v>60</v>
      </c>
      <c r="Q196" t="s">
        <v>900</v>
      </c>
      <c r="R196" t="s">
        <v>946</v>
      </c>
      <c r="S196" t="s">
        <v>1755</v>
      </c>
      <c r="V196" t="s">
        <v>1015</v>
      </c>
      <c r="Z196">
        <v>9</v>
      </c>
      <c r="AA196">
        <v>9</v>
      </c>
      <c r="AC196">
        <v>423</v>
      </c>
      <c r="AD196" s="37">
        <v>19</v>
      </c>
      <c r="AE196">
        <v>1772</v>
      </c>
      <c r="AF196" s="37">
        <v>21</v>
      </c>
      <c r="AG196" t="s">
        <v>3393</v>
      </c>
      <c r="AH196">
        <v>3.248463717551032</v>
      </c>
      <c r="AI196" s="37">
        <v>19</v>
      </c>
      <c r="AJ196" t="s">
        <v>69</v>
      </c>
      <c r="AK196" t="s">
        <v>59</v>
      </c>
      <c r="AM196"/>
      <c r="AN196">
        <v>35.130000000000003</v>
      </c>
      <c r="AO196">
        <v>3.75</v>
      </c>
      <c r="AP196">
        <v>62.39</v>
      </c>
      <c r="AQ196">
        <v>9.9599999999999991</v>
      </c>
      <c r="AS196">
        <v>-0.54500000000000004</v>
      </c>
      <c r="AT196">
        <v>8.2000000000000007E-3</v>
      </c>
      <c r="AW196" s="28">
        <f t="shared" si="15"/>
        <v>3.622385861798338</v>
      </c>
      <c r="AX196">
        <f t="shared" si="16"/>
        <v>0.95238095238095233</v>
      </c>
      <c r="AY196" s="62">
        <f t="shared" si="17"/>
        <v>3.4498912969507978</v>
      </c>
      <c r="AZ196" s="68" t="str">
        <f t="shared" si="18"/>
        <v>No</v>
      </c>
      <c r="BA196" s="68" t="str">
        <f t="shared" si="19"/>
        <v>No</v>
      </c>
    </row>
    <row r="197" spans="1:53" hidden="1">
      <c r="A197" t="s">
        <v>1815</v>
      </c>
      <c r="B197" t="s">
        <v>3094</v>
      </c>
      <c r="C197">
        <v>62</v>
      </c>
      <c r="F197" t="s">
        <v>1241</v>
      </c>
      <c r="G197" t="s">
        <v>1703</v>
      </c>
      <c r="I197">
        <v>2013</v>
      </c>
      <c r="N197" t="s">
        <v>36</v>
      </c>
      <c r="P197" t="s">
        <v>60</v>
      </c>
      <c r="Q197" t="s">
        <v>900</v>
      </c>
      <c r="R197" t="s">
        <v>946</v>
      </c>
      <c r="S197" t="s">
        <v>1755</v>
      </c>
      <c r="V197" t="s">
        <v>1015</v>
      </c>
      <c r="Z197">
        <v>9</v>
      </c>
      <c r="AA197">
        <v>9</v>
      </c>
      <c r="AC197">
        <v>423</v>
      </c>
      <c r="AD197" s="37">
        <v>19</v>
      </c>
      <c r="AE197">
        <v>1805</v>
      </c>
      <c r="AF197" s="37">
        <v>23</v>
      </c>
      <c r="AG197" t="s">
        <v>3393</v>
      </c>
      <c r="AH197">
        <v>3.2564772062416769</v>
      </c>
      <c r="AI197" s="37">
        <v>19</v>
      </c>
      <c r="AJ197" t="s">
        <v>69</v>
      </c>
      <c r="AK197" t="s">
        <v>59</v>
      </c>
      <c r="AM197"/>
      <c r="AN197">
        <v>35.130000000000003</v>
      </c>
      <c r="AO197">
        <v>3.75</v>
      </c>
      <c r="AP197">
        <v>60.31</v>
      </c>
      <c r="AQ197">
        <v>9.5400000000000009</v>
      </c>
      <c r="AS197">
        <v>-0.49099999999999999</v>
      </c>
      <c r="AT197">
        <v>6.7999999999999996E-3</v>
      </c>
      <c r="AW197" s="28">
        <f t="shared" si="15"/>
        <v>3.4739445668847311</v>
      </c>
      <c r="AX197">
        <f t="shared" si="16"/>
        <v>0.95238095238095233</v>
      </c>
      <c r="AY197" s="62">
        <f t="shared" si="17"/>
        <v>3.3085186351283151</v>
      </c>
      <c r="AZ197" s="68" t="str">
        <f t="shared" si="18"/>
        <v>No</v>
      </c>
      <c r="BA197" s="68" t="str">
        <f t="shared" si="19"/>
        <v>No</v>
      </c>
    </row>
    <row r="198" spans="1:53" hidden="1">
      <c r="A198" t="s">
        <v>1815</v>
      </c>
      <c r="B198" t="s">
        <v>3095</v>
      </c>
      <c r="C198">
        <v>62</v>
      </c>
      <c r="F198" t="s">
        <v>1241</v>
      </c>
      <c r="G198" t="s">
        <v>1703</v>
      </c>
      <c r="I198">
        <v>2013</v>
      </c>
      <c r="N198" t="s">
        <v>36</v>
      </c>
      <c r="P198" t="s">
        <v>60</v>
      </c>
      <c r="Q198" t="s">
        <v>900</v>
      </c>
      <c r="R198" t="s">
        <v>946</v>
      </c>
      <c r="S198" t="s">
        <v>1755</v>
      </c>
      <c r="V198" t="s">
        <v>1015</v>
      </c>
      <c r="Z198">
        <v>9</v>
      </c>
      <c r="AA198">
        <v>9</v>
      </c>
      <c r="AC198">
        <v>423</v>
      </c>
      <c r="AD198" s="37">
        <v>19</v>
      </c>
      <c r="AE198">
        <v>1094</v>
      </c>
      <c r="AF198" s="37">
        <v>23</v>
      </c>
      <c r="AG198" t="s">
        <v>3393</v>
      </c>
      <c r="AH198">
        <v>3.0390173219974121</v>
      </c>
      <c r="AI198" s="37">
        <v>19</v>
      </c>
      <c r="AJ198" t="s">
        <v>69</v>
      </c>
      <c r="AK198" t="s">
        <v>59</v>
      </c>
      <c r="AM198"/>
      <c r="AN198">
        <v>35.130000000000003</v>
      </c>
      <c r="AO198">
        <v>3.75</v>
      </c>
      <c r="AP198">
        <v>51.87</v>
      </c>
      <c r="AQ198">
        <v>10.8</v>
      </c>
      <c r="AS198">
        <v>-0.29799999999999999</v>
      </c>
      <c r="AT198">
        <v>6.0000000000000001E-3</v>
      </c>
      <c r="AW198" s="28">
        <f t="shared" si="15"/>
        <v>2.0707539773651589</v>
      </c>
      <c r="AX198">
        <f t="shared" si="16"/>
        <v>0.95238095238095233</v>
      </c>
      <c r="AY198" s="62">
        <f t="shared" si="17"/>
        <v>1.972146645109675</v>
      </c>
      <c r="AZ198" s="68" t="str">
        <f t="shared" si="18"/>
        <v>No</v>
      </c>
      <c r="BA198" s="68" t="str">
        <f t="shared" si="19"/>
        <v>No</v>
      </c>
    </row>
    <row r="199" spans="1:53" hidden="1">
      <c r="A199" t="s">
        <v>1815</v>
      </c>
      <c r="B199" t="s">
        <v>2722</v>
      </c>
      <c r="C199">
        <v>76</v>
      </c>
      <c r="F199" t="s">
        <v>1241</v>
      </c>
      <c r="G199" t="s">
        <v>1710</v>
      </c>
      <c r="I199">
        <v>2020</v>
      </c>
      <c r="N199" t="s">
        <v>36</v>
      </c>
      <c r="P199" t="s">
        <v>60</v>
      </c>
      <c r="Q199" t="s">
        <v>900</v>
      </c>
      <c r="R199" t="s">
        <v>1741</v>
      </c>
      <c r="S199" t="s">
        <v>1762</v>
      </c>
      <c r="V199" t="s">
        <v>905</v>
      </c>
      <c r="Z199">
        <v>10</v>
      </c>
      <c r="AA199">
        <v>10</v>
      </c>
      <c r="AC199">
        <v>342</v>
      </c>
      <c r="AD199">
        <v>20</v>
      </c>
      <c r="AE199">
        <v>1783</v>
      </c>
      <c r="AF199">
        <v>20</v>
      </c>
      <c r="AG199" t="s">
        <v>3361</v>
      </c>
      <c r="AH199">
        <v>3.2511513431753545</v>
      </c>
      <c r="AI199">
        <v>20</v>
      </c>
      <c r="AJ199" t="s">
        <v>1790</v>
      </c>
      <c r="AK199" t="s">
        <v>904</v>
      </c>
      <c r="AM199"/>
      <c r="AN199">
        <v>59.7</v>
      </c>
      <c r="AO199">
        <v>31.306548835666959</v>
      </c>
      <c r="AP199">
        <v>23</v>
      </c>
      <c r="AQ199">
        <v>22.768399153212332</v>
      </c>
      <c r="AS199">
        <v>-0.95399999999999996</v>
      </c>
      <c r="AT199">
        <v>0.1255</v>
      </c>
      <c r="AW199" s="28">
        <f t="shared" si="15"/>
        <v>-1.3407650742459138</v>
      </c>
      <c r="AX199">
        <f t="shared" si="16"/>
        <v>0.95774647887323949</v>
      </c>
      <c r="AY199" s="62">
        <f t="shared" si="17"/>
        <v>-1.2841130288552416</v>
      </c>
      <c r="AZ199" s="68" t="str">
        <f t="shared" si="18"/>
        <v>No</v>
      </c>
      <c r="BA199" s="68" t="str">
        <f t="shared" si="19"/>
        <v>No</v>
      </c>
    </row>
    <row r="200" spans="1:53" hidden="1">
      <c r="A200" t="s">
        <v>1815</v>
      </c>
      <c r="B200" t="s">
        <v>2723</v>
      </c>
      <c r="C200">
        <v>76</v>
      </c>
      <c r="F200" t="s">
        <v>1241</v>
      </c>
      <c r="G200" t="s">
        <v>1710</v>
      </c>
      <c r="I200">
        <v>2020</v>
      </c>
      <c r="N200" t="s">
        <v>36</v>
      </c>
      <c r="P200" t="s">
        <v>60</v>
      </c>
      <c r="Q200" t="s">
        <v>900</v>
      </c>
      <c r="R200" t="s">
        <v>1741</v>
      </c>
      <c r="S200" t="s">
        <v>1762</v>
      </c>
      <c r="V200" t="s">
        <v>905</v>
      </c>
      <c r="Z200">
        <v>10</v>
      </c>
      <c r="AA200">
        <v>10</v>
      </c>
      <c r="AC200">
        <v>342</v>
      </c>
      <c r="AD200">
        <v>20</v>
      </c>
      <c r="AE200">
        <v>1084</v>
      </c>
      <c r="AF200">
        <v>20</v>
      </c>
      <c r="AG200" t="s">
        <v>3361</v>
      </c>
      <c r="AH200">
        <v>3.0350292822023683</v>
      </c>
      <c r="AI200">
        <v>20</v>
      </c>
      <c r="AJ200" t="s">
        <v>1790</v>
      </c>
      <c r="AK200" t="s">
        <v>904</v>
      </c>
      <c r="AM200"/>
      <c r="AN200">
        <v>59.7</v>
      </c>
      <c r="AO200">
        <v>31.306548835666959</v>
      </c>
      <c r="AP200">
        <v>28.2</v>
      </c>
      <c r="AQ200">
        <v>27.828043409481744</v>
      </c>
      <c r="AS200">
        <v>-0.75</v>
      </c>
      <c r="AT200">
        <v>0.1249</v>
      </c>
      <c r="AW200" s="28">
        <f t="shared" si="15"/>
        <v>-1.0635278459231152</v>
      </c>
      <c r="AX200">
        <f t="shared" si="16"/>
        <v>0.95774647887323949</v>
      </c>
      <c r="AY200" s="62">
        <f t="shared" si="17"/>
        <v>-1.0185900496165048</v>
      </c>
      <c r="AZ200" s="68" t="str">
        <f t="shared" si="18"/>
        <v>No</v>
      </c>
      <c r="BA200" s="68" t="str">
        <f t="shared" si="19"/>
        <v>No</v>
      </c>
    </row>
    <row r="201" spans="1:53" hidden="1">
      <c r="A201" t="s">
        <v>1815</v>
      </c>
      <c r="B201" t="s">
        <v>2721</v>
      </c>
      <c r="C201">
        <v>76</v>
      </c>
      <c r="F201" t="s">
        <v>1241</v>
      </c>
      <c r="G201" t="s">
        <v>1710</v>
      </c>
      <c r="I201">
        <v>2020</v>
      </c>
      <c r="N201" t="s">
        <v>36</v>
      </c>
      <c r="P201" t="s">
        <v>60</v>
      </c>
      <c r="Q201" t="s">
        <v>900</v>
      </c>
      <c r="R201" t="s">
        <v>1741</v>
      </c>
      <c r="S201" t="s">
        <v>1762</v>
      </c>
      <c r="V201" t="s">
        <v>907</v>
      </c>
      <c r="Z201">
        <v>10</v>
      </c>
      <c r="AA201">
        <v>10</v>
      </c>
      <c r="AC201">
        <v>342</v>
      </c>
      <c r="AD201">
        <v>20</v>
      </c>
      <c r="AE201">
        <v>342</v>
      </c>
      <c r="AF201">
        <v>24</v>
      </c>
      <c r="AG201" t="s">
        <v>3361</v>
      </c>
      <c r="AH201">
        <v>2.5340261060561349</v>
      </c>
      <c r="AI201">
        <v>20</v>
      </c>
      <c r="AJ201" t="s">
        <v>1790</v>
      </c>
      <c r="AK201" t="s">
        <v>904</v>
      </c>
      <c r="AM201"/>
      <c r="AN201">
        <v>59.7</v>
      </c>
      <c r="AO201">
        <v>31.306548835666959</v>
      </c>
      <c r="AP201">
        <v>22.6</v>
      </c>
      <c r="AQ201">
        <v>34.1525987298185</v>
      </c>
      <c r="AS201">
        <v>-0.97099999999999997</v>
      </c>
      <c r="AT201">
        <v>0.25590000000000002</v>
      </c>
      <c r="AW201" s="28">
        <f t="shared" si="15"/>
        <v>-1.1324615383325249</v>
      </c>
      <c r="AX201">
        <f t="shared" si="16"/>
        <v>0.95774647887323949</v>
      </c>
      <c r="AY201" s="62">
        <f t="shared" si="17"/>
        <v>-1.0846110507973479</v>
      </c>
      <c r="AZ201" s="68" t="str">
        <f t="shared" si="18"/>
        <v>No</v>
      </c>
      <c r="BA201" s="68" t="str">
        <f t="shared" si="19"/>
        <v>No</v>
      </c>
    </row>
    <row r="202" spans="1:53" hidden="1">
      <c r="A202" t="s">
        <v>1815</v>
      </c>
      <c r="B202" t="s">
        <v>2724</v>
      </c>
      <c r="C202">
        <v>76</v>
      </c>
      <c r="F202" t="s">
        <v>1241</v>
      </c>
      <c r="G202" t="s">
        <v>1710</v>
      </c>
      <c r="I202">
        <v>2020</v>
      </c>
      <c r="N202" t="s">
        <v>36</v>
      </c>
      <c r="P202" t="s">
        <v>60</v>
      </c>
      <c r="Q202" t="s">
        <v>900</v>
      </c>
      <c r="R202" t="s">
        <v>1741</v>
      </c>
      <c r="S202" t="s">
        <v>1762</v>
      </c>
      <c r="V202" t="s">
        <v>907</v>
      </c>
      <c r="Z202">
        <v>10</v>
      </c>
      <c r="AA202">
        <v>10</v>
      </c>
      <c r="AC202">
        <v>342</v>
      </c>
      <c r="AD202">
        <v>20</v>
      </c>
      <c r="AE202">
        <v>342</v>
      </c>
      <c r="AF202">
        <v>22</v>
      </c>
      <c r="AG202" t="s">
        <v>3361</v>
      </c>
      <c r="AH202">
        <v>2.5340261060561349</v>
      </c>
      <c r="AI202">
        <v>20</v>
      </c>
      <c r="AJ202" t="s">
        <v>1790</v>
      </c>
      <c r="AK202" t="s">
        <v>904</v>
      </c>
      <c r="AM202"/>
      <c r="AN202">
        <v>59.7</v>
      </c>
      <c r="AO202">
        <v>31.306548835666959</v>
      </c>
      <c r="AP202">
        <v>37</v>
      </c>
      <c r="AQ202">
        <v>22.452171387195495</v>
      </c>
      <c r="AS202">
        <v>-0.47799999999999998</v>
      </c>
      <c r="AT202">
        <v>6.4299999999999996E-2</v>
      </c>
      <c r="AW202" s="28">
        <f t="shared" si="15"/>
        <v>-0.83328706694545118</v>
      </c>
      <c r="AX202">
        <f t="shared" si="16"/>
        <v>0.95774647887323949</v>
      </c>
      <c r="AY202" s="62">
        <f t="shared" si="17"/>
        <v>-0.79807775425761529</v>
      </c>
      <c r="AZ202" s="68" t="str">
        <f t="shared" si="18"/>
        <v>No</v>
      </c>
      <c r="BA202" s="68" t="str">
        <f t="shared" si="19"/>
        <v>No</v>
      </c>
    </row>
    <row r="203" spans="1:53" hidden="1">
      <c r="A203" t="s">
        <v>1815</v>
      </c>
      <c r="B203" t="s">
        <v>2717</v>
      </c>
      <c r="C203">
        <v>76</v>
      </c>
      <c r="F203" t="s">
        <v>1241</v>
      </c>
      <c r="G203" t="s">
        <v>1710</v>
      </c>
      <c r="I203">
        <v>2011</v>
      </c>
      <c r="N203" t="s">
        <v>36</v>
      </c>
      <c r="P203" t="s">
        <v>60</v>
      </c>
      <c r="Q203" t="s">
        <v>900</v>
      </c>
      <c r="R203" t="s">
        <v>1741</v>
      </c>
      <c r="S203" t="s">
        <v>1762</v>
      </c>
      <c r="V203" t="s">
        <v>1015</v>
      </c>
      <c r="Z203">
        <v>10</v>
      </c>
      <c r="AA203">
        <v>10</v>
      </c>
      <c r="AC203">
        <v>342</v>
      </c>
      <c r="AD203">
        <v>20</v>
      </c>
      <c r="AE203">
        <v>1817</v>
      </c>
      <c r="AF203">
        <v>22</v>
      </c>
      <c r="AG203" t="s">
        <v>3361</v>
      </c>
      <c r="AH203">
        <v>3.2593549273080344</v>
      </c>
      <c r="AI203">
        <v>20</v>
      </c>
      <c r="AJ203" t="s">
        <v>1790</v>
      </c>
      <c r="AK203" t="s">
        <v>904</v>
      </c>
      <c r="AM203"/>
      <c r="AN203">
        <v>59.7</v>
      </c>
      <c r="AO203">
        <v>31.306548835666959</v>
      </c>
      <c r="AP203">
        <v>0.4</v>
      </c>
      <c r="AQ203">
        <v>2.2135943621178655</v>
      </c>
      <c r="AS203">
        <v>-5.0060000000000002</v>
      </c>
      <c r="AT203">
        <v>3.09</v>
      </c>
      <c r="AW203" s="28">
        <f t="shared" si="15"/>
        <v>-2.6720930407218439</v>
      </c>
      <c r="AX203">
        <f t="shared" si="16"/>
        <v>0.95774647887323949</v>
      </c>
      <c r="AY203" s="62">
        <f t="shared" si="17"/>
        <v>-2.5591877009730339</v>
      </c>
      <c r="AZ203" s="68" t="str">
        <f t="shared" si="18"/>
        <v>No</v>
      </c>
      <c r="BA203" s="68" t="str">
        <f t="shared" si="19"/>
        <v>No</v>
      </c>
    </row>
    <row r="204" spans="1:53" hidden="1">
      <c r="A204" t="s">
        <v>1815</v>
      </c>
      <c r="B204" t="s">
        <v>2718</v>
      </c>
      <c r="C204">
        <v>76</v>
      </c>
      <c r="F204" t="s">
        <v>1241</v>
      </c>
      <c r="G204" t="s">
        <v>1710</v>
      </c>
      <c r="I204">
        <v>2011</v>
      </c>
      <c r="N204" t="s">
        <v>36</v>
      </c>
      <c r="P204" t="s">
        <v>60</v>
      </c>
      <c r="Q204" t="s">
        <v>900</v>
      </c>
      <c r="R204" t="s">
        <v>1741</v>
      </c>
      <c r="S204" t="s">
        <v>1762</v>
      </c>
      <c r="V204" t="s">
        <v>1015</v>
      </c>
      <c r="Z204">
        <v>10</v>
      </c>
      <c r="AA204">
        <v>10</v>
      </c>
      <c r="AC204">
        <v>342</v>
      </c>
      <c r="AD204">
        <v>20</v>
      </c>
      <c r="AE204">
        <v>1851</v>
      </c>
      <c r="AF204">
        <v>24</v>
      </c>
      <c r="AG204" t="s">
        <v>3361</v>
      </c>
      <c r="AH204">
        <v>3.2674064187529042</v>
      </c>
      <c r="AI204">
        <v>20</v>
      </c>
      <c r="AJ204" t="s">
        <v>1790</v>
      </c>
      <c r="AK204" t="s">
        <v>904</v>
      </c>
      <c r="AM204"/>
      <c r="AN204">
        <v>59.7</v>
      </c>
      <c r="AO204">
        <v>31.306548835666959</v>
      </c>
      <c r="AP204">
        <v>1.1000000000000001</v>
      </c>
      <c r="AQ204">
        <v>1.264911064067352</v>
      </c>
      <c r="AS204">
        <v>-3.9940000000000002</v>
      </c>
      <c r="AT204">
        <v>0.15970000000000001</v>
      </c>
      <c r="AW204" s="28">
        <f t="shared" si="15"/>
        <v>-2.64498502988046</v>
      </c>
      <c r="AX204">
        <f t="shared" si="16"/>
        <v>0.95774647887323949</v>
      </c>
      <c r="AY204" s="62">
        <f t="shared" si="17"/>
        <v>-2.5332250990404406</v>
      </c>
      <c r="AZ204" s="68" t="str">
        <f t="shared" si="18"/>
        <v>No</v>
      </c>
      <c r="BA204" s="68" t="str">
        <f t="shared" si="19"/>
        <v>No</v>
      </c>
    </row>
    <row r="205" spans="1:53" hidden="1">
      <c r="A205" t="s">
        <v>1815</v>
      </c>
      <c r="B205" t="s">
        <v>2719</v>
      </c>
      <c r="C205">
        <v>76</v>
      </c>
      <c r="F205" t="s">
        <v>1241</v>
      </c>
      <c r="G205" t="s">
        <v>1710</v>
      </c>
      <c r="I205">
        <v>2011</v>
      </c>
      <c r="N205" t="s">
        <v>36</v>
      </c>
      <c r="P205" t="s">
        <v>60</v>
      </c>
      <c r="Q205" t="s">
        <v>900</v>
      </c>
      <c r="R205" t="s">
        <v>1741</v>
      </c>
      <c r="S205" t="s">
        <v>1762</v>
      </c>
      <c r="V205" t="s">
        <v>1015</v>
      </c>
      <c r="Z205">
        <v>10</v>
      </c>
      <c r="AA205">
        <v>10</v>
      </c>
      <c r="AC205">
        <v>342</v>
      </c>
      <c r="AD205">
        <v>20</v>
      </c>
      <c r="AE205">
        <v>1121</v>
      </c>
      <c r="AF205">
        <v>24</v>
      </c>
      <c r="AG205" t="s">
        <v>3361</v>
      </c>
      <c r="AH205">
        <v>3.0496056125949731</v>
      </c>
      <c r="AI205">
        <v>20</v>
      </c>
      <c r="AJ205" t="s">
        <v>1790</v>
      </c>
      <c r="AK205" t="s">
        <v>904</v>
      </c>
      <c r="AM205"/>
      <c r="AN205">
        <v>59.7</v>
      </c>
      <c r="AO205">
        <v>31.306548835666959</v>
      </c>
      <c r="AP205">
        <v>5.9</v>
      </c>
      <c r="AQ205">
        <v>10.119288512538816</v>
      </c>
      <c r="AS205">
        <v>-2.3140000000000001</v>
      </c>
      <c r="AT205">
        <v>0.32169999999999999</v>
      </c>
      <c r="AW205" s="28">
        <f t="shared" si="15"/>
        <v>-2.3125084108204823</v>
      </c>
      <c r="AX205">
        <f t="shared" si="16"/>
        <v>0.95774647887323949</v>
      </c>
      <c r="AY205" s="62">
        <f t="shared" si="17"/>
        <v>-2.2147967878280679</v>
      </c>
      <c r="AZ205" s="68" t="str">
        <f t="shared" si="18"/>
        <v>No</v>
      </c>
      <c r="BA205" s="68" t="str">
        <f t="shared" si="19"/>
        <v>No</v>
      </c>
    </row>
    <row r="206" spans="1:53" hidden="1">
      <c r="A206" t="s">
        <v>1815</v>
      </c>
      <c r="B206" t="s">
        <v>2720</v>
      </c>
      <c r="C206">
        <v>76</v>
      </c>
      <c r="F206" t="s">
        <v>1241</v>
      </c>
      <c r="G206" t="s">
        <v>1710</v>
      </c>
      <c r="I206">
        <v>2020</v>
      </c>
      <c r="N206" t="s">
        <v>36</v>
      </c>
      <c r="P206" t="s">
        <v>60</v>
      </c>
      <c r="Q206" t="s">
        <v>900</v>
      </c>
      <c r="R206" t="s">
        <v>1741</v>
      </c>
      <c r="S206" t="s">
        <v>1762</v>
      </c>
      <c r="V206" t="s">
        <v>1015</v>
      </c>
      <c r="Z206">
        <v>10</v>
      </c>
      <c r="AA206">
        <v>10</v>
      </c>
      <c r="AC206">
        <v>342</v>
      </c>
      <c r="AD206">
        <v>20</v>
      </c>
      <c r="AE206">
        <v>1102</v>
      </c>
      <c r="AF206">
        <v>22</v>
      </c>
      <c r="AG206" t="s">
        <v>3361</v>
      </c>
      <c r="AH206">
        <v>3.0421815945157662</v>
      </c>
      <c r="AI206">
        <v>20</v>
      </c>
      <c r="AJ206" t="s">
        <v>1790</v>
      </c>
      <c r="AK206" t="s">
        <v>904</v>
      </c>
      <c r="AM206"/>
      <c r="AN206">
        <v>59.7</v>
      </c>
      <c r="AO206">
        <v>31.306548835666959</v>
      </c>
      <c r="AP206">
        <v>16.3</v>
      </c>
      <c r="AQ206">
        <v>22.452171387195495</v>
      </c>
      <c r="AS206">
        <v>-1.298</v>
      </c>
      <c r="AT206">
        <v>0.2172</v>
      </c>
      <c r="AW206" s="28">
        <f t="shared" si="15"/>
        <v>-1.593156771164431</v>
      </c>
      <c r="AX206">
        <f t="shared" si="16"/>
        <v>0.95774647887323949</v>
      </c>
      <c r="AY206" s="62">
        <f t="shared" si="17"/>
        <v>-1.5258402878757931</v>
      </c>
      <c r="AZ206" s="68" t="str">
        <f t="shared" si="18"/>
        <v>No</v>
      </c>
      <c r="BA206" s="68" t="str">
        <f t="shared" si="19"/>
        <v>No</v>
      </c>
    </row>
    <row r="207" spans="1:53" hidden="1">
      <c r="A207" t="s">
        <v>1815</v>
      </c>
      <c r="B207" t="s">
        <v>2768</v>
      </c>
      <c r="C207">
        <v>111</v>
      </c>
      <c r="F207" t="s">
        <v>1241</v>
      </c>
      <c r="G207" t="s">
        <v>1715</v>
      </c>
      <c r="I207">
        <v>2014</v>
      </c>
      <c r="N207" t="s">
        <v>36</v>
      </c>
      <c r="P207" t="s">
        <v>60</v>
      </c>
      <c r="Q207" t="s">
        <v>900</v>
      </c>
      <c r="R207" t="s">
        <v>946</v>
      </c>
      <c r="S207" t="s">
        <v>948</v>
      </c>
      <c r="V207" t="s">
        <v>905</v>
      </c>
      <c r="Z207">
        <v>32</v>
      </c>
      <c r="AA207">
        <v>32</v>
      </c>
      <c r="AC207">
        <v>437</v>
      </c>
      <c r="AD207">
        <v>-0.9</v>
      </c>
      <c r="AE207">
        <v>1399</v>
      </c>
      <c r="AF207">
        <v>-0.9</v>
      </c>
      <c r="AG207" t="s">
        <v>3366</v>
      </c>
      <c r="AH207">
        <v>3.1458177144918276</v>
      </c>
      <c r="AI207">
        <v>-0.9</v>
      </c>
      <c r="AJ207" t="s">
        <v>1790</v>
      </c>
      <c r="AK207" t="s">
        <v>770</v>
      </c>
      <c r="AM207"/>
      <c r="AN207">
        <v>0.01</v>
      </c>
      <c r="AO207">
        <v>0</v>
      </c>
      <c r="AP207">
        <v>0.02</v>
      </c>
      <c r="AQ207">
        <v>0</v>
      </c>
      <c r="AS207">
        <v>-0.54200000000000004</v>
      </c>
      <c r="AT207">
        <v>2.2499999999999999E-2</v>
      </c>
      <c r="AW207" s="28" t="e">
        <f t="shared" si="15"/>
        <v>#DIV/0!</v>
      </c>
      <c r="AX207">
        <f t="shared" si="16"/>
        <v>0.98785425101214575</v>
      </c>
      <c r="AY207" s="62" t="e">
        <f t="shared" si="17"/>
        <v>#DIV/0!</v>
      </c>
      <c r="AZ207" s="68" t="e">
        <f t="shared" si="18"/>
        <v>#DIV/0!</v>
      </c>
      <c r="BA207" s="68" t="e">
        <f t="shared" si="19"/>
        <v>#DIV/0!</v>
      </c>
    </row>
    <row r="208" spans="1:53" hidden="1">
      <c r="A208" t="s">
        <v>1815</v>
      </c>
      <c r="B208" t="s">
        <v>2770</v>
      </c>
      <c r="C208">
        <v>111</v>
      </c>
      <c r="F208" t="s">
        <v>1241</v>
      </c>
      <c r="G208" t="s">
        <v>1715</v>
      </c>
      <c r="I208">
        <v>2014</v>
      </c>
      <c r="N208" t="s">
        <v>36</v>
      </c>
      <c r="P208" t="s">
        <v>60</v>
      </c>
      <c r="Q208" t="s">
        <v>900</v>
      </c>
      <c r="R208" t="s">
        <v>946</v>
      </c>
      <c r="S208" t="s">
        <v>948</v>
      </c>
      <c r="V208" t="s">
        <v>905</v>
      </c>
      <c r="Z208">
        <v>32</v>
      </c>
      <c r="AA208">
        <v>32</v>
      </c>
      <c r="AC208">
        <v>437</v>
      </c>
      <c r="AD208">
        <v>-0.9</v>
      </c>
      <c r="AE208">
        <v>897</v>
      </c>
      <c r="AF208">
        <v>-1</v>
      </c>
      <c r="AG208" t="s">
        <v>3366</v>
      </c>
      <c r="AH208">
        <v>2.9527924430440922</v>
      </c>
      <c r="AI208">
        <v>-0.9</v>
      </c>
      <c r="AJ208" t="s">
        <v>1790</v>
      </c>
      <c r="AK208" t="s">
        <v>770</v>
      </c>
      <c r="AM208"/>
      <c r="AN208">
        <v>0.01</v>
      </c>
      <c r="AO208">
        <v>0</v>
      </c>
      <c r="AP208">
        <v>0.01</v>
      </c>
      <c r="AQ208">
        <v>0</v>
      </c>
      <c r="AS208">
        <v>-0.19</v>
      </c>
      <c r="AT208">
        <v>3.49E-2</v>
      </c>
      <c r="AW208" s="28" t="e">
        <f t="shared" si="15"/>
        <v>#DIV/0!</v>
      </c>
      <c r="AX208">
        <f t="shared" si="16"/>
        <v>0.98785425101214575</v>
      </c>
      <c r="AY208" s="62" t="e">
        <f t="shared" si="17"/>
        <v>#DIV/0!</v>
      </c>
      <c r="AZ208" s="68" t="e">
        <f t="shared" si="18"/>
        <v>#DIV/0!</v>
      </c>
      <c r="BA208" s="68" t="e">
        <f t="shared" si="19"/>
        <v>#DIV/0!</v>
      </c>
    </row>
    <row r="209" spans="1:53" hidden="1">
      <c r="A209" t="s">
        <v>1815</v>
      </c>
      <c r="B209" t="s">
        <v>2771</v>
      </c>
      <c r="C209">
        <v>111</v>
      </c>
      <c r="F209" t="s">
        <v>1241</v>
      </c>
      <c r="G209" t="s">
        <v>1715</v>
      </c>
      <c r="I209">
        <v>2014</v>
      </c>
      <c r="N209" t="s">
        <v>36</v>
      </c>
      <c r="P209" t="s">
        <v>60</v>
      </c>
      <c r="Q209" t="s">
        <v>900</v>
      </c>
      <c r="R209" t="s">
        <v>946</v>
      </c>
      <c r="S209" t="s">
        <v>948</v>
      </c>
      <c r="V209" t="s">
        <v>907</v>
      </c>
      <c r="Z209">
        <v>32</v>
      </c>
      <c r="AA209">
        <v>32</v>
      </c>
      <c r="AC209">
        <v>437</v>
      </c>
      <c r="AD209">
        <v>-0.9</v>
      </c>
      <c r="AE209">
        <v>416</v>
      </c>
      <c r="AF209">
        <v>0.9</v>
      </c>
      <c r="AG209" t="s">
        <v>3366</v>
      </c>
      <c r="AH209">
        <v>2.6190933306267428</v>
      </c>
      <c r="AI209">
        <v>-0.9</v>
      </c>
      <c r="AJ209" t="s">
        <v>1790</v>
      </c>
      <c r="AK209" t="s">
        <v>770</v>
      </c>
      <c r="AM209"/>
      <c r="AN209">
        <v>0.01</v>
      </c>
      <c r="AO209">
        <v>0</v>
      </c>
      <c r="AP209">
        <v>0.01</v>
      </c>
      <c r="AQ209">
        <v>0</v>
      </c>
      <c r="AS209">
        <v>-8.6999999999999994E-2</v>
      </c>
      <c r="AT209">
        <v>2.3199999999999998E-2</v>
      </c>
      <c r="AW209" s="28" t="e">
        <f t="shared" si="15"/>
        <v>#DIV/0!</v>
      </c>
      <c r="AX209">
        <f t="shared" si="16"/>
        <v>0.98785425101214575</v>
      </c>
      <c r="AY209" s="62" t="e">
        <f t="shared" si="17"/>
        <v>#DIV/0!</v>
      </c>
      <c r="AZ209" s="68" t="e">
        <f t="shared" si="18"/>
        <v>#DIV/0!</v>
      </c>
      <c r="BA209" s="68" t="e">
        <f t="shared" si="19"/>
        <v>#DIV/0!</v>
      </c>
    </row>
    <row r="210" spans="1:53" hidden="1">
      <c r="A210" t="s">
        <v>1815</v>
      </c>
      <c r="B210" t="s">
        <v>2767</v>
      </c>
      <c r="C210">
        <v>111</v>
      </c>
      <c r="F210" t="s">
        <v>1241</v>
      </c>
      <c r="G210" t="s">
        <v>1715</v>
      </c>
      <c r="I210">
        <v>2014</v>
      </c>
      <c r="N210" t="s">
        <v>36</v>
      </c>
      <c r="P210" t="s">
        <v>60</v>
      </c>
      <c r="Q210" t="s">
        <v>900</v>
      </c>
      <c r="R210" t="s">
        <v>946</v>
      </c>
      <c r="S210" t="s">
        <v>948</v>
      </c>
      <c r="V210" t="s">
        <v>1015</v>
      </c>
      <c r="Z210">
        <v>32</v>
      </c>
      <c r="AA210">
        <v>32</v>
      </c>
      <c r="AC210">
        <v>437</v>
      </c>
      <c r="AD210">
        <v>-0.9</v>
      </c>
      <c r="AE210">
        <v>1355</v>
      </c>
      <c r="AF210">
        <v>1</v>
      </c>
      <c r="AG210" t="s">
        <v>3366</v>
      </c>
      <c r="AH210">
        <v>3.1319392952104246</v>
      </c>
      <c r="AI210">
        <v>-0.9</v>
      </c>
      <c r="AJ210" t="s">
        <v>1790</v>
      </c>
      <c r="AK210" t="s">
        <v>770</v>
      </c>
      <c r="AM210"/>
      <c r="AN210">
        <v>0.01</v>
      </c>
      <c r="AO210">
        <v>0</v>
      </c>
      <c r="AP210">
        <v>0.02</v>
      </c>
      <c r="AQ210">
        <v>0</v>
      </c>
      <c r="AS210">
        <v>-0.58099999999999996</v>
      </c>
      <c r="AT210">
        <v>3.5200000000000002E-2</v>
      </c>
      <c r="AW210" s="28" t="e">
        <f t="shared" si="15"/>
        <v>#DIV/0!</v>
      </c>
      <c r="AX210">
        <f t="shared" si="16"/>
        <v>0.98785425101214575</v>
      </c>
      <c r="AY210" s="62" t="e">
        <f t="shared" si="17"/>
        <v>#DIV/0!</v>
      </c>
      <c r="AZ210" s="68" t="e">
        <f t="shared" si="18"/>
        <v>#DIV/0!</v>
      </c>
      <c r="BA210" s="68" t="e">
        <f t="shared" si="19"/>
        <v>#DIV/0!</v>
      </c>
    </row>
    <row r="211" spans="1:53" hidden="1">
      <c r="A211" t="s">
        <v>1815</v>
      </c>
      <c r="B211" t="s">
        <v>2769</v>
      </c>
      <c r="C211">
        <v>111</v>
      </c>
      <c r="F211" t="s">
        <v>1241</v>
      </c>
      <c r="G211" t="s">
        <v>1715</v>
      </c>
      <c r="I211">
        <v>2014</v>
      </c>
      <c r="N211" t="s">
        <v>36</v>
      </c>
      <c r="P211" t="s">
        <v>60</v>
      </c>
      <c r="Q211" t="s">
        <v>900</v>
      </c>
      <c r="R211" t="s">
        <v>946</v>
      </c>
      <c r="S211" t="s">
        <v>948</v>
      </c>
      <c r="V211" t="s">
        <v>1015</v>
      </c>
      <c r="Z211">
        <v>32</v>
      </c>
      <c r="AA211">
        <v>32</v>
      </c>
      <c r="AC211">
        <v>437</v>
      </c>
      <c r="AD211">
        <v>-0.9</v>
      </c>
      <c r="AE211">
        <v>839</v>
      </c>
      <c r="AF211">
        <v>1.1000000000000001</v>
      </c>
      <c r="AG211" t="s">
        <v>3366</v>
      </c>
      <c r="AH211">
        <v>2.9237619608287004</v>
      </c>
      <c r="AI211">
        <v>-0.9</v>
      </c>
      <c r="AJ211" t="s">
        <v>1790</v>
      </c>
      <c r="AK211" t="s">
        <v>770</v>
      </c>
      <c r="AM211"/>
      <c r="AN211">
        <v>0.01</v>
      </c>
      <c r="AO211">
        <v>0</v>
      </c>
      <c r="AP211">
        <v>0.01</v>
      </c>
      <c r="AQ211">
        <v>0</v>
      </c>
      <c r="AS211">
        <v>-0.373</v>
      </c>
      <c r="AT211">
        <v>2.4500000000000001E-2</v>
      </c>
      <c r="AW211" s="28" t="e">
        <f t="shared" si="15"/>
        <v>#DIV/0!</v>
      </c>
      <c r="AX211">
        <f t="shared" si="16"/>
        <v>0.98785425101214575</v>
      </c>
      <c r="AY211" s="62" t="e">
        <f t="shared" si="17"/>
        <v>#DIV/0!</v>
      </c>
      <c r="AZ211" s="68" t="e">
        <f t="shared" si="18"/>
        <v>#DIV/0!</v>
      </c>
      <c r="BA211" s="68" t="e">
        <f t="shared" si="19"/>
        <v>#DIV/0!</v>
      </c>
    </row>
    <row r="212" spans="1:53" hidden="1">
      <c r="A212" t="s">
        <v>1815</v>
      </c>
      <c r="B212" t="s">
        <v>2962</v>
      </c>
      <c r="C212">
        <v>43</v>
      </c>
      <c r="F212" t="s">
        <v>1241</v>
      </c>
      <c r="G212" t="s">
        <v>1729</v>
      </c>
      <c r="I212">
        <v>2018</v>
      </c>
      <c r="N212" t="s">
        <v>36</v>
      </c>
      <c r="P212" t="s">
        <v>60</v>
      </c>
      <c r="Q212" t="s">
        <v>900</v>
      </c>
      <c r="R212" t="s">
        <v>946</v>
      </c>
      <c r="S212" t="s">
        <v>956</v>
      </c>
      <c r="V212" t="s">
        <v>905</v>
      </c>
      <c r="Z212">
        <v>12</v>
      </c>
      <c r="AA212">
        <v>12</v>
      </c>
      <c r="AC212">
        <v>367</v>
      </c>
      <c r="AD212" s="37">
        <v>22</v>
      </c>
      <c r="AE212">
        <v>1105</v>
      </c>
      <c r="AF212" s="37">
        <v>22</v>
      </c>
      <c r="AG212" t="s">
        <v>3384</v>
      </c>
      <c r="AH212">
        <v>3.0433622780211294</v>
      </c>
      <c r="AI212" s="37">
        <v>22</v>
      </c>
      <c r="AJ212" t="s">
        <v>1813</v>
      </c>
      <c r="AK212" t="s">
        <v>59</v>
      </c>
      <c r="AM212"/>
      <c r="AN212">
        <v>74.53</v>
      </c>
      <c r="AO212">
        <v>5.4039985196148974</v>
      </c>
      <c r="AP212">
        <v>73.44</v>
      </c>
      <c r="AQ212">
        <v>2.7712812921102037</v>
      </c>
      <c r="AS212">
        <v>-1.4999999999999999E-2</v>
      </c>
      <c r="AT212">
        <v>5.9999999999999995E-4</v>
      </c>
      <c r="AW212" s="28">
        <f t="shared" si="15"/>
        <v>-0.25382079438450666</v>
      </c>
      <c r="AX212">
        <f t="shared" si="16"/>
        <v>0.96551724137931039</v>
      </c>
      <c r="AY212" s="62">
        <f t="shared" si="17"/>
        <v>-0.24506835319883402</v>
      </c>
      <c r="AZ212" s="68" t="str">
        <f t="shared" si="18"/>
        <v>No</v>
      </c>
      <c r="BA212" s="68" t="str">
        <f t="shared" si="19"/>
        <v>No</v>
      </c>
    </row>
    <row r="213" spans="1:53" hidden="1">
      <c r="A213" t="s">
        <v>1815</v>
      </c>
      <c r="B213" t="s">
        <v>2963</v>
      </c>
      <c r="C213">
        <v>43</v>
      </c>
      <c r="F213" t="s">
        <v>1241</v>
      </c>
      <c r="G213" t="s">
        <v>1729</v>
      </c>
      <c r="I213">
        <v>2018</v>
      </c>
      <c r="N213" t="s">
        <v>36</v>
      </c>
      <c r="P213" t="s">
        <v>60</v>
      </c>
      <c r="Q213" t="s">
        <v>900</v>
      </c>
      <c r="R213" t="s">
        <v>946</v>
      </c>
      <c r="S213" t="s">
        <v>956</v>
      </c>
      <c r="V213" t="s">
        <v>905</v>
      </c>
      <c r="Z213">
        <v>12</v>
      </c>
      <c r="AA213">
        <v>12</v>
      </c>
      <c r="AC213">
        <v>367</v>
      </c>
      <c r="AD213" s="37">
        <v>22</v>
      </c>
      <c r="AE213">
        <v>1823</v>
      </c>
      <c r="AF213" s="37">
        <v>22</v>
      </c>
      <c r="AG213" t="s">
        <v>3384</v>
      </c>
      <c r="AH213">
        <v>3.2607866686549762</v>
      </c>
      <c r="AI213" s="37">
        <v>22</v>
      </c>
      <c r="AJ213" t="s">
        <v>1813</v>
      </c>
      <c r="AK213" t="s">
        <v>59</v>
      </c>
      <c r="AM213"/>
      <c r="AN213">
        <v>74.53</v>
      </c>
      <c r="AO213">
        <v>5.4039985196148974</v>
      </c>
      <c r="AP213">
        <v>73.78</v>
      </c>
      <c r="AQ213">
        <v>3.3601785666836217</v>
      </c>
      <c r="AS213">
        <v>-0.01</v>
      </c>
      <c r="AT213">
        <v>5.9999999999999995E-4</v>
      </c>
      <c r="AW213" s="28">
        <f t="shared" si="15"/>
        <v>-0.1666790137175905</v>
      </c>
      <c r="AX213">
        <f t="shared" si="16"/>
        <v>0.96551724137931039</v>
      </c>
      <c r="AY213" s="62">
        <f t="shared" si="17"/>
        <v>-0.16093146152043222</v>
      </c>
      <c r="AZ213" s="68" t="str">
        <f t="shared" si="18"/>
        <v>No</v>
      </c>
      <c r="BA213" s="68" t="str">
        <f t="shared" si="19"/>
        <v>No</v>
      </c>
    </row>
    <row r="214" spans="1:53" hidden="1">
      <c r="A214" t="s">
        <v>1815</v>
      </c>
      <c r="B214" t="s">
        <v>2960</v>
      </c>
      <c r="C214">
        <v>43</v>
      </c>
      <c r="F214" t="s">
        <v>1241</v>
      </c>
      <c r="G214" t="s">
        <v>1729</v>
      </c>
      <c r="I214">
        <v>2018</v>
      </c>
      <c r="N214" t="s">
        <v>36</v>
      </c>
      <c r="P214" t="s">
        <v>60</v>
      </c>
      <c r="Q214" t="s">
        <v>900</v>
      </c>
      <c r="R214" t="s">
        <v>946</v>
      </c>
      <c r="S214" t="s">
        <v>956</v>
      </c>
      <c r="V214" t="s">
        <v>907</v>
      </c>
      <c r="Z214">
        <v>12</v>
      </c>
      <c r="AA214">
        <v>12</v>
      </c>
      <c r="AC214">
        <v>367</v>
      </c>
      <c r="AD214" s="37">
        <v>22</v>
      </c>
      <c r="AE214">
        <v>370</v>
      </c>
      <c r="AF214" s="37">
        <v>24</v>
      </c>
      <c r="AG214" t="s">
        <v>3384</v>
      </c>
      <c r="AH214">
        <v>2.568201724066995</v>
      </c>
      <c r="AI214" s="37">
        <v>22</v>
      </c>
      <c r="AJ214" t="s">
        <v>1813</v>
      </c>
      <c r="AK214" t="s">
        <v>59</v>
      </c>
      <c r="AM214"/>
      <c r="AN214">
        <v>74.53</v>
      </c>
      <c r="AO214">
        <v>5.4039985196148974</v>
      </c>
      <c r="AP214">
        <v>72.52</v>
      </c>
      <c r="AQ214">
        <v>4.9190242934956112</v>
      </c>
      <c r="AS214">
        <v>-2.7E-2</v>
      </c>
      <c r="AT214">
        <v>8.0000000000000004E-4</v>
      </c>
      <c r="AW214" s="28">
        <f t="shared" si="15"/>
        <v>-0.38899178235738319</v>
      </c>
      <c r="AX214">
        <f t="shared" si="16"/>
        <v>0.96551724137931039</v>
      </c>
      <c r="AY214" s="62">
        <f t="shared" si="17"/>
        <v>-0.37557827262092169</v>
      </c>
      <c r="AZ214" s="68" t="str">
        <f t="shared" si="18"/>
        <v>No</v>
      </c>
      <c r="BA214" s="68" t="str">
        <f t="shared" si="19"/>
        <v>No</v>
      </c>
    </row>
    <row r="215" spans="1:53" hidden="1">
      <c r="A215" t="s">
        <v>1815</v>
      </c>
      <c r="B215" t="s">
        <v>2964</v>
      </c>
      <c r="C215">
        <v>43</v>
      </c>
      <c r="F215" t="s">
        <v>1241</v>
      </c>
      <c r="G215" t="s">
        <v>1729</v>
      </c>
      <c r="I215">
        <v>2018</v>
      </c>
      <c r="N215" t="s">
        <v>36</v>
      </c>
      <c r="P215" t="s">
        <v>60</v>
      </c>
      <c r="Q215" t="s">
        <v>900</v>
      </c>
      <c r="R215" t="s">
        <v>946</v>
      </c>
      <c r="S215" t="s">
        <v>956</v>
      </c>
      <c r="V215" t="s">
        <v>907</v>
      </c>
      <c r="Z215">
        <v>12</v>
      </c>
      <c r="AA215">
        <v>12</v>
      </c>
      <c r="AC215">
        <v>367</v>
      </c>
      <c r="AD215" s="37">
        <v>22</v>
      </c>
      <c r="AE215">
        <v>373</v>
      </c>
      <c r="AF215" s="37">
        <v>26</v>
      </c>
      <c r="AG215" t="s">
        <v>3384</v>
      </c>
      <c r="AH215">
        <v>2.5717088318086878</v>
      </c>
      <c r="AI215" s="37">
        <v>22</v>
      </c>
      <c r="AJ215" t="s">
        <v>1813</v>
      </c>
      <c r="AK215" t="s">
        <v>59</v>
      </c>
      <c r="AM215"/>
      <c r="AN215">
        <v>74.53</v>
      </c>
      <c r="AO215">
        <v>5.4039985196148974</v>
      </c>
      <c r="AP215">
        <v>74.28</v>
      </c>
      <c r="AQ215">
        <v>4.3647680350735705</v>
      </c>
      <c r="AS215">
        <v>-3.0000000000000001E-3</v>
      </c>
      <c r="AT215">
        <v>6.9999999999999999E-4</v>
      </c>
      <c r="AW215" s="28">
        <f t="shared" si="15"/>
        <v>-5.0896339246732265E-2</v>
      </c>
      <c r="AX215">
        <f t="shared" si="16"/>
        <v>0.96551724137931039</v>
      </c>
      <c r="AY215" s="62">
        <f t="shared" si="17"/>
        <v>-4.9141293065810464E-2</v>
      </c>
      <c r="AZ215" s="68" t="str">
        <f t="shared" si="18"/>
        <v>No</v>
      </c>
      <c r="BA215" s="68" t="str">
        <f t="shared" si="19"/>
        <v>No</v>
      </c>
    </row>
    <row r="216" spans="1:53" hidden="1">
      <c r="A216" t="s">
        <v>1815</v>
      </c>
      <c r="B216" t="s">
        <v>2957</v>
      </c>
      <c r="C216">
        <v>43</v>
      </c>
      <c r="F216" t="s">
        <v>1241</v>
      </c>
      <c r="G216" t="s">
        <v>1729</v>
      </c>
      <c r="I216">
        <v>2010</v>
      </c>
      <c r="N216" t="s">
        <v>36</v>
      </c>
      <c r="P216" t="s">
        <v>60</v>
      </c>
      <c r="Q216" t="s">
        <v>900</v>
      </c>
      <c r="R216" t="s">
        <v>946</v>
      </c>
      <c r="S216" t="s">
        <v>956</v>
      </c>
      <c r="V216" t="s">
        <v>1015</v>
      </c>
      <c r="Z216">
        <v>12</v>
      </c>
      <c r="AA216">
        <v>12</v>
      </c>
      <c r="AC216">
        <v>367</v>
      </c>
      <c r="AD216" s="37">
        <v>22</v>
      </c>
      <c r="AE216">
        <v>1142</v>
      </c>
      <c r="AF216" s="37">
        <v>26</v>
      </c>
      <c r="AG216" t="s">
        <v>3384</v>
      </c>
      <c r="AH216">
        <v>3.0576661039098294</v>
      </c>
      <c r="AI216" s="37">
        <v>22</v>
      </c>
      <c r="AJ216" t="s">
        <v>1813</v>
      </c>
      <c r="AK216" t="s">
        <v>59</v>
      </c>
      <c r="AM216"/>
      <c r="AN216">
        <v>74.53</v>
      </c>
      <c r="AO216">
        <v>5.4039985196148974</v>
      </c>
      <c r="AP216">
        <v>69.069999999999993</v>
      </c>
      <c r="AQ216">
        <v>4.676537180435969</v>
      </c>
      <c r="AS216">
        <v>-7.5999999999999998E-2</v>
      </c>
      <c r="AT216">
        <v>8.0000000000000004E-4</v>
      </c>
      <c r="AW216" s="28">
        <f t="shared" si="15"/>
        <v>-1.0804660017120928</v>
      </c>
      <c r="AX216">
        <f t="shared" si="16"/>
        <v>0.96551724137931039</v>
      </c>
      <c r="AY216" s="62">
        <f t="shared" si="17"/>
        <v>-1.0432085533771931</v>
      </c>
      <c r="AZ216" s="68" t="str">
        <f t="shared" si="18"/>
        <v>No</v>
      </c>
      <c r="BA216" s="68" t="str">
        <f t="shared" si="19"/>
        <v>No</v>
      </c>
    </row>
    <row r="217" spans="1:53" hidden="1">
      <c r="A217" t="s">
        <v>1815</v>
      </c>
      <c r="B217" t="s">
        <v>2958</v>
      </c>
      <c r="C217">
        <v>43</v>
      </c>
      <c r="F217" t="s">
        <v>1241</v>
      </c>
      <c r="G217" t="s">
        <v>1729</v>
      </c>
      <c r="I217">
        <v>2010</v>
      </c>
      <c r="N217" t="s">
        <v>36</v>
      </c>
      <c r="P217" t="s">
        <v>60</v>
      </c>
      <c r="Q217" t="s">
        <v>900</v>
      </c>
      <c r="R217" t="s">
        <v>946</v>
      </c>
      <c r="S217" t="s">
        <v>956</v>
      </c>
      <c r="V217" t="s">
        <v>1015</v>
      </c>
      <c r="Z217">
        <v>12</v>
      </c>
      <c r="AA217">
        <v>12</v>
      </c>
      <c r="AC217">
        <v>367</v>
      </c>
      <c r="AD217" s="37">
        <v>22</v>
      </c>
      <c r="AE217">
        <v>1124</v>
      </c>
      <c r="AF217" s="37">
        <v>24</v>
      </c>
      <c r="AG217" t="s">
        <v>3384</v>
      </c>
      <c r="AH217">
        <v>3.0507663112330423</v>
      </c>
      <c r="AI217" s="37">
        <v>22</v>
      </c>
      <c r="AJ217" t="s">
        <v>1813</v>
      </c>
      <c r="AK217" t="s">
        <v>59</v>
      </c>
      <c r="AM217"/>
      <c r="AN217">
        <v>74.53</v>
      </c>
      <c r="AO217">
        <v>5.4039985196148974</v>
      </c>
      <c r="AP217">
        <v>69.97</v>
      </c>
      <c r="AQ217">
        <v>3.6373066958946421</v>
      </c>
      <c r="AS217">
        <v>-6.3E-2</v>
      </c>
      <c r="AT217">
        <v>6.9999999999999999E-4</v>
      </c>
      <c r="AW217" s="28">
        <f t="shared" si="15"/>
        <v>-0.98998120236191811</v>
      </c>
      <c r="AX217">
        <f t="shared" si="16"/>
        <v>0.96551724137931039</v>
      </c>
      <c r="AY217" s="62">
        <f t="shared" si="17"/>
        <v>-0.95584391952185199</v>
      </c>
      <c r="AZ217" s="68" t="str">
        <f t="shared" si="18"/>
        <v>No</v>
      </c>
      <c r="BA217" s="68" t="str">
        <f t="shared" si="19"/>
        <v>No</v>
      </c>
    </row>
    <row r="218" spans="1:53" hidden="1">
      <c r="A218" t="s">
        <v>1815</v>
      </c>
      <c r="B218" t="s">
        <v>2959</v>
      </c>
      <c r="C218">
        <v>43</v>
      </c>
      <c r="F218" t="s">
        <v>1241</v>
      </c>
      <c r="G218" t="s">
        <v>1729</v>
      </c>
      <c r="I218">
        <v>2010</v>
      </c>
      <c r="N218" t="s">
        <v>36</v>
      </c>
      <c r="P218" t="s">
        <v>60</v>
      </c>
      <c r="Q218" t="s">
        <v>900</v>
      </c>
      <c r="R218" t="s">
        <v>946</v>
      </c>
      <c r="S218" t="s">
        <v>956</v>
      </c>
      <c r="V218" t="s">
        <v>1015</v>
      </c>
      <c r="Z218">
        <v>12</v>
      </c>
      <c r="AA218">
        <v>12</v>
      </c>
      <c r="AC218">
        <v>367</v>
      </c>
      <c r="AD218" s="37">
        <v>22</v>
      </c>
      <c r="AE218">
        <v>1858</v>
      </c>
      <c r="AF218" s="37">
        <v>24</v>
      </c>
      <c r="AG218" t="s">
        <v>3384</v>
      </c>
      <c r="AH218">
        <v>3.2690457096576231</v>
      </c>
      <c r="AI218" s="37">
        <v>22</v>
      </c>
      <c r="AJ218" t="s">
        <v>1813</v>
      </c>
      <c r="AK218" t="s">
        <v>59</v>
      </c>
      <c r="AM218"/>
      <c r="AN218">
        <v>74.53</v>
      </c>
      <c r="AO218">
        <v>5.4039985196148974</v>
      </c>
      <c r="AP218">
        <v>70.48</v>
      </c>
      <c r="AQ218">
        <v>5.7504086811286719</v>
      </c>
      <c r="AS218">
        <v>-5.6000000000000001E-2</v>
      </c>
      <c r="AT218">
        <v>1E-3</v>
      </c>
      <c r="AW218" s="28">
        <f t="shared" si="15"/>
        <v>-0.72582043834415844</v>
      </c>
      <c r="AX218">
        <f t="shared" si="16"/>
        <v>0.96551724137931039</v>
      </c>
      <c r="AY218" s="62">
        <f t="shared" si="17"/>
        <v>-0.70079214736677364</v>
      </c>
      <c r="AZ218" s="68" t="str">
        <f t="shared" si="18"/>
        <v>No</v>
      </c>
      <c r="BA218" s="68" t="str">
        <f t="shared" si="19"/>
        <v>No</v>
      </c>
    </row>
    <row r="219" spans="1:53" hidden="1">
      <c r="A219" t="s">
        <v>1815</v>
      </c>
      <c r="B219" t="s">
        <v>2961</v>
      </c>
      <c r="C219">
        <v>43</v>
      </c>
      <c r="F219" t="s">
        <v>1241</v>
      </c>
      <c r="G219" t="s">
        <v>1729</v>
      </c>
      <c r="I219">
        <v>2018</v>
      </c>
      <c r="N219" t="s">
        <v>36</v>
      </c>
      <c r="P219" t="s">
        <v>60</v>
      </c>
      <c r="Q219" t="s">
        <v>900</v>
      </c>
      <c r="R219" t="s">
        <v>946</v>
      </c>
      <c r="S219" t="s">
        <v>956</v>
      </c>
      <c r="V219" t="s">
        <v>1015</v>
      </c>
      <c r="Z219">
        <v>12</v>
      </c>
      <c r="AA219">
        <v>12</v>
      </c>
      <c r="AC219">
        <v>367</v>
      </c>
      <c r="AD219" s="37">
        <v>22</v>
      </c>
      <c r="AE219">
        <v>1892</v>
      </c>
      <c r="AF219" s="37">
        <v>26</v>
      </c>
      <c r="AG219" t="s">
        <v>3384</v>
      </c>
      <c r="AH219">
        <v>3.2769211320657741</v>
      </c>
      <c r="AI219" s="37">
        <v>22</v>
      </c>
      <c r="AJ219" t="s">
        <v>1813</v>
      </c>
      <c r="AK219" t="s">
        <v>59</v>
      </c>
      <c r="AM219"/>
      <c r="AN219">
        <v>74.53</v>
      </c>
      <c r="AO219">
        <v>5.4039985196148974</v>
      </c>
      <c r="AP219">
        <v>72.63</v>
      </c>
      <c r="AQ219">
        <v>4.2608449866194382</v>
      </c>
      <c r="AS219">
        <v>-2.5999999999999999E-2</v>
      </c>
      <c r="AT219">
        <v>6.9999999999999999E-4</v>
      </c>
      <c r="AW219" s="28">
        <f t="shared" si="15"/>
        <v>-0.39045583935955019</v>
      </c>
      <c r="AX219">
        <f t="shared" si="16"/>
        <v>0.96551724137931039</v>
      </c>
      <c r="AY219" s="62">
        <f t="shared" si="17"/>
        <v>-0.37699184489887605</v>
      </c>
      <c r="AZ219" s="68" t="str">
        <f t="shared" si="18"/>
        <v>No</v>
      </c>
      <c r="BA219" s="68" t="str">
        <f t="shared" si="19"/>
        <v>No</v>
      </c>
    </row>
    <row r="220" spans="1:53" hidden="1">
      <c r="A220" t="s">
        <v>1815</v>
      </c>
      <c r="B220" t="s">
        <v>3235</v>
      </c>
      <c r="C220">
        <v>201</v>
      </c>
      <c r="F220" t="s">
        <v>1241</v>
      </c>
      <c r="G220" t="s">
        <v>1738</v>
      </c>
      <c r="I220">
        <v>2010</v>
      </c>
      <c r="N220" t="s">
        <v>36</v>
      </c>
      <c r="P220" t="s">
        <v>60</v>
      </c>
      <c r="Q220" t="s">
        <v>900</v>
      </c>
      <c r="R220" t="s">
        <v>946</v>
      </c>
      <c r="S220" t="s">
        <v>952</v>
      </c>
      <c r="V220" t="s">
        <v>905</v>
      </c>
      <c r="Z220">
        <v>3</v>
      </c>
      <c r="AA220">
        <v>3</v>
      </c>
      <c r="AC220">
        <v>324</v>
      </c>
      <c r="AD220" s="37">
        <v>18</v>
      </c>
      <c r="AE220">
        <v>1695</v>
      </c>
      <c r="AF220" s="37">
        <v>18</v>
      </c>
      <c r="AG220" t="s">
        <v>3418</v>
      </c>
      <c r="AH220">
        <v>3.2291697025391009</v>
      </c>
      <c r="AI220" s="37">
        <v>18</v>
      </c>
      <c r="AJ220" t="s">
        <v>1813</v>
      </c>
      <c r="AK220" t="s">
        <v>59</v>
      </c>
      <c r="AM220"/>
      <c r="AN220">
        <v>96.12</v>
      </c>
      <c r="AO220">
        <v>5.21347293078232</v>
      </c>
      <c r="AP220">
        <v>87.88</v>
      </c>
      <c r="AQ220">
        <v>9.3877153770233139</v>
      </c>
      <c r="AS220">
        <v>-0.09</v>
      </c>
      <c r="AT220">
        <v>4.7999999999999996E-3</v>
      </c>
      <c r="AW220" s="28">
        <f t="shared" si="15"/>
        <v>-1.0851997000296947</v>
      </c>
      <c r="AX220">
        <f t="shared" si="16"/>
        <v>0.8</v>
      </c>
      <c r="AY220" s="62">
        <f t="shared" si="17"/>
        <v>-0.86815976002375583</v>
      </c>
      <c r="AZ220" s="68" t="str">
        <f t="shared" si="18"/>
        <v>No</v>
      </c>
      <c r="BA220" s="68" t="str">
        <f t="shared" si="19"/>
        <v>No</v>
      </c>
    </row>
    <row r="221" spans="1:53" hidden="1">
      <c r="A221" t="s">
        <v>1815</v>
      </c>
      <c r="B221" t="s">
        <v>3238</v>
      </c>
      <c r="C221">
        <v>201</v>
      </c>
      <c r="F221" t="s">
        <v>1241</v>
      </c>
      <c r="G221" t="s">
        <v>1738</v>
      </c>
      <c r="I221">
        <v>2010</v>
      </c>
      <c r="N221" t="s">
        <v>36</v>
      </c>
      <c r="P221" t="s">
        <v>60</v>
      </c>
      <c r="Q221" t="s">
        <v>900</v>
      </c>
      <c r="R221" t="s">
        <v>946</v>
      </c>
      <c r="S221" t="s">
        <v>950</v>
      </c>
      <c r="V221" t="s">
        <v>905</v>
      </c>
      <c r="Z221">
        <v>3</v>
      </c>
      <c r="AA221">
        <v>3</v>
      </c>
      <c r="AC221">
        <v>327</v>
      </c>
      <c r="AD221" s="37">
        <v>20</v>
      </c>
      <c r="AE221">
        <v>1051</v>
      </c>
      <c r="AF221" s="37">
        <v>20</v>
      </c>
      <c r="AG221" t="s">
        <v>3420</v>
      </c>
      <c r="AH221">
        <v>3.0216027160282422</v>
      </c>
      <c r="AI221" s="37">
        <v>20</v>
      </c>
      <c r="AJ221" t="s">
        <v>1813</v>
      </c>
      <c r="AK221" t="s">
        <v>59</v>
      </c>
      <c r="AM221"/>
      <c r="AN221">
        <v>87.97</v>
      </c>
      <c r="AO221">
        <v>12.522727338722984</v>
      </c>
      <c r="AP221">
        <v>83.29</v>
      </c>
      <c r="AQ221">
        <v>15.657739300422648</v>
      </c>
      <c r="AS221">
        <v>-5.5E-2</v>
      </c>
      <c r="AT221">
        <v>1.8499999999999999E-2</v>
      </c>
      <c r="AW221" s="28">
        <f t="shared" si="15"/>
        <v>-0.33010852290654946</v>
      </c>
      <c r="AX221">
        <f t="shared" si="16"/>
        <v>0.8</v>
      </c>
      <c r="AY221" s="62">
        <f t="shared" si="17"/>
        <v>-0.26408681832523956</v>
      </c>
      <c r="AZ221" s="68" t="str">
        <f t="shared" si="18"/>
        <v>No</v>
      </c>
      <c r="BA221" s="68" t="str">
        <f t="shared" si="19"/>
        <v>No</v>
      </c>
    </row>
    <row r="222" spans="1:53" hidden="1">
      <c r="A222" t="s">
        <v>1815</v>
      </c>
      <c r="B222" t="s">
        <v>3241</v>
      </c>
      <c r="C222">
        <v>201</v>
      </c>
      <c r="F222" t="s">
        <v>1241</v>
      </c>
      <c r="G222" t="s">
        <v>1738</v>
      </c>
      <c r="I222">
        <v>2010</v>
      </c>
      <c r="N222" t="s">
        <v>36</v>
      </c>
      <c r="P222" t="s">
        <v>60</v>
      </c>
      <c r="Q222" t="s">
        <v>900</v>
      </c>
      <c r="R222" t="s">
        <v>946</v>
      </c>
      <c r="S222" t="s">
        <v>1756</v>
      </c>
      <c r="V222" t="s">
        <v>905</v>
      </c>
      <c r="Z222">
        <v>3</v>
      </c>
      <c r="AA222">
        <v>3</v>
      </c>
      <c r="AC222">
        <v>327</v>
      </c>
      <c r="AD222" s="37">
        <v>20</v>
      </c>
      <c r="AE222">
        <v>1051</v>
      </c>
      <c r="AF222" s="37">
        <v>20</v>
      </c>
      <c r="AG222" t="s">
        <v>3416</v>
      </c>
      <c r="AH222">
        <v>3.0216027160282422</v>
      </c>
      <c r="AI222" s="37">
        <v>20</v>
      </c>
      <c r="AJ222" t="s">
        <v>1813</v>
      </c>
      <c r="AK222" t="s">
        <v>59</v>
      </c>
      <c r="AM222"/>
      <c r="AN222">
        <v>95.9</v>
      </c>
      <c r="AO222">
        <v>5.0922293742524989</v>
      </c>
      <c r="AP222">
        <v>92.52</v>
      </c>
      <c r="AQ222">
        <v>8.1406387955737234</v>
      </c>
      <c r="AS222">
        <v>-3.5999999999999997E-2</v>
      </c>
      <c r="AT222">
        <v>3.5000000000000001E-3</v>
      </c>
      <c r="AW222" s="28">
        <f t="shared" si="15"/>
        <v>-0.4978108447739123</v>
      </c>
      <c r="AX222">
        <f t="shared" si="16"/>
        <v>0.8</v>
      </c>
      <c r="AY222" s="62">
        <f t="shared" si="17"/>
        <v>-0.39824867581912987</v>
      </c>
      <c r="AZ222" s="68" t="str">
        <f t="shared" si="18"/>
        <v>No</v>
      </c>
      <c r="BA222" s="68" t="str">
        <f t="shared" si="19"/>
        <v>No</v>
      </c>
    </row>
    <row r="223" spans="1:53" hidden="1">
      <c r="A223" t="s">
        <v>1815</v>
      </c>
      <c r="B223" t="s">
        <v>3245</v>
      </c>
      <c r="C223">
        <v>201</v>
      </c>
      <c r="F223" t="s">
        <v>1241</v>
      </c>
      <c r="G223" t="s">
        <v>1738</v>
      </c>
      <c r="I223">
        <v>2010</v>
      </c>
      <c r="N223" t="s">
        <v>36</v>
      </c>
      <c r="P223" t="s">
        <v>60</v>
      </c>
      <c r="Q223" t="s">
        <v>900</v>
      </c>
      <c r="R223" t="s">
        <v>946</v>
      </c>
      <c r="S223" t="s">
        <v>1756</v>
      </c>
      <c r="V223" t="s">
        <v>905</v>
      </c>
      <c r="Z223">
        <v>3</v>
      </c>
      <c r="AA223">
        <v>3</v>
      </c>
      <c r="AC223">
        <v>327</v>
      </c>
      <c r="AD223" s="37">
        <v>20</v>
      </c>
      <c r="AE223">
        <v>1729</v>
      </c>
      <c r="AF223" s="37">
        <v>20</v>
      </c>
      <c r="AG223" t="s">
        <v>3416</v>
      </c>
      <c r="AH223">
        <v>3.2377949932739227</v>
      </c>
      <c r="AI223" s="37">
        <v>20</v>
      </c>
      <c r="AJ223" t="s">
        <v>1813</v>
      </c>
      <c r="AK223" t="s">
        <v>59</v>
      </c>
      <c r="AM223"/>
      <c r="AN223">
        <v>95.9</v>
      </c>
      <c r="AO223">
        <v>5.0922293742524989</v>
      </c>
      <c r="AP223">
        <v>93.17</v>
      </c>
      <c r="AQ223">
        <v>9.1798692801150494</v>
      </c>
      <c r="AS223">
        <v>-2.9000000000000001E-2</v>
      </c>
      <c r="AT223">
        <v>4.1999999999999997E-3</v>
      </c>
      <c r="AW223" s="28">
        <f t="shared" si="15"/>
        <v>-0.36777759731433929</v>
      </c>
      <c r="AX223">
        <f t="shared" si="16"/>
        <v>0.8</v>
      </c>
      <c r="AY223" s="62">
        <f t="shared" si="17"/>
        <v>-0.29422207785147142</v>
      </c>
      <c r="AZ223" s="68" t="str">
        <f t="shared" si="18"/>
        <v>No</v>
      </c>
      <c r="BA223" s="68" t="str">
        <f t="shared" si="19"/>
        <v>No</v>
      </c>
    </row>
    <row r="224" spans="1:53" hidden="1">
      <c r="A224" t="s">
        <v>1815</v>
      </c>
      <c r="B224" t="s">
        <v>3249</v>
      </c>
      <c r="C224">
        <v>201</v>
      </c>
      <c r="F224" t="s">
        <v>1241</v>
      </c>
      <c r="G224" t="s">
        <v>1738</v>
      </c>
      <c r="I224">
        <v>2010</v>
      </c>
      <c r="N224" t="s">
        <v>36</v>
      </c>
      <c r="P224" t="s">
        <v>60</v>
      </c>
      <c r="Q224" t="s">
        <v>900</v>
      </c>
      <c r="R224" t="s">
        <v>946</v>
      </c>
      <c r="S224" t="s">
        <v>1755</v>
      </c>
      <c r="V224" t="s">
        <v>905</v>
      </c>
      <c r="Z224">
        <v>3</v>
      </c>
      <c r="AA224">
        <v>3</v>
      </c>
      <c r="AC224">
        <v>330</v>
      </c>
      <c r="AD224" s="37">
        <v>22</v>
      </c>
      <c r="AE224">
        <v>1069</v>
      </c>
      <c r="AF224" s="37">
        <v>22</v>
      </c>
      <c r="AG224" t="s">
        <v>3417</v>
      </c>
      <c r="AH224">
        <v>3.0289777052087778</v>
      </c>
      <c r="AI224" s="37">
        <v>22</v>
      </c>
      <c r="AJ224" t="s">
        <v>1813</v>
      </c>
      <c r="AK224" t="s">
        <v>59</v>
      </c>
      <c r="AM224"/>
      <c r="AN224">
        <v>89.93</v>
      </c>
      <c r="AO224">
        <v>8.5563309893902542</v>
      </c>
      <c r="AP224">
        <v>88.81</v>
      </c>
      <c r="AQ224">
        <v>13.908367984778083</v>
      </c>
      <c r="AS224">
        <v>-1.2999999999999999E-2</v>
      </c>
      <c r="AT224">
        <v>1.12E-2</v>
      </c>
      <c r="AW224" s="28">
        <f t="shared" si="15"/>
        <v>-9.6997239872776198E-2</v>
      </c>
      <c r="AX224">
        <f t="shared" si="16"/>
        <v>0.8</v>
      </c>
      <c r="AY224" s="62">
        <f t="shared" si="17"/>
        <v>-7.7597791898220969E-2</v>
      </c>
      <c r="AZ224" s="68" t="str">
        <f t="shared" si="18"/>
        <v>No</v>
      </c>
      <c r="BA224" s="68" t="str">
        <f t="shared" si="19"/>
        <v>No</v>
      </c>
    </row>
    <row r="225" spans="1:53" hidden="1">
      <c r="A225" t="s">
        <v>1815</v>
      </c>
      <c r="B225" t="s">
        <v>3251</v>
      </c>
      <c r="C225">
        <v>201</v>
      </c>
      <c r="F225" t="s">
        <v>1241</v>
      </c>
      <c r="G225" t="s">
        <v>1738</v>
      </c>
      <c r="I225">
        <v>2010</v>
      </c>
      <c r="N225" t="s">
        <v>36</v>
      </c>
      <c r="P225" t="s">
        <v>60</v>
      </c>
      <c r="Q225" t="s">
        <v>900</v>
      </c>
      <c r="R225" t="s">
        <v>946</v>
      </c>
      <c r="S225" t="s">
        <v>956</v>
      </c>
      <c r="V225" t="s">
        <v>905</v>
      </c>
      <c r="Z225">
        <v>3</v>
      </c>
      <c r="AA225">
        <v>3</v>
      </c>
      <c r="AC225">
        <v>330</v>
      </c>
      <c r="AD225" s="37">
        <v>22</v>
      </c>
      <c r="AE225">
        <v>1069</v>
      </c>
      <c r="AF225" s="37">
        <v>22</v>
      </c>
      <c r="AG225" t="s">
        <v>3419</v>
      </c>
      <c r="AH225">
        <v>3.0289777052087778</v>
      </c>
      <c r="AI225" s="37">
        <v>22</v>
      </c>
      <c r="AJ225" t="s">
        <v>1813</v>
      </c>
      <c r="AK225" t="s">
        <v>59</v>
      </c>
      <c r="AM225"/>
      <c r="AN225">
        <v>90.33</v>
      </c>
      <c r="AO225">
        <v>8.1579593036494114</v>
      </c>
      <c r="AP225">
        <v>89.25</v>
      </c>
      <c r="AQ225">
        <v>9.1798692801150494</v>
      </c>
      <c r="AS225">
        <v>-1.2E-2</v>
      </c>
      <c r="AT225">
        <v>6.1999999999999998E-3</v>
      </c>
      <c r="AW225" s="28">
        <f t="shared" si="15"/>
        <v>-0.12436723347236213</v>
      </c>
      <c r="AX225">
        <f t="shared" si="16"/>
        <v>0.8</v>
      </c>
      <c r="AY225" s="62">
        <f t="shared" si="17"/>
        <v>-9.9493786777889712E-2</v>
      </c>
      <c r="AZ225" s="68" t="str">
        <f t="shared" si="18"/>
        <v>No</v>
      </c>
      <c r="BA225" s="68" t="str">
        <f t="shared" si="19"/>
        <v>No</v>
      </c>
    </row>
    <row r="226" spans="1:53" hidden="1">
      <c r="A226" t="s">
        <v>1815</v>
      </c>
      <c r="B226" t="s">
        <v>3256</v>
      </c>
      <c r="C226">
        <v>201</v>
      </c>
      <c r="F226" t="s">
        <v>1241</v>
      </c>
      <c r="G226" t="s">
        <v>1738</v>
      </c>
      <c r="I226">
        <v>2010</v>
      </c>
      <c r="N226" t="s">
        <v>36</v>
      </c>
      <c r="P226" t="s">
        <v>60</v>
      </c>
      <c r="Q226" t="s">
        <v>900</v>
      </c>
      <c r="R226" t="s">
        <v>946</v>
      </c>
      <c r="S226" t="s">
        <v>1756</v>
      </c>
      <c r="V226" t="s">
        <v>905</v>
      </c>
      <c r="Z226">
        <v>3</v>
      </c>
      <c r="AA226">
        <v>3</v>
      </c>
      <c r="AC226">
        <v>327</v>
      </c>
      <c r="AD226" s="37">
        <v>20</v>
      </c>
      <c r="AE226">
        <v>814</v>
      </c>
      <c r="AF226" s="37">
        <v>20</v>
      </c>
      <c r="AG226" t="s">
        <v>3416</v>
      </c>
      <c r="AH226">
        <v>2.9106244048892012</v>
      </c>
      <c r="AI226" s="37">
        <v>20</v>
      </c>
      <c r="AJ226" t="s">
        <v>1813</v>
      </c>
      <c r="AK226" t="s">
        <v>59</v>
      </c>
      <c r="AM226"/>
      <c r="AN226">
        <v>95.9</v>
      </c>
      <c r="AO226">
        <v>5.0922293742524989</v>
      </c>
      <c r="AP226">
        <v>95.38</v>
      </c>
      <c r="AQ226">
        <v>5.0922293742524989</v>
      </c>
      <c r="AS226">
        <v>-5.0000000000000001E-3</v>
      </c>
      <c r="AT226">
        <v>1.9E-3</v>
      </c>
      <c r="AW226" s="28">
        <f t="shared" si="15"/>
        <v>-0.10211637414238481</v>
      </c>
      <c r="AX226">
        <f t="shared" si="16"/>
        <v>0.8</v>
      </c>
      <c r="AY226" s="62">
        <f t="shared" si="17"/>
        <v>-8.1693099313907849E-2</v>
      </c>
      <c r="AZ226" s="68" t="str">
        <f t="shared" si="18"/>
        <v>No</v>
      </c>
      <c r="BA226" s="68" t="str">
        <f t="shared" si="19"/>
        <v>No</v>
      </c>
    </row>
    <row r="227" spans="1:53" hidden="1">
      <c r="A227" t="s">
        <v>1815</v>
      </c>
      <c r="B227" t="s">
        <v>3263</v>
      </c>
      <c r="C227">
        <v>201</v>
      </c>
      <c r="F227" t="s">
        <v>1241</v>
      </c>
      <c r="G227" t="s">
        <v>1738</v>
      </c>
      <c r="I227">
        <v>2010</v>
      </c>
      <c r="N227" t="s">
        <v>36</v>
      </c>
      <c r="P227" t="s">
        <v>60</v>
      </c>
      <c r="Q227" t="s">
        <v>900</v>
      </c>
      <c r="R227" t="s">
        <v>946</v>
      </c>
      <c r="S227" t="s">
        <v>1755</v>
      </c>
      <c r="V227" t="s">
        <v>905</v>
      </c>
      <c r="Z227">
        <v>3</v>
      </c>
      <c r="AA227">
        <v>3</v>
      </c>
      <c r="AC227">
        <v>330</v>
      </c>
      <c r="AD227" s="37">
        <v>22</v>
      </c>
      <c r="AE227">
        <v>1762</v>
      </c>
      <c r="AF227" s="37">
        <v>22</v>
      </c>
      <c r="AG227" t="s">
        <v>3417</v>
      </c>
      <c r="AH227">
        <v>3.246005904076029</v>
      </c>
      <c r="AI227" s="37">
        <v>22</v>
      </c>
      <c r="AJ227" t="s">
        <v>1813</v>
      </c>
      <c r="AK227" t="s">
        <v>59</v>
      </c>
      <c r="AM227"/>
      <c r="AN227">
        <v>89.93</v>
      </c>
      <c r="AO227">
        <v>8.5563309893902542</v>
      </c>
      <c r="AP227">
        <v>90.16</v>
      </c>
      <c r="AQ227">
        <v>9.6302024900829561</v>
      </c>
      <c r="AS227">
        <v>3.0000000000000001E-3</v>
      </c>
      <c r="AT227">
        <v>6.7999999999999996E-3</v>
      </c>
      <c r="AW227" s="28">
        <f t="shared" si="15"/>
        <v>2.5249461011497616E-2</v>
      </c>
      <c r="AX227">
        <f t="shared" si="16"/>
        <v>0.8</v>
      </c>
      <c r="AY227" s="62">
        <f t="shared" si="17"/>
        <v>2.0199568809198095E-2</v>
      </c>
      <c r="AZ227" s="68" t="str">
        <f t="shared" si="18"/>
        <v>No</v>
      </c>
      <c r="BA227" s="68" t="str">
        <f t="shared" si="19"/>
        <v>No</v>
      </c>
    </row>
    <row r="228" spans="1:53" hidden="1">
      <c r="A228" t="s">
        <v>1815</v>
      </c>
      <c r="B228" t="s">
        <v>3267</v>
      </c>
      <c r="C228">
        <v>201</v>
      </c>
      <c r="F228" t="s">
        <v>1241</v>
      </c>
      <c r="G228" t="s">
        <v>1738</v>
      </c>
      <c r="I228">
        <v>2010</v>
      </c>
      <c r="N228" t="s">
        <v>36</v>
      </c>
      <c r="P228" t="s">
        <v>60</v>
      </c>
      <c r="Q228" t="s">
        <v>900</v>
      </c>
      <c r="R228" t="s">
        <v>946</v>
      </c>
      <c r="S228" t="s">
        <v>950</v>
      </c>
      <c r="V228" t="s">
        <v>905</v>
      </c>
      <c r="Z228">
        <v>3</v>
      </c>
      <c r="AA228">
        <v>3</v>
      </c>
      <c r="AC228">
        <v>327</v>
      </c>
      <c r="AD228" s="37">
        <v>20</v>
      </c>
      <c r="AE228">
        <v>814</v>
      </c>
      <c r="AF228" s="37">
        <v>20</v>
      </c>
      <c r="AG228" t="s">
        <v>3420</v>
      </c>
      <c r="AH228">
        <v>2.9106244048892012</v>
      </c>
      <c r="AI228" s="37">
        <v>20</v>
      </c>
      <c r="AJ228" t="s">
        <v>1813</v>
      </c>
      <c r="AK228" t="s">
        <v>59</v>
      </c>
      <c r="AM228"/>
      <c r="AN228">
        <v>87.97</v>
      </c>
      <c r="AO228">
        <v>12.522727338722984</v>
      </c>
      <c r="AP228">
        <v>89.24</v>
      </c>
      <c r="AQ228">
        <v>13.561957823264308</v>
      </c>
      <c r="AS228">
        <v>1.4E-2</v>
      </c>
      <c r="AT228">
        <v>1.4500000000000001E-2</v>
      </c>
      <c r="AW228" s="28">
        <f t="shared" si="15"/>
        <v>9.7297956246102185E-2</v>
      </c>
      <c r="AX228">
        <f t="shared" si="16"/>
        <v>0.8</v>
      </c>
      <c r="AY228" s="62">
        <f t="shared" si="17"/>
        <v>7.7838364996881751E-2</v>
      </c>
      <c r="AZ228" s="68" t="str">
        <f t="shared" si="18"/>
        <v>No</v>
      </c>
      <c r="BA228" s="68" t="str">
        <f t="shared" si="19"/>
        <v>No</v>
      </c>
    </row>
    <row r="229" spans="1:53" hidden="1">
      <c r="A229" t="s">
        <v>1815</v>
      </c>
      <c r="B229" t="s">
        <v>3271</v>
      </c>
      <c r="C229">
        <v>201</v>
      </c>
      <c r="F229" t="s">
        <v>1241</v>
      </c>
      <c r="G229" t="s">
        <v>1738</v>
      </c>
      <c r="I229">
        <v>2010</v>
      </c>
      <c r="N229" t="s">
        <v>36</v>
      </c>
      <c r="P229" t="s">
        <v>60</v>
      </c>
      <c r="Q229" t="s">
        <v>900</v>
      </c>
      <c r="R229" t="s">
        <v>946</v>
      </c>
      <c r="S229" t="s">
        <v>952</v>
      </c>
      <c r="V229" t="s">
        <v>905</v>
      </c>
      <c r="Z229">
        <v>3</v>
      </c>
      <c r="AA229">
        <v>3</v>
      </c>
      <c r="AC229">
        <v>324</v>
      </c>
      <c r="AD229" s="37">
        <v>18</v>
      </c>
      <c r="AE229">
        <v>1033</v>
      </c>
      <c r="AF229" s="37">
        <v>18</v>
      </c>
      <c r="AG229" t="s">
        <v>3418</v>
      </c>
      <c r="AH229">
        <v>3.0141003215196207</v>
      </c>
      <c r="AI229" s="37">
        <v>18</v>
      </c>
      <c r="AJ229" t="s">
        <v>1813</v>
      </c>
      <c r="AK229" t="s">
        <v>59</v>
      </c>
      <c r="AM229"/>
      <c r="AN229">
        <v>96.12</v>
      </c>
      <c r="AO229">
        <v>5.21347293078232</v>
      </c>
      <c r="AP229">
        <v>98.02</v>
      </c>
      <c r="AQ229">
        <v>2.0957814771583414</v>
      </c>
      <c r="AS229">
        <v>0.02</v>
      </c>
      <c r="AT229">
        <v>1.1000000000000001E-3</v>
      </c>
      <c r="AW229" s="28">
        <f t="shared" si="15"/>
        <v>0.47820424284211832</v>
      </c>
      <c r="AX229">
        <f t="shared" si="16"/>
        <v>0.8</v>
      </c>
      <c r="AY229" s="62">
        <f t="shared" si="17"/>
        <v>0.38256339427369468</v>
      </c>
      <c r="AZ229" s="68" t="str">
        <f t="shared" si="18"/>
        <v>No</v>
      </c>
      <c r="BA229" s="68" t="str">
        <f t="shared" si="19"/>
        <v>No</v>
      </c>
    </row>
    <row r="230" spans="1:53" hidden="1">
      <c r="A230" t="s">
        <v>1815</v>
      </c>
      <c r="B230" t="s">
        <v>3272</v>
      </c>
      <c r="C230">
        <v>201</v>
      </c>
      <c r="F230" t="s">
        <v>1241</v>
      </c>
      <c r="G230" t="s">
        <v>1738</v>
      </c>
      <c r="I230">
        <v>2010</v>
      </c>
      <c r="N230" t="s">
        <v>36</v>
      </c>
      <c r="P230" t="s">
        <v>60</v>
      </c>
      <c r="Q230" t="s">
        <v>900</v>
      </c>
      <c r="R230" t="s">
        <v>1741</v>
      </c>
      <c r="S230" t="s">
        <v>1762</v>
      </c>
      <c r="V230" t="s">
        <v>905</v>
      </c>
      <c r="Z230">
        <v>3</v>
      </c>
      <c r="AA230">
        <v>3</v>
      </c>
      <c r="AC230">
        <v>327</v>
      </c>
      <c r="AD230" s="37">
        <v>20</v>
      </c>
      <c r="AE230">
        <v>814</v>
      </c>
      <c r="AF230" s="37">
        <v>20</v>
      </c>
      <c r="AG230" t="s">
        <v>3421</v>
      </c>
      <c r="AH230">
        <v>2.9106244048892012</v>
      </c>
      <c r="AI230" s="37">
        <v>20</v>
      </c>
      <c r="AJ230" t="s">
        <v>1813</v>
      </c>
      <c r="AK230" t="s">
        <v>59</v>
      </c>
      <c r="AM230"/>
      <c r="AN230">
        <v>97.55</v>
      </c>
      <c r="AO230">
        <v>3.2042939940024229</v>
      </c>
      <c r="AP230">
        <v>99.49</v>
      </c>
      <c r="AQ230">
        <v>1.0565509926170151</v>
      </c>
      <c r="AS230">
        <v>0.02</v>
      </c>
      <c r="AT230">
        <v>4.0000000000000002E-4</v>
      </c>
      <c r="AW230" s="28">
        <f t="shared" si="15"/>
        <v>0.81315455520171642</v>
      </c>
      <c r="AX230">
        <f t="shared" si="16"/>
        <v>0.8</v>
      </c>
      <c r="AY230" s="62">
        <f t="shared" si="17"/>
        <v>0.6505236441613732</v>
      </c>
      <c r="AZ230" s="68" t="str">
        <f t="shared" si="18"/>
        <v>No</v>
      </c>
      <c r="BA230" s="68" t="str">
        <f t="shared" si="19"/>
        <v>No</v>
      </c>
    </row>
    <row r="231" spans="1:53" hidden="1">
      <c r="A231" t="s">
        <v>1815</v>
      </c>
      <c r="B231" t="s">
        <v>3276</v>
      </c>
      <c r="C231">
        <v>201</v>
      </c>
      <c r="F231" t="s">
        <v>1241</v>
      </c>
      <c r="G231" t="s">
        <v>1738</v>
      </c>
      <c r="I231">
        <v>2010</v>
      </c>
      <c r="N231" t="s">
        <v>36</v>
      </c>
      <c r="P231" t="s">
        <v>60</v>
      </c>
      <c r="Q231" t="s">
        <v>900</v>
      </c>
      <c r="R231" t="s">
        <v>1741</v>
      </c>
      <c r="S231" t="s">
        <v>1762</v>
      </c>
      <c r="V231" t="s">
        <v>905</v>
      </c>
      <c r="Z231">
        <v>3</v>
      </c>
      <c r="AA231">
        <v>3</v>
      </c>
      <c r="AC231">
        <v>327</v>
      </c>
      <c r="AD231" s="37">
        <v>20</v>
      </c>
      <c r="AE231">
        <v>1051</v>
      </c>
      <c r="AF231" s="37">
        <v>20</v>
      </c>
      <c r="AG231" t="s">
        <v>3421</v>
      </c>
      <c r="AH231">
        <v>3.0216027160282422</v>
      </c>
      <c r="AI231" s="37">
        <v>20</v>
      </c>
      <c r="AJ231" t="s">
        <v>1813</v>
      </c>
      <c r="AK231" t="s">
        <v>59</v>
      </c>
      <c r="AM231"/>
      <c r="AN231">
        <v>97.55</v>
      </c>
      <c r="AO231">
        <v>3.2042939940024229</v>
      </c>
      <c r="AP231">
        <v>99.58</v>
      </c>
      <c r="AQ231">
        <v>1.0738715006927038</v>
      </c>
      <c r="AS231">
        <v>2.1000000000000001E-2</v>
      </c>
      <c r="AT231">
        <v>4.0000000000000002E-4</v>
      </c>
      <c r="AW231" s="28">
        <f t="shared" si="15"/>
        <v>0.84950252475441512</v>
      </c>
      <c r="AX231">
        <f t="shared" si="16"/>
        <v>0.8</v>
      </c>
      <c r="AY231" s="62">
        <f t="shared" si="17"/>
        <v>0.67960201980353219</v>
      </c>
      <c r="AZ231" s="68" t="str">
        <f t="shared" si="18"/>
        <v>No</v>
      </c>
      <c r="BA231" s="68" t="str">
        <f t="shared" si="19"/>
        <v>No</v>
      </c>
    </row>
    <row r="232" spans="1:53" hidden="1">
      <c r="A232" t="s">
        <v>1815</v>
      </c>
      <c r="B232" t="s">
        <v>3278</v>
      </c>
      <c r="C232">
        <v>201</v>
      </c>
      <c r="F232" t="s">
        <v>1241</v>
      </c>
      <c r="G232" t="s">
        <v>1738</v>
      </c>
      <c r="I232">
        <v>2010</v>
      </c>
      <c r="N232" t="s">
        <v>36</v>
      </c>
      <c r="P232" t="s">
        <v>60</v>
      </c>
      <c r="Q232" t="s">
        <v>900</v>
      </c>
      <c r="R232" t="s">
        <v>946</v>
      </c>
      <c r="S232" t="s">
        <v>956</v>
      </c>
      <c r="V232" t="s">
        <v>905</v>
      </c>
      <c r="Z232">
        <v>3</v>
      </c>
      <c r="AA232">
        <v>3</v>
      </c>
      <c r="AC232">
        <v>330</v>
      </c>
      <c r="AD232" s="37">
        <v>22</v>
      </c>
      <c r="AE232">
        <v>1762</v>
      </c>
      <c r="AF232" s="37">
        <v>22</v>
      </c>
      <c r="AG232" t="s">
        <v>3419</v>
      </c>
      <c r="AH232">
        <v>3.246005904076029</v>
      </c>
      <c r="AI232" s="37">
        <v>22</v>
      </c>
      <c r="AJ232" t="s">
        <v>1813</v>
      </c>
      <c r="AK232" t="s">
        <v>59</v>
      </c>
      <c r="AM232"/>
      <c r="AN232">
        <v>90.33</v>
      </c>
      <c r="AO232">
        <v>8.1579593036494114</v>
      </c>
      <c r="AP232">
        <v>92.29</v>
      </c>
      <c r="AQ232">
        <v>7.1360493271837742</v>
      </c>
      <c r="AS232">
        <v>2.1000000000000001E-2</v>
      </c>
      <c r="AT232">
        <v>4.7000000000000002E-3</v>
      </c>
      <c r="AW232" s="28">
        <f t="shared" si="15"/>
        <v>0.25573926820595805</v>
      </c>
      <c r="AX232">
        <f t="shared" si="16"/>
        <v>0.8</v>
      </c>
      <c r="AY232" s="62">
        <f t="shared" si="17"/>
        <v>0.20459141456476646</v>
      </c>
      <c r="AZ232" s="68" t="str">
        <f t="shared" si="18"/>
        <v>No</v>
      </c>
      <c r="BA232" s="68" t="str">
        <f t="shared" si="19"/>
        <v>No</v>
      </c>
    </row>
    <row r="233" spans="1:53" hidden="1">
      <c r="A233" t="s">
        <v>1815</v>
      </c>
      <c r="B233" t="s">
        <v>3279</v>
      </c>
      <c r="C233">
        <v>201</v>
      </c>
      <c r="F233" t="s">
        <v>1241</v>
      </c>
      <c r="G233" t="s">
        <v>1738</v>
      </c>
      <c r="I233">
        <v>2010</v>
      </c>
      <c r="N233" t="s">
        <v>36</v>
      </c>
      <c r="P233" t="s">
        <v>60</v>
      </c>
      <c r="Q233" t="s">
        <v>900</v>
      </c>
      <c r="R233" t="s">
        <v>1741</v>
      </c>
      <c r="S233" t="s">
        <v>1762</v>
      </c>
      <c r="V233" t="s">
        <v>905</v>
      </c>
      <c r="Z233">
        <v>3</v>
      </c>
      <c r="AA233">
        <v>3</v>
      </c>
      <c r="AC233">
        <v>327</v>
      </c>
      <c r="AD233" s="37">
        <v>20</v>
      </c>
      <c r="AE233">
        <v>1729</v>
      </c>
      <c r="AF233" s="37">
        <v>20</v>
      </c>
      <c r="AG233" t="s">
        <v>3421</v>
      </c>
      <c r="AH233">
        <v>3.2377949932739227</v>
      </c>
      <c r="AI233" s="37">
        <v>20</v>
      </c>
      <c r="AJ233" t="s">
        <v>1813</v>
      </c>
      <c r="AK233" t="s">
        <v>59</v>
      </c>
      <c r="AM233"/>
      <c r="AN233">
        <v>97.55</v>
      </c>
      <c r="AO233">
        <v>3.2042939940024229</v>
      </c>
      <c r="AP233">
        <v>99.67</v>
      </c>
      <c r="AQ233">
        <v>1.0911920087683926</v>
      </c>
      <c r="AS233">
        <v>2.1000000000000001E-2</v>
      </c>
      <c r="AT233">
        <v>4.0000000000000002E-4</v>
      </c>
      <c r="AW233" s="28">
        <f t="shared" si="15"/>
        <v>0.8857122667525904</v>
      </c>
      <c r="AX233">
        <f t="shared" si="16"/>
        <v>0.8</v>
      </c>
      <c r="AY233" s="62">
        <f t="shared" si="17"/>
        <v>0.70856981340207237</v>
      </c>
      <c r="AZ233" s="68" t="str">
        <f t="shared" si="18"/>
        <v>No</v>
      </c>
      <c r="BA233" s="68" t="str">
        <f t="shared" si="19"/>
        <v>No</v>
      </c>
    </row>
    <row r="234" spans="1:53" hidden="1">
      <c r="A234" t="s">
        <v>1815</v>
      </c>
      <c r="B234" t="s">
        <v>3287</v>
      </c>
      <c r="C234">
        <v>201</v>
      </c>
      <c r="F234" t="s">
        <v>1241</v>
      </c>
      <c r="G234" t="s">
        <v>1738</v>
      </c>
      <c r="I234">
        <v>2016</v>
      </c>
      <c r="N234" t="s">
        <v>36</v>
      </c>
      <c r="P234" t="s">
        <v>60</v>
      </c>
      <c r="Q234" t="s">
        <v>900</v>
      </c>
      <c r="R234" t="s">
        <v>946</v>
      </c>
      <c r="S234" t="s">
        <v>950</v>
      </c>
      <c r="V234" t="s">
        <v>905</v>
      </c>
      <c r="Z234">
        <v>3</v>
      </c>
      <c r="AA234">
        <v>3</v>
      </c>
      <c r="AC234">
        <v>327</v>
      </c>
      <c r="AD234" s="37">
        <v>20</v>
      </c>
      <c r="AE234">
        <v>1729</v>
      </c>
      <c r="AF234" s="37">
        <v>20</v>
      </c>
      <c r="AG234" t="s">
        <v>3420</v>
      </c>
      <c r="AH234">
        <v>3.2377949932739227</v>
      </c>
      <c r="AI234" s="37">
        <v>20</v>
      </c>
      <c r="AJ234" t="s">
        <v>1813</v>
      </c>
      <c r="AK234" t="s">
        <v>59</v>
      </c>
      <c r="AM234"/>
      <c r="AN234">
        <v>87.97</v>
      </c>
      <c r="AO234">
        <v>12.522727338722984</v>
      </c>
      <c r="AP234">
        <v>93.61</v>
      </c>
      <c r="AQ234">
        <v>9.3877153770233139</v>
      </c>
      <c r="AS234">
        <v>6.2E-2</v>
      </c>
      <c r="AT234">
        <v>1.01E-2</v>
      </c>
      <c r="AW234" s="28">
        <f t="shared" si="15"/>
        <v>0.50963264759095606</v>
      </c>
      <c r="AX234">
        <f t="shared" si="16"/>
        <v>0.8</v>
      </c>
      <c r="AY234" s="62">
        <f t="shared" si="17"/>
        <v>0.40770611807276486</v>
      </c>
      <c r="AZ234" s="68" t="str">
        <f t="shared" si="18"/>
        <v>No</v>
      </c>
      <c r="BA234" s="68" t="str">
        <f t="shared" si="19"/>
        <v>No</v>
      </c>
    </row>
    <row r="235" spans="1:53" hidden="1">
      <c r="A235" t="s">
        <v>1815</v>
      </c>
      <c r="B235" t="s">
        <v>3240</v>
      </c>
      <c r="C235">
        <v>201</v>
      </c>
      <c r="F235" t="s">
        <v>1241</v>
      </c>
      <c r="G235" t="s">
        <v>1738</v>
      </c>
      <c r="I235">
        <v>2010</v>
      </c>
      <c r="N235" t="s">
        <v>36</v>
      </c>
      <c r="P235" t="s">
        <v>60</v>
      </c>
      <c r="Q235" t="s">
        <v>900</v>
      </c>
      <c r="R235" t="s">
        <v>946</v>
      </c>
      <c r="S235" t="s">
        <v>956</v>
      </c>
      <c r="V235" t="s">
        <v>907</v>
      </c>
      <c r="Z235">
        <v>3</v>
      </c>
      <c r="AA235">
        <v>3</v>
      </c>
      <c r="AC235">
        <v>330</v>
      </c>
      <c r="AD235" s="37">
        <v>22</v>
      </c>
      <c r="AE235">
        <v>332</v>
      </c>
      <c r="AF235" s="37">
        <v>24</v>
      </c>
      <c r="AG235" t="s">
        <v>3419</v>
      </c>
      <c r="AH235">
        <v>2.5211380837040362</v>
      </c>
      <c r="AI235" s="37">
        <v>22</v>
      </c>
      <c r="AJ235" t="s">
        <v>1813</v>
      </c>
      <c r="AK235" t="s">
        <v>59</v>
      </c>
      <c r="AM235"/>
      <c r="AN235">
        <v>90.33</v>
      </c>
      <c r="AO235">
        <v>8.1579593036494114</v>
      </c>
      <c r="AP235">
        <v>86.82</v>
      </c>
      <c r="AQ235">
        <v>10.201779256580686</v>
      </c>
      <c r="AS235">
        <v>-0.04</v>
      </c>
      <c r="AT235">
        <v>7.3000000000000001E-3</v>
      </c>
      <c r="AW235" s="28">
        <f t="shared" si="15"/>
        <v>-0.38001102841005208</v>
      </c>
      <c r="AX235">
        <f t="shared" si="16"/>
        <v>0.8</v>
      </c>
      <c r="AY235" s="62">
        <f t="shared" si="17"/>
        <v>-0.30400882272804169</v>
      </c>
      <c r="AZ235" s="68" t="str">
        <f t="shared" si="18"/>
        <v>No</v>
      </c>
      <c r="BA235" s="68" t="str">
        <f t="shared" si="19"/>
        <v>No</v>
      </c>
    </row>
    <row r="236" spans="1:53" hidden="1">
      <c r="A236" t="s">
        <v>1815</v>
      </c>
      <c r="B236" t="s">
        <v>3244</v>
      </c>
      <c r="C236">
        <v>201</v>
      </c>
      <c r="F236" t="s">
        <v>1241</v>
      </c>
      <c r="G236" t="s">
        <v>1738</v>
      </c>
      <c r="I236">
        <v>2010</v>
      </c>
      <c r="N236" t="s">
        <v>36</v>
      </c>
      <c r="P236" t="s">
        <v>60</v>
      </c>
      <c r="Q236" t="s">
        <v>900</v>
      </c>
      <c r="R236" t="s">
        <v>946</v>
      </c>
      <c r="S236" t="s">
        <v>1756</v>
      </c>
      <c r="V236" t="s">
        <v>907</v>
      </c>
      <c r="Z236">
        <v>3</v>
      </c>
      <c r="AA236">
        <v>3</v>
      </c>
      <c r="AC236">
        <v>327</v>
      </c>
      <c r="AD236" s="37">
        <v>20</v>
      </c>
      <c r="AE236">
        <v>335</v>
      </c>
      <c r="AF236" s="37">
        <v>26</v>
      </c>
      <c r="AG236" t="s">
        <v>3416</v>
      </c>
      <c r="AH236">
        <v>2.5250448070368452</v>
      </c>
      <c r="AI236" s="37">
        <v>20</v>
      </c>
      <c r="AJ236" t="s">
        <v>1813</v>
      </c>
      <c r="AK236" t="s">
        <v>59</v>
      </c>
      <c r="AM236"/>
      <c r="AN236">
        <v>95.9</v>
      </c>
      <c r="AO236">
        <v>5.0922293742524989</v>
      </c>
      <c r="AP236">
        <v>92.99</v>
      </c>
      <c r="AQ236">
        <v>8.1406387955737234</v>
      </c>
      <c r="AS236">
        <v>-3.1E-2</v>
      </c>
      <c r="AT236">
        <v>3.5000000000000001E-3</v>
      </c>
      <c r="AW236" s="28">
        <f t="shared" si="15"/>
        <v>-0.42858862671363496</v>
      </c>
      <c r="AX236">
        <f t="shared" si="16"/>
        <v>0.8</v>
      </c>
      <c r="AY236" s="62">
        <f t="shared" si="17"/>
        <v>-0.34287090137090798</v>
      </c>
      <c r="AZ236" s="68" t="str">
        <f t="shared" si="18"/>
        <v>No</v>
      </c>
      <c r="BA236" s="68" t="str">
        <f t="shared" si="19"/>
        <v>No</v>
      </c>
    </row>
    <row r="237" spans="1:53" hidden="1">
      <c r="A237" t="s">
        <v>1815</v>
      </c>
      <c r="B237" t="s">
        <v>3250</v>
      </c>
      <c r="C237">
        <v>201</v>
      </c>
      <c r="F237" t="s">
        <v>1241</v>
      </c>
      <c r="G237" t="s">
        <v>1738</v>
      </c>
      <c r="I237">
        <v>2010</v>
      </c>
      <c r="N237" t="s">
        <v>36</v>
      </c>
      <c r="P237" t="s">
        <v>60</v>
      </c>
      <c r="Q237" t="s">
        <v>900</v>
      </c>
      <c r="R237" t="s">
        <v>946</v>
      </c>
      <c r="S237" t="s">
        <v>952</v>
      </c>
      <c r="V237" t="s">
        <v>907</v>
      </c>
      <c r="Z237">
        <v>3</v>
      </c>
      <c r="AA237">
        <v>3</v>
      </c>
      <c r="AC237">
        <v>324</v>
      </c>
      <c r="AD237" s="37">
        <v>18</v>
      </c>
      <c r="AE237">
        <v>332</v>
      </c>
      <c r="AF237" s="37">
        <v>24</v>
      </c>
      <c r="AG237" t="s">
        <v>3418</v>
      </c>
      <c r="AH237">
        <v>2.5211380837040362</v>
      </c>
      <c r="AI237" s="37">
        <v>18</v>
      </c>
      <c r="AJ237" t="s">
        <v>1813</v>
      </c>
      <c r="AK237" t="s">
        <v>59</v>
      </c>
      <c r="AM237"/>
      <c r="AN237">
        <v>96.12</v>
      </c>
      <c r="AO237">
        <v>5.21347293078232</v>
      </c>
      <c r="AP237">
        <v>94.96</v>
      </c>
      <c r="AQ237">
        <v>5.21347293078232</v>
      </c>
      <c r="AS237">
        <v>-1.2E-2</v>
      </c>
      <c r="AT237">
        <v>2E-3</v>
      </c>
      <c r="AW237" s="28">
        <f t="shared" si="15"/>
        <v>-0.22250043596676816</v>
      </c>
      <c r="AX237">
        <f t="shared" si="16"/>
        <v>0.8</v>
      </c>
      <c r="AY237" s="62">
        <f t="shared" si="17"/>
        <v>-0.17800034877341453</v>
      </c>
      <c r="AZ237" s="68" t="str">
        <f t="shared" si="18"/>
        <v>No</v>
      </c>
      <c r="BA237" s="68" t="str">
        <f t="shared" si="19"/>
        <v>No</v>
      </c>
    </row>
    <row r="238" spans="1:53" hidden="1">
      <c r="A238" t="s">
        <v>1815</v>
      </c>
      <c r="B238" t="s">
        <v>3258</v>
      </c>
      <c r="C238">
        <v>201</v>
      </c>
      <c r="F238" t="s">
        <v>1241</v>
      </c>
      <c r="G238" t="s">
        <v>1738</v>
      </c>
      <c r="I238">
        <v>2010</v>
      </c>
      <c r="N238" t="s">
        <v>36</v>
      </c>
      <c r="P238" t="s">
        <v>60</v>
      </c>
      <c r="Q238" t="s">
        <v>900</v>
      </c>
      <c r="R238" t="s">
        <v>946</v>
      </c>
      <c r="S238" t="s">
        <v>952</v>
      </c>
      <c r="V238" t="s">
        <v>907</v>
      </c>
      <c r="Z238">
        <v>3</v>
      </c>
      <c r="AA238">
        <v>3</v>
      </c>
      <c r="AC238">
        <v>324</v>
      </c>
      <c r="AD238" s="37">
        <v>18</v>
      </c>
      <c r="AE238">
        <v>330</v>
      </c>
      <c r="AF238" s="37">
        <v>22</v>
      </c>
      <c r="AG238" t="s">
        <v>3418</v>
      </c>
      <c r="AH238">
        <v>2.5185139398778875</v>
      </c>
      <c r="AI238" s="37">
        <v>18</v>
      </c>
      <c r="AJ238" t="s">
        <v>1813</v>
      </c>
      <c r="AK238" t="s">
        <v>59</v>
      </c>
      <c r="AM238"/>
      <c r="AN238">
        <v>96.12</v>
      </c>
      <c r="AO238">
        <v>5.21347293078232</v>
      </c>
      <c r="AP238">
        <v>96.14</v>
      </c>
      <c r="AQ238">
        <v>5.21347293078232</v>
      </c>
      <c r="AS238">
        <v>0</v>
      </c>
      <c r="AT238">
        <v>2E-3</v>
      </c>
      <c r="AW238" s="28">
        <f t="shared" si="15"/>
        <v>3.8362144132193421E-3</v>
      </c>
      <c r="AX238">
        <f t="shared" si="16"/>
        <v>0.8</v>
      </c>
      <c r="AY238" s="62">
        <f t="shared" si="17"/>
        <v>3.0689715305754739E-3</v>
      </c>
      <c r="AZ238" s="68" t="str">
        <f t="shared" si="18"/>
        <v>No</v>
      </c>
      <c r="BA238" s="68" t="str">
        <f t="shared" si="19"/>
        <v>No</v>
      </c>
    </row>
    <row r="239" spans="1:53" hidden="1">
      <c r="A239" t="s">
        <v>1815</v>
      </c>
      <c r="B239" t="s">
        <v>3259</v>
      </c>
      <c r="C239">
        <v>201</v>
      </c>
      <c r="F239" t="s">
        <v>1241</v>
      </c>
      <c r="G239" t="s">
        <v>1738</v>
      </c>
      <c r="I239">
        <v>2010</v>
      </c>
      <c r="N239" t="s">
        <v>36</v>
      </c>
      <c r="P239" t="s">
        <v>60</v>
      </c>
      <c r="Q239" t="s">
        <v>900</v>
      </c>
      <c r="R239" t="s">
        <v>946</v>
      </c>
      <c r="S239" t="s">
        <v>950</v>
      </c>
      <c r="V239" t="s">
        <v>907</v>
      </c>
      <c r="Z239">
        <v>3</v>
      </c>
      <c r="AA239">
        <v>3</v>
      </c>
      <c r="AC239">
        <v>327</v>
      </c>
      <c r="AD239" s="37">
        <v>20</v>
      </c>
      <c r="AE239">
        <v>335</v>
      </c>
      <c r="AF239" s="37">
        <v>26</v>
      </c>
      <c r="AG239" t="s">
        <v>3420</v>
      </c>
      <c r="AH239">
        <v>2.5250448070368452</v>
      </c>
      <c r="AI239" s="37">
        <v>20</v>
      </c>
      <c r="AJ239" t="s">
        <v>1813</v>
      </c>
      <c r="AK239" t="s">
        <v>59</v>
      </c>
      <c r="AM239"/>
      <c r="AN239">
        <v>87.97</v>
      </c>
      <c r="AO239">
        <v>12.522727338722984</v>
      </c>
      <c r="AP239">
        <v>88</v>
      </c>
      <c r="AQ239">
        <v>15.64041879234696</v>
      </c>
      <c r="AS239">
        <v>0</v>
      </c>
      <c r="AT239">
        <v>1.7299999999999999E-2</v>
      </c>
      <c r="AW239" s="28">
        <f t="shared" si="15"/>
        <v>2.1175085533821475E-3</v>
      </c>
      <c r="AX239">
        <f t="shared" si="16"/>
        <v>0.8</v>
      </c>
      <c r="AY239" s="62">
        <f t="shared" si="17"/>
        <v>1.6940068427057182E-3</v>
      </c>
      <c r="AZ239" s="68" t="str">
        <f t="shared" si="18"/>
        <v>No</v>
      </c>
      <c r="BA239" s="68" t="str">
        <f t="shared" si="19"/>
        <v>No</v>
      </c>
    </row>
    <row r="240" spans="1:53" hidden="1">
      <c r="A240" t="s">
        <v>1815</v>
      </c>
      <c r="B240" t="s">
        <v>3260</v>
      </c>
      <c r="C240">
        <v>201</v>
      </c>
      <c r="F240" t="s">
        <v>1241</v>
      </c>
      <c r="G240" t="s">
        <v>1738</v>
      </c>
      <c r="I240">
        <v>2010</v>
      </c>
      <c r="N240" t="s">
        <v>36</v>
      </c>
      <c r="P240" t="s">
        <v>60</v>
      </c>
      <c r="Q240" t="s">
        <v>900</v>
      </c>
      <c r="R240" t="s">
        <v>1741</v>
      </c>
      <c r="S240" t="s">
        <v>1762</v>
      </c>
      <c r="V240" t="s">
        <v>907</v>
      </c>
      <c r="Z240">
        <v>3</v>
      </c>
      <c r="AA240">
        <v>3</v>
      </c>
      <c r="AC240">
        <v>327</v>
      </c>
      <c r="AD240" s="37">
        <v>20</v>
      </c>
      <c r="AE240">
        <v>335</v>
      </c>
      <c r="AF240" s="37">
        <v>26</v>
      </c>
      <c r="AG240" t="s">
        <v>3421</v>
      </c>
      <c r="AH240">
        <v>2.5250448070368452</v>
      </c>
      <c r="AI240" s="37">
        <v>20</v>
      </c>
      <c r="AJ240" t="s">
        <v>1813</v>
      </c>
      <c r="AK240" t="s">
        <v>59</v>
      </c>
      <c r="AM240"/>
      <c r="AN240">
        <v>97.55</v>
      </c>
      <c r="AO240">
        <v>3.2042939940024229</v>
      </c>
      <c r="AP240">
        <v>97.59</v>
      </c>
      <c r="AQ240">
        <v>3.2042939940024229</v>
      </c>
      <c r="AS240">
        <v>0</v>
      </c>
      <c r="AT240">
        <v>6.9999999999999999E-4</v>
      </c>
      <c r="AW240" s="28">
        <f t="shared" si="15"/>
        <v>1.2483249063561427E-2</v>
      </c>
      <c r="AX240">
        <f t="shared" si="16"/>
        <v>0.8</v>
      </c>
      <c r="AY240" s="62">
        <f t="shared" si="17"/>
        <v>9.9865992508491423E-3</v>
      </c>
      <c r="AZ240" s="68" t="str">
        <f t="shared" si="18"/>
        <v>No</v>
      </c>
      <c r="BA240" s="68" t="str">
        <f t="shared" si="19"/>
        <v>No</v>
      </c>
    </row>
    <row r="241" spans="1:53" hidden="1">
      <c r="A241" t="s">
        <v>1815</v>
      </c>
      <c r="B241" t="s">
        <v>3265</v>
      </c>
      <c r="C241">
        <v>201</v>
      </c>
      <c r="F241" t="s">
        <v>1241</v>
      </c>
      <c r="G241" t="s">
        <v>1738</v>
      </c>
      <c r="I241">
        <v>2010</v>
      </c>
      <c r="N241" t="s">
        <v>36</v>
      </c>
      <c r="P241" t="s">
        <v>60</v>
      </c>
      <c r="Q241" t="s">
        <v>900</v>
      </c>
      <c r="R241" t="s">
        <v>946</v>
      </c>
      <c r="S241" t="s">
        <v>1756</v>
      </c>
      <c r="V241" t="s">
        <v>907</v>
      </c>
      <c r="Z241">
        <v>3</v>
      </c>
      <c r="AA241">
        <v>3</v>
      </c>
      <c r="AC241">
        <v>327</v>
      </c>
      <c r="AD241" s="37">
        <v>20</v>
      </c>
      <c r="AE241">
        <v>332</v>
      </c>
      <c r="AF241" s="37">
        <v>24</v>
      </c>
      <c r="AG241" t="s">
        <v>3416</v>
      </c>
      <c r="AH241">
        <v>2.5211380837040362</v>
      </c>
      <c r="AI241" s="37">
        <v>20</v>
      </c>
      <c r="AJ241" t="s">
        <v>1813</v>
      </c>
      <c r="AK241" t="s">
        <v>59</v>
      </c>
      <c r="AM241"/>
      <c r="AN241">
        <v>95.9</v>
      </c>
      <c r="AO241">
        <v>5.0922293742524989</v>
      </c>
      <c r="AP241">
        <v>96.5</v>
      </c>
      <c r="AQ241">
        <v>3.0657299293969125</v>
      </c>
      <c r="AS241">
        <v>6.0000000000000001E-3</v>
      </c>
      <c r="AT241">
        <v>1.2999999999999999E-3</v>
      </c>
      <c r="AW241" s="28">
        <f t="shared" si="15"/>
        <v>0.14275702953478092</v>
      </c>
      <c r="AX241">
        <f t="shared" si="16"/>
        <v>0.8</v>
      </c>
      <c r="AY241" s="62">
        <f t="shared" si="17"/>
        <v>0.11420562362782474</v>
      </c>
      <c r="AZ241" s="68" t="str">
        <f t="shared" si="18"/>
        <v>No</v>
      </c>
      <c r="BA241" s="68" t="str">
        <f t="shared" si="19"/>
        <v>No</v>
      </c>
    </row>
    <row r="242" spans="1:53" hidden="1">
      <c r="A242" t="s">
        <v>1815</v>
      </c>
      <c r="B242" t="s">
        <v>3266</v>
      </c>
      <c r="C242">
        <v>201</v>
      </c>
      <c r="F242" t="s">
        <v>1241</v>
      </c>
      <c r="G242" t="s">
        <v>1738</v>
      </c>
      <c r="I242">
        <v>2010</v>
      </c>
      <c r="N242" t="s">
        <v>36</v>
      </c>
      <c r="P242" t="s">
        <v>60</v>
      </c>
      <c r="Q242" t="s">
        <v>900</v>
      </c>
      <c r="R242" t="s">
        <v>946</v>
      </c>
      <c r="S242" t="s">
        <v>956</v>
      </c>
      <c r="V242" t="s">
        <v>907</v>
      </c>
      <c r="Z242">
        <v>3</v>
      </c>
      <c r="AA242">
        <v>3</v>
      </c>
      <c r="AC242">
        <v>330</v>
      </c>
      <c r="AD242" s="37">
        <v>22</v>
      </c>
      <c r="AE242">
        <v>335</v>
      </c>
      <c r="AF242" s="37">
        <v>26</v>
      </c>
      <c r="AG242" t="s">
        <v>3419</v>
      </c>
      <c r="AH242">
        <v>2.5250448070368452</v>
      </c>
      <c r="AI242" s="37">
        <v>22</v>
      </c>
      <c r="AJ242" t="s">
        <v>1813</v>
      </c>
      <c r="AK242" t="s">
        <v>59</v>
      </c>
      <c r="AM242"/>
      <c r="AN242">
        <v>90.33</v>
      </c>
      <c r="AO242">
        <v>8.1579593036494114</v>
      </c>
      <c r="AP242">
        <v>90.97</v>
      </c>
      <c r="AQ242">
        <v>9.1625487720393597</v>
      </c>
      <c r="AS242">
        <v>7.0000000000000001E-3</v>
      </c>
      <c r="AT242">
        <v>6.1000000000000004E-3</v>
      </c>
      <c r="AW242" s="28">
        <f t="shared" si="15"/>
        <v>7.3776845988074477E-2</v>
      </c>
      <c r="AX242">
        <f t="shared" si="16"/>
        <v>0.8</v>
      </c>
      <c r="AY242" s="62">
        <f t="shared" si="17"/>
        <v>5.9021476790459583E-2</v>
      </c>
      <c r="AZ242" s="68" t="str">
        <f t="shared" si="18"/>
        <v>No</v>
      </c>
      <c r="BA242" s="68" t="str">
        <f t="shared" si="19"/>
        <v>No</v>
      </c>
    </row>
    <row r="243" spans="1:53" hidden="1">
      <c r="A243" t="s">
        <v>1815</v>
      </c>
      <c r="B243" t="s">
        <v>3270</v>
      </c>
      <c r="C243">
        <v>201</v>
      </c>
      <c r="F243" t="s">
        <v>1241</v>
      </c>
      <c r="G243" t="s">
        <v>1738</v>
      </c>
      <c r="I243">
        <v>2010</v>
      </c>
      <c r="N243" t="s">
        <v>36</v>
      </c>
      <c r="P243" t="s">
        <v>60</v>
      </c>
      <c r="Q243" t="s">
        <v>900</v>
      </c>
      <c r="R243" t="s">
        <v>1741</v>
      </c>
      <c r="S243" t="s">
        <v>1762</v>
      </c>
      <c r="V243" t="s">
        <v>907</v>
      </c>
      <c r="Z243">
        <v>3</v>
      </c>
      <c r="AA243">
        <v>3</v>
      </c>
      <c r="AC243">
        <v>327</v>
      </c>
      <c r="AD243" s="37">
        <v>20</v>
      </c>
      <c r="AE243">
        <v>330</v>
      </c>
      <c r="AF243" s="37">
        <v>22</v>
      </c>
      <c r="AG243" t="s">
        <v>3421</v>
      </c>
      <c r="AH243">
        <v>2.5185139398778875</v>
      </c>
      <c r="AI243" s="37">
        <v>20</v>
      </c>
      <c r="AJ243" t="s">
        <v>1813</v>
      </c>
      <c r="AK243" t="s">
        <v>59</v>
      </c>
      <c r="AM243"/>
      <c r="AN243">
        <v>97.55</v>
      </c>
      <c r="AO243">
        <v>3.2042939940024229</v>
      </c>
      <c r="AP243">
        <v>99.42</v>
      </c>
      <c r="AQ243">
        <v>1.0738715006927038</v>
      </c>
      <c r="AS243">
        <v>1.9E-2</v>
      </c>
      <c r="AT243">
        <v>4.0000000000000002E-4</v>
      </c>
      <c r="AW243" s="28">
        <f t="shared" si="15"/>
        <v>0.78254666073436419</v>
      </c>
      <c r="AX243">
        <f t="shared" si="16"/>
        <v>0.8</v>
      </c>
      <c r="AY243" s="62">
        <f t="shared" si="17"/>
        <v>0.62603732858749139</v>
      </c>
      <c r="AZ243" s="68" t="str">
        <f t="shared" si="18"/>
        <v>No</v>
      </c>
      <c r="BA243" s="68" t="str">
        <f t="shared" si="19"/>
        <v>No</v>
      </c>
    </row>
    <row r="244" spans="1:53" hidden="1">
      <c r="A244" t="s">
        <v>1815</v>
      </c>
      <c r="B244" t="s">
        <v>3275</v>
      </c>
      <c r="C244">
        <v>201</v>
      </c>
      <c r="F244" t="s">
        <v>1241</v>
      </c>
      <c r="G244" t="s">
        <v>1738</v>
      </c>
      <c r="I244">
        <v>2010</v>
      </c>
      <c r="N244" t="s">
        <v>36</v>
      </c>
      <c r="P244" t="s">
        <v>60</v>
      </c>
      <c r="Q244" t="s">
        <v>900</v>
      </c>
      <c r="R244" t="s">
        <v>946</v>
      </c>
      <c r="S244" t="s">
        <v>950</v>
      </c>
      <c r="V244" t="s">
        <v>907</v>
      </c>
      <c r="Z244">
        <v>3</v>
      </c>
      <c r="AA244">
        <v>3</v>
      </c>
      <c r="AC244">
        <v>327</v>
      </c>
      <c r="AD244" s="37">
        <v>20</v>
      </c>
      <c r="AE244">
        <v>332</v>
      </c>
      <c r="AF244" s="37">
        <v>24</v>
      </c>
      <c r="AG244" t="s">
        <v>3420</v>
      </c>
      <c r="AH244">
        <v>2.5211380837040362</v>
      </c>
      <c r="AI244" s="37">
        <v>20</v>
      </c>
      <c r="AJ244" t="s">
        <v>1813</v>
      </c>
      <c r="AK244" t="s">
        <v>59</v>
      </c>
      <c r="AM244"/>
      <c r="AN244">
        <v>87.97</v>
      </c>
      <c r="AO244">
        <v>12.522727338722984</v>
      </c>
      <c r="AP244">
        <v>89.79</v>
      </c>
      <c r="AQ244">
        <v>13.561957823264308</v>
      </c>
      <c r="AS244">
        <v>0.02</v>
      </c>
      <c r="AT244">
        <v>1.44E-2</v>
      </c>
      <c r="AW244" s="28">
        <f t="shared" si="15"/>
        <v>0.13943486643142303</v>
      </c>
      <c r="AX244">
        <f t="shared" si="16"/>
        <v>0.8</v>
      </c>
      <c r="AY244" s="62">
        <f t="shared" si="17"/>
        <v>0.11154789314513842</v>
      </c>
      <c r="AZ244" s="68" t="str">
        <f t="shared" si="18"/>
        <v>No</v>
      </c>
      <c r="BA244" s="68" t="str">
        <f t="shared" si="19"/>
        <v>No</v>
      </c>
    </row>
    <row r="245" spans="1:53" hidden="1">
      <c r="A245" t="s">
        <v>1815</v>
      </c>
      <c r="B245" t="s">
        <v>3277</v>
      </c>
      <c r="C245">
        <v>201</v>
      </c>
      <c r="F245" t="s">
        <v>1241</v>
      </c>
      <c r="G245" t="s">
        <v>1738</v>
      </c>
      <c r="I245">
        <v>2010</v>
      </c>
      <c r="N245" t="s">
        <v>36</v>
      </c>
      <c r="P245" t="s">
        <v>60</v>
      </c>
      <c r="Q245" t="s">
        <v>900</v>
      </c>
      <c r="R245" t="s">
        <v>946</v>
      </c>
      <c r="S245" t="s">
        <v>1755</v>
      </c>
      <c r="V245" t="s">
        <v>907</v>
      </c>
      <c r="Z245">
        <v>3</v>
      </c>
      <c r="AA245">
        <v>3</v>
      </c>
      <c r="AC245">
        <v>330</v>
      </c>
      <c r="AD245" s="37">
        <v>22</v>
      </c>
      <c r="AE245">
        <v>335</v>
      </c>
      <c r="AF245" s="37">
        <v>26</v>
      </c>
      <c r="AG245" t="s">
        <v>3417</v>
      </c>
      <c r="AH245">
        <v>2.5250448070368452</v>
      </c>
      <c r="AI245" s="37">
        <v>22</v>
      </c>
      <c r="AJ245" t="s">
        <v>1813</v>
      </c>
      <c r="AK245" t="s">
        <v>59</v>
      </c>
      <c r="AM245"/>
      <c r="AN245">
        <v>89.93</v>
      </c>
      <c r="AO245">
        <v>8.5563309893902542</v>
      </c>
      <c r="AP245">
        <v>91.84</v>
      </c>
      <c r="AQ245">
        <v>6.4085879880048457</v>
      </c>
      <c r="AS245">
        <v>2.1000000000000001E-2</v>
      </c>
      <c r="AT245">
        <v>4.5999999999999999E-3</v>
      </c>
      <c r="AW245" s="28">
        <f t="shared" si="15"/>
        <v>0.25267468277074823</v>
      </c>
      <c r="AX245">
        <f t="shared" si="16"/>
        <v>0.8</v>
      </c>
      <c r="AY245" s="62">
        <f t="shared" si="17"/>
        <v>0.20213974621659858</v>
      </c>
      <c r="AZ245" s="68" t="str">
        <f t="shared" si="18"/>
        <v>No</v>
      </c>
      <c r="BA245" s="68" t="str">
        <f t="shared" si="19"/>
        <v>No</v>
      </c>
    </row>
    <row r="246" spans="1:53" hidden="1">
      <c r="A246" t="s">
        <v>1815</v>
      </c>
      <c r="B246" t="s">
        <v>3281</v>
      </c>
      <c r="C246">
        <v>201</v>
      </c>
      <c r="F246" t="s">
        <v>1241</v>
      </c>
      <c r="G246" t="s">
        <v>1738</v>
      </c>
      <c r="I246">
        <v>2010</v>
      </c>
      <c r="N246" t="s">
        <v>36</v>
      </c>
      <c r="P246" t="s">
        <v>60</v>
      </c>
      <c r="Q246" t="s">
        <v>900</v>
      </c>
      <c r="R246" t="s">
        <v>946</v>
      </c>
      <c r="S246" t="s">
        <v>1755</v>
      </c>
      <c r="V246" t="s">
        <v>907</v>
      </c>
      <c r="Z246">
        <v>3</v>
      </c>
      <c r="AA246">
        <v>3</v>
      </c>
      <c r="AC246">
        <v>330</v>
      </c>
      <c r="AD246" s="37">
        <v>22</v>
      </c>
      <c r="AE246">
        <v>332</v>
      </c>
      <c r="AF246" s="37">
        <v>24</v>
      </c>
      <c r="AG246" t="s">
        <v>3417</v>
      </c>
      <c r="AH246">
        <v>2.5211380837040362</v>
      </c>
      <c r="AI246" s="37">
        <v>22</v>
      </c>
      <c r="AJ246" t="s">
        <v>1813</v>
      </c>
      <c r="AK246" t="s">
        <v>59</v>
      </c>
      <c r="AM246"/>
      <c r="AN246">
        <v>89.93</v>
      </c>
      <c r="AO246">
        <v>8.5563309893902542</v>
      </c>
      <c r="AP246">
        <v>93.66</v>
      </c>
      <c r="AQ246">
        <v>10.686753482699972</v>
      </c>
      <c r="AS246">
        <v>4.1000000000000002E-2</v>
      </c>
      <c r="AT246">
        <v>7.4000000000000003E-3</v>
      </c>
      <c r="AW246" s="28">
        <f t="shared" si="15"/>
        <v>0.38531752268448999</v>
      </c>
      <c r="AX246">
        <f t="shared" si="16"/>
        <v>0.8</v>
      </c>
      <c r="AY246" s="62">
        <f t="shared" si="17"/>
        <v>0.30825401814759201</v>
      </c>
      <c r="AZ246" s="68" t="str">
        <f t="shared" si="18"/>
        <v>No</v>
      </c>
      <c r="BA246" s="68" t="str">
        <f t="shared" si="19"/>
        <v>No</v>
      </c>
    </row>
    <row r="247" spans="1:53" hidden="1">
      <c r="A247" t="s">
        <v>1815</v>
      </c>
      <c r="B247" t="s">
        <v>3232</v>
      </c>
      <c r="C247">
        <v>201</v>
      </c>
      <c r="F247" t="s">
        <v>1241</v>
      </c>
      <c r="G247" t="s">
        <v>1738</v>
      </c>
      <c r="I247">
        <v>2010</v>
      </c>
      <c r="N247" t="s">
        <v>36</v>
      </c>
      <c r="P247" t="s">
        <v>60</v>
      </c>
      <c r="Q247" t="s">
        <v>900</v>
      </c>
      <c r="R247" t="s">
        <v>946</v>
      </c>
      <c r="S247" t="s">
        <v>1756</v>
      </c>
      <c r="V247" t="s">
        <v>1015</v>
      </c>
      <c r="Z247">
        <v>3</v>
      </c>
      <c r="AA247">
        <v>3</v>
      </c>
      <c r="AC247">
        <v>327</v>
      </c>
      <c r="AD247" s="37">
        <v>20</v>
      </c>
      <c r="AE247">
        <v>1828</v>
      </c>
      <c r="AF247" s="37">
        <v>26</v>
      </c>
      <c r="AG247" t="s">
        <v>3416</v>
      </c>
      <c r="AH247">
        <v>3.2619761913978125</v>
      </c>
      <c r="AI247" s="37">
        <v>20</v>
      </c>
      <c r="AJ247" t="s">
        <v>1813</v>
      </c>
      <c r="AK247" t="s">
        <v>59</v>
      </c>
      <c r="AM247"/>
      <c r="AN247">
        <v>95.9</v>
      </c>
      <c r="AO247">
        <v>5.0922293742524989</v>
      </c>
      <c r="AP247">
        <v>83.21</v>
      </c>
      <c r="AQ247">
        <v>15.276688122757497</v>
      </c>
      <c r="AS247">
        <v>-0.14199999999999999</v>
      </c>
      <c r="AT247">
        <v>1.2200000000000001E-2</v>
      </c>
      <c r="AW247" s="28">
        <f t="shared" si="15"/>
        <v>-1.1144707179902986</v>
      </c>
      <c r="AX247">
        <f t="shared" si="16"/>
        <v>0.8</v>
      </c>
      <c r="AY247" s="62">
        <f t="shared" si="17"/>
        <v>-0.89157657439223892</v>
      </c>
      <c r="AZ247" s="68" t="str">
        <f t="shared" si="18"/>
        <v>No</v>
      </c>
      <c r="BA247" s="68" t="str">
        <f t="shared" si="19"/>
        <v>No</v>
      </c>
    </row>
    <row r="248" spans="1:53" hidden="1">
      <c r="A248" t="s">
        <v>1815</v>
      </c>
      <c r="B248" t="s">
        <v>3233</v>
      </c>
      <c r="C248">
        <v>201</v>
      </c>
      <c r="F248" t="s">
        <v>1241</v>
      </c>
      <c r="G248" t="s">
        <v>1738</v>
      </c>
      <c r="I248">
        <v>2010</v>
      </c>
      <c r="N248" t="s">
        <v>36</v>
      </c>
      <c r="P248" t="s">
        <v>60</v>
      </c>
      <c r="Q248" t="s">
        <v>900</v>
      </c>
      <c r="R248" t="s">
        <v>946</v>
      </c>
      <c r="S248" t="s">
        <v>1755</v>
      </c>
      <c r="V248" t="s">
        <v>1015</v>
      </c>
      <c r="Z248">
        <v>3</v>
      </c>
      <c r="AA248">
        <v>3</v>
      </c>
      <c r="AC248">
        <v>330</v>
      </c>
      <c r="AD248" s="37">
        <v>22</v>
      </c>
      <c r="AE248">
        <v>1795</v>
      </c>
      <c r="AF248" s="37">
        <v>24</v>
      </c>
      <c r="AG248" t="s">
        <v>3417</v>
      </c>
      <c r="AH248">
        <v>3.2540644529143381</v>
      </c>
      <c r="AI248" s="37">
        <v>22</v>
      </c>
      <c r="AJ248" t="s">
        <v>1813</v>
      </c>
      <c r="AK248" t="s">
        <v>59</v>
      </c>
      <c r="AM248"/>
      <c r="AN248">
        <v>89.93</v>
      </c>
      <c r="AO248">
        <v>8.5563309893902542</v>
      </c>
      <c r="AP248">
        <v>79.09</v>
      </c>
      <c r="AQ248">
        <v>18.169212971397521</v>
      </c>
      <c r="AS248">
        <v>-0.128</v>
      </c>
      <c r="AT248">
        <v>2.06E-2</v>
      </c>
      <c r="AW248" s="28">
        <f t="shared" si="15"/>
        <v>-0.7633319219578707</v>
      </c>
      <c r="AX248">
        <f t="shared" si="16"/>
        <v>0.8</v>
      </c>
      <c r="AY248" s="62">
        <f t="shared" si="17"/>
        <v>-0.6106655375662966</v>
      </c>
      <c r="AZ248" s="68" t="str">
        <f t="shared" si="18"/>
        <v>No</v>
      </c>
      <c r="BA248" s="68" t="str">
        <f t="shared" si="19"/>
        <v>No</v>
      </c>
    </row>
    <row r="249" spans="1:53" hidden="1">
      <c r="A249" t="s">
        <v>1815</v>
      </c>
      <c r="B249" t="s">
        <v>3234</v>
      </c>
      <c r="C249">
        <v>201</v>
      </c>
      <c r="F249" t="s">
        <v>1241</v>
      </c>
      <c r="G249" t="s">
        <v>1738</v>
      </c>
      <c r="I249">
        <v>2010</v>
      </c>
      <c r="N249" t="s">
        <v>36</v>
      </c>
      <c r="P249" t="s">
        <v>60</v>
      </c>
      <c r="Q249" t="s">
        <v>900</v>
      </c>
      <c r="R249" t="s">
        <v>946</v>
      </c>
      <c r="S249" t="s">
        <v>1756</v>
      </c>
      <c r="V249" t="s">
        <v>1015</v>
      </c>
      <c r="Z249">
        <v>3</v>
      </c>
      <c r="AA249">
        <v>3</v>
      </c>
      <c r="AC249">
        <v>327</v>
      </c>
      <c r="AD249" s="37">
        <v>20</v>
      </c>
      <c r="AE249">
        <v>1104</v>
      </c>
      <c r="AF249" s="37">
        <v>26</v>
      </c>
      <c r="AG249" t="s">
        <v>3416</v>
      </c>
      <c r="AH249">
        <v>3.0429690733931802</v>
      </c>
      <c r="AI249" s="37">
        <v>20</v>
      </c>
      <c r="AJ249" t="s">
        <v>1813</v>
      </c>
      <c r="AK249" t="s">
        <v>59</v>
      </c>
      <c r="AM249"/>
      <c r="AN249">
        <v>95.9</v>
      </c>
      <c r="AO249">
        <v>5.0922293742524989</v>
      </c>
      <c r="AP249">
        <v>87.26</v>
      </c>
      <c r="AQ249">
        <v>13.250188677901912</v>
      </c>
      <c r="AS249">
        <v>-9.4E-2</v>
      </c>
      <c r="AT249">
        <v>8.6E-3</v>
      </c>
      <c r="AW249" s="28">
        <f t="shared" si="15"/>
        <v>-0.86078174293314547</v>
      </c>
      <c r="AX249">
        <f t="shared" si="16"/>
        <v>0.8</v>
      </c>
      <c r="AY249" s="62">
        <f t="shared" si="17"/>
        <v>-0.68862539434651637</v>
      </c>
      <c r="AZ249" s="68" t="str">
        <f t="shared" si="18"/>
        <v>No</v>
      </c>
      <c r="BA249" s="68" t="str">
        <f t="shared" si="19"/>
        <v>No</v>
      </c>
    </row>
    <row r="250" spans="1:53" hidden="1">
      <c r="A250" t="s">
        <v>1815</v>
      </c>
      <c r="B250" t="s">
        <v>3236</v>
      </c>
      <c r="C250">
        <v>201</v>
      </c>
      <c r="F250" t="s">
        <v>1241</v>
      </c>
      <c r="G250" t="s">
        <v>1738</v>
      </c>
      <c r="I250">
        <v>2010</v>
      </c>
      <c r="N250" t="s">
        <v>36</v>
      </c>
      <c r="P250" t="s">
        <v>60</v>
      </c>
      <c r="Q250" t="s">
        <v>900</v>
      </c>
      <c r="R250" t="s">
        <v>946</v>
      </c>
      <c r="S250" t="s">
        <v>1756</v>
      </c>
      <c r="V250" t="s">
        <v>1015</v>
      </c>
      <c r="Z250">
        <v>3</v>
      </c>
      <c r="AA250">
        <v>3</v>
      </c>
      <c r="AC250">
        <v>327</v>
      </c>
      <c r="AD250" s="37">
        <v>20</v>
      </c>
      <c r="AE250">
        <v>851</v>
      </c>
      <c r="AF250" s="37">
        <v>26</v>
      </c>
      <c r="AG250" t="s">
        <v>3416</v>
      </c>
      <c r="AH250">
        <v>2.929929560084588</v>
      </c>
      <c r="AI250" s="37">
        <v>20</v>
      </c>
      <c r="AJ250" t="s">
        <v>1813</v>
      </c>
      <c r="AK250" t="s">
        <v>59</v>
      </c>
      <c r="AM250"/>
      <c r="AN250">
        <v>95.9</v>
      </c>
      <c r="AO250">
        <v>5.0922293742524989</v>
      </c>
      <c r="AP250">
        <v>90.12</v>
      </c>
      <c r="AQ250">
        <v>12.228278701436272</v>
      </c>
      <c r="AS250">
        <v>-6.2E-2</v>
      </c>
      <c r="AT250">
        <v>7.1000000000000004E-3</v>
      </c>
      <c r="AW250" s="28">
        <f t="shared" si="15"/>
        <v>-0.61709466756708886</v>
      </c>
      <c r="AX250">
        <f t="shared" si="16"/>
        <v>0.8</v>
      </c>
      <c r="AY250" s="62">
        <f t="shared" si="17"/>
        <v>-0.4936757340536711</v>
      </c>
      <c r="AZ250" s="68" t="str">
        <f t="shared" si="18"/>
        <v>No</v>
      </c>
      <c r="BA250" s="68" t="str">
        <f t="shared" si="19"/>
        <v>No</v>
      </c>
    </row>
    <row r="251" spans="1:53" hidden="1">
      <c r="A251" t="s">
        <v>1815</v>
      </c>
      <c r="B251" t="s">
        <v>3237</v>
      </c>
      <c r="C251">
        <v>201</v>
      </c>
      <c r="F251" t="s">
        <v>1241</v>
      </c>
      <c r="G251" t="s">
        <v>1738</v>
      </c>
      <c r="I251">
        <v>2010</v>
      </c>
      <c r="N251" t="s">
        <v>36</v>
      </c>
      <c r="P251" t="s">
        <v>60</v>
      </c>
      <c r="Q251" t="s">
        <v>900</v>
      </c>
      <c r="R251" t="s">
        <v>946</v>
      </c>
      <c r="S251" t="s">
        <v>956</v>
      </c>
      <c r="V251" t="s">
        <v>1015</v>
      </c>
      <c r="Z251">
        <v>3</v>
      </c>
      <c r="AA251">
        <v>3</v>
      </c>
      <c r="AC251">
        <v>330</v>
      </c>
      <c r="AD251" s="37">
        <v>22</v>
      </c>
      <c r="AE251">
        <v>1828</v>
      </c>
      <c r="AF251" s="37">
        <v>26</v>
      </c>
      <c r="AG251" t="s">
        <v>3419</v>
      </c>
      <c r="AH251">
        <v>3.2619761913978125</v>
      </c>
      <c r="AI251" s="37">
        <v>22</v>
      </c>
      <c r="AJ251" t="s">
        <v>1813</v>
      </c>
      <c r="AK251" t="s">
        <v>59</v>
      </c>
      <c r="AM251"/>
      <c r="AN251">
        <v>90.33</v>
      </c>
      <c r="AO251">
        <v>8.1579593036494114</v>
      </c>
      <c r="AP251">
        <v>85.28</v>
      </c>
      <c r="AQ251">
        <v>12.228278701436272</v>
      </c>
      <c r="AS251">
        <v>-5.8000000000000003E-2</v>
      </c>
      <c r="AT251">
        <v>9.5999999999999992E-3</v>
      </c>
      <c r="AW251" s="28">
        <f t="shared" si="15"/>
        <v>-0.48584302825024184</v>
      </c>
      <c r="AX251">
        <f t="shared" si="16"/>
        <v>0.8</v>
      </c>
      <c r="AY251" s="62">
        <f t="shared" si="17"/>
        <v>-0.38867442260019347</v>
      </c>
      <c r="AZ251" s="68" t="str">
        <f t="shared" si="18"/>
        <v>No</v>
      </c>
      <c r="BA251" s="68" t="str">
        <f t="shared" si="19"/>
        <v>No</v>
      </c>
    </row>
    <row r="252" spans="1:53" hidden="1">
      <c r="A252" t="s">
        <v>1815</v>
      </c>
      <c r="B252" t="s">
        <v>3239</v>
      </c>
      <c r="C252">
        <v>201</v>
      </c>
      <c r="F252" t="s">
        <v>1241</v>
      </c>
      <c r="G252" t="s">
        <v>1738</v>
      </c>
      <c r="I252">
        <v>2010</v>
      </c>
      <c r="N252" t="s">
        <v>36</v>
      </c>
      <c r="P252" t="s">
        <v>60</v>
      </c>
      <c r="Q252" t="s">
        <v>900</v>
      </c>
      <c r="R252" t="s">
        <v>946</v>
      </c>
      <c r="S252" t="s">
        <v>956</v>
      </c>
      <c r="V252" t="s">
        <v>1015</v>
      </c>
      <c r="Z252">
        <v>3</v>
      </c>
      <c r="AA252">
        <v>3</v>
      </c>
      <c r="AC252">
        <v>330</v>
      </c>
      <c r="AD252" s="37">
        <v>22</v>
      </c>
      <c r="AE252">
        <v>1104</v>
      </c>
      <c r="AF252" s="37">
        <v>26</v>
      </c>
      <c r="AG252" t="s">
        <v>3419</v>
      </c>
      <c r="AH252">
        <v>3.0429690733931802</v>
      </c>
      <c r="AI252" s="37">
        <v>22</v>
      </c>
      <c r="AJ252" t="s">
        <v>1813</v>
      </c>
      <c r="AK252" t="s">
        <v>59</v>
      </c>
      <c r="AM252"/>
      <c r="AN252">
        <v>90.33</v>
      </c>
      <c r="AO252">
        <v>8.1579593036494114</v>
      </c>
      <c r="AP252">
        <v>85.77</v>
      </c>
      <c r="AQ252">
        <v>11.206368724970636</v>
      </c>
      <c r="AS252">
        <v>-5.1999999999999998E-2</v>
      </c>
      <c r="AT252">
        <v>8.3999999999999995E-3</v>
      </c>
      <c r="AW252" s="28">
        <f t="shared" si="15"/>
        <v>-0.46523951910118311</v>
      </c>
      <c r="AX252">
        <f t="shared" si="16"/>
        <v>0.8</v>
      </c>
      <c r="AY252" s="62">
        <f t="shared" si="17"/>
        <v>-0.37219161528094652</v>
      </c>
      <c r="AZ252" s="68" t="str">
        <f t="shared" si="18"/>
        <v>No</v>
      </c>
      <c r="BA252" s="68" t="str">
        <f t="shared" si="19"/>
        <v>No</v>
      </c>
    </row>
    <row r="253" spans="1:53" hidden="1">
      <c r="A253" t="s">
        <v>1815</v>
      </c>
      <c r="B253" t="s">
        <v>3242</v>
      </c>
      <c r="C253">
        <v>201</v>
      </c>
      <c r="F253" t="s">
        <v>1241</v>
      </c>
      <c r="G253" t="s">
        <v>1738</v>
      </c>
      <c r="I253">
        <v>2010</v>
      </c>
      <c r="N253" t="s">
        <v>36</v>
      </c>
      <c r="P253" t="s">
        <v>60</v>
      </c>
      <c r="Q253" t="s">
        <v>900</v>
      </c>
      <c r="R253" t="s">
        <v>946</v>
      </c>
      <c r="S253" t="s">
        <v>1756</v>
      </c>
      <c r="V253" t="s">
        <v>1015</v>
      </c>
      <c r="Z253">
        <v>3</v>
      </c>
      <c r="AA253">
        <v>3</v>
      </c>
      <c r="AC253">
        <v>327</v>
      </c>
      <c r="AD253" s="37">
        <v>20</v>
      </c>
      <c r="AE253">
        <v>1795</v>
      </c>
      <c r="AF253" s="37">
        <v>24</v>
      </c>
      <c r="AG253" t="s">
        <v>3416</v>
      </c>
      <c r="AH253">
        <v>3.2540644529143381</v>
      </c>
      <c r="AI253" s="37">
        <v>20</v>
      </c>
      <c r="AJ253" t="s">
        <v>1813</v>
      </c>
      <c r="AK253" t="s">
        <v>59</v>
      </c>
      <c r="AM253"/>
      <c r="AN253">
        <v>95.9</v>
      </c>
      <c r="AO253">
        <v>5.0922293742524989</v>
      </c>
      <c r="AP253">
        <v>92.61</v>
      </c>
      <c r="AQ253">
        <v>10.184458748504998</v>
      </c>
      <c r="AS253">
        <v>-3.5000000000000003E-2</v>
      </c>
      <c r="AT253">
        <v>5.0000000000000001E-3</v>
      </c>
      <c r="AW253" s="28">
        <f t="shared" si="15"/>
        <v>-0.40861841591655323</v>
      </c>
      <c r="AX253">
        <f t="shared" si="16"/>
        <v>0.8</v>
      </c>
      <c r="AY253" s="62">
        <f t="shared" si="17"/>
        <v>-0.3268947327332426</v>
      </c>
      <c r="AZ253" s="68" t="str">
        <f t="shared" si="18"/>
        <v>No</v>
      </c>
      <c r="BA253" s="68" t="str">
        <f t="shared" si="19"/>
        <v>No</v>
      </c>
    </row>
    <row r="254" spans="1:53" hidden="1">
      <c r="A254" t="s">
        <v>1815</v>
      </c>
      <c r="B254" t="s">
        <v>3243</v>
      </c>
      <c r="C254">
        <v>201</v>
      </c>
      <c r="F254" t="s">
        <v>1241</v>
      </c>
      <c r="G254" t="s">
        <v>1738</v>
      </c>
      <c r="I254">
        <v>2010</v>
      </c>
      <c r="N254" t="s">
        <v>36</v>
      </c>
      <c r="P254" t="s">
        <v>60</v>
      </c>
      <c r="Q254" t="s">
        <v>900</v>
      </c>
      <c r="R254" t="s">
        <v>946</v>
      </c>
      <c r="S254" t="s">
        <v>1755</v>
      </c>
      <c r="V254" t="s">
        <v>1015</v>
      </c>
      <c r="Z254">
        <v>3</v>
      </c>
      <c r="AA254">
        <v>3</v>
      </c>
      <c r="AC254">
        <v>330</v>
      </c>
      <c r="AD254" s="37">
        <v>22</v>
      </c>
      <c r="AE254">
        <v>1087</v>
      </c>
      <c r="AF254" s="37">
        <v>24</v>
      </c>
      <c r="AG254" t="s">
        <v>3417</v>
      </c>
      <c r="AH254">
        <v>3.0362295440862948</v>
      </c>
      <c r="AI254" s="37">
        <v>22</v>
      </c>
      <c r="AJ254" t="s">
        <v>1813</v>
      </c>
      <c r="AK254" t="s">
        <v>59</v>
      </c>
      <c r="AM254"/>
      <c r="AN254">
        <v>89.93</v>
      </c>
      <c r="AO254">
        <v>8.5563309893902542</v>
      </c>
      <c r="AP254">
        <v>86.99</v>
      </c>
      <c r="AQ254">
        <v>12.817175976009691</v>
      </c>
      <c r="AS254">
        <v>-3.3000000000000002E-2</v>
      </c>
      <c r="AT254">
        <v>1.03E-2</v>
      </c>
      <c r="AW254" s="28">
        <f t="shared" si="15"/>
        <v>-0.269798128646143</v>
      </c>
      <c r="AX254">
        <f t="shared" si="16"/>
        <v>0.8</v>
      </c>
      <c r="AY254" s="62">
        <f t="shared" si="17"/>
        <v>-0.21583850291691442</v>
      </c>
      <c r="AZ254" s="68" t="str">
        <f t="shared" si="18"/>
        <v>No</v>
      </c>
      <c r="BA254" s="68" t="str">
        <f t="shared" si="19"/>
        <v>No</v>
      </c>
    </row>
    <row r="255" spans="1:53" hidden="1">
      <c r="A255" t="s">
        <v>1815</v>
      </c>
      <c r="B255" t="s">
        <v>3246</v>
      </c>
      <c r="C255">
        <v>201</v>
      </c>
      <c r="F255" t="s">
        <v>1241</v>
      </c>
      <c r="G255" t="s">
        <v>1738</v>
      </c>
      <c r="I255">
        <v>2010</v>
      </c>
      <c r="N255" t="s">
        <v>36</v>
      </c>
      <c r="P255" t="s">
        <v>60</v>
      </c>
      <c r="Q255" t="s">
        <v>900</v>
      </c>
      <c r="R255" t="s">
        <v>946</v>
      </c>
      <c r="S255" t="s">
        <v>1756</v>
      </c>
      <c r="V255" t="s">
        <v>1015</v>
      </c>
      <c r="Z255">
        <v>3</v>
      </c>
      <c r="AA255">
        <v>3</v>
      </c>
      <c r="AC255">
        <v>327</v>
      </c>
      <c r="AD255" s="37">
        <v>20</v>
      </c>
      <c r="AE255">
        <v>839</v>
      </c>
      <c r="AF255" s="37">
        <v>24</v>
      </c>
      <c r="AG255" t="s">
        <v>3416</v>
      </c>
      <c r="AH255">
        <v>2.9237619608287004</v>
      </c>
      <c r="AI255" s="37">
        <v>20</v>
      </c>
      <c r="AJ255" t="s">
        <v>1813</v>
      </c>
      <c r="AK255" t="s">
        <v>59</v>
      </c>
      <c r="AM255"/>
      <c r="AN255">
        <v>95.9</v>
      </c>
      <c r="AO255">
        <v>5.0922293742524989</v>
      </c>
      <c r="AP255">
        <v>94.22</v>
      </c>
      <c r="AQ255">
        <v>8.1579593036494114</v>
      </c>
      <c r="AS255">
        <v>-1.7999999999999999E-2</v>
      </c>
      <c r="AT255">
        <v>3.3999999999999998E-3</v>
      </c>
      <c r="AW255" s="28">
        <f t="shared" si="15"/>
        <v>-0.24705468283359336</v>
      </c>
      <c r="AX255">
        <f t="shared" si="16"/>
        <v>0.8</v>
      </c>
      <c r="AY255" s="62">
        <f t="shared" si="17"/>
        <v>-0.1976437462668747</v>
      </c>
      <c r="AZ255" s="68" t="str">
        <f t="shared" si="18"/>
        <v>No</v>
      </c>
      <c r="BA255" s="68" t="str">
        <f t="shared" si="19"/>
        <v>No</v>
      </c>
    </row>
    <row r="256" spans="1:53" hidden="1">
      <c r="A256" t="s">
        <v>1815</v>
      </c>
      <c r="B256" t="s">
        <v>3247</v>
      </c>
      <c r="C256">
        <v>201</v>
      </c>
      <c r="F256" t="s">
        <v>1241</v>
      </c>
      <c r="G256" t="s">
        <v>1738</v>
      </c>
      <c r="I256">
        <v>2010</v>
      </c>
      <c r="N256" t="s">
        <v>36</v>
      </c>
      <c r="P256" t="s">
        <v>60</v>
      </c>
      <c r="Q256" t="s">
        <v>900</v>
      </c>
      <c r="R256" t="s">
        <v>946</v>
      </c>
      <c r="S256" t="s">
        <v>956</v>
      </c>
      <c r="V256" t="s">
        <v>1015</v>
      </c>
      <c r="Z256">
        <v>3</v>
      </c>
      <c r="AA256">
        <v>3</v>
      </c>
      <c r="AC256">
        <v>330</v>
      </c>
      <c r="AD256" s="37">
        <v>22</v>
      </c>
      <c r="AE256">
        <v>1795</v>
      </c>
      <c r="AF256" s="37">
        <v>24</v>
      </c>
      <c r="AG256" t="s">
        <v>3419</v>
      </c>
      <c r="AH256">
        <v>3.2540644529143381</v>
      </c>
      <c r="AI256" s="37">
        <v>22</v>
      </c>
      <c r="AJ256" t="s">
        <v>1813</v>
      </c>
      <c r="AK256" t="s">
        <v>59</v>
      </c>
      <c r="AM256"/>
      <c r="AN256">
        <v>90.33</v>
      </c>
      <c r="AO256">
        <v>8.1579593036494114</v>
      </c>
      <c r="AP256">
        <v>88.79</v>
      </c>
      <c r="AQ256">
        <v>10.184458748504998</v>
      </c>
      <c r="AS256">
        <v>-1.7000000000000001E-2</v>
      </c>
      <c r="AT256">
        <v>7.1000000000000004E-3</v>
      </c>
      <c r="AW256" s="28">
        <f t="shared" si="15"/>
        <v>-0.16690126815193057</v>
      </c>
      <c r="AX256">
        <f t="shared" si="16"/>
        <v>0.8</v>
      </c>
      <c r="AY256" s="62">
        <f t="shared" si="17"/>
        <v>-0.13352101452154447</v>
      </c>
      <c r="AZ256" s="68" t="str">
        <f t="shared" si="18"/>
        <v>No</v>
      </c>
      <c r="BA256" s="68" t="str">
        <f t="shared" si="19"/>
        <v>No</v>
      </c>
    </row>
    <row r="257" spans="1:53" hidden="1">
      <c r="A257" t="s">
        <v>1815</v>
      </c>
      <c r="B257" t="s">
        <v>3248</v>
      </c>
      <c r="C257">
        <v>201</v>
      </c>
      <c r="F257" t="s">
        <v>1241</v>
      </c>
      <c r="G257" t="s">
        <v>1738</v>
      </c>
      <c r="I257">
        <v>2010</v>
      </c>
      <c r="N257" t="s">
        <v>36</v>
      </c>
      <c r="P257" t="s">
        <v>60</v>
      </c>
      <c r="Q257" t="s">
        <v>900</v>
      </c>
      <c r="R257" t="s">
        <v>946</v>
      </c>
      <c r="S257" t="s">
        <v>952</v>
      </c>
      <c r="V257" t="s">
        <v>1015</v>
      </c>
      <c r="Z257">
        <v>3</v>
      </c>
      <c r="AA257">
        <v>3</v>
      </c>
      <c r="AC257">
        <v>324</v>
      </c>
      <c r="AD257" s="37">
        <v>18</v>
      </c>
      <c r="AE257">
        <v>1795</v>
      </c>
      <c r="AF257" s="37">
        <v>24</v>
      </c>
      <c r="AG257" t="s">
        <v>3418</v>
      </c>
      <c r="AH257">
        <v>3.2540644529143381</v>
      </c>
      <c r="AI257" s="37">
        <v>18</v>
      </c>
      <c r="AJ257" t="s">
        <v>1813</v>
      </c>
      <c r="AK257" t="s">
        <v>59</v>
      </c>
      <c r="AM257"/>
      <c r="AN257">
        <v>96.12</v>
      </c>
      <c r="AO257">
        <v>5.21347293078232</v>
      </c>
      <c r="AP257">
        <v>94.55</v>
      </c>
      <c r="AQ257">
        <v>6.2700239233993358</v>
      </c>
      <c r="AS257">
        <v>-1.6E-2</v>
      </c>
      <c r="AT257">
        <v>2.3999999999999998E-3</v>
      </c>
      <c r="AW257" s="28">
        <f t="shared" si="15"/>
        <v>-0.27228583795837386</v>
      </c>
      <c r="AX257">
        <f t="shared" si="16"/>
        <v>0.8</v>
      </c>
      <c r="AY257" s="62">
        <f t="shared" si="17"/>
        <v>-0.21782867036669909</v>
      </c>
      <c r="AZ257" s="68" t="str">
        <f t="shared" si="18"/>
        <v>No</v>
      </c>
      <c r="BA257" s="68" t="str">
        <f t="shared" si="19"/>
        <v>No</v>
      </c>
    </row>
    <row r="258" spans="1:53" hidden="1">
      <c r="A258" t="s">
        <v>1815</v>
      </c>
      <c r="B258" t="s">
        <v>3252</v>
      </c>
      <c r="C258">
        <v>201</v>
      </c>
      <c r="F258" t="s">
        <v>1241</v>
      </c>
      <c r="G258" t="s">
        <v>1738</v>
      </c>
      <c r="I258">
        <v>2010</v>
      </c>
      <c r="N258" t="s">
        <v>36</v>
      </c>
      <c r="P258" t="s">
        <v>60</v>
      </c>
      <c r="Q258" t="s">
        <v>900</v>
      </c>
      <c r="R258" t="s">
        <v>946</v>
      </c>
      <c r="S258" t="s">
        <v>956</v>
      </c>
      <c r="V258" t="s">
        <v>1015</v>
      </c>
      <c r="Z258">
        <v>3</v>
      </c>
      <c r="AA258">
        <v>3</v>
      </c>
      <c r="AC258">
        <v>330</v>
      </c>
      <c r="AD258" s="37">
        <v>22</v>
      </c>
      <c r="AE258">
        <v>1087</v>
      </c>
      <c r="AF258" s="37">
        <v>24</v>
      </c>
      <c r="AG258" t="s">
        <v>3419</v>
      </c>
      <c r="AH258">
        <v>3.0362295440862948</v>
      </c>
      <c r="AI258" s="37">
        <v>22</v>
      </c>
      <c r="AJ258" t="s">
        <v>1813</v>
      </c>
      <c r="AK258" t="s">
        <v>59</v>
      </c>
      <c r="AM258"/>
      <c r="AN258">
        <v>90.33</v>
      </c>
      <c r="AO258">
        <v>8.1579593036494114</v>
      </c>
      <c r="AP258">
        <v>89.28</v>
      </c>
      <c r="AQ258">
        <v>9.1625487720393597</v>
      </c>
      <c r="AS258">
        <v>-1.2E-2</v>
      </c>
      <c r="AT258">
        <v>6.1999999999999998E-3</v>
      </c>
      <c r="AW258" s="28">
        <f t="shared" ref="AW258:AW321" si="20">(AP258-$AN258)/SQRT(((AA258-1)*AQ258*AQ258+($Z258-1)*$AO258*$AO258)/(AA258+$Z258-2))</f>
        <v>-0.12104013794918426</v>
      </c>
      <c r="AX258">
        <f t="shared" ref="AX258:AX321" si="21">1-(3/(4*(AA258+$Z258-2)-1))</f>
        <v>0.8</v>
      </c>
      <c r="AY258" s="62">
        <f t="shared" ref="AY258:AY321" si="22">AX258*AW258</f>
        <v>-9.6832110359347412E-2</v>
      </c>
      <c r="AZ258" s="68" t="str">
        <f t="shared" ref="AZ258:AZ321" si="23">IF(AY258&gt;10,"Yes","No")</f>
        <v>No</v>
      </c>
      <c r="BA258" s="68" t="str">
        <f t="shared" ref="BA258:BA321" si="24">IF(AY258&lt;-10,"Yes","No")</f>
        <v>No</v>
      </c>
    </row>
    <row r="259" spans="1:53" hidden="1">
      <c r="A259" t="s">
        <v>1815</v>
      </c>
      <c r="B259" t="s">
        <v>3253</v>
      </c>
      <c r="C259">
        <v>201</v>
      </c>
      <c r="F259" t="s">
        <v>1241</v>
      </c>
      <c r="G259" t="s">
        <v>1738</v>
      </c>
      <c r="I259">
        <v>2010</v>
      </c>
      <c r="N259" t="s">
        <v>36</v>
      </c>
      <c r="P259" t="s">
        <v>60</v>
      </c>
      <c r="Q259" t="s">
        <v>900</v>
      </c>
      <c r="R259" t="s">
        <v>946</v>
      </c>
      <c r="S259" t="s">
        <v>952</v>
      </c>
      <c r="V259" t="s">
        <v>1015</v>
      </c>
      <c r="Z259">
        <v>3</v>
      </c>
      <c r="AA259">
        <v>3</v>
      </c>
      <c r="AC259">
        <v>324</v>
      </c>
      <c r="AD259" s="37">
        <v>18</v>
      </c>
      <c r="AE259">
        <v>1069</v>
      </c>
      <c r="AF259" s="37">
        <v>22</v>
      </c>
      <c r="AG259" t="s">
        <v>3418</v>
      </c>
      <c r="AH259">
        <v>3.0289777052087778</v>
      </c>
      <c r="AI259" s="37">
        <v>18</v>
      </c>
      <c r="AJ259" t="s">
        <v>1813</v>
      </c>
      <c r="AK259" t="s">
        <v>59</v>
      </c>
      <c r="AM259"/>
      <c r="AN259">
        <v>96.12</v>
      </c>
      <c r="AO259">
        <v>5.21347293078232</v>
      </c>
      <c r="AP259">
        <v>95.04</v>
      </c>
      <c r="AQ259">
        <v>6.252703415323646</v>
      </c>
      <c r="AS259">
        <v>-1.0999999999999999E-2</v>
      </c>
      <c r="AT259">
        <v>2.3999999999999998E-3</v>
      </c>
      <c r="AW259" s="28">
        <f t="shared" si="20"/>
        <v>-0.18761114883039606</v>
      </c>
      <c r="AX259">
        <f t="shared" si="21"/>
        <v>0.8</v>
      </c>
      <c r="AY259" s="62">
        <f t="shared" si="22"/>
        <v>-0.15008891906431687</v>
      </c>
      <c r="AZ259" s="68" t="str">
        <f t="shared" si="23"/>
        <v>No</v>
      </c>
      <c r="BA259" s="68" t="str">
        <f t="shared" si="24"/>
        <v>No</v>
      </c>
    </row>
    <row r="260" spans="1:53" hidden="1">
      <c r="A260" t="s">
        <v>1815</v>
      </c>
      <c r="B260" t="s">
        <v>3254</v>
      </c>
      <c r="C260">
        <v>201</v>
      </c>
      <c r="F260" t="s">
        <v>1241</v>
      </c>
      <c r="G260" t="s">
        <v>1738</v>
      </c>
      <c r="I260">
        <v>2010</v>
      </c>
      <c r="N260" t="s">
        <v>36</v>
      </c>
      <c r="P260" t="s">
        <v>60</v>
      </c>
      <c r="Q260" t="s">
        <v>900</v>
      </c>
      <c r="R260" t="s">
        <v>946</v>
      </c>
      <c r="S260" t="s">
        <v>952</v>
      </c>
      <c r="V260" t="s">
        <v>1015</v>
      </c>
      <c r="Z260">
        <v>3</v>
      </c>
      <c r="AA260">
        <v>3</v>
      </c>
      <c r="AC260">
        <v>324</v>
      </c>
      <c r="AD260" s="37">
        <v>18</v>
      </c>
      <c r="AE260">
        <v>1087</v>
      </c>
      <c r="AF260" s="37">
        <v>24</v>
      </c>
      <c r="AG260" t="s">
        <v>3418</v>
      </c>
      <c r="AH260">
        <v>3.0362295440862948</v>
      </c>
      <c r="AI260" s="37">
        <v>18</v>
      </c>
      <c r="AJ260" t="s">
        <v>1813</v>
      </c>
      <c r="AK260" t="s">
        <v>59</v>
      </c>
      <c r="AM260"/>
      <c r="AN260">
        <v>96.12</v>
      </c>
      <c r="AO260">
        <v>5.21347293078232</v>
      </c>
      <c r="AP260">
        <v>95.05</v>
      </c>
      <c r="AQ260">
        <v>6.2700239233993358</v>
      </c>
      <c r="AS260">
        <v>-1.0999999999999999E-2</v>
      </c>
      <c r="AT260">
        <v>2.3999999999999998E-3</v>
      </c>
      <c r="AW260" s="28">
        <f t="shared" si="20"/>
        <v>-0.18557060293978386</v>
      </c>
      <c r="AX260">
        <f t="shared" si="21"/>
        <v>0.8</v>
      </c>
      <c r="AY260" s="62">
        <f t="shared" si="22"/>
        <v>-0.1484564823518271</v>
      </c>
      <c r="AZ260" s="68" t="str">
        <f t="shared" si="23"/>
        <v>No</v>
      </c>
      <c r="BA260" s="68" t="str">
        <f t="shared" si="24"/>
        <v>No</v>
      </c>
    </row>
    <row r="261" spans="1:53" hidden="1">
      <c r="A261" t="s">
        <v>1815</v>
      </c>
      <c r="B261" t="s">
        <v>3255</v>
      </c>
      <c r="C261">
        <v>201</v>
      </c>
      <c r="F261" t="s">
        <v>1241</v>
      </c>
      <c r="G261" t="s">
        <v>1738</v>
      </c>
      <c r="I261">
        <v>2010</v>
      </c>
      <c r="N261" t="s">
        <v>36</v>
      </c>
      <c r="P261" t="s">
        <v>60</v>
      </c>
      <c r="Q261" t="s">
        <v>900</v>
      </c>
      <c r="R261" t="s">
        <v>946</v>
      </c>
      <c r="S261" t="s">
        <v>952</v>
      </c>
      <c r="V261" t="s">
        <v>1015</v>
      </c>
      <c r="Z261">
        <v>3</v>
      </c>
      <c r="AA261">
        <v>3</v>
      </c>
      <c r="AC261">
        <v>324</v>
      </c>
      <c r="AD261" s="37">
        <v>18</v>
      </c>
      <c r="AE261">
        <v>1762</v>
      </c>
      <c r="AF261" s="37">
        <v>22</v>
      </c>
      <c r="AG261" t="s">
        <v>3418</v>
      </c>
      <c r="AH261">
        <v>3.246005904076029</v>
      </c>
      <c r="AI261" s="37">
        <v>18</v>
      </c>
      <c r="AJ261" t="s">
        <v>1813</v>
      </c>
      <c r="AK261" t="s">
        <v>59</v>
      </c>
      <c r="AM261"/>
      <c r="AN261">
        <v>96.12</v>
      </c>
      <c r="AO261">
        <v>5.21347293078232</v>
      </c>
      <c r="AP261">
        <v>95.13</v>
      </c>
      <c r="AQ261">
        <v>6.2700239233993358</v>
      </c>
      <c r="AS261">
        <v>-0.01</v>
      </c>
      <c r="AT261">
        <v>2.3999999999999998E-3</v>
      </c>
      <c r="AW261" s="28">
        <f t="shared" si="20"/>
        <v>-0.17169616533680976</v>
      </c>
      <c r="AX261">
        <f t="shared" si="21"/>
        <v>0.8</v>
      </c>
      <c r="AY261" s="62">
        <f t="shared" si="22"/>
        <v>-0.13735693226944781</v>
      </c>
      <c r="AZ261" s="68" t="str">
        <f t="shared" si="23"/>
        <v>No</v>
      </c>
      <c r="BA261" s="68" t="str">
        <f t="shared" si="24"/>
        <v>No</v>
      </c>
    </row>
    <row r="262" spans="1:53" hidden="1">
      <c r="A262" t="s">
        <v>1815</v>
      </c>
      <c r="B262" t="s">
        <v>3257</v>
      </c>
      <c r="C262">
        <v>201</v>
      </c>
      <c r="F262" t="s">
        <v>1241</v>
      </c>
      <c r="G262" t="s">
        <v>1738</v>
      </c>
      <c r="I262">
        <v>2010</v>
      </c>
      <c r="N262" t="s">
        <v>36</v>
      </c>
      <c r="P262" t="s">
        <v>60</v>
      </c>
      <c r="Q262" t="s">
        <v>900</v>
      </c>
      <c r="R262" t="s">
        <v>946</v>
      </c>
      <c r="S262" t="s">
        <v>1755</v>
      </c>
      <c r="V262" t="s">
        <v>1015</v>
      </c>
      <c r="Z262">
        <v>3</v>
      </c>
      <c r="AA262">
        <v>3</v>
      </c>
      <c r="AC262">
        <v>330</v>
      </c>
      <c r="AD262" s="37">
        <v>22</v>
      </c>
      <c r="AE262">
        <v>1828</v>
      </c>
      <c r="AF262" s="37">
        <v>26</v>
      </c>
      <c r="AG262" t="s">
        <v>3417</v>
      </c>
      <c r="AH262">
        <v>3.2619761913978125</v>
      </c>
      <c r="AI262" s="37">
        <v>22</v>
      </c>
      <c r="AJ262" t="s">
        <v>1813</v>
      </c>
      <c r="AK262" t="s">
        <v>59</v>
      </c>
      <c r="AM262"/>
      <c r="AN262">
        <v>89.93</v>
      </c>
      <c r="AO262">
        <v>8.5563309893902542</v>
      </c>
      <c r="AP262">
        <v>89.61</v>
      </c>
      <c r="AQ262">
        <v>8.5390104813145644</v>
      </c>
      <c r="AS262">
        <v>-4.0000000000000001E-3</v>
      </c>
      <c r="AT262">
        <v>6.0000000000000001E-3</v>
      </c>
      <c r="AW262" s="28">
        <f t="shared" si="20"/>
        <v>-3.7437080307047108E-2</v>
      </c>
      <c r="AX262">
        <f t="shared" si="21"/>
        <v>0.8</v>
      </c>
      <c r="AY262" s="62">
        <f t="shared" si="22"/>
        <v>-2.9949664245637688E-2</v>
      </c>
      <c r="AZ262" s="68" t="str">
        <f t="shared" si="23"/>
        <v>No</v>
      </c>
      <c r="BA262" s="68" t="str">
        <f t="shared" si="24"/>
        <v>No</v>
      </c>
    </row>
    <row r="263" spans="1:53" hidden="1">
      <c r="A263" t="s">
        <v>1815</v>
      </c>
      <c r="B263" t="s">
        <v>3261</v>
      </c>
      <c r="C263">
        <v>201</v>
      </c>
      <c r="F263" t="s">
        <v>1241</v>
      </c>
      <c r="G263" t="s">
        <v>1738</v>
      </c>
      <c r="I263">
        <v>2010</v>
      </c>
      <c r="N263" t="s">
        <v>36</v>
      </c>
      <c r="P263" t="s">
        <v>60</v>
      </c>
      <c r="Q263" t="s">
        <v>900</v>
      </c>
      <c r="R263" t="s">
        <v>946</v>
      </c>
      <c r="S263" t="s">
        <v>1756</v>
      </c>
      <c r="V263" t="s">
        <v>1015</v>
      </c>
      <c r="Z263">
        <v>3</v>
      </c>
      <c r="AA263">
        <v>3</v>
      </c>
      <c r="AC263">
        <v>327</v>
      </c>
      <c r="AD263" s="37">
        <v>20</v>
      </c>
      <c r="AE263">
        <v>1087</v>
      </c>
      <c r="AF263" s="37">
        <v>24</v>
      </c>
      <c r="AG263" t="s">
        <v>3416</v>
      </c>
      <c r="AH263">
        <v>3.0362295440862948</v>
      </c>
      <c r="AI263" s="37">
        <v>20</v>
      </c>
      <c r="AJ263" t="s">
        <v>1813</v>
      </c>
      <c r="AK263" t="s">
        <v>59</v>
      </c>
      <c r="AM263"/>
      <c r="AN263">
        <v>95.9</v>
      </c>
      <c r="AO263">
        <v>5.0922293742524989</v>
      </c>
      <c r="AP263">
        <v>96.07</v>
      </c>
      <c r="AQ263">
        <v>5.0922293742524989</v>
      </c>
      <c r="AS263">
        <v>2E-3</v>
      </c>
      <c r="AT263">
        <v>1.9E-3</v>
      </c>
      <c r="AW263" s="28">
        <f t="shared" si="20"/>
        <v>3.3384199238853461E-2</v>
      </c>
      <c r="AX263">
        <f t="shared" si="21"/>
        <v>0.8</v>
      </c>
      <c r="AY263" s="62">
        <f t="shared" si="22"/>
        <v>2.670735939108277E-2</v>
      </c>
      <c r="AZ263" s="68" t="str">
        <f t="shared" si="23"/>
        <v>No</v>
      </c>
      <c r="BA263" s="68" t="str">
        <f t="shared" si="24"/>
        <v>No</v>
      </c>
    </row>
    <row r="264" spans="1:53" hidden="1">
      <c r="A264" t="s">
        <v>1815</v>
      </c>
      <c r="B264" t="s">
        <v>3262</v>
      </c>
      <c r="C264">
        <v>201</v>
      </c>
      <c r="F264" t="s">
        <v>1241</v>
      </c>
      <c r="G264" t="s">
        <v>1738</v>
      </c>
      <c r="I264">
        <v>2010</v>
      </c>
      <c r="N264" t="s">
        <v>36</v>
      </c>
      <c r="P264" t="s">
        <v>60</v>
      </c>
      <c r="Q264" t="s">
        <v>900</v>
      </c>
      <c r="R264" t="s">
        <v>1741</v>
      </c>
      <c r="S264" t="s">
        <v>1762</v>
      </c>
      <c r="V264" t="s">
        <v>1015</v>
      </c>
      <c r="Z264">
        <v>3</v>
      </c>
      <c r="AA264">
        <v>3</v>
      </c>
      <c r="AC264">
        <v>327</v>
      </c>
      <c r="AD264" s="37">
        <v>20</v>
      </c>
      <c r="AE264">
        <v>1104</v>
      </c>
      <c r="AF264" s="37">
        <v>26</v>
      </c>
      <c r="AG264" t="s">
        <v>3421</v>
      </c>
      <c r="AH264">
        <v>3.0429690733931802</v>
      </c>
      <c r="AI264" s="37">
        <v>20</v>
      </c>
      <c r="AJ264" t="s">
        <v>1813</v>
      </c>
      <c r="AK264" t="s">
        <v>59</v>
      </c>
      <c r="AM264"/>
      <c r="AN264">
        <v>97.55</v>
      </c>
      <c r="AO264">
        <v>3.2042939940024229</v>
      </c>
      <c r="AP264">
        <v>97.77</v>
      </c>
      <c r="AQ264">
        <v>3.1696529778510456</v>
      </c>
      <c r="AS264">
        <v>2E-3</v>
      </c>
      <c r="AT264">
        <v>6.9999999999999999E-4</v>
      </c>
      <c r="AW264" s="28">
        <f t="shared" si="20"/>
        <v>6.9029990989454185E-2</v>
      </c>
      <c r="AX264">
        <f t="shared" si="21"/>
        <v>0.8</v>
      </c>
      <c r="AY264" s="62">
        <f t="shared" si="22"/>
        <v>5.5223992791563349E-2</v>
      </c>
      <c r="AZ264" s="68" t="str">
        <f t="shared" si="23"/>
        <v>No</v>
      </c>
      <c r="BA264" s="68" t="str">
        <f t="shared" si="24"/>
        <v>No</v>
      </c>
    </row>
    <row r="265" spans="1:53" hidden="1">
      <c r="A265" t="s">
        <v>1815</v>
      </c>
      <c r="B265" t="s">
        <v>3264</v>
      </c>
      <c r="C265">
        <v>201</v>
      </c>
      <c r="F265" t="s">
        <v>1241</v>
      </c>
      <c r="G265" t="s">
        <v>1738</v>
      </c>
      <c r="I265">
        <v>2010</v>
      </c>
      <c r="N265" t="s">
        <v>36</v>
      </c>
      <c r="P265" t="s">
        <v>60</v>
      </c>
      <c r="Q265" t="s">
        <v>900</v>
      </c>
      <c r="R265" t="s">
        <v>1741</v>
      </c>
      <c r="S265" t="s">
        <v>1762</v>
      </c>
      <c r="V265" t="s">
        <v>1015</v>
      </c>
      <c r="Z265">
        <v>3</v>
      </c>
      <c r="AA265">
        <v>3</v>
      </c>
      <c r="AC265">
        <v>327</v>
      </c>
      <c r="AD265" s="37">
        <v>20</v>
      </c>
      <c r="AE265">
        <v>1828</v>
      </c>
      <c r="AF265" s="37">
        <v>26</v>
      </c>
      <c r="AG265" t="s">
        <v>3421</v>
      </c>
      <c r="AH265">
        <v>3.2619761913978125</v>
      </c>
      <c r="AI265" s="37">
        <v>20</v>
      </c>
      <c r="AJ265" t="s">
        <v>1813</v>
      </c>
      <c r="AK265" t="s">
        <v>59</v>
      </c>
      <c r="AM265"/>
      <c r="AN265">
        <v>97.55</v>
      </c>
      <c r="AO265">
        <v>3.2042939940024229</v>
      </c>
      <c r="AP265">
        <v>97.85</v>
      </c>
      <c r="AQ265">
        <v>3.2216145020781117</v>
      </c>
      <c r="AS265">
        <v>3.0000000000000001E-3</v>
      </c>
      <c r="AT265">
        <v>6.9999999999999999E-4</v>
      </c>
      <c r="AW265" s="28">
        <f t="shared" si="20"/>
        <v>9.337167200477868E-2</v>
      </c>
      <c r="AX265">
        <f t="shared" si="21"/>
        <v>0.8</v>
      </c>
      <c r="AY265" s="62">
        <f t="shared" si="22"/>
        <v>7.4697337603822953E-2</v>
      </c>
      <c r="AZ265" s="68" t="str">
        <f t="shared" si="23"/>
        <v>No</v>
      </c>
      <c r="BA265" s="68" t="str">
        <f t="shared" si="24"/>
        <v>No</v>
      </c>
    </row>
    <row r="266" spans="1:53" hidden="1">
      <c r="A266" t="s">
        <v>1815</v>
      </c>
      <c r="B266" t="s">
        <v>3268</v>
      </c>
      <c r="C266">
        <v>201</v>
      </c>
      <c r="F266" t="s">
        <v>1241</v>
      </c>
      <c r="G266" t="s">
        <v>1738</v>
      </c>
      <c r="I266">
        <v>2010</v>
      </c>
      <c r="N266" t="s">
        <v>36</v>
      </c>
      <c r="P266" t="s">
        <v>60</v>
      </c>
      <c r="Q266" t="s">
        <v>900</v>
      </c>
      <c r="R266" t="s">
        <v>1741</v>
      </c>
      <c r="S266" t="s">
        <v>1762</v>
      </c>
      <c r="V266" t="s">
        <v>1015</v>
      </c>
      <c r="Z266">
        <v>3</v>
      </c>
      <c r="AA266">
        <v>3</v>
      </c>
      <c r="AC266">
        <v>327</v>
      </c>
      <c r="AD266" s="37">
        <v>20</v>
      </c>
      <c r="AE266">
        <v>1069</v>
      </c>
      <c r="AF266" s="37">
        <v>22</v>
      </c>
      <c r="AG266" t="s">
        <v>3421</v>
      </c>
      <c r="AH266">
        <v>3.0289777052087778</v>
      </c>
      <c r="AI266" s="37">
        <v>20</v>
      </c>
      <c r="AJ266" t="s">
        <v>1813</v>
      </c>
      <c r="AK266" t="s">
        <v>59</v>
      </c>
      <c r="AM266"/>
      <c r="AN266">
        <v>97.55</v>
      </c>
      <c r="AO266">
        <v>3.2042939940024229</v>
      </c>
      <c r="AP266">
        <v>98.98</v>
      </c>
      <c r="AQ266">
        <v>1.0738715006927038</v>
      </c>
      <c r="AS266">
        <v>1.4999999999999999E-2</v>
      </c>
      <c r="AT266">
        <v>4.0000000000000002E-4</v>
      </c>
      <c r="AW266" s="28">
        <f t="shared" si="20"/>
        <v>0.59841803467922106</v>
      </c>
      <c r="AX266">
        <f t="shared" si="21"/>
        <v>0.8</v>
      </c>
      <c r="AY266" s="62">
        <f t="shared" si="22"/>
        <v>0.47873442774337688</v>
      </c>
      <c r="AZ266" s="68" t="str">
        <f t="shared" si="23"/>
        <v>No</v>
      </c>
      <c r="BA266" s="68" t="str">
        <f t="shared" si="24"/>
        <v>No</v>
      </c>
    </row>
    <row r="267" spans="1:53" hidden="1">
      <c r="A267" t="s">
        <v>1815</v>
      </c>
      <c r="B267" t="s">
        <v>3269</v>
      </c>
      <c r="C267">
        <v>201</v>
      </c>
      <c r="F267" t="s">
        <v>1241</v>
      </c>
      <c r="G267" t="s">
        <v>1738</v>
      </c>
      <c r="I267">
        <v>2010</v>
      </c>
      <c r="N267" t="s">
        <v>36</v>
      </c>
      <c r="P267" t="s">
        <v>60</v>
      </c>
      <c r="Q267" t="s">
        <v>900</v>
      </c>
      <c r="R267" t="s">
        <v>1741</v>
      </c>
      <c r="S267" t="s">
        <v>1762</v>
      </c>
      <c r="V267" t="s">
        <v>1015</v>
      </c>
      <c r="Z267">
        <v>3</v>
      </c>
      <c r="AA267">
        <v>3</v>
      </c>
      <c r="AC267">
        <v>327</v>
      </c>
      <c r="AD267" s="37">
        <v>20</v>
      </c>
      <c r="AE267">
        <v>1762</v>
      </c>
      <c r="AF267" s="37">
        <v>22</v>
      </c>
      <c r="AG267" t="s">
        <v>3421</v>
      </c>
      <c r="AH267">
        <v>3.246005904076029</v>
      </c>
      <c r="AI267" s="37">
        <v>20</v>
      </c>
      <c r="AJ267" t="s">
        <v>1813</v>
      </c>
      <c r="AK267" t="s">
        <v>59</v>
      </c>
      <c r="AM267"/>
      <c r="AN267">
        <v>97.55</v>
      </c>
      <c r="AO267">
        <v>3.2042939940024229</v>
      </c>
      <c r="AP267">
        <v>99.07</v>
      </c>
      <c r="AQ267">
        <v>2.1304224933097191</v>
      </c>
      <c r="AS267">
        <v>1.4999999999999999E-2</v>
      </c>
      <c r="AT267">
        <v>5.0000000000000001E-4</v>
      </c>
      <c r="AW267" s="28">
        <f t="shared" si="20"/>
        <v>0.55864611133103215</v>
      </c>
      <c r="AX267">
        <f t="shared" si="21"/>
        <v>0.8</v>
      </c>
      <c r="AY267" s="62">
        <f t="shared" si="22"/>
        <v>0.44691688906482574</v>
      </c>
      <c r="AZ267" s="68" t="str">
        <f t="shared" si="23"/>
        <v>No</v>
      </c>
      <c r="BA267" s="68" t="str">
        <f t="shared" si="24"/>
        <v>No</v>
      </c>
    </row>
    <row r="268" spans="1:53" hidden="1">
      <c r="A268" t="s">
        <v>1815</v>
      </c>
      <c r="B268" t="s">
        <v>3273</v>
      </c>
      <c r="C268">
        <v>201</v>
      </c>
      <c r="F268" t="s">
        <v>1241</v>
      </c>
      <c r="G268" t="s">
        <v>1738</v>
      </c>
      <c r="I268">
        <v>2010</v>
      </c>
      <c r="N268" t="s">
        <v>36</v>
      </c>
      <c r="P268" t="s">
        <v>60</v>
      </c>
      <c r="Q268" t="s">
        <v>900</v>
      </c>
      <c r="R268" t="s">
        <v>1741</v>
      </c>
      <c r="S268" t="s">
        <v>1762</v>
      </c>
      <c r="V268" t="s">
        <v>1015</v>
      </c>
      <c r="Z268">
        <v>3</v>
      </c>
      <c r="AA268">
        <v>3</v>
      </c>
      <c r="AC268">
        <v>327</v>
      </c>
      <c r="AD268" s="37">
        <v>20</v>
      </c>
      <c r="AE268">
        <v>827</v>
      </c>
      <c r="AF268" s="37">
        <v>22</v>
      </c>
      <c r="AG268" t="s">
        <v>3421</v>
      </c>
      <c r="AH268">
        <v>2.9175055095525466</v>
      </c>
      <c r="AI268" s="37">
        <v>20</v>
      </c>
      <c r="AJ268" t="s">
        <v>1813</v>
      </c>
      <c r="AK268" t="s">
        <v>59</v>
      </c>
      <c r="AM268"/>
      <c r="AN268">
        <v>97.55</v>
      </c>
      <c r="AO268">
        <v>3.2042939940024229</v>
      </c>
      <c r="AP268">
        <v>99.51</v>
      </c>
      <c r="AQ268">
        <v>1.0219099764656374</v>
      </c>
      <c r="AS268">
        <v>0.02</v>
      </c>
      <c r="AT268">
        <v>4.0000000000000002E-4</v>
      </c>
      <c r="AW268" s="28">
        <f t="shared" si="20"/>
        <v>0.82414800226112916</v>
      </c>
      <c r="AX268">
        <f t="shared" si="21"/>
        <v>0.8</v>
      </c>
      <c r="AY268" s="62">
        <f t="shared" si="22"/>
        <v>0.65931840180890333</v>
      </c>
      <c r="AZ268" s="68" t="str">
        <f t="shared" si="23"/>
        <v>No</v>
      </c>
      <c r="BA268" s="68" t="str">
        <f t="shared" si="24"/>
        <v>No</v>
      </c>
    </row>
    <row r="269" spans="1:53" hidden="1">
      <c r="A269" t="s">
        <v>1815</v>
      </c>
      <c r="B269" t="s">
        <v>3274</v>
      </c>
      <c r="C269">
        <v>201</v>
      </c>
      <c r="F269" t="s">
        <v>1241</v>
      </c>
      <c r="G269" t="s">
        <v>1738</v>
      </c>
      <c r="I269">
        <v>2010</v>
      </c>
      <c r="N269" t="s">
        <v>36</v>
      </c>
      <c r="P269" t="s">
        <v>60</v>
      </c>
      <c r="Q269" t="s">
        <v>900</v>
      </c>
      <c r="R269" t="s">
        <v>1741</v>
      </c>
      <c r="S269" t="s">
        <v>1762</v>
      </c>
      <c r="V269" t="s">
        <v>1015</v>
      </c>
      <c r="Z269">
        <v>3</v>
      </c>
      <c r="AA269">
        <v>3</v>
      </c>
      <c r="AC269">
        <v>327</v>
      </c>
      <c r="AD269" s="37">
        <v>20</v>
      </c>
      <c r="AE269">
        <v>851</v>
      </c>
      <c r="AF269" s="37">
        <v>26</v>
      </c>
      <c r="AG269" t="s">
        <v>3421</v>
      </c>
      <c r="AH269">
        <v>2.929929560084588</v>
      </c>
      <c r="AI269" s="37">
        <v>20</v>
      </c>
      <c r="AJ269" t="s">
        <v>1813</v>
      </c>
      <c r="AK269" t="s">
        <v>59</v>
      </c>
      <c r="AM269"/>
      <c r="AN269">
        <v>97.55</v>
      </c>
      <c r="AO269">
        <v>3.2042939940024229</v>
      </c>
      <c r="AP269">
        <v>99.53</v>
      </c>
      <c r="AQ269">
        <v>0.98726896031425992</v>
      </c>
      <c r="AS269">
        <v>0.02</v>
      </c>
      <c r="AT269">
        <v>4.0000000000000002E-4</v>
      </c>
      <c r="AW269" s="28">
        <f t="shared" si="20"/>
        <v>0.83513086451697616</v>
      </c>
      <c r="AX269">
        <f t="shared" si="21"/>
        <v>0.8</v>
      </c>
      <c r="AY269" s="62">
        <f t="shared" si="22"/>
        <v>0.66810469161358099</v>
      </c>
      <c r="AZ269" s="68" t="str">
        <f t="shared" si="23"/>
        <v>No</v>
      </c>
      <c r="BA269" s="68" t="str">
        <f t="shared" si="24"/>
        <v>No</v>
      </c>
    </row>
    <row r="270" spans="1:53" hidden="1">
      <c r="A270" t="s">
        <v>1815</v>
      </c>
      <c r="B270" t="s">
        <v>3280</v>
      </c>
      <c r="C270">
        <v>201</v>
      </c>
      <c r="F270" t="s">
        <v>1241</v>
      </c>
      <c r="G270" t="s">
        <v>1738</v>
      </c>
      <c r="I270">
        <v>2010</v>
      </c>
      <c r="N270" t="s">
        <v>36</v>
      </c>
      <c r="P270" t="s">
        <v>60</v>
      </c>
      <c r="Q270" t="s">
        <v>900</v>
      </c>
      <c r="R270" t="s">
        <v>946</v>
      </c>
      <c r="S270" t="s">
        <v>950</v>
      </c>
      <c r="V270" t="s">
        <v>1015</v>
      </c>
      <c r="Z270">
        <v>3</v>
      </c>
      <c r="AA270">
        <v>3</v>
      </c>
      <c r="AC270">
        <v>327</v>
      </c>
      <c r="AD270" s="37">
        <v>20</v>
      </c>
      <c r="AE270">
        <v>1104</v>
      </c>
      <c r="AF270" s="37">
        <v>26</v>
      </c>
      <c r="AG270" t="s">
        <v>3420</v>
      </c>
      <c r="AH270">
        <v>3.0429690733931802</v>
      </c>
      <c r="AI270" s="37">
        <v>20</v>
      </c>
      <c r="AJ270" t="s">
        <v>1813</v>
      </c>
      <c r="AK270" t="s">
        <v>59</v>
      </c>
      <c r="AM270"/>
      <c r="AN270">
        <v>87.97</v>
      </c>
      <c r="AO270">
        <v>12.522727338722984</v>
      </c>
      <c r="AP270">
        <v>89.95</v>
      </c>
      <c r="AQ270">
        <v>11.483496854181656</v>
      </c>
      <c r="AS270">
        <v>2.1999999999999999E-2</v>
      </c>
      <c r="AT270">
        <v>1.2200000000000001E-2</v>
      </c>
      <c r="AW270" s="28">
        <f t="shared" si="20"/>
        <v>0.16480286946539977</v>
      </c>
      <c r="AX270">
        <f t="shared" si="21"/>
        <v>0.8</v>
      </c>
      <c r="AY270" s="62">
        <f t="shared" si="22"/>
        <v>0.13184229557231983</v>
      </c>
      <c r="AZ270" s="68" t="str">
        <f t="shared" si="23"/>
        <v>No</v>
      </c>
      <c r="BA270" s="68" t="str">
        <f t="shared" si="24"/>
        <v>No</v>
      </c>
    </row>
    <row r="271" spans="1:53" hidden="1">
      <c r="A271" t="s">
        <v>1815</v>
      </c>
      <c r="B271" t="s">
        <v>3282</v>
      </c>
      <c r="C271">
        <v>201</v>
      </c>
      <c r="F271" t="s">
        <v>1241</v>
      </c>
      <c r="G271" t="s">
        <v>1738</v>
      </c>
      <c r="I271">
        <v>2010</v>
      </c>
      <c r="N271" t="s">
        <v>36</v>
      </c>
      <c r="P271" t="s">
        <v>60</v>
      </c>
      <c r="Q271" t="s">
        <v>900</v>
      </c>
      <c r="R271" t="s">
        <v>946</v>
      </c>
      <c r="S271" t="s">
        <v>1755</v>
      </c>
      <c r="V271" t="s">
        <v>1015</v>
      </c>
      <c r="Z271">
        <v>3</v>
      </c>
      <c r="AA271">
        <v>3</v>
      </c>
      <c r="AC271">
        <v>330</v>
      </c>
      <c r="AD271" s="37">
        <v>22</v>
      </c>
      <c r="AE271">
        <v>1104</v>
      </c>
      <c r="AF271" s="37">
        <v>26</v>
      </c>
      <c r="AG271" t="s">
        <v>3417</v>
      </c>
      <c r="AH271">
        <v>3.0429690733931802</v>
      </c>
      <c r="AI271" s="37">
        <v>22</v>
      </c>
      <c r="AJ271" t="s">
        <v>1813</v>
      </c>
      <c r="AK271" t="s">
        <v>59</v>
      </c>
      <c r="AM271"/>
      <c r="AN271">
        <v>89.93</v>
      </c>
      <c r="AO271">
        <v>8.5563309893902542</v>
      </c>
      <c r="AP271">
        <v>93.8</v>
      </c>
      <c r="AQ271">
        <v>5.35203699538783</v>
      </c>
      <c r="AS271">
        <v>4.2000000000000003E-2</v>
      </c>
      <c r="AT271">
        <v>4.1000000000000003E-3</v>
      </c>
      <c r="AW271" s="28">
        <f t="shared" si="20"/>
        <v>0.5422937174520337</v>
      </c>
      <c r="AX271">
        <f t="shared" si="21"/>
        <v>0.8</v>
      </c>
      <c r="AY271" s="62">
        <f t="shared" si="22"/>
        <v>0.43383497396162696</v>
      </c>
      <c r="AZ271" s="68" t="str">
        <f t="shared" si="23"/>
        <v>No</v>
      </c>
      <c r="BA271" s="68" t="str">
        <f t="shared" si="24"/>
        <v>No</v>
      </c>
    </row>
    <row r="272" spans="1:53" hidden="1">
      <c r="A272" t="s">
        <v>1815</v>
      </c>
      <c r="B272" t="s">
        <v>3283</v>
      </c>
      <c r="C272">
        <v>201</v>
      </c>
      <c r="F272" t="s">
        <v>1241</v>
      </c>
      <c r="G272" t="s">
        <v>1738</v>
      </c>
      <c r="I272">
        <v>2010</v>
      </c>
      <c r="N272" t="s">
        <v>36</v>
      </c>
      <c r="P272" t="s">
        <v>60</v>
      </c>
      <c r="Q272" t="s">
        <v>900</v>
      </c>
      <c r="R272" t="s">
        <v>946</v>
      </c>
      <c r="S272" t="s">
        <v>950</v>
      </c>
      <c r="V272" t="s">
        <v>1015</v>
      </c>
      <c r="Z272">
        <v>3</v>
      </c>
      <c r="AA272">
        <v>3</v>
      </c>
      <c r="AC272">
        <v>327</v>
      </c>
      <c r="AD272" s="37">
        <v>20</v>
      </c>
      <c r="AE272">
        <v>1087</v>
      </c>
      <c r="AF272" s="37">
        <v>24</v>
      </c>
      <c r="AG272" t="s">
        <v>3420</v>
      </c>
      <c r="AH272">
        <v>3.0362295440862948</v>
      </c>
      <c r="AI272" s="37">
        <v>20</v>
      </c>
      <c r="AJ272" t="s">
        <v>1813</v>
      </c>
      <c r="AK272" t="s">
        <v>59</v>
      </c>
      <c r="AM272"/>
      <c r="AN272">
        <v>87.97</v>
      </c>
      <c r="AO272">
        <v>12.522727338722984</v>
      </c>
      <c r="AP272">
        <v>92.35</v>
      </c>
      <c r="AQ272">
        <v>10.42694586156464</v>
      </c>
      <c r="AS272">
        <v>4.9000000000000002E-2</v>
      </c>
      <c r="AT272">
        <v>1.0999999999999999E-2</v>
      </c>
      <c r="AW272" s="28">
        <f t="shared" si="20"/>
        <v>0.38012305821798742</v>
      </c>
      <c r="AX272">
        <f t="shared" si="21"/>
        <v>0.8</v>
      </c>
      <c r="AY272" s="62">
        <f t="shared" si="22"/>
        <v>0.30409844657438995</v>
      </c>
      <c r="AZ272" s="68" t="str">
        <f t="shared" si="23"/>
        <v>No</v>
      </c>
      <c r="BA272" s="68" t="str">
        <f t="shared" si="24"/>
        <v>No</v>
      </c>
    </row>
    <row r="273" spans="1:53" hidden="1">
      <c r="A273" t="s">
        <v>1815</v>
      </c>
      <c r="B273" t="s">
        <v>3284</v>
      </c>
      <c r="C273">
        <v>201</v>
      </c>
      <c r="F273" t="s">
        <v>1241</v>
      </c>
      <c r="G273" t="s">
        <v>1738</v>
      </c>
      <c r="I273">
        <v>2021</v>
      </c>
      <c r="N273" t="s">
        <v>36</v>
      </c>
      <c r="P273" t="s">
        <v>60</v>
      </c>
      <c r="Q273" t="s">
        <v>900</v>
      </c>
      <c r="R273" t="s">
        <v>946</v>
      </c>
      <c r="S273" t="s">
        <v>950</v>
      </c>
      <c r="V273" t="s">
        <v>1015</v>
      </c>
      <c r="Z273">
        <v>3</v>
      </c>
      <c r="AA273">
        <v>3</v>
      </c>
      <c r="AC273">
        <v>327</v>
      </c>
      <c r="AD273" s="37">
        <v>20</v>
      </c>
      <c r="AE273">
        <v>839</v>
      </c>
      <c r="AF273" s="37">
        <v>24</v>
      </c>
      <c r="AG273" t="s">
        <v>3420</v>
      </c>
      <c r="AH273">
        <v>2.9237619608287004</v>
      </c>
      <c r="AI273" s="37">
        <v>20</v>
      </c>
      <c r="AJ273" t="s">
        <v>1813</v>
      </c>
      <c r="AK273" t="s">
        <v>59</v>
      </c>
      <c r="AM273"/>
      <c r="AN273">
        <v>87.97</v>
      </c>
      <c r="AO273">
        <v>12.522727338722984</v>
      </c>
      <c r="AP273">
        <v>92.88</v>
      </c>
      <c r="AQ273">
        <v>10.42694586156464</v>
      </c>
      <c r="AS273">
        <v>5.3999999999999999E-2</v>
      </c>
      <c r="AT273">
        <v>1.0999999999999999E-2</v>
      </c>
      <c r="AW273" s="28">
        <f t="shared" si="20"/>
        <v>0.42611968398409111</v>
      </c>
      <c r="AX273">
        <f t="shared" si="21"/>
        <v>0.8</v>
      </c>
      <c r="AY273" s="62">
        <f t="shared" si="22"/>
        <v>0.34089574718727289</v>
      </c>
      <c r="AZ273" s="68" t="str">
        <f t="shared" si="23"/>
        <v>No</v>
      </c>
      <c r="BA273" s="68" t="str">
        <f t="shared" si="24"/>
        <v>No</v>
      </c>
    </row>
    <row r="274" spans="1:53" hidden="1">
      <c r="A274" t="s">
        <v>1815</v>
      </c>
      <c r="B274" t="s">
        <v>3285</v>
      </c>
      <c r="C274">
        <v>201</v>
      </c>
      <c r="F274" t="s">
        <v>1241</v>
      </c>
      <c r="G274" t="s">
        <v>1738</v>
      </c>
      <c r="I274">
        <v>2021</v>
      </c>
      <c r="N274" t="s">
        <v>36</v>
      </c>
      <c r="P274" t="s">
        <v>60</v>
      </c>
      <c r="Q274" t="s">
        <v>900</v>
      </c>
      <c r="R274" t="s">
        <v>946</v>
      </c>
      <c r="S274" t="s">
        <v>950</v>
      </c>
      <c r="V274" t="s">
        <v>1015</v>
      </c>
      <c r="Z274">
        <v>3</v>
      </c>
      <c r="AA274">
        <v>3</v>
      </c>
      <c r="AC274">
        <v>327</v>
      </c>
      <c r="AD274" s="37">
        <v>20</v>
      </c>
      <c r="AE274">
        <v>851</v>
      </c>
      <c r="AF274" s="37">
        <v>26</v>
      </c>
      <c r="AG274" t="s">
        <v>3420</v>
      </c>
      <c r="AH274">
        <v>2.929929560084588</v>
      </c>
      <c r="AI274" s="37">
        <v>20</v>
      </c>
      <c r="AJ274" t="s">
        <v>1813</v>
      </c>
      <c r="AK274" t="s">
        <v>59</v>
      </c>
      <c r="AM274"/>
      <c r="AN274">
        <v>87.97</v>
      </c>
      <c r="AO274">
        <v>12.522727338722984</v>
      </c>
      <c r="AP274">
        <v>92.89</v>
      </c>
      <c r="AQ274">
        <v>9.3877153770233139</v>
      </c>
      <c r="AS274">
        <v>5.3999999999999999E-2</v>
      </c>
      <c r="AT274">
        <v>1.0200000000000001E-2</v>
      </c>
      <c r="AW274" s="28">
        <f t="shared" si="20"/>
        <v>0.44457316066445113</v>
      </c>
      <c r="AX274">
        <f t="shared" si="21"/>
        <v>0.8</v>
      </c>
      <c r="AY274" s="62">
        <f t="shared" si="22"/>
        <v>0.35565852853156094</v>
      </c>
      <c r="AZ274" s="68" t="str">
        <f t="shared" si="23"/>
        <v>No</v>
      </c>
      <c r="BA274" s="68" t="str">
        <f t="shared" si="24"/>
        <v>No</v>
      </c>
    </row>
    <row r="275" spans="1:53" hidden="1">
      <c r="A275" t="s">
        <v>1815</v>
      </c>
      <c r="B275" t="s">
        <v>3286</v>
      </c>
      <c r="C275">
        <v>201</v>
      </c>
      <c r="F275" t="s">
        <v>1241</v>
      </c>
      <c r="G275" t="s">
        <v>1738</v>
      </c>
      <c r="I275">
        <v>2021</v>
      </c>
      <c r="N275" t="s">
        <v>36</v>
      </c>
      <c r="P275" t="s">
        <v>60</v>
      </c>
      <c r="Q275" t="s">
        <v>900</v>
      </c>
      <c r="R275" t="s">
        <v>946</v>
      </c>
      <c r="S275" t="s">
        <v>950</v>
      </c>
      <c r="V275" t="s">
        <v>1015</v>
      </c>
      <c r="Z275">
        <v>3</v>
      </c>
      <c r="AA275">
        <v>3</v>
      </c>
      <c r="AC275">
        <v>327</v>
      </c>
      <c r="AD275" s="37">
        <v>20</v>
      </c>
      <c r="AE275">
        <v>1828</v>
      </c>
      <c r="AF275" s="37">
        <v>26</v>
      </c>
      <c r="AG275" t="s">
        <v>3420</v>
      </c>
      <c r="AH275">
        <v>3.2619761913978125</v>
      </c>
      <c r="AI275" s="37">
        <v>20</v>
      </c>
      <c r="AJ275" t="s">
        <v>1813</v>
      </c>
      <c r="AK275" t="s">
        <v>59</v>
      </c>
      <c r="AM275"/>
      <c r="AN275">
        <v>87.97</v>
      </c>
      <c r="AO275">
        <v>12.522727338722984</v>
      </c>
      <c r="AP275">
        <v>93.04</v>
      </c>
      <c r="AQ275">
        <v>9.3877153770233139</v>
      </c>
      <c r="AS275">
        <v>5.6000000000000001E-2</v>
      </c>
      <c r="AT275">
        <v>1.01E-2</v>
      </c>
      <c r="AW275" s="28">
        <f t="shared" si="20"/>
        <v>0.45812722044080684</v>
      </c>
      <c r="AX275">
        <f t="shared" si="21"/>
        <v>0.8</v>
      </c>
      <c r="AY275" s="62">
        <f t="shared" si="22"/>
        <v>0.36650177635264547</v>
      </c>
      <c r="AZ275" s="68" t="str">
        <f t="shared" si="23"/>
        <v>No</v>
      </c>
      <c r="BA275" s="68" t="str">
        <f t="shared" si="24"/>
        <v>No</v>
      </c>
    </row>
    <row r="276" spans="1:53" hidden="1">
      <c r="A276" t="s">
        <v>1815</v>
      </c>
      <c r="B276" t="s">
        <v>3288</v>
      </c>
      <c r="C276">
        <v>201</v>
      </c>
      <c r="F276" t="s">
        <v>1241</v>
      </c>
      <c r="G276" t="s">
        <v>1738</v>
      </c>
      <c r="I276">
        <v>2016</v>
      </c>
      <c r="N276" t="s">
        <v>36</v>
      </c>
      <c r="P276" t="s">
        <v>60</v>
      </c>
      <c r="Q276" t="s">
        <v>900</v>
      </c>
      <c r="R276" t="s">
        <v>946</v>
      </c>
      <c r="S276" t="s">
        <v>950</v>
      </c>
      <c r="V276" t="s">
        <v>1015</v>
      </c>
      <c r="Z276">
        <v>3</v>
      </c>
      <c r="AA276">
        <v>3</v>
      </c>
      <c r="AC276">
        <v>327</v>
      </c>
      <c r="AD276" s="37">
        <v>20</v>
      </c>
      <c r="AE276">
        <v>1795</v>
      </c>
      <c r="AF276" s="37">
        <v>24</v>
      </c>
      <c r="AG276" t="s">
        <v>3420</v>
      </c>
      <c r="AH276">
        <v>3.2540644529143381</v>
      </c>
      <c r="AI276" s="37">
        <v>20</v>
      </c>
      <c r="AJ276" t="s">
        <v>1813</v>
      </c>
      <c r="AK276" t="s">
        <v>59</v>
      </c>
      <c r="AM276"/>
      <c r="AN276">
        <v>87.97</v>
      </c>
      <c r="AO276">
        <v>12.522727338722984</v>
      </c>
      <c r="AP276">
        <v>93.62</v>
      </c>
      <c r="AQ276">
        <v>9.4050358850990019</v>
      </c>
      <c r="AS276">
        <v>6.2E-2</v>
      </c>
      <c r="AT276">
        <v>1.01E-2</v>
      </c>
      <c r="AW276" s="28">
        <f t="shared" si="20"/>
        <v>0.51019737520313446</v>
      </c>
      <c r="AX276">
        <f t="shared" si="21"/>
        <v>0.8</v>
      </c>
      <c r="AY276" s="62">
        <f t="shared" si="22"/>
        <v>0.40815790016250758</v>
      </c>
      <c r="AZ276" s="68" t="str">
        <f t="shared" si="23"/>
        <v>No</v>
      </c>
      <c r="BA276" s="68" t="str">
        <f t="shared" si="24"/>
        <v>No</v>
      </c>
    </row>
    <row r="277" spans="1:53" hidden="1">
      <c r="A277" t="s">
        <v>1815</v>
      </c>
      <c r="B277" t="s">
        <v>3293</v>
      </c>
      <c r="C277">
        <v>220</v>
      </c>
      <c r="F277" t="s">
        <v>1241</v>
      </c>
      <c r="G277" t="s">
        <v>1740</v>
      </c>
      <c r="I277">
        <v>2017</v>
      </c>
      <c r="N277" t="s">
        <v>36</v>
      </c>
      <c r="P277" t="s">
        <v>60</v>
      </c>
      <c r="Q277" t="s">
        <v>900</v>
      </c>
      <c r="R277" t="s">
        <v>1744</v>
      </c>
      <c r="S277" t="s">
        <v>1787</v>
      </c>
      <c r="V277" t="s">
        <v>905</v>
      </c>
      <c r="Z277">
        <v>12</v>
      </c>
      <c r="AA277">
        <v>12</v>
      </c>
      <c r="AC277">
        <v>386</v>
      </c>
      <c r="AD277" s="37">
        <v>27</v>
      </c>
      <c r="AE277">
        <v>1248</v>
      </c>
      <c r="AF277" s="37">
        <v>26.9</v>
      </c>
      <c r="AG277" t="s">
        <v>3423</v>
      </c>
      <c r="AH277">
        <v>3.0962145853464054</v>
      </c>
      <c r="AI277" s="37">
        <v>27</v>
      </c>
      <c r="AJ277" t="s">
        <v>1099</v>
      </c>
      <c r="AK277" t="s">
        <v>40</v>
      </c>
      <c r="AM277"/>
      <c r="AN277">
        <v>0.62</v>
      </c>
      <c r="AO277">
        <v>3.4641016151377546E-2</v>
      </c>
      <c r="AP277">
        <v>0.55210000000000004</v>
      </c>
      <c r="AQ277">
        <v>3.4641016151377546E-2</v>
      </c>
      <c r="AS277">
        <v>-0.112</v>
      </c>
      <c r="AT277">
        <v>8.9999999999999998E-4</v>
      </c>
      <c r="AW277" s="28">
        <f t="shared" si="20"/>
        <v>-1.9601041638987784</v>
      </c>
      <c r="AX277">
        <f t="shared" si="21"/>
        <v>0.96551724137931039</v>
      </c>
      <c r="AY277" s="62">
        <f t="shared" si="22"/>
        <v>-1.8925143651436482</v>
      </c>
      <c r="AZ277" s="68" t="str">
        <f t="shared" si="23"/>
        <v>No</v>
      </c>
      <c r="BA277" s="68" t="str">
        <f t="shared" si="24"/>
        <v>No</v>
      </c>
    </row>
    <row r="278" spans="1:53" hidden="1">
      <c r="A278" t="s">
        <v>1815</v>
      </c>
      <c r="B278" t="s">
        <v>3292</v>
      </c>
      <c r="C278">
        <v>220</v>
      </c>
      <c r="F278" t="s">
        <v>1241</v>
      </c>
      <c r="G278" t="s">
        <v>1740</v>
      </c>
      <c r="I278">
        <v>2017</v>
      </c>
      <c r="N278" t="s">
        <v>36</v>
      </c>
      <c r="P278" t="s">
        <v>60</v>
      </c>
      <c r="Q278" t="s">
        <v>900</v>
      </c>
      <c r="R278" t="s">
        <v>1744</v>
      </c>
      <c r="S278" t="s">
        <v>1787</v>
      </c>
      <c r="V278" t="s">
        <v>907</v>
      </c>
      <c r="Z278">
        <v>12</v>
      </c>
      <c r="AA278">
        <v>12</v>
      </c>
      <c r="AC278">
        <v>386</v>
      </c>
      <c r="AD278" s="37">
        <v>27</v>
      </c>
      <c r="AE278">
        <v>402</v>
      </c>
      <c r="AF278" s="37">
        <v>29.9</v>
      </c>
      <c r="AG278" t="s">
        <v>3423</v>
      </c>
      <c r="AH278">
        <v>2.6042260530844699</v>
      </c>
      <c r="AI278" s="37">
        <v>27</v>
      </c>
      <c r="AJ278" t="s">
        <v>1099</v>
      </c>
      <c r="AK278" t="s">
        <v>40</v>
      </c>
      <c r="AM278"/>
      <c r="AN278">
        <v>0.62</v>
      </c>
      <c r="AO278">
        <v>3.4641016151377546E-2</v>
      </c>
      <c r="AP278">
        <v>0.54379999999999995</v>
      </c>
      <c r="AQ278">
        <v>3.4641016151377546E-2</v>
      </c>
      <c r="AS278">
        <v>-0.128</v>
      </c>
      <c r="AT278">
        <v>8.0000000000000004E-4</v>
      </c>
      <c r="AW278" s="28">
        <f t="shared" si="20"/>
        <v>-2.1997045256124754</v>
      </c>
      <c r="AX278">
        <f t="shared" si="21"/>
        <v>0.96551724137931039</v>
      </c>
      <c r="AY278" s="62">
        <f t="shared" si="22"/>
        <v>-2.1238526454189417</v>
      </c>
      <c r="AZ278" s="68" t="str">
        <f t="shared" si="23"/>
        <v>No</v>
      </c>
      <c r="BA278" s="68" t="str">
        <f t="shared" si="24"/>
        <v>No</v>
      </c>
    </row>
    <row r="279" spans="1:53" hidden="1">
      <c r="A279" t="s">
        <v>1815</v>
      </c>
      <c r="B279" t="s">
        <v>3294</v>
      </c>
      <c r="C279">
        <v>220</v>
      </c>
      <c r="F279" t="s">
        <v>1241</v>
      </c>
      <c r="G279" t="s">
        <v>1740</v>
      </c>
      <c r="I279">
        <v>2010</v>
      </c>
      <c r="N279" t="s">
        <v>36</v>
      </c>
      <c r="P279" t="s">
        <v>60</v>
      </c>
      <c r="Q279" t="s">
        <v>900</v>
      </c>
      <c r="R279" t="s">
        <v>1744</v>
      </c>
      <c r="S279" t="s">
        <v>1787</v>
      </c>
      <c r="V279" t="s">
        <v>1015</v>
      </c>
      <c r="Z279">
        <v>12</v>
      </c>
      <c r="AA279">
        <v>12</v>
      </c>
      <c r="AC279">
        <v>386</v>
      </c>
      <c r="AD279" s="37">
        <v>27</v>
      </c>
      <c r="AE279">
        <v>1222</v>
      </c>
      <c r="AF279" s="37">
        <v>29.8</v>
      </c>
      <c r="AG279" t="s">
        <v>3423</v>
      </c>
      <c r="AH279">
        <v>3.0870712059065353</v>
      </c>
      <c r="AI279" s="37">
        <v>27</v>
      </c>
      <c r="AJ279" t="s">
        <v>1099</v>
      </c>
      <c r="AK279" t="s">
        <v>40</v>
      </c>
      <c r="AM279"/>
      <c r="AN279">
        <v>0.62</v>
      </c>
      <c r="AO279">
        <v>3.4641016151377546E-2</v>
      </c>
      <c r="AP279">
        <v>0.61990000000000001</v>
      </c>
      <c r="AQ279">
        <v>6.9282032302755092E-2</v>
      </c>
      <c r="AS279">
        <v>3.0000000000000001E-3</v>
      </c>
      <c r="AT279">
        <v>1.1999999999999999E-3</v>
      </c>
      <c r="AW279" s="28">
        <f t="shared" si="20"/>
        <v>-1.8257418583503527E-3</v>
      </c>
      <c r="AX279">
        <f t="shared" si="21"/>
        <v>0.96551724137931039</v>
      </c>
      <c r="AY279" s="62">
        <f t="shared" si="22"/>
        <v>-1.7627852425451682E-3</v>
      </c>
      <c r="AZ279" s="68" t="str">
        <f t="shared" si="23"/>
        <v>No</v>
      </c>
      <c r="BA279" s="68" t="str">
        <f t="shared" si="24"/>
        <v>No</v>
      </c>
    </row>
    <row r="280" spans="1:53" hidden="1">
      <c r="A280" t="s">
        <v>1815</v>
      </c>
      <c r="B280" t="s">
        <v>2783</v>
      </c>
      <c r="C280">
        <v>114</v>
      </c>
      <c r="F280" t="s">
        <v>1241</v>
      </c>
      <c r="G280" t="s">
        <v>1717</v>
      </c>
      <c r="I280">
        <v>2012</v>
      </c>
      <c r="N280" t="s">
        <v>36</v>
      </c>
      <c r="P280" t="s">
        <v>60</v>
      </c>
      <c r="Q280" t="s">
        <v>900</v>
      </c>
      <c r="R280" t="s">
        <v>911</v>
      </c>
      <c r="S280" t="s">
        <v>1766</v>
      </c>
      <c r="V280" t="s">
        <v>905</v>
      </c>
      <c r="Z280">
        <v>270</v>
      </c>
      <c r="AA280">
        <v>270</v>
      </c>
      <c r="AC280">
        <v>474</v>
      </c>
      <c r="AD280">
        <v>26.5</v>
      </c>
      <c r="AE280">
        <v>699</v>
      </c>
      <c r="AF280">
        <v>26.7</v>
      </c>
      <c r="AG280" t="s">
        <v>3368</v>
      </c>
      <c r="AH280">
        <v>2.8444771757456815</v>
      </c>
      <c r="AI280">
        <v>26.5</v>
      </c>
      <c r="AJ280" t="s">
        <v>1202</v>
      </c>
      <c r="AK280" t="s">
        <v>770</v>
      </c>
      <c r="AM280"/>
      <c r="AN280">
        <v>55.7</v>
      </c>
      <c r="AO280">
        <v>76.571613539222227</v>
      </c>
      <c r="AP280">
        <v>54.92</v>
      </c>
      <c r="AQ280">
        <v>63.919222460852886</v>
      </c>
      <c r="AS280">
        <v>-1.4E-2</v>
      </c>
      <c r="AT280">
        <v>1.2E-2</v>
      </c>
      <c r="AW280" s="28">
        <f t="shared" si="20"/>
        <v>-1.1059169797051824E-2</v>
      </c>
      <c r="AX280">
        <f t="shared" si="21"/>
        <v>0.99860529986053004</v>
      </c>
      <c r="AY280" s="62">
        <f t="shared" si="22"/>
        <v>-1.1043745571393454E-2</v>
      </c>
      <c r="AZ280" s="68" t="str">
        <f t="shared" si="23"/>
        <v>No</v>
      </c>
      <c r="BA280" s="68" t="str">
        <f t="shared" si="24"/>
        <v>No</v>
      </c>
    </row>
    <row r="281" spans="1:53" hidden="1">
      <c r="A281" t="s">
        <v>1815</v>
      </c>
      <c r="B281" t="s">
        <v>2784</v>
      </c>
      <c r="C281">
        <v>114</v>
      </c>
      <c r="F281" t="s">
        <v>1241</v>
      </c>
      <c r="G281" t="s">
        <v>1717</v>
      </c>
      <c r="I281">
        <v>2012</v>
      </c>
      <c r="N281" t="s">
        <v>36</v>
      </c>
      <c r="P281" t="s">
        <v>60</v>
      </c>
      <c r="Q281" t="s">
        <v>900</v>
      </c>
      <c r="R281" t="s">
        <v>911</v>
      </c>
      <c r="S281" t="s">
        <v>1767</v>
      </c>
      <c r="V281" t="s">
        <v>905</v>
      </c>
      <c r="Z281">
        <v>270</v>
      </c>
      <c r="AA281">
        <v>270</v>
      </c>
      <c r="AC281">
        <v>421</v>
      </c>
      <c r="AD281">
        <v>25.7</v>
      </c>
      <c r="AE281">
        <v>655</v>
      </c>
      <c r="AF281">
        <v>25.6</v>
      </c>
      <c r="AG281" t="s">
        <v>3369</v>
      </c>
      <c r="AH281">
        <v>2.8162412999917832</v>
      </c>
      <c r="AI281">
        <v>25.7</v>
      </c>
      <c r="AJ281" t="s">
        <v>1202</v>
      </c>
      <c r="AK281" t="s">
        <v>770</v>
      </c>
      <c r="AM281"/>
      <c r="AN281">
        <v>52.59</v>
      </c>
      <c r="AO281">
        <v>131.94636410299449</v>
      </c>
      <c r="AP281">
        <v>58.55</v>
      </c>
      <c r="AQ281">
        <v>55.374750563772295</v>
      </c>
      <c r="AS281">
        <v>0.107</v>
      </c>
      <c r="AT281">
        <v>2.6599999999999999E-2</v>
      </c>
      <c r="AW281" s="28">
        <f t="shared" si="20"/>
        <v>5.8902877667434107E-2</v>
      </c>
      <c r="AX281">
        <f t="shared" si="21"/>
        <v>0.99860529986053004</v>
      </c>
      <c r="AY281" s="62">
        <f t="shared" si="22"/>
        <v>5.8820725815736156E-2</v>
      </c>
      <c r="AZ281" s="68" t="str">
        <f t="shared" si="23"/>
        <v>No</v>
      </c>
      <c r="BA281" s="68" t="str">
        <f t="shared" si="24"/>
        <v>No</v>
      </c>
    </row>
    <row r="282" spans="1:53" hidden="1">
      <c r="A282" t="s">
        <v>1815</v>
      </c>
      <c r="B282" t="s">
        <v>3195</v>
      </c>
      <c r="C282">
        <v>114</v>
      </c>
      <c r="F282" t="s">
        <v>1241</v>
      </c>
      <c r="G282" t="s">
        <v>1717</v>
      </c>
      <c r="I282">
        <v>2013</v>
      </c>
      <c r="N282" t="s">
        <v>36</v>
      </c>
      <c r="P282" t="s">
        <v>60</v>
      </c>
      <c r="Q282" t="s">
        <v>900</v>
      </c>
      <c r="R282" t="s">
        <v>911</v>
      </c>
      <c r="S282" t="s">
        <v>1766</v>
      </c>
      <c r="V282" t="s">
        <v>905</v>
      </c>
      <c r="Z282">
        <v>9</v>
      </c>
      <c r="AA282">
        <v>9</v>
      </c>
      <c r="AC282">
        <v>456</v>
      </c>
      <c r="AD282" s="37">
        <v>26.2</v>
      </c>
      <c r="AE282">
        <v>684</v>
      </c>
      <c r="AF282" s="37">
        <v>26.3</v>
      </c>
      <c r="AG282" t="s">
        <v>3411</v>
      </c>
      <c r="AH282">
        <v>2.8350561017201161</v>
      </c>
      <c r="AI282" s="37">
        <v>26.2</v>
      </c>
      <c r="AJ282" t="s">
        <v>1797</v>
      </c>
      <c r="AK282" t="s">
        <v>59</v>
      </c>
      <c r="AM282"/>
      <c r="AN282">
        <v>65.94</v>
      </c>
      <c r="AO282">
        <v>2.04</v>
      </c>
      <c r="AP282">
        <v>59.44</v>
      </c>
      <c r="AQ282">
        <v>2.0999999999999996</v>
      </c>
      <c r="AS282">
        <v>-0.104</v>
      </c>
      <c r="AT282">
        <v>2.0000000000000001E-4</v>
      </c>
      <c r="AW282" s="28">
        <f t="shared" si="20"/>
        <v>-3.1397668974957238</v>
      </c>
      <c r="AX282">
        <f t="shared" si="21"/>
        <v>0.95238095238095233</v>
      </c>
      <c r="AY282" s="62">
        <f t="shared" si="22"/>
        <v>-2.9902541880911655</v>
      </c>
      <c r="AZ282" s="68" t="str">
        <f t="shared" si="23"/>
        <v>No</v>
      </c>
      <c r="BA282" s="68" t="str">
        <f t="shared" si="24"/>
        <v>No</v>
      </c>
    </row>
    <row r="283" spans="1:53" hidden="1">
      <c r="A283" t="s">
        <v>1815</v>
      </c>
      <c r="B283" t="s">
        <v>3197</v>
      </c>
      <c r="C283">
        <v>114</v>
      </c>
      <c r="F283" t="s">
        <v>1241</v>
      </c>
      <c r="G283" t="s">
        <v>1717</v>
      </c>
      <c r="I283">
        <v>2013</v>
      </c>
      <c r="N283" t="s">
        <v>36</v>
      </c>
      <c r="P283" t="s">
        <v>60</v>
      </c>
      <c r="Q283" t="s">
        <v>900</v>
      </c>
      <c r="R283" t="s">
        <v>911</v>
      </c>
      <c r="S283" t="s">
        <v>1766</v>
      </c>
      <c r="V283" t="s">
        <v>905</v>
      </c>
      <c r="Z283">
        <v>9</v>
      </c>
      <c r="AA283">
        <v>9</v>
      </c>
      <c r="AC283">
        <v>439</v>
      </c>
      <c r="AD283" s="37">
        <v>25.97</v>
      </c>
      <c r="AE283">
        <v>670</v>
      </c>
      <c r="AF283" s="37">
        <v>26</v>
      </c>
      <c r="AG283" t="s">
        <v>3412</v>
      </c>
      <c r="AH283">
        <v>2.8260748027008264</v>
      </c>
      <c r="AI283" s="37">
        <v>25.97</v>
      </c>
      <c r="AJ283" t="s">
        <v>1813</v>
      </c>
      <c r="AK283" t="s">
        <v>59</v>
      </c>
      <c r="AM283"/>
      <c r="AN283">
        <v>91.15</v>
      </c>
      <c r="AO283">
        <v>3.3000000000000003</v>
      </c>
      <c r="AP283">
        <v>87.86</v>
      </c>
      <c r="AQ283">
        <v>2.7600000000000002</v>
      </c>
      <c r="AS283">
        <v>-3.6999999999999998E-2</v>
      </c>
      <c r="AT283">
        <v>2.9999999999999997E-4</v>
      </c>
      <c r="AW283" s="28">
        <f t="shared" si="20"/>
        <v>-1.0815232085669353</v>
      </c>
      <c r="AX283">
        <f t="shared" si="21"/>
        <v>0.95238095238095233</v>
      </c>
      <c r="AY283" s="62">
        <f t="shared" si="22"/>
        <v>-1.0300221033970811</v>
      </c>
      <c r="AZ283" s="68" t="str">
        <f t="shared" si="23"/>
        <v>No</v>
      </c>
      <c r="BA283" s="68" t="str">
        <f t="shared" si="24"/>
        <v>No</v>
      </c>
    </row>
    <row r="284" spans="1:53" hidden="1">
      <c r="A284" t="s">
        <v>1815</v>
      </c>
      <c r="B284" t="s">
        <v>3200</v>
      </c>
      <c r="C284">
        <v>114</v>
      </c>
      <c r="F284" t="s">
        <v>1241</v>
      </c>
      <c r="G284" t="s">
        <v>1717</v>
      </c>
      <c r="I284">
        <v>2012</v>
      </c>
      <c r="N284" t="s">
        <v>36</v>
      </c>
      <c r="P284" t="s">
        <v>60</v>
      </c>
      <c r="Q284" t="s">
        <v>900</v>
      </c>
      <c r="R284" t="s">
        <v>911</v>
      </c>
      <c r="S284" t="s">
        <v>1767</v>
      </c>
      <c r="V284" t="s">
        <v>905</v>
      </c>
      <c r="Z284">
        <v>3</v>
      </c>
      <c r="AA284">
        <v>3</v>
      </c>
      <c r="AC284">
        <v>421</v>
      </c>
      <c r="AD284" s="37">
        <v>25.7</v>
      </c>
      <c r="AE284">
        <v>655</v>
      </c>
      <c r="AF284" s="37">
        <v>25.6</v>
      </c>
      <c r="AG284" t="s">
        <v>3410</v>
      </c>
      <c r="AH284">
        <v>2.8162412999917832</v>
      </c>
      <c r="AI284" s="37">
        <v>25.7</v>
      </c>
      <c r="AJ284" t="s">
        <v>1813</v>
      </c>
      <c r="AK284" t="s">
        <v>59</v>
      </c>
      <c r="AM284"/>
      <c r="AN284">
        <v>90.12</v>
      </c>
      <c r="AO284">
        <v>4.2781654946951271</v>
      </c>
      <c r="AP284">
        <v>92.59</v>
      </c>
      <c r="AQ284">
        <v>5.35203699538783</v>
      </c>
      <c r="AS284">
        <v>2.7E-2</v>
      </c>
      <c r="AT284">
        <v>1.9E-3</v>
      </c>
      <c r="AW284" s="28">
        <f t="shared" si="20"/>
        <v>0.50980962258386398</v>
      </c>
      <c r="AX284">
        <f t="shared" si="21"/>
        <v>0.8</v>
      </c>
      <c r="AY284" s="62">
        <f t="shared" si="22"/>
        <v>0.4078476980670912</v>
      </c>
      <c r="AZ284" s="68" t="str">
        <f t="shared" si="23"/>
        <v>No</v>
      </c>
      <c r="BA284" s="68" t="str">
        <f t="shared" si="24"/>
        <v>No</v>
      </c>
    </row>
    <row r="285" spans="1:53" hidden="1">
      <c r="A285" t="s">
        <v>1815</v>
      </c>
      <c r="B285" t="s">
        <v>3202</v>
      </c>
      <c r="C285">
        <v>114</v>
      </c>
      <c r="F285" t="s">
        <v>1241</v>
      </c>
      <c r="G285" t="s">
        <v>1717</v>
      </c>
      <c r="I285">
        <v>2012</v>
      </c>
      <c r="N285" t="s">
        <v>36</v>
      </c>
      <c r="P285" t="s">
        <v>60</v>
      </c>
      <c r="Q285" t="s">
        <v>900</v>
      </c>
      <c r="R285" t="s">
        <v>911</v>
      </c>
      <c r="S285" t="s">
        <v>1767</v>
      </c>
      <c r="V285" t="s">
        <v>905</v>
      </c>
      <c r="Z285">
        <v>3</v>
      </c>
      <c r="AA285">
        <v>3</v>
      </c>
      <c r="AC285">
        <v>421</v>
      </c>
      <c r="AD285" s="37">
        <v>25.7</v>
      </c>
      <c r="AE285">
        <v>655</v>
      </c>
      <c r="AF285" s="37">
        <v>25.6</v>
      </c>
      <c r="AG285" t="s">
        <v>3410</v>
      </c>
      <c r="AH285">
        <v>2.8162412999917832</v>
      </c>
      <c r="AI285" s="37">
        <v>25.7</v>
      </c>
      <c r="AJ285" t="s">
        <v>1797</v>
      </c>
      <c r="AK285" t="s">
        <v>69</v>
      </c>
      <c r="AM285"/>
      <c r="AN285">
        <v>81.28</v>
      </c>
      <c r="AO285">
        <v>3.8278322847272186</v>
      </c>
      <c r="AP285">
        <v>90.48</v>
      </c>
      <c r="AQ285">
        <v>2.5461146871262494</v>
      </c>
      <c r="AS285">
        <v>0.107</v>
      </c>
      <c r="AT285">
        <v>1E-3</v>
      </c>
      <c r="AW285" s="28">
        <f t="shared" si="20"/>
        <v>2.8300994639952131</v>
      </c>
      <c r="AX285">
        <f t="shared" si="21"/>
        <v>0.8</v>
      </c>
      <c r="AY285" s="62">
        <f t="shared" si="22"/>
        <v>2.2640795711961705</v>
      </c>
      <c r="AZ285" s="68" t="str">
        <f t="shared" si="23"/>
        <v>No</v>
      </c>
      <c r="BA285" s="68" t="str">
        <f t="shared" si="24"/>
        <v>No</v>
      </c>
    </row>
    <row r="286" spans="1:53" hidden="1">
      <c r="A286" t="s">
        <v>1815</v>
      </c>
      <c r="B286" t="s">
        <v>2781</v>
      </c>
      <c r="C286">
        <v>114</v>
      </c>
      <c r="F286" t="s">
        <v>1241</v>
      </c>
      <c r="G286" t="s">
        <v>1717</v>
      </c>
      <c r="I286">
        <v>2013</v>
      </c>
      <c r="N286" t="s">
        <v>36</v>
      </c>
      <c r="P286" t="s">
        <v>60</v>
      </c>
      <c r="Q286" t="s">
        <v>900</v>
      </c>
      <c r="R286" t="s">
        <v>911</v>
      </c>
      <c r="S286" t="s">
        <v>1766</v>
      </c>
      <c r="V286" t="s">
        <v>907</v>
      </c>
      <c r="Z286">
        <v>270</v>
      </c>
      <c r="AA286">
        <v>270</v>
      </c>
      <c r="AC286">
        <v>474</v>
      </c>
      <c r="AD286">
        <v>26.5</v>
      </c>
      <c r="AE286">
        <v>521</v>
      </c>
      <c r="AF286">
        <v>28.9</v>
      </c>
      <c r="AG286" t="s">
        <v>3368</v>
      </c>
      <c r="AH286">
        <v>2.7168377232995247</v>
      </c>
      <c r="AI286">
        <v>26.5</v>
      </c>
      <c r="AJ286" t="s">
        <v>1202</v>
      </c>
      <c r="AK286" t="s">
        <v>770</v>
      </c>
      <c r="AM286"/>
      <c r="AN286">
        <v>55.7</v>
      </c>
      <c r="AO286">
        <v>76.571613539222227</v>
      </c>
      <c r="AP286">
        <v>28.76</v>
      </c>
      <c r="AQ286">
        <v>114.85742030883333</v>
      </c>
      <c r="AS286">
        <v>-0.66100000000000003</v>
      </c>
      <c r="AT286">
        <v>6.6199999999999995E-2</v>
      </c>
      <c r="AW286" s="28">
        <f t="shared" si="20"/>
        <v>-0.27599620467270852</v>
      </c>
      <c r="AX286">
        <f t="shared" si="21"/>
        <v>0.99860529986053004</v>
      </c>
      <c r="AY286" s="62">
        <f t="shared" si="22"/>
        <v>-0.27561127272755831</v>
      </c>
      <c r="AZ286" s="68" t="str">
        <f t="shared" si="23"/>
        <v>No</v>
      </c>
      <c r="BA286" s="68" t="str">
        <f t="shared" si="24"/>
        <v>No</v>
      </c>
    </row>
    <row r="287" spans="1:53" hidden="1">
      <c r="A287" t="s">
        <v>1815</v>
      </c>
      <c r="B287" t="s">
        <v>2785</v>
      </c>
      <c r="C287">
        <v>114</v>
      </c>
      <c r="F287" t="s">
        <v>1241</v>
      </c>
      <c r="G287" t="s">
        <v>1717</v>
      </c>
      <c r="I287">
        <v>2012</v>
      </c>
      <c r="N287" t="s">
        <v>36</v>
      </c>
      <c r="P287" t="s">
        <v>60</v>
      </c>
      <c r="Q287" t="s">
        <v>900</v>
      </c>
      <c r="R287" t="s">
        <v>911</v>
      </c>
      <c r="S287" t="s">
        <v>1767</v>
      </c>
      <c r="V287" t="s">
        <v>907</v>
      </c>
      <c r="Z287">
        <v>270</v>
      </c>
      <c r="AA287">
        <v>270</v>
      </c>
      <c r="AC287">
        <v>421</v>
      </c>
      <c r="AD287">
        <v>25.7</v>
      </c>
      <c r="AE287">
        <v>499</v>
      </c>
      <c r="AF287">
        <v>28.5</v>
      </c>
      <c r="AG287" t="s">
        <v>3369</v>
      </c>
      <c r="AH287">
        <v>2.6981005456233897</v>
      </c>
      <c r="AI287">
        <v>25.7</v>
      </c>
      <c r="AJ287" t="s">
        <v>1202</v>
      </c>
      <c r="AK287" t="s">
        <v>770</v>
      </c>
      <c r="AM287"/>
      <c r="AN287">
        <v>52.59</v>
      </c>
      <c r="AO287">
        <v>131.94636410299449</v>
      </c>
      <c r="AP287">
        <v>69.95</v>
      </c>
      <c r="AQ287">
        <v>63.919222460852886</v>
      </c>
      <c r="AS287">
        <v>0.28499999999999998</v>
      </c>
      <c r="AT287">
        <v>2.64E-2</v>
      </c>
      <c r="AW287" s="28">
        <f t="shared" si="20"/>
        <v>0.16745219389498087</v>
      </c>
      <c r="AX287">
        <f t="shared" si="21"/>
        <v>0.99860529986053004</v>
      </c>
      <c r="AY287" s="62">
        <f t="shared" si="22"/>
        <v>0.167218648296801</v>
      </c>
      <c r="AZ287" s="68" t="str">
        <f t="shared" si="23"/>
        <v>No</v>
      </c>
      <c r="BA287" s="68" t="str">
        <f t="shared" si="24"/>
        <v>No</v>
      </c>
    </row>
    <row r="288" spans="1:53" hidden="1">
      <c r="A288" t="s">
        <v>1815</v>
      </c>
      <c r="B288" t="s">
        <v>3192</v>
      </c>
      <c r="C288">
        <v>114</v>
      </c>
      <c r="F288" t="s">
        <v>1241</v>
      </c>
      <c r="G288" t="s">
        <v>1717</v>
      </c>
      <c r="I288">
        <v>2013</v>
      </c>
      <c r="N288" t="s">
        <v>36</v>
      </c>
      <c r="P288" t="s">
        <v>60</v>
      </c>
      <c r="Q288" t="s">
        <v>900</v>
      </c>
      <c r="R288" t="s">
        <v>911</v>
      </c>
      <c r="S288" t="s">
        <v>1767</v>
      </c>
      <c r="V288" t="s">
        <v>907</v>
      </c>
      <c r="Z288">
        <v>3</v>
      </c>
      <c r="AA288">
        <v>3</v>
      </c>
      <c r="AC288">
        <v>421</v>
      </c>
      <c r="AD288" s="37">
        <v>25.7</v>
      </c>
      <c r="AE288">
        <v>499</v>
      </c>
      <c r="AF288" s="37">
        <v>28.5</v>
      </c>
      <c r="AG288" t="s">
        <v>3410</v>
      </c>
      <c r="AH288">
        <v>2.6981005456233897</v>
      </c>
      <c r="AI288" s="37">
        <v>25.7</v>
      </c>
      <c r="AJ288" t="s">
        <v>1797</v>
      </c>
      <c r="AK288" t="s">
        <v>59</v>
      </c>
      <c r="AM288"/>
      <c r="AN288">
        <v>81.28</v>
      </c>
      <c r="AO288">
        <v>3.8278322847272186</v>
      </c>
      <c r="AP288">
        <v>62.5</v>
      </c>
      <c r="AQ288">
        <v>3.186973485926734</v>
      </c>
      <c r="AS288">
        <v>-0.26300000000000001</v>
      </c>
      <c r="AT288">
        <v>1.6000000000000001E-3</v>
      </c>
      <c r="AW288" s="28">
        <f t="shared" si="20"/>
        <v>-5.3321834296518009</v>
      </c>
      <c r="AX288">
        <f t="shared" si="21"/>
        <v>0.8</v>
      </c>
      <c r="AY288" s="62">
        <f t="shared" si="22"/>
        <v>-4.2657467437214409</v>
      </c>
      <c r="AZ288" s="68" t="str">
        <f t="shared" si="23"/>
        <v>No</v>
      </c>
      <c r="BA288" s="68" t="str">
        <f t="shared" si="24"/>
        <v>No</v>
      </c>
    </row>
    <row r="289" spans="1:53" hidden="1">
      <c r="A289" t="s">
        <v>1815</v>
      </c>
      <c r="B289" t="s">
        <v>3194</v>
      </c>
      <c r="C289">
        <v>114</v>
      </c>
      <c r="F289" t="s">
        <v>1241</v>
      </c>
      <c r="G289" t="s">
        <v>1717</v>
      </c>
      <c r="I289">
        <v>2013</v>
      </c>
      <c r="N289" t="s">
        <v>36</v>
      </c>
      <c r="P289" t="s">
        <v>60</v>
      </c>
      <c r="Q289" t="s">
        <v>900</v>
      </c>
      <c r="R289" t="s">
        <v>911</v>
      </c>
      <c r="S289" t="s">
        <v>1766</v>
      </c>
      <c r="V289" t="s">
        <v>907</v>
      </c>
      <c r="Z289">
        <v>9</v>
      </c>
      <c r="AA289">
        <v>9</v>
      </c>
      <c r="AC289">
        <v>456</v>
      </c>
      <c r="AD289" s="37">
        <v>26.2</v>
      </c>
      <c r="AE289">
        <v>514</v>
      </c>
      <c r="AF289" s="37">
        <v>28.8</v>
      </c>
      <c r="AG289" t="s">
        <v>3411</v>
      </c>
      <c r="AH289">
        <v>2.7109631189952759</v>
      </c>
      <c r="AI289" s="37">
        <v>26.2</v>
      </c>
      <c r="AJ289" t="s">
        <v>1797</v>
      </c>
      <c r="AK289" t="s">
        <v>59</v>
      </c>
      <c r="AM289"/>
      <c r="AN289">
        <v>65.94</v>
      </c>
      <c r="AO289">
        <v>2.04</v>
      </c>
      <c r="AP289">
        <v>57.72</v>
      </c>
      <c r="AQ289">
        <v>3.1500000000000004</v>
      </c>
      <c r="AS289">
        <v>-0.13300000000000001</v>
      </c>
      <c r="AT289">
        <v>4.0000000000000002E-4</v>
      </c>
      <c r="AW289" s="28">
        <f t="shared" si="20"/>
        <v>-3.0975781015518793</v>
      </c>
      <c r="AX289">
        <f t="shared" si="21"/>
        <v>0.95238095238095233</v>
      </c>
      <c r="AY289" s="62">
        <f t="shared" si="22"/>
        <v>-2.950074382430361</v>
      </c>
      <c r="AZ289" s="68" t="str">
        <f t="shared" si="23"/>
        <v>No</v>
      </c>
      <c r="BA289" s="68" t="str">
        <f t="shared" si="24"/>
        <v>No</v>
      </c>
    </row>
    <row r="290" spans="1:53" hidden="1">
      <c r="A290" t="s">
        <v>1815</v>
      </c>
      <c r="B290" t="s">
        <v>3199</v>
      </c>
      <c r="C290">
        <v>114</v>
      </c>
      <c r="F290" t="s">
        <v>1241</v>
      </c>
      <c r="G290" t="s">
        <v>1717</v>
      </c>
      <c r="I290">
        <v>2012</v>
      </c>
      <c r="N290" t="s">
        <v>36</v>
      </c>
      <c r="P290" t="s">
        <v>60</v>
      </c>
      <c r="Q290" t="s">
        <v>900</v>
      </c>
      <c r="R290" t="s">
        <v>911</v>
      </c>
      <c r="S290" t="s">
        <v>1766</v>
      </c>
      <c r="V290" t="s">
        <v>907</v>
      </c>
      <c r="Z290">
        <v>9</v>
      </c>
      <c r="AA290">
        <v>9</v>
      </c>
      <c r="AC290">
        <v>439</v>
      </c>
      <c r="AD290" s="37">
        <v>25.97</v>
      </c>
      <c r="AE290">
        <v>506</v>
      </c>
      <c r="AF290" s="37">
        <v>28.6</v>
      </c>
      <c r="AG290" t="s">
        <v>3412</v>
      </c>
      <c r="AH290">
        <v>2.7041505168397992</v>
      </c>
      <c r="AI290" s="37">
        <v>25.97</v>
      </c>
      <c r="AJ290" t="s">
        <v>1813</v>
      </c>
      <c r="AK290" t="s">
        <v>59</v>
      </c>
      <c r="AM290"/>
      <c r="AN290">
        <v>91.15</v>
      </c>
      <c r="AO290">
        <v>3.3000000000000003</v>
      </c>
      <c r="AP290">
        <v>93.62</v>
      </c>
      <c r="AQ290">
        <v>1.53</v>
      </c>
      <c r="AS290">
        <v>2.7E-2</v>
      </c>
      <c r="AT290">
        <v>2.0000000000000001E-4</v>
      </c>
      <c r="AW290" s="28">
        <f t="shared" si="20"/>
        <v>0.96032283884263181</v>
      </c>
      <c r="AX290">
        <f t="shared" si="21"/>
        <v>0.95238095238095233</v>
      </c>
      <c r="AY290" s="62">
        <f t="shared" si="22"/>
        <v>0.91459317985012545</v>
      </c>
      <c r="AZ290" s="68" t="str">
        <f t="shared" si="23"/>
        <v>No</v>
      </c>
      <c r="BA290" s="68" t="str">
        <f t="shared" si="24"/>
        <v>No</v>
      </c>
    </row>
    <row r="291" spans="1:53" hidden="1">
      <c r="A291" t="s">
        <v>1815</v>
      </c>
      <c r="B291" t="s">
        <v>3201</v>
      </c>
      <c r="C291">
        <v>114</v>
      </c>
      <c r="F291" t="s">
        <v>1241</v>
      </c>
      <c r="G291" t="s">
        <v>1717</v>
      </c>
      <c r="I291">
        <v>2012</v>
      </c>
      <c r="N291" t="s">
        <v>36</v>
      </c>
      <c r="P291" t="s">
        <v>60</v>
      </c>
      <c r="Q291" t="s">
        <v>900</v>
      </c>
      <c r="R291" t="s">
        <v>911</v>
      </c>
      <c r="S291" t="s">
        <v>1767</v>
      </c>
      <c r="V291" t="s">
        <v>907</v>
      </c>
      <c r="Z291">
        <v>3</v>
      </c>
      <c r="AA291">
        <v>3</v>
      </c>
      <c r="AC291">
        <v>421</v>
      </c>
      <c r="AD291" s="37">
        <v>25.7</v>
      </c>
      <c r="AE291">
        <v>499</v>
      </c>
      <c r="AF291" s="37">
        <v>28.5</v>
      </c>
      <c r="AG291" t="s">
        <v>3410</v>
      </c>
      <c r="AH291">
        <v>2.6981005456233897</v>
      </c>
      <c r="AI291" s="37">
        <v>25.7</v>
      </c>
      <c r="AJ291" t="s">
        <v>1813</v>
      </c>
      <c r="AK291" t="s">
        <v>59</v>
      </c>
      <c r="AM291"/>
      <c r="AN291">
        <v>90.12</v>
      </c>
      <c r="AO291">
        <v>4.2781654946951271</v>
      </c>
      <c r="AP291">
        <v>93.83</v>
      </c>
      <c r="AQ291">
        <v>7.4824594886975504</v>
      </c>
      <c r="AS291">
        <v>0.04</v>
      </c>
      <c r="AT291">
        <v>2.8999999999999998E-3</v>
      </c>
      <c r="AW291" s="28">
        <f t="shared" si="20"/>
        <v>0.60872903984514448</v>
      </c>
      <c r="AX291">
        <f t="shared" si="21"/>
        <v>0.8</v>
      </c>
      <c r="AY291" s="62">
        <f t="shared" si="22"/>
        <v>0.48698323187611559</v>
      </c>
      <c r="AZ291" s="68" t="str">
        <f t="shared" si="23"/>
        <v>No</v>
      </c>
      <c r="BA291" s="68" t="str">
        <f t="shared" si="24"/>
        <v>No</v>
      </c>
    </row>
    <row r="292" spans="1:53" hidden="1">
      <c r="A292" t="s">
        <v>1815</v>
      </c>
      <c r="B292" t="s">
        <v>2782</v>
      </c>
      <c r="C292">
        <v>114</v>
      </c>
      <c r="F292" t="s">
        <v>1241</v>
      </c>
      <c r="G292" t="s">
        <v>1717</v>
      </c>
      <c r="I292">
        <v>2012</v>
      </c>
      <c r="N292" t="s">
        <v>36</v>
      </c>
      <c r="P292" t="s">
        <v>60</v>
      </c>
      <c r="Q292" t="s">
        <v>900</v>
      </c>
      <c r="R292" t="s">
        <v>911</v>
      </c>
      <c r="S292" t="s">
        <v>1766</v>
      </c>
      <c r="V292" t="s">
        <v>1015</v>
      </c>
      <c r="Z292">
        <v>270</v>
      </c>
      <c r="AA292">
        <v>270</v>
      </c>
      <c r="AC292">
        <v>474</v>
      </c>
      <c r="AD292">
        <v>26.5</v>
      </c>
      <c r="AE292">
        <v>759</v>
      </c>
      <c r="AF292">
        <v>29.2</v>
      </c>
      <c r="AG292" t="s">
        <v>3368</v>
      </c>
      <c r="AH292">
        <v>2.8802417758954801</v>
      </c>
      <c r="AI292">
        <v>26.5</v>
      </c>
      <c r="AJ292" t="s">
        <v>1202</v>
      </c>
      <c r="AK292" t="s">
        <v>770</v>
      </c>
      <c r="AM292"/>
      <c r="AN292">
        <v>55.7</v>
      </c>
      <c r="AO292">
        <v>76.571613539222227</v>
      </c>
      <c r="AP292">
        <v>46.63</v>
      </c>
      <c r="AQ292">
        <v>102.20502923046399</v>
      </c>
      <c r="AS292">
        <v>-0.17799999999999999</v>
      </c>
      <c r="AT292">
        <v>2.4799999999999999E-2</v>
      </c>
      <c r="AW292" s="28">
        <f t="shared" si="20"/>
        <v>-0.10044019642505654</v>
      </c>
      <c r="AX292">
        <f t="shared" si="21"/>
        <v>0.99860529986053004</v>
      </c>
      <c r="AY292" s="62">
        <f t="shared" si="22"/>
        <v>-0.10030011246909412</v>
      </c>
      <c r="AZ292" s="68" t="str">
        <f t="shared" si="23"/>
        <v>No</v>
      </c>
      <c r="BA292" s="68" t="str">
        <f t="shared" si="24"/>
        <v>No</v>
      </c>
    </row>
    <row r="293" spans="1:53" hidden="1">
      <c r="A293" t="s">
        <v>1815</v>
      </c>
      <c r="B293" t="s">
        <v>2786</v>
      </c>
      <c r="C293">
        <v>114</v>
      </c>
      <c r="F293" t="s">
        <v>1241</v>
      </c>
      <c r="G293" t="s">
        <v>1717</v>
      </c>
      <c r="I293">
        <v>2012</v>
      </c>
      <c r="N293" t="s">
        <v>36</v>
      </c>
      <c r="P293" t="s">
        <v>60</v>
      </c>
      <c r="Q293" t="s">
        <v>900</v>
      </c>
      <c r="R293" t="s">
        <v>911</v>
      </c>
      <c r="S293" t="s">
        <v>1767</v>
      </c>
      <c r="V293" t="s">
        <v>1015</v>
      </c>
      <c r="Z293">
        <v>270</v>
      </c>
      <c r="AA293">
        <v>270</v>
      </c>
      <c r="AC293">
        <v>421</v>
      </c>
      <c r="AD293">
        <v>25.7</v>
      </c>
      <c r="AE293">
        <v>663</v>
      </c>
      <c r="AF293">
        <v>28.9</v>
      </c>
      <c r="AG293" t="s">
        <v>3369</v>
      </c>
      <c r="AH293">
        <v>2.8215135284047732</v>
      </c>
      <c r="AI293">
        <v>25.7</v>
      </c>
      <c r="AJ293" t="s">
        <v>1202</v>
      </c>
      <c r="AK293" t="s">
        <v>770</v>
      </c>
      <c r="AM293"/>
      <c r="AN293">
        <v>52.59</v>
      </c>
      <c r="AO293">
        <v>131.94636410299449</v>
      </c>
      <c r="AP293">
        <v>71.239999999999995</v>
      </c>
      <c r="AQ293">
        <v>42.558042718151405</v>
      </c>
      <c r="AS293">
        <v>0.30399999999999999</v>
      </c>
      <c r="AT293">
        <v>2.46E-2</v>
      </c>
      <c r="AW293" s="28">
        <f t="shared" si="20"/>
        <v>0.19024160693744538</v>
      </c>
      <c r="AX293">
        <f t="shared" si="21"/>
        <v>0.99860529986053004</v>
      </c>
      <c r="AY293" s="62">
        <f t="shared" si="22"/>
        <v>0.18997627694171673</v>
      </c>
      <c r="AZ293" s="68" t="str">
        <f t="shared" si="23"/>
        <v>No</v>
      </c>
      <c r="BA293" s="68" t="str">
        <f t="shared" si="24"/>
        <v>No</v>
      </c>
    </row>
    <row r="294" spans="1:53" hidden="1">
      <c r="A294" t="s">
        <v>1815</v>
      </c>
      <c r="B294" t="s">
        <v>3191</v>
      </c>
      <c r="C294">
        <v>114</v>
      </c>
      <c r="F294" t="s">
        <v>1241</v>
      </c>
      <c r="G294" t="s">
        <v>1717</v>
      </c>
      <c r="I294">
        <v>2013</v>
      </c>
      <c r="N294" t="s">
        <v>36</v>
      </c>
      <c r="P294" t="s">
        <v>60</v>
      </c>
      <c r="Q294" t="s">
        <v>900</v>
      </c>
      <c r="R294" t="s">
        <v>911</v>
      </c>
      <c r="S294" t="s">
        <v>1767</v>
      </c>
      <c r="V294" t="s">
        <v>1015</v>
      </c>
      <c r="Z294">
        <v>3</v>
      </c>
      <c r="AA294">
        <v>3</v>
      </c>
      <c r="AC294">
        <v>421</v>
      </c>
      <c r="AD294" s="37">
        <v>25.7</v>
      </c>
      <c r="AE294">
        <v>663</v>
      </c>
      <c r="AF294" s="37">
        <v>28.9</v>
      </c>
      <c r="AG294" t="s">
        <v>3410</v>
      </c>
      <c r="AH294">
        <v>2.8215135284047732</v>
      </c>
      <c r="AI294" s="37">
        <v>25.7</v>
      </c>
      <c r="AJ294" t="s">
        <v>1797</v>
      </c>
      <c r="AK294" t="s">
        <v>59</v>
      </c>
      <c r="AM294"/>
      <c r="AN294">
        <v>81.28</v>
      </c>
      <c r="AO294">
        <v>3.8278322847272186</v>
      </c>
      <c r="AP294">
        <v>50.72</v>
      </c>
      <c r="AQ294">
        <v>2.5461146871262494</v>
      </c>
      <c r="AS294">
        <v>-0.47099999999999997</v>
      </c>
      <c r="AT294">
        <v>1.6000000000000001E-3</v>
      </c>
      <c r="AW294" s="28">
        <f t="shared" si="20"/>
        <v>-9.4008521325754</v>
      </c>
      <c r="AX294">
        <f t="shared" si="21"/>
        <v>0.8</v>
      </c>
      <c r="AY294" s="62">
        <f t="shared" si="22"/>
        <v>-7.5206817060603202</v>
      </c>
      <c r="AZ294" s="68" t="str">
        <f t="shared" si="23"/>
        <v>No</v>
      </c>
      <c r="BA294" s="68" t="str">
        <f t="shared" si="24"/>
        <v>No</v>
      </c>
    </row>
    <row r="295" spans="1:53" hidden="1">
      <c r="A295" t="s">
        <v>1815</v>
      </c>
      <c r="B295" t="s">
        <v>3193</v>
      </c>
      <c r="C295">
        <v>114</v>
      </c>
      <c r="F295" t="s">
        <v>1241</v>
      </c>
      <c r="G295" t="s">
        <v>1717</v>
      </c>
      <c r="I295">
        <v>2013</v>
      </c>
      <c r="N295" t="s">
        <v>36</v>
      </c>
      <c r="P295" t="s">
        <v>60</v>
      </c>
      <c r="Q295" t="s">
        <v>900</v>
      </c>
      <c r="R295" t="s">
        <v>911</v>
      </c>
      <c r="S295" t="s">
        <v>1766</v>
      </c>
      <c r="V295" t="s">
        <v>1015</v>
      </c>
      <c r="Z295">
        <v>9</v>
      </c>
      <c r="AA295">
        <v>9</v>
      </c>
      <c r="AC295">
        <v>456</v>
      </c>
      <c r="AD295" s="37">
        <v>26.2</v>
      </c>
      <c r="AE295">
        <v>727</v>
      </c>
      <c r="AF295" s="37">
        <v>29.1</v>
      </c>
      <c r="AG295" t="s">
        <v>3411</v>
      </c>
      <c r="AH295">
        <v>2.8615344108590377</v>
      </c>
      <c r="AI295" s="37">
        <v>26.2</v>
      </c>
      <c r="AJ295" t="s">
        <v>1797</v>
      </c>
      <c r="AK295" t="s">
        <v>59</v>
      </c>
      <c r="AM295"/>
      <c r="AN295">
        <v>65.94</v>
      </c>
      <c r="AO295">
        <v>2.04</v>
      </c>
      <c r="AP295">
        <v>52.81</v>
      </c>
      <c r="AQ295">
        <v>1.35</v>
      </c>
      <c r="AS295">
        <v>-0.222</v>
      </c>
      <c r="AT295">
        <v>2.0000000000000001E-4</v>
      </c>
      <c r="AW295" s="28">
        <f t="shared" si="20"/>
        <v>-7.5906733486781048</v>
      </c>
      <c r="AX295">
        <f t="shared" si="21"/>
        <v>0.95238095238095233</v>
      </c>
      <c r="AY295" s="62">
        <f t="shared" si="22"/>
        <v>-7.229212713026766</v>
      </c>
      <c r="AZ295" s="68" t="str">
        <f t="shared" si="23"/>
        <v>No</v>
      </c>
      <c r="BA295" s="68" t="str">
        <f t="shared" si="24"/>
        <v>No</v>
      </c>
    </row>
    <row r="296" spans="1:53" hidden="1">
      <c r="A296" t="s">
        <v>1815</v>
      </c>
      <c r="B296" t="s">
        <v>3196</v>
      </c>
      <c r="C296">
        <v>114</v>
      </c>
      <c r="F296" t="s">
        <v>1241</v>
      </c>
      <c r="G296" t="s">
        <v>1717</v>
      </c>
      <c r="I296">
        <v>2013</v>
      </c>
      <c r="N296" t="s">
        <v>36</v>
      </c>
      <c r="P296" t="s">
        <v>60</v>
      </c>
      <c r="Q296" t="s">
        <v>900</v>
      </c>
      <c r="R296" t="s">
        <v>911</v>
      </c>
      <c r="S296" t="s">
        <v>1766</v>
      </c>
      <c r="V296" t="s">
        <v>1015</v>
      </c>
      <c r="Z296">
        <v>9</v>
      </c>
      <c r="AA296">
        <v>9</v>
      </c>
      <c r="AC296">
        <v>439</v>
      </c>
      <c r="AD296" s="37">
        <v>25.97</v>
      </c>
      <c r="AE296">
        <v>695</v>
      </c>
      <c r="AF296" s="37">
        <v>29</v>
      </c>
      <c r="AG296" t="s">
        <v>3412</v>
      </c>
      <c r="AH296">
        <v>2.8419848045901137</v>
      </c>
      <c r="AI296" s="37">
        <v>25.97</v>
      </c>
      <c r="AJ296" t="s">
        <v>1813</v>
      </c>
      <c r="AK296" t="s">
        <v>59</v>
      </c>
      <c r="AM296"/>
      <c r="AN296">
        <v>91.15</v>
      </c>
      <c r="AO296">
        <v>3.3000000000000003</v>
      </c>
      <c r="AP296">
        <v>87.04</v>
      </c>
      <c r="AQ296">
        <v>3.21</v>
      </c>
      <c r="AS296">
        <v>-4.5999999999999999E-2</v>
      </c>
      <c r="AT296">
        <v>2.9999999999999997E-4</v>
      </c>
      <c r="AW296" s="28">
        <f t="shared" si="20"/>
        <v>-1.2625521626433787</v>
      </c>
      <c r="AX296">
        <f t="shared" si="21"/>
        <v>0.95238095238095233</v>
      </c>
      <c r="AY296" s="62">
        <f t="shared" si="22"/>
        <v>-1.2024306310889319</v>
      </c>
      <c r="AZ296" s="68" t="str">
        <f t="shared" si="23"/>
        <v>No</v>
      </c>
      <c r="BA296" s="68" t="str">
        <f t="shared" si="24"/>
        <v>No</v>
      </c>
    </row>
    <row r="297" spans="1:53" hidden="1">
      <c r="A297" t="s">
        <v>1815</v>
      </c>
      <c r="B297" t="s">
        <v>3198</v>
      </c>
      <c r="C297">
        <v>114</v>
      </c>
      <c r="F297" t="s">
        <v>1241</v>
      </c>
      <c r="G297" t="s">
        <v>1717</v>
      </c>
      <c r="I297">
        <v>2012</v>
      </c>
      <c r="N297" t="s">
        <v>36</v>
      </c>
      <c r="P297" t="s">
        <v>60</v>
      </c>
      <c r="Q297" t="s">
        <v>900</v>
      </c>
      <c r="R297" t="s">
        <v>911</v>
      </c>
      <c r="S297" t="s">
        <v>1767</v>
      </c>
      <c r="V297" t="s">
        <v>1015</v>
      </c>
      <c r="Z297">
        <v>3</v>
      </c>
      <c r="AA297">
        <v>3</v>
      </c>
      <c r="AC297">
        <v>421</v>
      </c>
      <c r="AD297" s="37">
        <v>25.7</v>
      </c>
      <c r="AE297">
        <v>663</v>
      </c>
      <c r="AF297" s="37">
        <v>28.9</v>
      </c>
      <c r="AG297" t="s">
        <v>3410</v>
      </c>
      <c r="AH297">
        <v>2.8215135284047732</v>
      </c>
      <c r="AI297" s="37">
        <v>25.7</v>
      </c>
      <c r="AJ297" t="s">
        <v>1813</v>
      </c>
      <c r="AK297" t="s">
        <v>59</v>
      </c>
      <c r="AM297"/>
      <c r="AN297">
        <v>90.12</v>
      </c>
      <c r="AO297">
        <v>4.2781654946951271</v>
      </c>
      <c r="AP297">
        <v>90.12</v>
      </c>
      <c r="AQ297">
        <v>7.4824594886975504</v>
      </c>
      <c r="AS297">
        <v>0</v>
      </c>
      <c r="AT297">
        <v>3.0000000000000001E-3</v>
      </c>
      <c r="AW297" s="28">
        <f t="shared" si="20"/>
        <v>0</v>
      </c>
      <c r="AX297">
        <f t="shared" si="21"/>
        <v>0.8</v>
      </c>
      <c r="AY297" s="62">
        <f t="shared" si="22"/>
        <v>0</v>
      </c>
      <c r="AZ297" s="68" t="str">
        <f t="shared" si="23"/>
        <v>No</v>
      </c>
      <c r="BA297" s="68" t="str">
        <f t="shared" si="24"/>
        <v>No</v>
      </c>
    </row>
    <row r="298" spans="1:53" hidden="1">
      <c r="A298" t="s">
        <v>1815</v>
      </c>
      <c r="B298" t="s">
        <v>2467</v>
      </c>
      <c r="C298">
        <v>2</v>
      </c>
      <c r="F298" t="s">
        <v>1241</v>
      </c>
      <c r="G298" t="s">
        <v>1690</v>
      </c>
      <c r="I298">
        <v>2016</v>
      </c>
      <c r="N298" t="s">
        <v>36</v>
      </c>
      <c r="P298" t="s">
        <v>60</v>
      </c>
      <c r="Q298" t="s">
        <v>900</v>
      </c>
      <c r="R298" t="s">
        <v>1741</v>
      </c>
      <c r="S298" t="s">
        <v>1745</v>
      </c>
      <c r="V298" t="s">
        <v>905</v>
      </c>
      <c r="Z298">
        <v>3</v>
      </c>
      <c r="AA298">
        <v>3</v>
      </c>
      <c r="AC298">
        <v>388</v>
      </c>
      <c r="AD298">
        <v>26</v>
      </c>
      <c r="AE298">
        <v>1158</v>
      </c>
      <c r="AF298">
        <v>26</v>
      </c>
      <c r="AG298" t="s">
        <v>3334</v>
      </c>
      <c r="AH298">
        <v>3.0637085593914173</v>
      </c>
      <c r="AI298">
        <v>26</v>
      </c>
      <c r="AJ298" t="s">
        <v>1788</v>
      </c>
      <c r="AK298" t="s">
        <v>1279</v>
      </c>
      <c r="AM298"/>
      <c r="AN298">
        <v>26308.2</v>
      </c>
      <c r="AO298">
        <v>6586.4003239098665</v>
      </c>
      <c r="AP298">
        <v>6023.97</v>
      </c>
      <c r="AQ298">
        <v>2641.4640840829161</v>
      </c>
      <c r="AS298">
        <v>-1.474</v>
      </c>
      <c r="AT298">
        <v>8.5000000000000006E-2</v>
      </c>
      <c r="AW298" s="28">
        <f t="shared" si="20"/>
        <v>-4.0423999505016681</v>
      </c>
      <c r="AX298">
        <f t="shared" si="21"/>
        <v>0.8</v>
      </c>
      <c r="AY298" s="62">
        <f t="shared" si="22"/>
        <v>-3.2339199604013347</v>
      </c>
      <c r="AZ298" s="68" t="str">
        <f t="shared" si="23"/>
        <v>No</v>
      </c>
      <c r="BA298" s="68" t="str">
        <f t="shared" si="24"/>
        <v>No</v>
      </c>
    </row>
    <row r="299" spans="1:53" hidden="1">
      <c r="A299" t="s">
        <v>1815</v>
      </c>
      <c r="B299" t="s">
        <v>2472</v>
      </c>
      <c r="C299">
        <v>2</v>
      </c>
      <c r="F299" t="s">
        <v>1241</v>
      </c>
      <c r="G299" t="s">
        <v>1690</v>
      </c>
      <c r="I299">
        <v>2016</v>
      </c>
      <c r="N299" t="s">
        <v>36</v>
      </c>
      <c r="P299" t="s">
        <v>60</v>
      </c>
      <c r="Q299" t="s">
        <v>900</v>
      </c>
      <c r="R299" t="s">
        <v>1741</v>
      </c>
      <c r="S299" t="s">
        <v>1745</v>
      </c>
      <c r="V299" t="s">
        <v>905</v>
      </c>
      <c r="Z299">
        <v>90</v>
      </c>
      <c r="AA299">
        <v>90</v>
      </c>
      <c r="AC299">
        <v>388</v>
      </c>
      <c r="AD299">
        <v>26</v>
      </c>
      <c r="AE299">
        <v>1158</v>
      </c>
      <c r="AF299">
        <v>26</v>
      </c>
      <c r="AG299" t="s">
        <v>3334</v>
      </c>
      <c r="AH299">
        <v>3.0637085593914173</v>
      </c>
      <c r="AI299">
        <v>26</v>
      </c>
      <c r="AJ299" t="s">
        <v>1205</v>
      </c>
      <c r="AK299" t="s">
        <v>40</v>
      </c>
      <c r="AM299"/>
      <c r="AN299">
        <v>292.33</v>
      </c>
      <c r="AO299">
        <v>52.462186382193416</v>
      </c>
      <c r="AP299">
        <v>275.68</v>
      </c>
      <c r="AQ299">
        <v>45.441929976619612</v>
      </c>
      <c r="AS299">
        <v>-5.8999999999999997E-2</v>
      </c>
      <c r="AT299">
        <v>6.9999999999999999E-4</v>
      </c>
      <c r="AW299" s="28">
        <f t="shared" si="20"/>
        <v>-0.33925764493920563</v>
      </c>
      <c r="AX299">
        <f t="shared" si="21"/>
        <v>0.99578059071729963</v>
      </c>
      <c r="AY299" s="62">
        <f t="shared" si="22"/>
        <v>-0.33782617808292209</v>
      </c>
      <c r="AZ299" s="68" t="str">
        <f t="shared" si="23"/>
        <v>No</v>
      </c>
      <c r="BA299" s="68" t="str">
        <f t="shared" si="24"/>
        <v>No</v>
      </c>
    </row>
    <row r="300" spans="1:53" hidden="1">
      <c r="A300" t="s">
        <v>1815</v>
      </c>
      <c r="B300" t="s">
        <v>2473</v>
      </c>
      <c r="C300">
        <v>2</v>
      </c>
      <c r="F300" t="s">
        <v>1241</v>
      </c>
      <c r="G300" t="s">
        <v>1690</v>
      </c>
      <c r="I300">
        <v>2015</v>
      </c>
      <c r="N300" t="s">
        <v>36</v>
      </c>
      <c r="P300" t="s">
        <v>60</v>
      </c>
      <c r="Q300" t="s">
        <v>900</v>
      </c>
      <c r="R300" t="s">
        <v>1741</v>
      </c>
      <c r="S300" t="s">
        <v>1745</v>
      </c>
      <c r="V300" t="s">
        <v>905</v>
      </c>
      <c r="Z300">
        <v>3</v>
      </c>
      <c r="AA300">
        <v>3</v>
      </c>
      <c r="AC300">
        <v>388</v>
      </c>
      <c r="AD300">
        <v>26</v>
      </c>
      <c r="AE300">
        <v>1158</v>
      </c>
      <c r="AF300">
        <v>26</v>
      </c>
      <c r="AG300" t="s">
        <v>3334</v>
      </c>
      <c r="AH300">
        <v>3.0637085593914173</v>
      </c>
      <c r="AI300">
        <v>26</v>
      </c>
      <c r="AJ300" t="s">
        <v>1789</v>
      </c>
      <c r="AK300" t="s">
        <v>69</v>
      </c>
      <c r="AM300"/>
      <c r="AN300">
        <v>4.1900000000000004</v>
      </c>
      <c r="AO300">
        <v>6.8416006898970654</v>
      </c>
      <c r="AP300">
        <v>6.82</v>
      </c>
      <c r="AQ300">
        <v>11.4142148218789</v>
      </c>
      <c r="AS300">
        <v>-2.8000000000000001E-2</v>
      </c>
      <c r="AT300">
        <v>6.7000000000000002E-3</v>
      </c>
      <c r="AW300" s="28">
        <f t="shared" si="20"/>
        <v>0.27949337642054101</v>
      </c>
      <c r="AX300">
        <f t="shared" si="21"/>
        <v>0.8</v>
      </c>
      <c r="AY300" s="62">
        <f t="shared" si="22"/>
        <v>0.22359470113643282</v>
      </c>
      <c r="AZ300" s="68" t="str">
        <f t="shared" si="23"/>
        <v>No</v>
      </c>
      <c r="BA300" s="68" t="str">
        <f t="shared" si="24"/>
        <v>No</v>
      </c>
    </row>
    <row r="301" spans="1:53" hidden="1">
      <c r="A301" t="s">
        <v>1815</v>
      </c>
      <c r="B301" t="s">
        <v>2475</v>
      </c>
      <c r="C301">
        <v>2</v>
      </c>
      <c r="F301" t="s">
        <v>1241</v>
      </c>
      <c r="G301" t="s">
        <v>1690</v>
      </c>
      <c r="I301">
        <v>2015</v>
      </c>
      <c r="N301" t="s">
        <v>36</v>
      </c>
      <c r="P301" t="s">
        <v>60</v>
      </c>
      <c r="Q301" t="s">
        <v>900</v>
      </c>
      <c r="R301" t="s">
        <v>1741</v>
      </c>
      <c r="S301" t="s">
        <v>1745</v>
      </c>
      <c r="V301" t="s">
        <v>905</v>
      </c>
      <c r="Z301">
        <v>3</v>
      </c>
      <c r="AA301">
        <v>3</v>
      </c>
      <c r="AC301">
        <v>388</v>
      </c>
      <c r="AD301">
        <v>26</v>
      </c>
      <c r="AE301">
        <v>1158</v>
      </c>
      <c r="AF301">
        <v>26</v>
      </c>
      <c r="AG301" t="s">
        <v>3334</v>
      </c>
      <c r="AH301">
        <v>3.0637085593914173</v>
      </c>
      <c r="AI301">
        <v>26</v>
      </c>
      <c r="AJ301" t="s">
        <v>1790</v>
      </c>
      <c r="AK301" t="s">
        <v>770</v>
      </c>
      <c r="AM301"/>
      <c r="AN301">
        <v>0</v>
      </c>
      <c r="AO301">
        <v>0</v>
      </c>
      <c r="AP301">
        <v>1.43</v>
      </c>
      <c r="AQ301">
        <v>2.2863070659909179</v>
      </c>
      <c r="AS301">
        <v>-1.4E-2</v>
      </c>
      <c r="AT301">
        <v>2.0000000000000001E-4</v>
      </c>
      <c r="AW301" s="28">
        <f t="shared" si="20"/>
        <v>0.88453796267170315</v>
      </c>
      <c r="AX301">
        <f t="shared" si="21"/>
        <v>0.8</v>
      </c>
      <c r="AY301" s="62">
        <f t="shared" si="22"/>
        <v>0.70763037013736252</v>
      </c>
      <c r="AZ301" s="68" t="str">
        <f t="shared" si="23"/>
        <v>No</v>
      </c>
      <c r="BA301" s="68" t="str">
        <f t="shared" si="24"/>
        <v>No</v>
      </c>
    </row>
    <row r="302" spans="1:53" hidden="1">
      <c r="A302" t="s">
        <v>1815</v>
      </c>
      <c r="B302" t="s">
        <v>2468</v>
      </c>
      <c r="C302">
        <v>2</v>
      </c>
      <c r="F302" t="s">
        <v>1241</v>
      </c>
      <c r="G302" t="s">
        <v>1690</v>
      </c>
      <c r="I302">
        <v>2016</v>
      </c>
      <c r="N302" t="s">
        <v>36</v>
      </c>
      <c r="P302" t="s">
        <v>60</v>
      </c>
      <c r="Q302" t="s">
        <v>900</v>
      </c>
      <c r="R302" t="s">
        <v>1741</v>
      </c>
      <c r="S302" t="s">
        <v>1745</v>
      </c>
      <c r="V302" t="s">
        <v>907</v>
      </c>
      <c r="Z302">
        <v>3</v>
      </c>
      <c r="AA302">
        <v>3</v>
      </c>
      <c r="AC302">
        <v>388</v>
      </c>
      <c r="AD302">
        <v>26</v>
      </c>
      <c r="AE302">
        <v>394</v>
      </c>
      <c r="AF302">
        <v>30</v>
      </c>
      <c r="AG302" t="s">
        <v>3334</v>
      </c>
      <c r="AH302">
        <v>2.5954962218255742</v>
      </c>
      <c r="AI302">
        <v>26</v>
      </c>
      <c r="AJ302" t="s">
        <v>1788</v>
      </c>
      <c r="AK302" t="s">
        <v>1279</v>
      </c>
      <c r="AM302"/>
      <c r="AN302">
        <v>26308.2</v>
      </c>
      <c r="AO302">
        <v>6586.4003239098665</v>
      </c>
      <c r="AP302">
        <v>6441.24</v>
      </c>
      <c r="AQ302">
        <v>1478.5824923892476</v>
      </c>
      <c r="AS302">
        <v>-1.407</v>
      </c>
      <c r="AT302">
        <v>3.85E-2</v>
      </c>
      <c r="AW302" s="28">
        <f t="shared" si="20"/>
        <v>-4.1621889366615443</v>
      </c>
      <c r="AX302">
        <f t="shared" si="21"/>
        <v>0.8</v>
      </c>
      <c r="AY302" s="62">
        <f t="shared" si="22"/>
        <v>-3.3297511493292355</v>
      </c>
      <c r="AZ302" s="68" t="str">
        <f t="shared" si="23"/>
        <v>No</v>
      </c>
      <c r="BA302" s="68" t="str">
        <f t="shared" si="24"/>
        <v>No</v>
      </c>
    </row>
    <row r="303" spans="1:53" hidden="1">
      <c r="A303" t="s">
        <v>1815</v>
      </c>
      <c r="B303" t="s">
        <v>2469</v>
      </c>
      <c r="C303">
        <v>2</v>
      </c>
      <c r="F303" t="s">
        <v>1241</v>
      </c>
      <c r="G303" t="s">
        <v>1690</v>
      </c>
      <c r="I303">
        <v>2016</v>
      </c>
      <c r="N303" t="s">
        <v>36</v>
      </c>
      <c r="P303" t="s">
        <v>60</v>
      </c>
      <c r="Q303" t="s">
        <v>900</v>
      </c>
      <c r="R303" t="s">
        <v>1741</v>
      </c>
      <c r="S303" t="s">
        <v>1745</v>
      </c>
      <c r="V303" t="s">
        <v>907</v>
      </c>
      <c r="Z303">
        <v>3</v>
      </c>
      <c r="AA303">
        <v>3</v>
      </c>
      <c r="AC303">
        <v>388</v>
      </c>
      <c r="AD303">
        <v>26</v>
      </c>
      <c r="AE303">
        <v>394</v>
      </c>
      <c r="AF303">
        <v>30</v>
      </c>
      <c r="AG303" t="s">
        <v>3334</v>
      </c>
      <c r="AH303">
        <v>2.5954962218255742</v>
      </c>
      <c r="AI303">
        <v>26</v>
      </c>
      <c r="AJ303" t="s">
        <v>1789</v>
      </c>
      <c r="AK303" t="s">
        <v>69</v>
      </c>
      <c r="AM303"/>
      <c r="AN303">
        <v>4.1900000000000004</v>
      </c>
      <c r="AO303">
        <v>6.8416006898970654</v>
      </c>
      <c r="AP303">
        <v>17.670000000000002</v>
      </c>
      <c r="AQ303">
        <v>22.966993708363312</v>
      </c>
      <c r="AS303">
        <v>-0.152</v>
      </c>
      <c r="AT303">
        <v>2.76E-2</v>
      </c>
      <c r="AW303" s="28">
        <f t="shared" si="20"/>
        <v>0.79549810525504316</v>
      </c>
      <c r="AX303">
        <f t="shared" si="21"/>
        <v>0.8</v>
      </c>
      <c r="AY303" s="62">
        <f t="shared" si="22"/>
        <v>0.63639848420403455</v>
      </c>
      <c r="AZ303" s="68" t="str">
        <f t="shared" si="23"/>
        <v>No</v>
      </c>
      <c r="BA303" s="68" t="str">
        <f t="shared" si="24"/>
        <v>No</v>
      </c>
    </row>
    <row r="304" spans="1:53" hidden="1">
      <c r="A304" t="s">
        <v>1815</v>
      </c>
      <c r="B304" t="s">
        <v>2476</v>
      </c>
      <c r="C304">
        <v>2</v>
      </c>
      <c r="F304" t="s">
        <v>1241</v>
      </c>
      <c r="G304" t="s">
        <v>1690</v>
      </c>
      <c r="I304">
        <v>2013</v>
      </c>
      <c r="N304" t="s">
        <v>36</v>
      </c>
      <c r="P304" t="s">
        <v>60</v>
      </c>
      <c r="Q304" t="s">
        <v>900</v>
      </c>
      <c r="R304" t="s">
        <v>1741</v>
      </c>
      <c r="S304" t="s">
        <v>1745</v>
      </c>
      <c r="V304" t="s">
        <v>907</v>
      </c>
      <c r="Z304">
        <v>3</v>
      </c>
      <c r="AA304">
        <v>3</v>
      </c>
      <c r="AC304">
        <v>388</v>
      </c>
      <c r="AD304">
        <v>26</v>
      </c>
      <c r="AE304">
        <v>394</v>
      </c>
      <c r="AF304">
        <v>30</v>
      </c>
      <c r="AG304" t="s">
        <v>3334</v>
      </c>
      <c r="AH304">
        <v>2.5954962218255742</v>
      </c>
      <c r="AI304">
        <v>26</v>
      </c>
      <c r="AJ304" t="s">
        <v>1790</v>
      </c>
      <c r="AK304" t="s">
        <v>770</v>
      </c>
      <c r="AM304"/>
      <c r="AN304">
        <v>0</v>
      </c>
      <c r="AO304">
        <v>0</v>
      </c>
      <c r="AP304">
        <v>1.39</v>
      </c>
      <c r="AQ304">
        <v>2.2132145219115116</v>
      </c>
      <c r="AS304">
        <v>-1.4E-2</v>
      </c>
      <c r="AT304">
        <v>2.0000000000000001E-4</v>
      </c>
      <c r="AW304" s="28">
        <f t="shared" si="20"/>
        <v>0.88819083384687658</v>
      </c>
      <c r="AX304">
        <f t="shared" si="21"/>
        <v>0.8</v>
      </c>
      <c r="AY304" s="62">
        <f t="shared" si="22"/>
        <v>0.71055266707750131</v>
      </c>
      <c r="AZ304" s="68" t="str">
        <f t="shared" si="23"/>
        <v>No</v>
      </c>
      <c r="BA304" s="68" t="str">
        <f t="shared" si="24"/>
        <v>No</v>
      </c>
    </row>
    <row r="305" spans="1:53" hidden="1">
      <c r="A305" t="s">
        <v>1815</v>
      </c>
      <c r="B305" t="s">
        <v>2477</v>
      </c>
      <c r="C305">
        <v>2</v>
      </c>
      <c r="F305" t="s">
        <v>1241</v>
      </c>
      <c r="G305" t="s">
        <v>1690</v>
      </c>
      <c r="I305">
        <v>2013</v>
      </c>
      <c r="N305" t="s">
        <v>36</v>
      </c>
      <c r="P305" t="s">
        <v>60</v>
      </c>
      <c r="Q305" t="s">
        <v>900</v>
      </c>
      <c r="R305" t="s">
        <v>1741</v>
      </c>
      <c r="S305" t="s">
        <v>1745</v>
      </c>
      <c r="V305" t="s">
        <v>907</v>
      </c>
      <c r="Z305">
        <v>90</v>
      </c>
      <c r="AA305">
        <v>90</v>
      </c>
      <c r="AC305">
        <v>388</v>
      </c>
      <c r="AD305">
        <v>26</v>
      </c>
      <c r="AE305">
        <v>394</v>
      </c>
      <c r="AF305">
        <v>30</v>
      </c>
      <c r="AG305" t="s">
        <v>3334</v>
      </c>
      <c r="AH305">
        <v>2.5954962218255742</v>
      </c>
      <c r="AI305">
        <v>26</v>
      </c>
      <c r="AJ305" t="s">
        <v>1205</v>
      </c>
      <c r="AK305" t="s">
        <v>40</v>
      </c>
      <c r="AM305"/>
      <c r="AN305">
        <v>292.33</v>
      </c>
      <c r="AO305">
        <v>52.462186382193416</v>
      </c>
      <c r="AP305">
        <v>292.33</v>
      </c>
      <c r="AQ305">
        <v>59.956784436792475</v>
      </c>
      <c r="AS305">
        <v>0</v>
      </c>
      <c r="AT305">
        <v>8.0000000000000004E-4</v>
      </c>
      <c r="AW305" s="28">
        <f t="shared" si="20"/>
        <v>0</v>
      </c>
      <c r="AX305">
        <f t="shared" si="21"/>
        <v>0.99578059071729963</v>
      </c>
      <c r="AY305" s="62">
        <f t="shared" si="22"/>
        <v>0</v>
      </c>
      <c r="AZ305" s="68" t="str">
        <f t="shared" si="23"/>
        <v>No</v>
      </c>
      <c r="BA305" s="68" t="str">
        <f t="shared" si="24"/>
        <v>No</v>
      </c>
    </row>
    <row r="306" spans="1:53" hidden="1">
      <c r="A306" t="s">
        <v>1815</v>
      </c>
      <c r="B306" t="s">
        <v>2466</v>
      </c>
      <c r="C306">
        <v>2</v>
      </c>
      <c r="F306" t="s">
        <v>1241</v>
      </c>
      <c r="G306" t="s">
        <v>1690</v>
      </c>
      <c r="I306">
        <v>2016</v>
      </c>
      <c r="N306" t="s">
        <v>36</v>
      </c>
      <c r="P306" t="s">
        <v>60</v>
      </c>
      <c r="Q306" t="s">
        <v>900</v>
      </c>
      <c r="R306" t="s">
        <v>1741</v>
      </c>
      <c r="S306" t="s">
        <v>1745</v>
      </c>
      <c r="V306" t="s">
        <v>1015</v>
      </c>
      <c r="Z306">
        <v>3</v>
      </c>
      <c r="AA306">
        <v>3</v>
      </c>
      <c r="AC306">
        <v>388</v>
      </c>
      <c r="AD306">
        <v>26</v>
      </c>
      <c r="AE306">
        <v>1194</v>
      </c>
      <c r="AF306">
        <v>30</v>
      </c>
      <c r="AG306" t="s">
        <v>3334</v>
      </c>
      <c r="AH306">
        <v>3.0770043267933502</v>
      </c>
      <c r="AI306">
        <v>26</v>
      </c>
      <c r="AJ306" t="s">
        <v>1788</v>
      </c>
      <c r="AK306" t="s">
        <v>1279</v>
      </c>
      <c r="AM306"/>
      <c r="AN306">
        <v>26308.2</v>
      </c>
      <c r="AO306">
        <v>6586.4003239098665</v>
      </c>
      <c r="AP306">
        <v>2287.58</v>
      </c>
      <c r="AQ306">
        <v>1981.1023931892059</v>
      </c>
      <c r="AS306">
        <v>-2.4420000000000002</v>
      </c>
      <c r="AT306">
        <v>0.27089999999999997</v>
      </c>
      <c r="AW306" s="28">
        <f t="shared" si="20"/>
        <v>-4.9390529970851533</v>
      </c>
      <c r="AX306">
        <f t="shared" si="21"/>
        <v>0.8</v>
      </c>
      <c r="AY306" s="62">
        <f t="shared" si="22"/>
        <v>-3.951242397668123</v>
      </c>
      <c r="AZ306" s="68" t="str">
        <f t="shared" si="23"/>
        <v>No</v>
      </c>
      <c r="BA306" s="68" t="str">
        <f t="shared" si="24"/>
        <v>No</v>
      </c>
    </row>
    <row r="307" spans="1:53" hidden="1">
      <c r="A307" t="s">
        <v>1815</v>
      </c>
      <c r="B307" t="s">
        <v>2470</v>
      </c>
      <c r="C307">
        <v>2</v>
      </c>
      <c r="F307" t="s">
        <v>1241</v>
      </c>
      <c r="G307" t="s">
        <v>1690</v>
      </c>
      <c r="I307">
        <v>2016</v>
      </c>
      <c r="N307" t="s">
        <v>36</v>
      </c>
      <c r="P307" t="s">
        <v>60</v>
      </c>
      <c r="Q307" t="s">
        <v>900</v>
      </c>
      <c r="R307" t="s">
        <v>1741</v>
      </c>
      <c r="S307" t="s">
        <v>1745</v>
      </c>
      <c r="V307" t="s">
        <v>1015</v>
      </c>
      <c r="Z307">
        <v>3</v>
      </c>
      <c r="AA307">
        <v>3</v>
      </c>
      <c r="AC307">
        <v>388</v>
      </c>
      <c r="AD307">
        <v>26</v>
      </c>
      <c r="AE307">
        <v>1194</v>
      </c>
      <c r="AF307">
        <v>30</v>
      </c>
      <c r="AG307" t="s">
        <v>3334</v>
      </c>
      <c r="AH307">
        <v>3.0770043267933502</v>
      </c>
      <c r="AI307">
        <v>26</v>
      </c>
      <c r="AJ307" t="s">
        <v>1790</v>
      </c>
      <c r="AK307" t="s">
        <v>770</v>
      </c>
      <c r="AM307"/>
      <c r="AN307">
        <v>0</v>
      </c>
      <c r="AO307">
        <v>0</v>
      </c>
      <c r="AP307">
        <v>13.38</v>
      </c>
      <c r="AQ307">
        <v>4.5580649051982576</v>
      </c>
      <c r="AS307">
        <v>-0.14399999999999999</v>
      </c>
      <c r="AT307">
        <v>8.9999999999999998E-4</v>
      </c>
      <c r="AW307" s="28">
        <f t="shared" si="20"/>
        <v>4.1513620051728894</v>
      </c>
      <c r="AX307">
        <f t="shared" si="21"/>
        <v>0.8</v>
      </c>
      <c r="AY307" s="62">
        <f t="shared" si="22"/>
        <v>3.3210896041383116</v>
      </c>
      <c r="AZ307" s="68" t="str">
        <f t="shared" si="23"/>
        <v>No</v>
      </c>
      <c r="BA307" s="68" t="str">
        <f t="shared" si="24"/>
        <v>No</v>
      </c>
    </row>
    <row r="308" spans="1:53" hidden="1">
      <c r="A308" t="s">
        <v>1815</v>
      </c>
      <c r="B308" t="s">
        <v>2471</v>
      </c>
      <c r="C308">
        <v>2</v>
      </c>
      <c r="F308" t="s">
        <v>1241</v>
      </c>
      <c r="G308" t="s">
        <v>1690</v>
      </c>
      <c r="I308">
        <v>2016</v>
      </c>
      <c r="N308" t="s">
        <v>36</v>
      </c>
      <c r="P308" t="s">
        <v>60</v>
      </c>
      <c r="Q308" t="s">
        <v>900</v>
      </c>
      <c r="R308" t="s">
        <v>1741</v>
      </c>
      <c r="S308" t="s">
        <v>1745</v>
      </c>
      <c r="V308" t="s">
        <v>1015</v>
      </c>
      <c r="Z308">
        <v>3</v>
      </c>
      <c r="AA308">
        <v>3</v>
      </c>
      <c r="AC308">
        <v>388</v>
      </c>
      <c r="AD308">
        <v>26</v>
      </c>
      <c r="AE308">
        <v>1194</v>
      </c>
      <c r="AF308">
        <v>30</v>
      </c>
      <c r="AG308" t="s">
        <v>3334</v>
      </c>
      <c r="AH308">
        <v>3.0770043267933502</v>
      </c>
      <c r="AI308">
        <v>26</v>
      </c>
      <c r="AJ308" t="s">
        <v>1789</v>
      </c>
      <c r="AK308" t="s">
        <v>69</v>
      </c>
      <c r="AM308"/>
      <c r="AN308">
        <v>4.1900000000000004</v>
      </c>
      <c r="AO308">
        <v>6.8416006898970654</v>
      </c>
      <c r="AP308">
        <v>10.91</v>
      </c>
      <c r="AQ308">
        <v>1.9745379206285198</v>
      </c>
      <c r="AS308">
        <v>-7.2999999999999995E-2</v>
      </c>
      <c r="AT308">
        <v>1.9E-3</v>
      </c>
      <c r="AW308" s="28">
        <f t="shared" si="20"/>
        <v>1.3346067286850196</v>
      </c>
      <c r="AX308">
        <f t="shared" si="21"/>
        <v>0.8</v>
      </c>
      <c r="AY308" s="62">
        <f t="shared" si="22"/>
        <v>1.0676853829480157</v>
      </c>
      <c r="AZ308" s="68" t="str">
        <f t="shared" si="23"/>
        <v>No</v>
      </c>
      <c r="BA308" s="68" t="str">
        <f t="shared" si="24"/>
        <v>No</v>
      </c>
    </row>
    <row r="309" spans="1:53" hidden="1">
      <c r="A309" t="s">
        <v>1815</v>
      </c>
      <c r="B309" t="s">
        <v>2474</v>
      </c>
      <c r="C309">
        <v>2</v>
      </c>
      <c r="F309" t="s">
        <v>1241</v>
      </c>
      <c r="G309" t="s">
        <v>1690</v>
      </c>
      <c r="I309">
        <v>2015</v>
      </c>
      <c r="N309" t="s">
        <v>36</v>
      </c>
      <c r="P309" t="s">
        <v>60</v>
      </c>
      <c r="Q309" t="s">
        <v>900</v>
      </c>
      <c r="R309" t="s">
        <v>1741</v>
      </c>
      <c r="S309" t="s">
        <v>1745</v>
      </c>
      <c r="V309" t="s">
        <v>1015</v>
      </c>
      <c r="Z309">
        <v>90</v>
      </c>
      <c r="AA309">
        <v>90</v>
      </c>
      <c r="AC309">
        <v>388</v>
      </c>
      <c r="AD309">
        <v>26</v>
      </c>
      <c r="AE309">
        <v>1194</v>
      </c>
      <c r="AF309">
        <v>30</v>
      </c>
      <c r="AG309" t="s">
        <v>3334</v>
      </c>
      <c r="AH309">
        <v>3.0770043267933502</v>
      </c>
      <c r="AI309">
        <v>26</v>
      </c>
      <c r="AJ309" t="s">
        <v>1205</v>
      </c>
      <c r="AK309" t="s">
        <v>40</v>
      </c>
      <c r="AM309"/>
      <c r="AN309">
        <v>292.33</v>
      </c>
      <c r="AO309">
        <v>52.462186382193416</v>
      </c>
      <c r="AP309">
        <v>286.07</v>
      </c>
      <c r="AQ309">
        <v>22.768399153212332</v>
      </c>
      <c r="AS309">
        <v>-2.1999999999999999E-2</v>
      </c>
      <c r="AT309">
        <v>4.0000000000000002E-4</v>
      </c>
      <c r="AW309" s="28">
        <f t="shared" si="20"/>
        <v>-0.15479974360090093</v>
      </c>
      <c r="AX309">
        <f t="shared" si="21"/>
        <v>0.99578059071729963</v>
      </c>
      <c r="AY309" s="62">
        <f t="shared" si="22"/>
        <v>-0.15414658012579166</v>
      </c>
      <c r="AZ309" s="68" t="str">
        <f t="shared" si="23"/>
        <v>No</v>
      </c>
      <c r="BA309" s="68" t="str">
        <f t="shared" si="24"/>
        <v>No</v>
      </c>
    </row>
    <row r="310" spans="1:53" hidden="1">
      <c r="A310" t="s">
        <v>1815</v>
      </c>
      <c r="B310" t="s">
        <v>2300</v>
      </c>
      <c r="C310">
        <v>144</v>
      </c>
      <c r="F310" t="s">
        <v>1241</v>
      </c>
      <c r="G310" t="s">
        <v>1977</v>
      </c>
      <c r="I310">
        <v>2021</v>
      </c>
      <c r="N310" t="s">
        <v>36</v>
      </c>
      <c r="P310" t="s">
        <v>60</v>
      </c>
      <c r="Q310" t="s">
        <v>900</v>
      </c>
      <c r="R310" t="s">
        <v>888</v>
      </c>
      <c r="S310" t="s">
        <v>1996</v>
      </c>
      <c r="V310" t="s">
        <v>905</v>
      </c>
      <c r="Z310">
        <v>6</v>
      </c>
      <c r="AA310">
        <v>6</v>
      </c>
      <c r="AC310">
        <v>380</v>
      </c>
      <c r="AD310">
        <v>6.2</v>
      </c>
      <c r="AE310">
        <v>1132</v>
      </c>
      <c r="AF310">
        <v>6.2</v>
      </c>
      <c r="AG310" t="s">
        <v>3449</v>
      </c>
      <c r="AI310">
        <v>6.2</v>
      </c>
      <c r="AJ310" t="s">
        <v>2030</v>
      </c>
      <c r="AK310" t="s">
        <v>69</v>
      </c>
      <c r="AN310">
        <v>13.1</v>
      </c>
      <c r="AO310">
        <v>3.1843366656181313</v>
      </c>
      <c r="AP310">
        <v>14.1</v>
      </c>
      <c r="AQ310">
        <v>2.6944387170614958</v>
      </c>
      <c r="AS310">
        <v>-1.1599999999999999E-2</v>
      </c>
      <c r="AT310">
        <v>4.0000000000000002E-4</v>
      </c>
      <c r="AW310" s="28">
        <f t="shared" si="20"/>
        <v>0.33903175181040524</v>
      </c>
      <c r="AX310">
        <f t="shared" si="21"/>
        <v>0.92307692307692313</v>
      </c>
      <c r="AY310" s="62">
        <f t="shared" si="22"/>
        <v>0.31295238628652794</v>
      </c>
      <c r="AZ310" s="68" t="str">
        <f t="shared" si="23"/>
        <v>No</v>
      </c>
      <c r="BA310" s="68" t="str">
        <f t="shared" si="24"/>
        <v>No</v>
      </c>
    </row>
    <row r="311" spans="1:53" hidden="1">
      <c r="A311" t="s">
        <v>1815</v>
      </c>
      <c r="B311" t="s">
        <v>2325</v>
      </c>
      <c r="C311">
        <v>144</v>
      </c>
      <c r="F311" t="s">
        <v>1241</v>
      </c>
      <c r="G311" t="s">
        <v>1977</v>
      </c>
      <c r="I311">
        <v>2018</v>
      </c>
      <c r="N311" t="s">
        <v>36</v>
      </c>
      <c r="P311" t="s">
        <v>60</v>
      </c>
      <c r="Q311" t="s">
        <v>900</v>
      </c>
      <c r="R311" t="s">
        <v>888</v>
      </c>
      <c r="S311" t="s">
        <v>1996</v>
      </c>
      <c r="V311" t="s">
        <v>905</v>
      </c>
      <c r="Z311">
        <v>6</v>
      </c>
      <c r="AA311">
        <v>6</v>
      </c>
      <c r="AC311">
        <v>380</v>
      </c>
      <c r="AD311">
        <v>6.2</v>
      </c>
      <c r="AE311">
        <v>1132</v>
      </c>
      <c r="AF311">
        <v>6.2</v>
      </c>
      <c r="AG311" t="s">
        <v>3435</v>
      </c>
      <c r="AI311">
        <v>6.2</v>
      </c>
      <c r="AJ311" t="s">
        <v>2010</v>
      </c>
      <c r="AK311" t="s">
        <v>904</v>
      </c>
      <c r="AN311">
        <v>2.46</v>
      </c>
      <c r="AO311">
        <v>0.5633826408401309</v>
      </c>
      <c r="AP311">
        <v>2.62</v>
      </c>
      <c r="AQ311">
        <v>0.41641325627314024</v>
      </c>
      <c r="AS311">
        <v>6.3E-2</v>
      </c>
      <c r="AT311">
        <v>1.2999999999999999E-2</v>
      </c>
      <c r="AW311" s="28">
        <f t="shared" si="20"/>
        <v>0.32298526034884034</v>
      </c>
      <c r="AX311">
        <f t="shared" si="21"/>
        <v>0.92307692307692313</v>
      </c>
      <c r="AY311" s="62">
        <f t="shared" si="22"/>
        <v>0.29814024032200648</v>
      </c>
      <c r="AZ311" s="68" t="str">
        <f t="shared" si="23"/>
        <v>No</v>
      </c>
      <c r="BA311" s="68" t="str">
        <f t="shared" si="24"/>
        <v>No</v>
      </c>
    </row>
    <row r="312" spans="1:53" hidden="1">
      <c r="A312" t="s">
        <v>1815</v>
      </c>
      <c r="B312" t="s">
        <v>2230</v>
      </c>
      <c r="C312">
        <v>144</v>
      </c>
      <c r="F312" t="s">
        <v>1241</v>
      </c>
      <c r="G312" t="s">
        <v>1977</v>
      </c>
      <c r="I312">
        <v>2014</v>
      </c>
      <c r="N312" t="s">
        <v>36</v>
      </c>
      <c r="P312" t="s">
        <v>60</v>
      </c>
      <c r="Q312" t="s">
        <v>900</v>
      </c>
      <c r="R312" t="s">
        <v>888</v>
      </c>
      <c r="S312" t="s">
        <v>1996</v>
      </c>
      <c r="V312" t="s">
        <v>907</v>
      </c>
      <c r="Z312">
        <v>6</v>
      </c>
      <c r="AA312">
        <v>6</v>
      </c>
      <c r="AC312">
        <v>380</v>
      </c>
      <c r="AD312">
        <v>6.2</v>
      </c>
      <c r="AE312">
        <v>468</v>
      </c>
      <c r="AF312">
        <v>9.6</v>
      </c>
      <c r="AG312" t="s">
        <v>3435</v>
      </c>
      <c r="AI312">
        <v>6.2</v>
      </c>
      <c r="AJ312" t="s">
        <v>2010</v>
      </c>
      <c r="AK312" t="s">
        <v>904</v>
      </c>
      <c r="AN312">
        <v>2.46</v>
      </c>
      <c r="AO312">
        <v>0.5633826408401309</v>
      </c>
      <c r="AP312">
        <v>4.93</v>
      </c>
      <c r="AQ312">
        <v>1.1757550765359253</v>
      </c>
      <c r="AS312">
        <v>0.69520000000000004</v>
      </c>
      <c r="AT312">
        <v>1.8200000000000001E-2</v>
      </c>
      <c r="AW312" s="28">
        <f t="shared" si="20"/>
        <v>2.679248761564383</v>
      </c>
      <c r="AX312">
        <f t="shared" si="21"/>
        <v>0.92307692307692313</v>
      </c>
      <c r="AY312" s="62">
        <f t="shared" si="22"/>
        <v>2.4731527029825076</v>
      </c>
      <c r="AZ312" s="68" t="str">
        <f t="shared" si="23"/>
        <v>No</v>
      </c>
      <c r="BA312" s="68" t="str">
        <f t="shared" si="24"/>
        <v>No</v>
      </c>
    </row>
    <row r="313" spans="1:53" hidden="1">
      <c r="A313" t="s">
        <v>1815</v>
      </c>
      <c r="B313" t="s">
        <v>2302</v>
      </c>
      <c r="C313">
        <v>144</v>
      </c>
      <c r="F313" t="s">
        <v>1241</v>
      </c>
      <c r="G313" t="s">
        <v>1977</v>
      </c>
      <c r="I313">
        <v>2018</v>
      </c>
      <c r="N313" t="s">
        <v>36</v>
      </c>
      <c r="P313" t="s">
        <v>60</v>
      </c>
      <c r="Q313" t="s">
        <v>900</v>
      </c>
      <c r="R313" t="s">
        <v>888</v>
      </c>
      <c r="S313" t="s">
        <v>1996</v>
      </c>
      <c r="V313" t="s">
        <v>907</v>
      </c>
      <c r="Z313">
        <v>6</v>
      </c>
      <c r="AA313">
        <v>6</v>
      </c>
      <c r="AC313">
        <v>380</v>
      </c>
      <c r="AD313">
        <v>6.2</v>
      </c>
      <c r="AE313">
        <v>468</v>
      </c>
      <c r="AF313">
        <v>9.6</v>
      </c>
      <c r="AG313" t="s">
        <v>3449</v>
      </c>
      <c r="AI313">
        <v>6.2</v>
      </c>
      <c r="AJ313" t="s">
        <v>2030</v>
      </c>
      <c r="AK313" t="s">
        <v>69</v>
      </c>
      <c r="AN313">
        <v>13.1</v>
      </c>
      <c r="AO313">
        <v>3.1843366656181313</v>
      </c>
      <c r="AP313">
        <v>16</v>
      </c>
      <c r="AQ313">
        <v>2.9393876913398134</v>
      </c>
      <c r="AS313">
        <v>-3.39E-2</v>
      </c>
      <c r="AT313">
        <v>4.0000000000000002E-4</v>
      </c>
      <c r="AW313" s="28">
        <f t="shared" si="20"/>
        <v>0.94637923308901473</v>
      </c>
      <c r="AX313">
        <f t="shared" si="21"/>
        <v>0.92307692307692313</v>
      </c>
      <c r="AY313" s="62">
        <f t="shared" si="22"/>
        <v>0.87358083054370594</v>
      </c>
      <c r="AZ313" s="68" t="str">
        <f t="shared" si="23"/>
        <v>No</v>
      </c>
      <c r="BA313" s="68" t="str">
        <f t="shared" si="24"/>
        <v>No</v>
      </c>
    </row>
    <row r="314" spans="1:53" hidden="1">
      <c r="A314" t="s">
        <v>1815</v>
      </c>
      <c r="B314" t="s">
        <v>2221</v>
      </c>
      <c r="C314">
        <v>144</v>
      </c>
      <c r="F314" t="s">
        <v>1241</v>
      </c>
      <c r="G314" t="s">
        <v>1977</v>
      </c>
      <c r="I314">
        <v>2014</v>
      </c>
      <c r="N314" t="s">
        <v>36</v>
      </c>
      <c r="P314" t="s">
        <v>60</v>
      </c>
      <c r="Q314" t="s">
        <v>900</v>
      </c>
      <c r="R314" t="s">
        <v>888</v>
      </c>
      <c r="S314" t="s">
        <v>1996</v>
      </c>
      <c r="V314" t="s">
        <v>1015</v>
      </c>
      <c r="Z314">
        <v>6</v>
      </c>
      <c r="AA314">
        <v>6</v>
      </c>
      <c r="AC314">
        <v>380</v>
      </c>
      <c r="AD314">
        <v>6.2</v>
      </c>
      <c r="AE314">
        <v>1149</v>
      </c>
      <c r="AF314">
        <v>9.6</v>
      </c>
      <c r="AG314" t="s">
        <v>3435</v>
      </c>
      <c r="AI314">
        <v>6.2</v>
      </c>
      <c r="AJ314" t="s">
        <v>2010</v>
      </c>
      <c r="AK314" t="s">
        <v>904</v>
      </c>
      <c r="AN314">
        <v>2.46</v>
      </c>
      <c r="AO314">
        <v>0.5633826408401309</v>
      </c>
      <c r="AP314">
        <v>5.4</v>
      </c>
      <c r="AQ314">
        <v>1.2982295636750842</v>
      </c>
      <c r="AS314">
        <v>0.78620000000000001</v>
      </c>
      <c r="AT314">
        <v>1.84E-2</v>
      </c>
      <c r="AW314" s="28">
        <f t="shared" si="20"/>
        <v>2.9379441583820354</v>
      </c>
      <c r="AX314">
        <f t="shared" si="21"/>
        <v>0.92307692307692313</v>
      </c>
      <c r="AY314" s="62">
        <f t="shared" si="22"/>
        <v>2.7119484538911096</v>
      </c>
      <c r="AZ314" s="68" t="str">
        <f t="shared" si="23"/>
        <v>No</v>
      </c>
      <c r="BA314" s="68" t="str">
        <f t="shared" si="24"/>
        <v>No</v>
      </c>
    </row>
    <row r="315" spans="1:53" hidden="1">
      <c r="A315" t="s">
        <v>1815</v>
      </c>
      <c r="B315" t="s">
        <v>2287</v>
      </c>
      <c r="C315">
        <v>144</v>
      </c>
      <c r="F315" t="s">
        <v>1241</v>
      </c>
      <c r="G315" t="s">
        <v>1977</v>
      </c>
      <c r="I315">
        <v>2021</v>
      </c>
      <c r="N315" t="s">
        <v>36</v>
      </c>
      <c r="P315" t="s">
        <v>60</v>
      </c>
      <c r="Q315" t="s">
        <v>900</v>
      </c>
      <c r="R315" t="s">
        <v>888</v>
      </c>
      <c r="S315" t="s">
        <v>1996</v>
      </c>
      <c r="V315" t="s">
        <v>1015</v>
      </c>
      <c r="Z315">
        <v>6</v>
      </c>
      <c r="AA315">
        <v>6</v>
      </c>
      <c r="AC315">
        <v>380</v>
      </c>
      <c r="AD315">
        <v>6.2</v>
      </c>
      <c r="AE315">
        <v>1149</v>
      </c>
      <c r="AF315">
        <v>9.6</v>
      </c>
      <c r="AG315" t="s">
        <v>3449</v>
      </c>
      <c r="AI315">
        <v>6.2</v>
      </c>
      <c r="AJ315" t="s">
        <v>2030</v>
      </c>
      <c r="AK315" t="s">
        <v>69</v>
      </c>
      <c r="AN315">
        <v>13.1</v>
      </c>
      <c r="AO315">
        <v>3.1843366656181313</v>
      </c>
      <c r="AP315">
        <v>28.2</v>
      </c>
      <c r="AQ315">
        <v>1.4696938456699067</v>
      </c>
      <c r="AS315">
        <v>-0.19089999999999999</v>
      </c>
      <c r="AT315">
        <v>2.9999999999999997E-4</v>
      </c>
      <c r="AW315" s="28">
        <f t="shared" si="20"/>
        <v>6.0889076810186147</v>
      </c>
      <c r="AX315">
        <f t="shared" si="21"/>
        <v>0.92307692307692313</v>
      </c>
      <c r="AY315" s="62">
        <f t="shared" si="22"/>
        <v>5.6205301670941061</v>
      </c>
      <c r="AZ315" s="68" t="str">
        <f t="shared" si="23"/>
        <v>No</v>
      </c>
      <c r="BA315" s="68" t="str">
        <f t="shared" si="24"/>
        <v>No</v>
      </c>
    </row>
    <row r="316" spans="1:53" hidden="1">
      <c r="A316" t="s">
        <v>1815</v>
      </c>
      <c r="B316" t="s">
        <v>2356</v>
      </c>
      <c r="C316">
        <v>167</v>
      </c>
      <c r="F316" t="s">
        <v>1241</v>
      </c>
      <c r="G316" t="s">
        <v>1988</v>
      </c>
      <c r="I316">
        <v>2017</v>
      </c>
      <c r="N316" t="s">
        <v>36</v>
      </c>
      <c r="P316" t="s">
        <v>60</v>
      </c>
      <c r="Q316" t="s">
        <v>900</v>
      </c>
      <c r="R316" t="s">
        <v>888</v>
      </c>
      <c r="S316" t="s">
        <v>1996</v>
      </c>
      <c r="V316" t="s">
        <v>905</v>
      </c>
      <c r="Z316">
        <v>3</v>
      </c>
      <c r="AA316">
        <v>3</v>
      </c>
      <c r="AC316">
        <v>415</v>
      </c>
      <c r="AD316">
        <v>6.2</v>
      </c>
      <c r="AE316">
        <v>1122</v>
      </c>
      <c r="AF316">
        <v>6.2</v>
      </c>
      <c r="AG316" t="s">
        <v>3452</v>
      </c>
      <c r="AI316">
        <v>6.2</v>
      </c>
      <c r="AJ316" t="s">
        <v>2040</v>
      </c>
      <c r="AK316" t="s">
        <v>904</v>
      </c>
      <c r="AN316">
        <v>1.3148</v>
      </c>
      <c r="AO316">
        <v>8.6602540378443865E-2</v>
      </c>
      <c r="AP316">
        <v>1.54</v>
      </c>
      <c r="AQ316">
        <v>6.9282032302755092E-2</v>
      </c>
      <c r="AS316">
        <v>0.15809999999999999</v>
      </c>
      <c r="AT316">
        <v>2.0999999999999999E-3</v>
      </c>
      <c r="AW316" s="28">
        <f t="shared" si="20"/>
        <v>2.8716455156372764</v>
      </c>
      <c r="AX316">
        <f t="shared" si="21"/>
        <v>0.8</v>
      </c>
      <c r="AY316" s="62">
        <f t="shared" si="22"/>
        <v>2.2973164125098213</v>
      </c>
      <c r="AZ316" s="68" t="str">
        <f t="shared" si="23"/>
        <v>No</v>
      </c>
      <c r="BA316" s="68" t="str">
        <f t="shared" si="24"/>
        <v>No</v>
      </c>
    </row>
    <row r="317" spans="1:53" hidden="1">
      <c r="A317" t="s">
        <v>1815</v>
      </c>
      <c r="B317" t="s">
        <v>2407</v>
      </c>
      <c r="C317">
        <v>167</v>
      </c>
      <c r="F317" t="s">
        <v>1241</v>
      </c>
      <c r="G317" t="s">
        <v>1988</v>
      </c>
      <c r="I317">
        <v>2018</v>
      </c>
      <c r="N317" t="s">
        <v>36</v>
      </c>
      <c r="P317" t="s">
        <v>60</v>
      </c>
      <c r="Q317" t="s">
        <v>900</v>
      </c>
      <c r="R317" t="s">
        <v>888</v>
      </c>
      <c r="S317" t="s">
        <v>1996</v>
      </c>
      <c r="V317" t="s">
        <v>905</v>
      </c>
      <c r="Z317">
        <v>7</v>
      </c>
      <c r="AA317">
        <v>7</v>
      </c>
      <c r="AC317">
        <v>415</v>
      </c>
      <c r="AD317">
        <v>6.2</v>
      </c>
      <c r="AE317">
        <v>1122</v>
      </c>
      <c r="AF317">
        <v>6.2</v>
      </c>
      <c r="AG317" t="s">
        <v>3452</v>
      </c>
      <c r="AI317">
        <v>6.2</v>
      </c>
      <c r="AJ317" t="s">
        <v>2042</v>
      </c>
      <c r="AK317" t="s">
        <v>40</v>
      </c>
      <c r="AN317">
        <v>22.24</v>
      </c>
      <c r="AO317">
        <v>2.1695160750729641</v>
      </c>
      <c r="AP317">
        <v>24.898599999999998</v>
      </c>
      <c r="AQ317">
        <v>4.9531110294440204</v>
      </c>
      <c r="AS317">
        <v>0.1129</v>
      </c>
      <c r="AT317">
        <v>7.0000000000000001E-3</v>
      </c>
      <c r="AW317" s="28">
        <f t="shared" si="20"/>
        <v>0.69531004820686171</v>
      </c>
      <c r="AX317">
        <f t="shared" si="21"/>
        <v>0.93617021276595747</v>
      </c>
      <c r="AY317" s="62">
        <f t="shared" si="22"/>
        <v>0.65092855576812592</v>
      </c>
      <c r="AZ317" s="68" t="str">
        <f t="shared" si="23"/>
        <v>No</v>
      </c>
      <c r="BA317" s="68" t="str">
        <f t="shared" si="24"/>
        <v>No</v>
      </c>
    </row>
    <row r="318" spans="1:53" hidden="1">
      <c r="A318" t="s">
        <v>1815</v>
      </c>
      <c r="B318" t="s">
        <v>2429</v>
      </c>
      <c r="C318">
        <v>167</v>
      </c>
      <c r="F318" t="s">
        <v>1241</v>
      </c>
      <c r="G318" t="s">
        <v>1988</v>
      </c>
      <c r="I318">
        <v>2015</v>
      </c>
      <c r="N318" t="s">
        <v>36</v>
      </c>
      <c r="P318" t="s">
        <v>60</v>
      </c>
      <c r="Q318" t="s">
        <v>900</v>
      </c>
      <c r="R318" t="s">
        <v>888</v>
      </c>
      <c r="S318" t="s">
        <v>1996</v>
      </c>
      <c r="V318" t="s">
        <v>905</v>
      </c>
      <c r="Z318">
        <v>5</v>
      </c>
      <c r="AA318">
        <v>5</v>
      </c>
      <c r="AC318">
        <v>415</v>
      </c>
      <c r="AD318">
        <v>6.2</v>
      </c>
      <c r="AE318">
        <v>1122</v>
      </c>
      <c r="AF318">
        <v>6.2</v>
      </c>
      <c r="AG318" t="s">
        <v>3452</v>
      </c>
      <c r="AI318">
        <v>6.2</v>
      </c>
      <c r="AJ318" t="s">
        <v>120</v>
      </c>
      <c r="AK318" t="s">
        <v>59</v>
      </c>
      <c r="AN318">
        <v>62.331099999999999</v>
      </c>
      <c r="AO318">
        <v>6.4210928041883966</v>
      </c>
      <c r="AP318">
        <v>50.94</v>
      </c>
      <c r="AQ318">
        <v>16.077328758223491</v>
      </c>
      <c r="AS318">
        <v>-0.20180000000000001</v>
      </c>
      <c r="AT318">
        <v>2.1999999999999999E-2</v>
      </c>
      <c r="AW318" s="28">
        <f t="shared" si="20"/>
        <v>-0.93052783680588069</v>
      </c>
      <c r="AX318">
        <f t="shared" si="21"/>
        <v>0.90322580645161288</v>
      </c>
      <c r="AY318" s="62">
        <f t="shared" si="22"/>
        <v>-0.84047675582466641</v>
      </c>
      <c r="AZ318" s="68" t="str">
        <f t="shared" si="23"/>
        <v>No</v>
      </c>
      <c r="BA318" s="68" t="str">
        <f t="shared" si="24"/>
        <v>No</v>
      </c>
    </row>
    <row r="319" spans="1:53" hidden="1">
      <c r="A319" t="s">
        <v>1815</v>
      </c>
      <c r="B319" t="s">
        <v>2449</v>
      </c>
      <c r="C319">
        <v>167</v>
      </c>
      <c r="F319" t="s">
        <v>1241</v>
      </c>
      <c r="G319" t="s">
        <v>1988</v>
      </c>
      <c r="I319">
        <v>2018</v>
      </c>
      <c r="N319" t="s">
        <v>36</v>
      </c>
      <c r="P319" t="s">
        <v>60</v>
      </c>
      <c r="Q319" t="s">
        <v>900</v>
      </c>
      <c r="R319" t="s">
        <v>888</v>
      </c>
      <c r="S319" t="s">
        <v>1996</v>
      </c>
      <c r="V319" t="s">
        <v>905</v>
      </c>
      <c r="Z319">
        <v>7</v>
      </c>
      <c r="AA319">
        <v>7</v>
      </c>
      <c r="AC319">
        <v>415</v>
      </c>
      <c r="AD319">
        <v>6.2</v>
      </c>
      <c r="AE319">
        <v>1122</v>
      </c>
      <c r="AF319">
        <v>6.2</v>
      </c>
      <c r="AG319" t="s">
        <v>3452</v>
      </c>
      <c r="AI319">
        <v>6.2</v>
      </c>
      <c r="AJ319" t="s">
        <v>2051</v>
      </c>
      <c r="AK319" t="s">
        <v>40</v>
      </c>
      <c r="AN319">
        <v>0.63019999999999998</v>
      </c>
      <c r="AO319">
        <v>0.23811761799581316</v>
      </c>
      <c r="AP319">
        <v>0.40079999999999999</v>
      </c>
      <c r="AQ319">
        <v>0.22409513604717082</v>
      </c>
      <c r="AS319">
        <v>-0.45250000000000001</v>
      </c>
      <c r="AT319">
        <v>6.4500000000000002E-2</v>
      </c>
      <c r="AW319" s="28">
        <f t="shared" si="20"/>
        <v>-0.99216001084392635</v>
      </c>
      <c r="AX319">
        <f t="shared" si="21"/>
        <v>0.93617021276595747</v>
      </c>
      <c r="AY319" s="62">
        <f t="shared" si="22"/>
        <v>-0.92883064844963326</v>
      </c>
      <c r="AZ319" s="68" t="str">
        <f t="shared" si="23"/>
        <v>No</v>
      </c>
      <c r="BA319" s="68" t="str">
        <f t="shared" si="24"/>
        <v>No</v>
      </c>
    </row>
    <row r="320" spans="1:53" hidden="1">
      <c r="A320" t="s">
        <v>1815</v>
      </c>
      <c r="B320" t="s">
        <v>2360</v>
      </c>
      <c r="C320">
        <v>167</v>
      </c>
      <c r="F320" t="s">
        <v>1241</v>
      </c>
      <c r="G320" t="s">
        <v>1988</v>
      </c>
      <c r="I320">
        <v>2019</v>
      </c>
      <c r="N320" t="s">
        <v>36</v>
      </c>
      <c r="P320" t="s">
        <v>60</v>
      </c>
      <c r="Q320" t="s">
        <v>900</v>
      </c>
      <c r="R320" t="s">
        <v>888</v>
      </c>
      <c r="S320" t="s">
        <v>1996</v>
      </c>
      <c r="V320" t="s">
        <v>907</v>
      </c>
      <c r="Z320">
        <v>3</v>
      </c>
      <c r="AA320">
        <v>3</v>
      </c>
      <c r="AC320">
        <v>415</v>
      </c>
      <c r="AD320">
        <v>6.2</v>
      </c>
      <c r="AE320">
        <v>422</v>
      </c>
      <c r="AF320">
        <v>9.1</v>
      </c>
      <c r="AG320" t="s">
        <v>3452</v>
      </c>
      <c r="AI320">
        <v>6.2</v>
      </c>
      <c r="AJ320" t="s">
        <v>2040</v>
      </c>
      <c r="AK320" t="s">
        <v>904</v>
      </c>
      <c r="AN320">
        <v>1.3148</v>
      </c>
      <c r="AO320">
        <v>8.6602540378443865E-2</v>
      </c>
      <c r="AP320">
        <v>1.71</v>
      </c>
      <c r="AQ320">
        <v>8.6602540378443865E-2</v>
      </c>
      <c r="AS320">
        <v>0.26279999999999998</v>
      </c>
      <c r="AT320">
        <v>2.3E-3</v>
      </c>
      <c r="AW320" s="28">
        <f t="shared" si="20"/>
        <v>4.5633765276748024</v>
      </c>
      <c r="AX320">
        <f t="shared" si="21"/>
        <v>0.8</v>
      </c>
      <c r="AY320" s="62">
        <f t="shared" si="22"/>
        <v>3.6507012221398423</v>
      </c>
      <c r="AZ320" s="68" t="str">
        <f t="shared" si="23"/>
        <v>No</v>
      </c>
      <c r="BA320" s="68" t="str">
        <f t="shared" si="24"/>
        <v>No</v>
      </c>
    </row>
    <row r="321" spans="1:53" hidden="1">
      <c r="A321" t="s">
        <v>1815</v>
      </c>
      <c r="B321" t="s">
        <v>2366</v>
      </c>
      <c r="C321">
        <v>167</v>
      </c>
      <c r="F321" t="s">
        <v>1241</v>
      </c>
      <c r="G321" t="s">
        <v>1988</v>
      </c>
      <c r="I321">
        <v>2018</v>
      </c>
      <c r="N321" t="s">
        <v>36</v>
      </c>
      <c r="P321" t="s">
        <v>60</v>
      </c>
      <c r="Q321" t="s">
        <v>900</v>
      </c>
      <c r="R321" t="s">
        <v>888</v>
      </c>
      <c r="S321" t="s">
        <v>1996</v>
      </c>
      <c r="V321" t="s">
        <v>907</v>
      </c>
      <c r="Z321">
        <v>7</v>
      </c>
      <c r="AA321">
        <v>7</v>
      </c>
      <c r="AC321">
        <v>415</v>
      </c>
      <c r="AD321">
        <v>6.2</v>
      </c>
      <c r="AE321">
        <v>422</v>
      </c>
      <c r="AF321">
        <v>9.1</v>
      </c>
      <c r="AG321" t="s">
        <v>3452</v>
      </c>
      <c r="AI321">
        <v>6.2</v>
      </c>
      <c r="AJ321" t="s">
        <v>2042</v>
      </c>
      <c r="AK321" t="s">
        <v>40</v>
      </c>
      <c r="AN321">
        <v>22.24</v>
      </c>
      <c r="AO321">
        <v>2.1695160750729641</v>
      </c>
      <c r="AP321">
        <v>25.148199999999999</v>
      </c>
      <c r="AQ321">
        <v>2.1695160750729641</v>
      </c>
      <c r="AS321">
        <v>0.1229</v>
      </c>
      <c r="AT321">
        <v>2.3999999999999998E-3</v>
      </c>
      <c r="AW321" s="28">
        <f t="shared" si="20"/>
        <v>1.340483268787116</v>
      </c>
      <c r="AX321">
        <f t="shared" si="21"/>
        <v>0.93617021276595747</v>
      </c>
      <c r="AY321" s="62">
        <f t="shared" si="22"/>
        <v>1.2549205069496405</v>
      </c>
      <c r="AZ321" s="68" t="str">
        <f t="shared" si="23"/>
        <v>No</v>
      </c>
      <c r="BA321" s="68" t="str">
        <f t="shared" si="24"/>
        <v>No</v>
      </c>
    </row>
    <row r="322" spans="1:53" hidden="1">
      <c r="A322" t="s">
        <v>1815</v>
      </c>
      <c r="B322" t="s">
        <v>2369</v>
      </c>
      <c r="C322">
        <v>167</v>
      </c>
      <c r="F322" t="s">
        <v>1241</v>
      </c>
      <c r="G322" t="s">
        <v>1988</v>
      </c>
      <c r="I322">
        <v>2020</v>
      </c>
      <c r="N322" t="s">
        <v>36</v>
      </c>
      <c r="P322" t="s">
        <v>60</v>
      </c>
      <c r="Q322" t="s">
        <v>900</v>
      </c>
      <c r="R322" t="s">
        <v>888</v>
      </c>
      <c r="S322" t="s">
        <v>1996</v>
      </c>
      <c r="V322" t="s">
        <v>907</v>
      </c>
      <c r="Z322">
        <v>3</v>
      </c>
      <c r="AA322">
        <v>3</v>
      </c>
      <c r="AC322">
        <v>415</v>
      </c>
      <c r="AD322">
        <v>6.2</v>
      </c>
      <c r="AE322">
        <v>417</v>
      </c>
      <c r="AF322">
        <v>12.1</v>
      </c>
      <c r="AG322" t="s">
        <v>3452</v>
      </c>
      <c r="AI322">
        <v>6.2</v>
      </c>
      <c r="AJ322" t="s">
        <v>2040</v>
      </c>
      <c r="AK322" t="s">
        <v>904</v>
      </c>
      <c r="AN322">
        <v>1.3148</v>
      </c>
      <c r="AO322">
        <v>8.6602540378443865E-2</v>
      </c>
      <c r="AP322">
        <v>1.81</v>
      </c>
      <c r="AQ322">
        <v>0.10392304845413262</v>
      </c>
      <c r="AS322">
        <v>0.3196</v>
      </c>
      <c r="AT322">
        <v>2.5000000000000001E-3</v>
      </c>
      <c r="AW322" s="28">
        <f t="shared" ref="AW322:AW385" si="25">(AP322-$AN322)/SQRT(((AA322-1)*AQ322*AQ322+($Z322-1)*$AO322*$AO322)/(AA322+$Z322-2))</f>
        <v>5.1769037310381938</v>
      </c>
      <c r="AX322">
        <f t="shared" ref="AX322:AX385" si="26">1-(3/(4*(AA322+$Z322-2)-1))</f>
        <v>0.8</v>
      </c>
      <c r="AY322" s="62">
        <f t="shared" ref="AY322:AY385" si="27">AX322*AW322</f>
        <v>4.141522984830555</v>
      </c>
      <c r="AZ322" s="68" t="str">
        <f t="shared" ref="AZ322:AZ385" si="28">IF(AY322&gt;10,"Yes","No")</f>
        <v>No</v>
      </c>
      <c r="BA322" s="68" t="str">
        <f t="shared" ref="BA322:BA385" si="29">IF(AY322&lt;-10,"Yes","No")</f>
        <v>No</v>
      </c>
    </row>
    <row r="323" spans="1:53" hidden="1">
      <c r="A323" t="s">
        <v>1815</v>
      </c>
      <c r="B323" t="s">
        <v>2378</v>
      </c>
      <c r="C323">
        <v>167</v>
      </c>
      <c r="F323" t="s">
        <v>1241</v>
      </c>
      <c r="G323" t="s">
        <v>1988</v>
      </c>
      <c r="I323">
        <v>2019</v>
      </c>
      <c r="N323" t="s">
        <v>36</v>
      </c>
      <c r="P323" t="s">
        <v>60</v>
      </c>
      <c r="Q323" t="s">
        <v>900</v>
      </c>
      <c r="R323" t="s">
        <v>888</v>
      </c>
      <c r="S323" t="s">
        <v>1996</v>
      </c>
      <c r="V323" t="s">
        <v>907</v>
      </c>
      <c r="Z323">
        <v>7</v>
      </c>
      <c r="AA323">
        <v>7</v>
      </c>
      <c r="AC323">
        <v>415</v>
      </c>
      <c r="AD323">
        <v>6.2</v>
      </c>
      <c r="AE323">
        <v>417</v>
      </c>
      <c r="AF323">
        <v>12.1</v>
      </c>
      <c r="AG323" t="s">
        <v>3452</v>
      </c>
      <c r="AI323">
        <v>6.2</v>
      </c>
      <c r="AJ323" t="s">
        <v>2042</v>
      </c>
      <c r="AK323" t="s">
        <v>40</v>
      </c>
      <c r="AN323">
        <v>22.24</v>
      </c>
      <c r="AO323">
        <v>2.1695160750729641</v>
      </c>
      <c r="AP323">
        <v>17.722300000000001</v>
      </c>
      <c r="AQ323">
        <v>2.1695160750729641</v>
      </c>
      <c r="AS323">
        <v>-0.2271</v>
      </c>
      <c r="AT323">
        <v>3.5000000000000001E-3</v>
      </c>
      <c r="AW323" s="28">
        <f t="shared" si="25"/>
        <v>-2.0823537801387624</v>
      </c>
      <c r="AX323">
        <f t="shared" si="26"/>
        <v>0.93617021276595747</v>
      </c>
      <c r="AY323" s="62">
        <f t="shared" si="27"/>
        <v>-1.949437581406501</v>
      </c>
      <c r="AZ323" s="68" t="str">
        <f t="shared" si="28"/>
        <v>No</v>
      </c>
      <c r="BA323" s="68" t="str">
        <f t="shared" si="29"/>
        <v>No</v>
      </c>
    </row>
    <row r="324" spans="1:53" hidden="1">
      <c r="A324" t="s">
        <v>1815</v>
      </c>
      <c r="B324" t="s">
        <v>2423</v>
      </c>
      <c r="C324">
        <v>167</v>
      </c>
      <c r="F324" t="s">
        <v>1241</v>
      </c>
      <c r="G324" t="s">
        <v>1988</v>
      </c>
      <c r="I324">
        <v>2021</v>
      </c>
      <c r="N324" t="s">
        <v>36</v>
      </c>
      <c r="P324" t="s">
        <v>60</v>
      </c>
      <c r="Q324" t="s">
        <v>900</v>
      </c>
      <c r="R324" t="s">
        <v>888</v>
      </c>
      <c r="S324" t="s">
        <v>1996</v>
      </c>
      <c r="V324" t="s">
        <v>907</v>
      </c>
      <c r="Z324">
        <v>5</v>
      </c>
      <c r="AA324">
        <v>5</v>
      </c>
      <c r="AC324">
        <v>415</v>
      </c>
      <c r="AD324">
        <v>6.2</v>
      </c>
      <c r="AE324">
        <v>417</v>
      </c>
      <c r="AF324">
        <v>12.1</v>
      </c>
      <c r="AG324" t="s">
        <v>3452</v>
      </c>
      <c r="AI324">
        <v>6.2</v>
      </c>
      <c r="AJ324" t="s">
        <v>120</v>
      </c>
      <c r="AK324" t="s">
        <v>59</v>
      </c>
      <c r="AN324">
        <v>62.331099999999999</v>
      </c>
      <c r="AO324">
        <v>6.4210928041883966</v>
      </c>
      <c r="AP324">
        <v>21.22</v>
      </c>
      <c r="AQ324">
        <v>5.0087922695995299</v>
      </c>
      <c r="AS324">
        <v>-1.0774999999999999</v>
      </c>
      <c r="AT324">
        <v>1.3299999999999999E-2</v>
      </c>
      <c r="AW324" s="28">
        <f t="shared" si="25"/>
        <v>-7.139321961580368</v>
      </c>
      <c r="AX324">
        <f t="shared" si="26"/>
        <v>0.90322580645161288</v>
      </c>
      <c r="AY324" s="62">
        <f t="shared" si="27"/>
        <v>-6.4484198362661385</v>
      </c>
      <c r="AZ324" s="68" t="str">
        <f t="shared" si="28"/>
        <v>No</v>
      </c>
      <c r="BA324" s="68" t="str">
        <f t="shared" si="29"/>
        <v>No</v>
      </c>
    </row>
    <row r="325" spans="1:53" hidden="1">
      <c r="A325" t="s">
        <v>1815</v>
      </c>
      <c r="B325" t="s">
        <v>2436</v>
      </c>
      <c r="C325">
        <v>167</v>
      </c>
      <c r="F325" t="s">
        <v>1241</v>
      </c>
      <c r="G325" t="s">
        <v>1988</v>
      </c>
      <c r="I325">
        <v>2018</v>
      </c>
      <c r="N325" t="s">
        <v>36</v>
      </c>
      <c r="P325" t="s">
        <v>60</v>
      </c>
      <c r="Q325" t="s">
        <v>900</v>
      </c>
      <c r="R325" t="s">
        <v>888</v>
      </c>
      <c r="S325" t="s">
        <v>1996</v>
      </c>
      <c r="V325" t="s">
        <v>907</v>
      </c>
      <c r="Z325">
        <v>5</v>
      </c>
      <c r="AA325">
        <v>5</v>
      </c>
      <c r="AC325">
        <v>415</v>
      </c>
      <c r="AD325">
        <v>6.2</v>
      </c>
      <c r="AE325">
        <v>422</v>
      </c>
      <c r="AF325">
        <v>9.1</v>
      </c>
      <c r="AG325" t="s">
        <v>3452</v>
      </c>
      <c r="AI325">
        <v>6.2</v>
      </c>
      <c r="AJ325" t="s">
        <v>120</v>
      </c>
      <c r="AK325" t="s">
        <v>59</v>
      </c>
      <c r="AN325">
        <v>62.331099999999999</v>
      </c>
      <c r="AO325">
        <v>6.4210928041883966</v>
      </c>
      <c r="AP325">
        <v>37.97</v>
      </c>
      <c r="AQ325">
        <v>14.221392336898663</v>
      </c>
      <c r="AS325">
        <v>-0.49569999999999997</v>
      </c>
      <c r="AT325">
        <v>3.0200000000000001E-2</v>
      </c>
      <c r="AW325" s="28">
        <f t="shared" si="25"/>
        <v>-2.2079114084543083</v>
      </c>
      <c r="AX325">
        <f t="shared" si="26"/>
        <v>0.90322580645161288</v>
      </c>
      <c r="AY325" s="62">
        <f t="shared" si="27"/>
        <v>-1.994242562474859</v>
      </c>
      <c r="AZ325" s="68" t="str">
        <f t="shared" si="28"/>
        <v>No</v>
      </c>
      <c r="BA325" s="68" t="str">
        <f t="shared" si="29"/>
        <v>No</v>
      </c>
    </row>
    <row r="326" spans="1:53" hidden="1">
      <c r="A326" t="s">
        <v>1815</v>
      </c>
      <c r="B326" t="s">
        <v>2440</v>
      </c>
      <c r="C326">
        <v>167</v>
      </c>
      <c r="F326" t="s">
        <v>1241</v>
      </c>
      <c r="G326" t="s">
        <v>1988</v>
      </c>
      <c r="I326">
        <v>2018</v>
      </c>
      <c r="N326" t="s">
        <v>36</v>
      </c>
      <c r="P326" t="s">
        <v>60</v>
      </c>
      <c r="Q326" t="s">
        <v>900</v>
      </c>
      <c r="R326" t="s">
        <v>888</v>
      </c>
      <c r="S326" t="s">
        <v>1996</v>
      </c>
      <c r="V326" t="s">
        <v>907</v>
      </c>
      <c r="Z326">
        <v>7</v>
      </c>
      <c r="AA326">
        <v>7</v>
      </c>
      <c r="AC326">
        <v>415</v>
      </c>
      <c r="AD326">
        <v>6.2</v>
      </c>
      <c r="AE326">
        <v>422</v>
      </c>
      <c r="AF326">
        <v>9.1</v>
      </c>
      <c r="AG326" t="s">
        <v>3452</v>
      </c>
      <c r="AI326">
        <v>6.2</v>
      </c>
      <c r="AJ326" t="s">
        <v>2051</v>
      </c>
      <c r="AK326" t="s">
        <v>40</v>
      </c>
      <c r="AN326">
        <v>0.63019999999999998</v>
      </c>
      <c r="AO326">
        <v>0.23811761799581316</v>
      </c>
      <c r="AP326">
        <v>0.63219999999999998</v>
      </c>
      <c r="AQ326">
        <v>0.24605487192900694</v>
      </c>
      <c r="AS326">
        <v>3.3E-3</v>
      </c>
      <c r="AT326">
        <v>4.1500000000000002E-2</v>
      </c>
      <c r="AW326" s="28">
        <f t="shared" si="25"/>
        <v>8.2604086386867635E-3</v>
      </c>
      <c r="AX326">
        <f t="shared" si="26"/>
        <v>0.93617021276595747</v>
      </c>
      <c r="AY326" s="62">
        <f t="shared" si="27"/>
        <v>7.7331485128131405E-3</v>
      </c>
      <c r="AZ326" s="68" t="str">
        <f t="shared" si="28"/>
        <v>No</v>
      </c>
      <c r="BA326" s="68" t="str">
        <f t="shared" si="29"/>
        <v>No</v>
      </c>
    </row>
    <row r="327" spans="1:53" hidden="1">
      <c r="A327" t="s">
        <v>1815</v>
      </c>
      <c r="B327" t="s">
        <v>2455</v>
      </c>
      <c r="C327">
        <v>167</v>
      </c>
      <c r="F327" t="s">
        <v>1241</v>
      </c>
      <c r="G327" t="s">
        <v>1988</v>
      </c>
      <c r="I327">
        <v>2018</v>
      </c>
      <c r="N327" t="s">
        <v>36</v>
      </c>
      <c r="P327" t="s">
        <v>60</v>
      </c>
      <c r="Q327" t="s">
        <v>900</v>
      </c>
      <c r="R327" t="s">
        <v>888</v>
      </c>
      <c r="S327" t="s">
        <v>1996</v>
      </c>
      <c r="V327" t="s">
        <v>907</v>
      </c>
      <c r="Z327">
        <v>7</v>
      </c>
      <c r="AA327">
        <v>7</v>
      </c>
      <c r="AC327">
        <v>415</v>
      </c>
      <c r="AD327">
        <v>6.2</v>
      </c>
      <c r="AE327">
        <v>417</v>
      </c>
      <c r="AF327">
        <v>12.1</v>
      </c>
      <c r="AG327" t="s">
        <v>3452</v>
      </c>
      <c r="AI327">
        <v>6.2</v>
      </c>
      <c r="AJ327" t="s">
        <v>2051</v>
      </c>
      <c r="AK327" t="s">
        <v>40</v>
      </c>
      <c r="AN327">
        <v>0.63019999999999998</v>
      </c>
      <c r="AO327">
        <v>0.23811761799581316</v>
      </c>
      <c r="AP327">
        <v>0.35539999999999999</v>
      </c>
      <c r="AQ327">
        <v>0.24605487192900694</v>
      </c>
      <c r="AS327">
        <v>-0.57279999999999998</v>
      </c>
      <c r="AT327">
        <v>8.8300000000000003E-2</v>
      </c>
      <c r="AW327" s="28">
        <f t="shared" si="25"/>
        <v>-1.1349801469555603</v>
      </c>
      <c r="AX327">
        <f t="shared" si="26"/>
        <v>0.93617021276595747</v>
      </c>
      <c r="AY327" s="62">
        <f t="shared" si="27"/>
        <v>-1.0625346056605245</v>
      </c>
      <c r="AZ327" s="68" t="str">
        <f t="shared" si="28"/>
        <v>No</v>
      </c>
      <c r="BA327" s="68" t="str">
        <f t="shared" si="29"/>
        <v>No</v>
      </c>
    </row>
    <row r="328" spans="1:53" hidden="1">
      <c r="A328" t="s">
        <v>1815</v>
      </c>
      <c r="B328" t="s">
        <v>2359</v>
      </c>
      <c r="C328">
        <v>167</v>
      </c>
      <c r="F328" t="s">
        <v>1241</v>
      </c>
      <c r="G328" t="s">
        <v>1988</v>
      </c>
      <c r="I328">
        <v>2018</v>
      </c>
      <c r="N328" t="s">
        <v>36</v>
      </c>
      <c r="P328" t="s">
        <v>60</v>
      </c>
      <c r="Q328" t="s">
        <v>900</v>
      </c>
      <c r="R328" t="s">
        <v>888</v>
      </c>
      <c r="S328" t="s">
        <v>1996</v>
      </c>
      <c r="V328" t="s">
        <v>1015</v>
      </c>
      <c r="Z328">
        <v>3</v>
      </c>
      <c r="AA328">
        <v>3</v>
      </c>
      <c r="AC328">
        <v>415</v>
      </c>
      <c r="AD328">
        <v>6.2</v>
      </c>
      <c r="AE328">
        <v>1091</v>
      </c>
      <c r="AF328">
        <v>9.1</v>
      </c>
      <c r="AG328" t="s">
        <v>3452</v>
      </c>
      <c r="AI328">
        <v>6.2</v>
      </c>
      <c r="AJ328" t="s">
        <v>2040</v>
      </c>
      <c r="AK328" t="s">
        <v>904</v>
      </c>
      <c r="AN328">
        <v>1.3148</v>
      </c>
      <c r="AO328">
        <v>8.6602540378443865E-2</v>
      </c>
      <c r="AP328">
        <v>1.74</v>
      </c>
      <c r="AQ328">
        <v>8.6602540378443865E-2</v>
      </c>
      <c r="AS328">
        <v>0.2802</v>
      </c>
      <c r="AT328">
        <v>2.3E-3</v>
      </c>
      <c r="AW328" s="28">
        <f t="shared" si="25"/>
        <v>4.9097866891885777</v>
      </c>
      <c r="AX328">
        <f t="shared" si="26"/>
        <v>0.8</v>
      </c>
      <c r="AY328" s="62">
        <f t="shared" si="27"/>
        <v>3.9278293513508622</v>
      </c>
      <c r="AZ328" s="68" t="str">
        <f t="shared" si="28"/>
        <v>No</v>
      </c>
      <c r="BA328" s="68" t="str">
        <f t="shared" si="29"/>
        <v>No</v>
      </c>
    </row>
    <row r="329" spans="1:53" hidden="1">
      <c r="A329" t="s">
        <v>1815</v>
      </c>
      <c r="B329" t="s">
        <v>2361</v>
      </c>
      <c r="C329">
        <v>167</v>
      </c>
      <c r="F329" t="s">
        <v>1241</v>
      </c>
      <c r="G329" t="s">
        <v>1988</v>
      </c>
      <c r="I329">
        <v>2017</v>
      </c>
      <c r="N329" t="s">
        <v>36</v>
      </c>
      <c r="P329" t="s">
        <v>60</v>
      </c>
      <c r="Q329" t="s">
        <v>900</v>
      </c>
      <c r="R329" t="s">
        <v>888</v>
      </c>
      <c r="S329" t="s">
        <v>1996</v>
      </c>
      <c r="V329" t="s">
        <v>1015</v>
      </c>
      <c r="Z329">
        <v>3</v>
      </c>
      <c r="AA329">
        <v>3</v>
      </c>
      <c r="AC329">
        <v>415</v>
      </c>
      <c r="AD329">
        <v>6.2</v>
      </c>
      <c r="AE329">
        <v>1097</v>
      </c>
      <c r="AF329">
        <v>12.1</v>
      </c>
      <c r="AG329" t="s">
        <v>3452</v>
      </c>
      <c r="AI329">
        <v>6.2</v>
      </c>
      <c r="AJ329" t="s">
        <v>2040</v>
      </c>
      <c r="AK329" t="s">
        <v>904</v>
      </c>
      <c r="AN329">
        <v>1.3148</v>
      </c>
      <c r="AO329">
        <v>8.6602540378443865E-2</v>
      </c>
      <c r="AP329">
        <v>1.68</v>
      </c>
      <c r="AQ329">
        <v>8.6602540378443865E-2</v>
      </c>
      <c r="AS329">
        <v>0.24510000000000001</v>
      </c>
      <c r="AT329">
        <v>2.3E-3</v>
      </c>
      <c r="AW329" s="28">
        <f t="shared" si="25"/>
        <v>4.2169663661610262</v>
      </c>
      <c r="AX329">
        <f t="shared" si="26"/>
        <v>0.8</v>
      </c>
      <c r="AY329" s="62">
        <f t="shared" si="27"/>
        <v>3.373573092928821</v>
      </c>
      <c r="AZ329" s="68" t="str">
        <f t="shared" si="28"/>
        <v>No</v>
      </c>
      <c r="BA329" s="68" t="str">
        <f t="shared" si="29"/>
        <v>No</v>
      </c>
    </row>
    <row r="330" spans="1:53" hidden="1">
      <c r="A330" t="s">
        <v>1815</v>
      </c>
      <c r="B330" t="s">
        <v>2367</v>
      </c>
      <c r="C330">
        <v>167</v>
      </c>
      <c r="F330" t="s">
        <v>1241</v>
      </c>
      <c r="G330" t="s">
        <v>1988</v>
      </c>
      <c r="I330">
        <v>2021</v>
      </c>
      <c r="N330" t="s">
        <v>36</v>
      </c>
      <c r="P330" t="s">
        <v>60</v>
      </c>
      <c r="Q330" t="s">
        <v>900</v>
      </c>
      <c r="R330" t="s">
        <v>888</v>
      </c>
      <c r="S330" t="s">
        <v>1996</v>
      </c>
      <c r="V330" t="s">
        <v>1015</v>
      </c>
      <c r="Z330">
        <v>7</v>
      </c>
      <c r="AA330">
        <v>7</v>
      </c>
      <c r="AC330">
        <v>415</v>
      </c>
      <c r="AD330">
        <v>6.2</v>
      </c>
      <c r="AE330">
        <v>1091</v>
      </c>
      <c r="AF330">
        <v>9.1</v>
      </c>
      <c r="AG330" t="s">
        <v>3452</v>
      </c>
      <c r="AI330">
        <v>6.2</v>
      </c>
      <c r="AJ330" t="s">
        <v>2042</v>
      </c>
      <c r="AK330" t="s">
        <v>40</v>
      </c>
      <c r="AN330">
        <v>22.24</v>
      </c>
      <c r="AO330">
        <v>2.1695160750729641</v>
      </c>
      <c r="AP330">
        <v>24.711400000000001</v>
      </c>
      <c r="AQ330">
        <v>2.1695160750729641</v>
      </c>
      <c r="AS330">
        <v>0.10539999999999999</v>
      </c>
      <c r="AT330">
        <v>2.5000000000000001E-3</v>
      </c>
      <c r="AW330" s="28">
        <f t="shared" si="25"/>
        <v>1.1391480470670796</v>
      </c>
      <c r="AX330">
        <f t="shared" si="26"/>
        <v>0.93617021276595747</v>
      </c>
      <c r="AY330" s="62">
        <f t="shared" si="27"/>
        <v>1.0664364695947128</v>
      </c>
      <c r="AZ330" s="68" t="str">
        <f t="shared" si="28"/>
        <v>No</v>
      </c>
      <c r="BA330" s="68" t="str">
        <f t="shared" si="29"/>
        <v>No</v>
      </c>
    </row>
    <row r="331" spans="1:53" hidden="1">
      <c r="A331" t="s">
        <v>1815</v>
      </c>
      <c r="B331" t="s">
        <v>2406</v>
      </c>
      <c r="C331">
        <v>167</v>
      </c>
      <c r="F331" t="s">
        <v>1241</v>
      </c>
      <c r="G331" t="s">
        <v>1988</v>
      </c>
      <c r="I331">
        <v>2018</v>
      </c>
      <c r="N331" t="s">
        <v>36</v>
      </c>
      <c r="P331" t="s">
        <v>60</v>
      </c>
      <c r="Q331" t="s">
        <v>900</v>
      </c>
      <c r="R331" t="s">
        <v>888</v>
      </c>
      <c r="S331" t="s">
        <v>1996</v>
      </c>
      <c r="V331" t="s">
        <v>1015</v>
      </c>
      <c r="Z331">
        <v>7</v>
      </c>
      <c r="AA331">
        <v>7</v>
      </c>
      <c r="AC331">
        <v>415</v>
      </c>
      <c r="AD331">
        <v>6.2</v>
      </c>
      <c r="AE331">
        <v>1097</v>
      </c>
      <c r="AF331">
        <v>12.1</v>
      </c>
      <c r="AG331" t="s">
        <v>3452</v>
      </c>
      <c r="AI331">
        <v>6.2</v>
      </c>
      <c r="AJ331" t="s">
        <v>2042</v>
      </c>
      <c r="AK331" t="s">
        <v>40</v>
      </c>
      <c r="AN331">
        <v>22.24</v>
      </c>
      <c r="AO331">
        <v>2.1695160750729641</v>
      </c>
      <c r="AP331">
        <v>22.028099999999998</v>
      </c>
      <c r="AQ331">
        <v>4.2927315022022983</v>
      </c>
      <c r="AS331">
        <v>-9.5999999999999992E-3</v>
      </c>
      <c r="AT331">
        <v>6.7999999999999996E-3</v>
      </c>
      <c r="AW331" s="28">
        <f t="shared" si="25"/>
        <v>-6.2304205506475148E-2</v>
      </c>
      <c r="AX331">
        <f t="shared" si="26"/>
        <v>0.93617021276595747</v>
      </c>
      <c r="AY331" s="62">
        <f t="shared" si="27"/>
        <v>-5.832734132521078E-2</v>
      </c>
      <c r="AZ331" s="68" t="str">
        <f t="shared" si="28"/>
        <v>No</v>
      </c>
      <c r="BA331" s="68" t="str">
        <f t="shared" si="29"/>
        <v>No</v>
      </c>
    </row>
    <row r="332" spans="1:53" hidden="1">
      <c r="A332" t="s">
        <v>1815</v>
      </c>
      <c r="B332" t="s">
        <v>2443</v>
      </c>
      <c r="C332">
        <v>167</v>
      </c>
      <c r="F332" t="s">
        <v>1241</v>
      </c>
      <c r="G332" t="s">
        <v>1988</v>
      </c>
      <c r="I332">
        <v>2015</v>
      </c>
      <c r="N332" t="s">
        <v>36</v>
      </c>
      <c r="P332" t="s">
        <v>60</v>
      </c>
      <c r="Q332" t="s">
        <v>900</v>
      </c>
      <c r="R332" t="s">
        <v>888</v>
      </c>
      <c r="S332" t="s">
        <v>1996</v>
      </c>
      <c r="V332" t="s">
        <v>1015</v>
      </c>
      <c r="Z332">
        <v>5</v>
      </c>
      <c r="AA332">
        <v>5</v>
      </c>
      <c r="AC332">
        <v>415</v>
      </c>
      <c r="AD332">
        <v>6.2</v>
      </c>
      <c r="AE332">
        <v>1091</v>
      </c>
      <c r="AF332">
        <v>9.1</v>
      </c>
      <c r="AG332" t="s">
        <v>3452</v>
      </c>
      <c r="AI332">
        <v>6.2</v>
      </c>
      <c r="AJ332" t="s">
        <v>120</v>
      </c>
      <c r="AK332" t="s">
        <v>59</v>
      </c>
      <c r="AN332">
        <v>62.331099999999999</v>
      </c>
      <c r="AO332">
        <v>6.4210928041883966</v>
      </c>
      <c r="AP332">
        <v>33.6</v>
      </c>
      <c r="AQ332">
        <v>16.345656915523463</v>
      </c>
      <c r="AS332">
        <v>-0.6179</v>
      </c>
      <c r="AT332">
        <v>4.9500000000000002E-2</v>
      </c>
      <c r="AW332" s="28">
        <f t="shared" si="25"/>
        <v>-2.3136750810026743</v>
      </c>
      <c r="AX332">
        <f t="shared" si="26"/>
        <v>0.90322580645161288</v>
      </c>
      <c r="AY332" s="62">
        <f t="shared" si="27"/>
        <v>-2.0897710409056414</v>
      </c>
      <c r="AZ332" s="68" t="str">
        <f t="shared" si="28"/>
        <v>No</v>
      </c>
      <c r="BA332" s="68" t="str">
        <f t="shared" si="29"/>
        <v>No</v>
      </c>
    </row>
    <row r="333" spans="1:53" hidden="1">
      <c r="A333" t="s">
        <v>1815</v>
      </c>
      <c r="B333" t="s">
        <v>2450</v>
      </c>
      <c r="C333">
        <v>167</v>
      </c>
      <c r="F333" t="s">
        <v>1241</v>
      </c>
      <c r="G333" t="s">
        <v>1988</v>
      </c>
      <c r="I333">
        <v>2017</v>
      </c>
      <c r="N333" t="s">
        <v>36</v>
      </c>
      <c r="P333" t="s">
        <v>60</v>
      </c>
      <c r="Q333" t="s">
        <v>900</v>
      </c>
      <c r="R333" t="s">
        <v>888</v>
      </c>
      <c r="S333" t="s">
        <v>1996</v>
      </c>
      <c r="V333" t="s">
        <v>1015</v>
      </c>
      <c r="Z333">
        <v>7</v>
      </c>
      <c r="AA333">
        <v>7</v>
      </c>
      <c r="AC333">
        <v>415</v>
      </c>
      <c r="AD333">
        <v>6.2</v>
      </c>
      <c r="AE333">
        <v>1091</v>
      </c>
      <c r="AF333">
        <v>9.1</v>
      </c>
      <c r="AG333" t="s">
        <v>3452</v>
      </c>
      <c r="AI333">
        <v>6.2</v>
      </c>
      <c r="AJ333" t="s">
        <v>2051</v>
      </c>
      <c r="AK333" t="s">
        <v>40</v>
      </c>
      <c r="AN333">
        <v>0.63019999999999998</v>
      </c>
      <c r="AO333">
        <v>0.23811761799581316</v>
      </c>
      <c r="AP333">
        <v>0.42359999999999998</v>
      </c>
      <c r="AQ333">
        <v>0.25134637455113612</v>
      </c>
      <c r="AS333">
        <v>-0.39729999999999999</v>
      </c>
      <c r="AT333">
        <v>7.0199999999999999E-2</v>
      </c>
      <c r="AW333" s="28">
        <f t="shared" si="25"/>
        <v>-0.84388060376441987</v>
      </c>
      <c r="AX333">
        <f t="shared" si="26"/>
        <v>0.93617021276595747</v>
      </c>
      <c r="AY333" s="62">
        <f t="shared" si="27"/>
        <v>-0.79001588437520165</v>
      </c>
      <c r="AZ333" s="68" t="str">
        <f t="shared" si="28"/>
        <v>No</v>
      </c>
      <c r="BA333" s="68" t="str">
        <f t="shared" si="29"/>
        <v>No</v>
      </c>
    </row>
    <row r="334" spans="1:53" hidden="1">
      <c r="A334" t="s">
        <v>1815</v>
      </c>
      <c r="B334" t="s">
        <v>2458</v>
      </c>
      <c r="C334">
        <v>167</v>
      </c>
      <c r="F334" t="s">
        <v>1241</v>
      </c>
      <c r="G334" t="s">
        <v>1988</v>
      </c>
      <c r="N334" t="s">
        <v>36</v>
      </c>
      <c r="P334" t="s">
        <v>60</v>
      </c>
      <c r="Q334" t="s">
        <v>900</v>
      </c>
      <c r="R334" t="s">
        <v>888</v>
      </c>
      <c r="S334" t="s">
        <v>1996</v>
      </c>
      <c r="V334" t="s">
        <v>1015</v>
      </c>
      <c r="Z334">
        <v>5</v>
      </c>
      <c r="AA334">
        <v>5</v>
      </c>
      <c r="AC334">
        <v>415</v>
      </c>
      <c r="AD334">
        <v>6.2</v>
      </c>
      <c r="AE334">
        <v>1097</v>
      </c>
      <c r="AF334">
        <v>12.1</v>
      </c>
      <c r="AG334" t="s">
        <v>3452</v>
      </c>
      <c r="AI334">
        <v>6.2</v>
      </c>
      <c r="AJ334" t="s">
        <v>120</v>
      </c>
      <c r="AK334" t="s">
        <v>59</v>
      </c>
      <c r="AN334">
        <v>62.331099999999999</v>
      </c>
      <c r="AO334">
        <v>6.4210928041883966</v>
      </c>
      <c r="AP334">
        <v>12.14</v>
      </c>
      <c r="AQ334">
        <v>9.2349607470741315</v>
      </c>
      <c r="AS334">
        <v>-1.6359999999999999</v>
      </c>
      <c r="AT334">
        <v>0.1179</v>
      </c>
      <c r="AW334" s="28">
        <f t="shared" si="25"/>
        <v>-6.3106023835267573</v>
      </c>
      <c r="AX334">
        <f t="shared" si="26"/>
        <v>0.90322580645161288</v>
      </c>
      <c r="AY334" s="62">
        <f t="shared" si="27"/>
        <v>-5.6998989270564255</v>
      </c>
      <c r="AZ334" s="68" t="str">
        <f t="shared" si="28"/>
        <v>No</v>
      </c>
      <c r="BA334" s="68" t="str">
        <f t="shared" si="29"/>
        <v>No</v>
      </c>
    </row>
    <row r="335" spans="1:53" hidden="1">
      <c r="A335" t="s">
        <v>1815</v>
      </c>
      <c r="B335" t="s">
        <v>2463</v>
      </c>
      <c r="C335">
        <v>167</v>
      </c>
      <c r="F335" t="s">
        <v>1241</v>
      </c>
      <c r="G335" t="s">
        <v>1988</v>
      </c>
      <c r="N335" t="s">
        <v>36</v>
      </c>
      <c r="P335" t="s">
        <v>60</v>
      </c>
      <c r="Q335" t="s">
        <v>900</v>
      </c>
      <c r="R335" t="s">
        <v>888</v>
      </c>
      <c r="S335" t="s">
        <v>1996</v>
      </c>
      <c r="V335" t="s">
        <v>1015</v>
      </c>
      <c r="Z335">
        <v>7</v>
      </c>
      <c r="AA335">
        <v>7</v>
      </c>
      <c r="AC335">
        <v>415</v>
      </c>
      <c r="AD335">
        <v>6.2</v>
      </c>
      <c r="AE335">
        <v>1097</v>
      </c>
      <c r="AF335">
        <v>12.1</v>
      </c>
      <c r="AG335" t="s">
        <v>3452</v>
      </c>
      <c r="AI335">
        <v>6.2</v>
      </c>
      <c r="AJ335" t="s">
        <v>2051</v>
      </c>
      <c r="AK335" t="s">
        <v>40</v>
      </c>
      <c r="AN335">
        <v>0.63019999999999998</v>
      </c>
      <c r="AO335">
        <v>0.23811761799581316</v>
      </c>
      <c r="AP335">
        <v>0.25</v>
      </c>
      <c r="AQ335">
        <v>0.25690245230437175</v>
      </c>
      <c r="AS335">
        <v>-0.92449999999999999</v>
      </c>
      <c r="AT335">
        <v>0.17080000000000001</v>
      </c>
      <c r="AW335" s="28">
        <f t="shared" si="25"/>
        <v>-1.5349945180548017</v>
      </c>
      <c r="AX335">
        <f t="shared" si="26"/>
        <v>0.93617021276595747</v>
      </c>
      <c r="AY335" s="62">
        <f t="shared" si="27"/>
        <v>-1.437016144561942</v>
      </c>
      <c r="AZ335" s="68" t="str">
        <f t="shared" si="28"/>
        <v>No</v>
      </c>
      <c r="BA335" s="68" t="str">
        <f t="shared" si="29"/>
        <v>No</v>
      </c>
    </row>
    <row r="336" spans="1:53" hidden="1">
      <c r="A336" t="s">
        <v>1815</v>
      </c>
      <c r="B336" t="s">
        <v>2886</v>
      </c>
      <c r="C336">
        <v>232</v>
      </c>
      <c r="F336" t="s">
        <v>1241</v>
      </c>
      <c r="G336" t="s">
        <v>1725</v>
      </c>
      <c r="I336">
        <v>2011</v>
      </c>
      <c r="N336" t="s">
        <v>36</v>
      </c>
      <c r="P336" t="s">
        <v>60</v>
      </c>
      <c r="Q336" t="s">
        <v>900</v>
      </c>
      <c r="R336" t="s">
        <v>911</v>
      </c>
      <c r="S336" t="s">
        <v>1774</v>
      </c>
      <c r="V336" t="s">
        <v>905</v>
      </c>
      <c r="Z336">
        <v>4</v>
      </c>
      <c r="AA336">
        <v>4</v>
      </c>
      <c r="AC336">
        <v>375</v>
      </c>
      <c r="AD336">
        <v>24</v>
      </c>
      <c r="AE336">
        <v>2789</v>
      </c>
      <c r="AF336">
        <v>24</v>
      </c>
      <c r="AG336" t="s">
        <v>3379</v>
      </c>
      <c r="AH336">
        <v>3.44544851426605</v>
      </c>
      <c r="AI336">
        <v>24</v>
      </c>
      <c r="AJ336" t="s">
        <v>1099</v>
      </c>
      <c r="AK336" t="s">
        <v>40</v>
      </c>
      <c r="AM336"/>
      <c r="AN336">
        <v>2.6060934699999998</v>
      </c>
      <c r="AO336">
        <v>1.5</v>
      </c>
      <c r="AP336">
        <v>1.7456891269999999</v>
      </c>
      <c r="AQ336">
        <v>1.06</v>
      </c>
      <c r="AS336">
        <v>-0.40100000000000002</v>
      </c>
      <c r="AT336">
        <v>0.17380000000000001</v>
      </c>
      <c r="AW336" s="28">
        <f t="shared" si="25"/>
        <v>-0.66247698894415963</v>
      </c>
      <c r="AX336">
        <f t="shared" si="26"/>
        <v>0.86956521739130432</v>
      </c>
      <c r="AY336" s="62">
        <f t="shared" si="27"/>
        <v>-0.57606694690796489</v>
      </c>
      <c r="AZ336" s="68" t="str">
        <f t="shared" si="28"/>
        <v>No</v>
      </c>
      <c r="BA336" s="68" t="str">
        <f t="shared" si="29"/>
        <v>No</v>
      </c>
    </row>
    <row r="337" spans="1:53" hidden="1">
      <c r="A337" t="s">
        <v>1815</v>
      </c>
      <c r="B337" t="s">
        <v>2890</v>
      </c>
      <c r="C337">
        <v>232</v>
      </c>
      <c r="F337" t="s">
        <v>1241</v>
      </c>
      <c r="G337" t="s">
        <v>1725</v>
      </c>
      <c r="I337">
        <v>2011</v>
      </c>
      <c r="N337" t="s">
        <v>36</v>
      </c>
      <c r="P337" t="s">
        <v>60</v>
      </c>
      <c r="Q337" t="s">
        <v>900</v>
      </c>
      <c r="R337" t="s">
        <v>911</v>
      </c>
      <c r="S337" t="s">
        <v>1774</v>
      </c>
      <c r="V337" t="s">
        <v>905</v>
      </c>
      <c r="Z337">
        <v>4</v>
      </c>
      <c r="AA337">
        <v>4</v>
      </c>
      <c r="AC337">
        <v>375</v>
      </c>
      <c r="AD337">
        <v>24</v>
      </c>
      <c r="AE337">
        <v>1032</v>
      </c>
      <c r="AF337">
        <v>24</v>
      </c>
      <c r="AG337" t="s">
        <v>3379</v>
      </c>
      <c r="AH337">
        <v>3.0136796972911926</v>
      </c>
      <c r="AI337">
        <v>24</v>
      </c>
      <c r="AJ337" t="s">
        <v>1099</v>
      </c>
      <c r="AK337" t="s">
        <v>40</v>
      </c>
      <c r="AM337"/>
      <c r="AN337">
        <v>2.6060934699999998</v>
      </c>
      <c r="AO337">
        <v>1.5</v>
      </c>
      <c r="AP337">
        <v>2.044338405</v>
      </c>
      <c r="AQ337">
        <v>0.94</v>
      </c>
      <c r="AS337">
        <v>-0.24299999999999999</v>
      </c>
      <c r="AT337">
        <v>0.1358</v>
      </c>
      <c r="AW337" s="28">
        <f t="shared" si="25"/>
        <v>-0.44878694544068382</v>
      </c>
      <c r="AX337">
        <f t="shared" si="26"/>
        <v>0.86956521739130432</v>
      </c>
      <c r="AY337" s="62">
        <f t="shared" si="27"/>
        <v>-0.39024951777450767</v>
      </c>
      <c r="AZ337" s="68" t="str">
        <f t="shared" si="28"/>
        <v>No</v>
      </c>
      <c r="BA337" s="68" t="str">
        <f t="shared" si="29"/>
        <v>No</v>
      </c>
    </row>
    <row r="338" spans="1:53" hidden="1">
      <c r="A338" t="s">
        <v>1815</v>
      </c>
      <c r="B338" t="s">
        <v>2906</v>
      </c>
      <c r="C338">
        <v>232</v>
      </c>
      <c r="F338" t="s">
        <v>1241</v>
      </c>
      <c r="G338" t="s">
        <v>1725</v>
      </c>
      <c r="I338">
        <v>2018</v>
      </c>
      <c r="N338" t="s">
        <v>36</v>
      </c>
      <c r="P338" t="s">
        <v>60</v>
      </c>
      <c r="Q338" t="s">
        <v>900</v>
      </c>
      <c r="R338" t="s">
        <v>911</v>
      </c>
      <c r="S338" t="s">
        <v>1774</v>
      </c>
      <c r="V338" t="s">
        <v>905</v>
      </c>
      <c r="Z338">
        <v>5</v>
      </c>
      <c r="AA338">
        <v>5</v>
      </c>
      <c r="AC338">
        <v>375</v>
      </c>
      <c r="AD338">
        <v>24</v>
      </c>
      <c r="AE338">
        <v>2789</v>
      </c>
      <c r="AF338">
        <v>24</v>
      </c>
      <c r="AG338" t="s">
        <v>3379</v>
      </c>
      <c r="AH338">
        <v>3.44544851426605</v>
      </c>
      <c r="AI338">
        <v>24</v>
      </c>
      <c r="AJ338" t="s">
        <v>1800</v>
      </c>
      <c r="AK338" t="s">
        <v>1279</v>
      </c>
      <c r="AM338"/>
      <c r="AN338">
        <v>20.37934259</v>
      </c>
      <c r="AO338">
        <v>20.666329246246875</v>
      </c>
      <c r="AP338">
        <v>6.4039244210000001</v>
      </c>
      <c r="AQ338">
        <v>11.046175808848963</v>
      </c>
      <c r="AS338">
        <v>-1.1579999999999999</v>
      </c>
      <c r="AT338">
        <v>0.80079999999999996</v>
      </c>
      <c r="AW338" s="28">
        <f t="shared" si="25"/>
        <v>-0.84342814786611864</v>
      </c>
      <c r="AX338">
        <f t="shared" si="26"/>
        <v>0.90322580645161288</v>
      </c>
      <c r="AY338" s="62">
        <f t="shared" si="27"/>
        <v>-0.76180606904036519</v>
      </c>
      <c r="AZ338" s="68" t="str">
        <f t="shared" si="28"/>
        <v>No</v>
      </c>
      <c r="BA338" s="68" t="str">
        <f t="shared" si="29"/>
        <v>No</v>
      </c>
    </row>
    <row r="339" spans="1:53" hidden="1">
      <c r="A339" t="s">
        <v>1815</v>
      </c>
      <c r="B339" t="s">
        <v>2909</v>
      </c>
      <c r="C339">
        <v>232</v>
      </c>
      <c r="F339" t="s">
        <v>1241</v>
      </c>
      <c r="G339" t="s">
        <v>1725</v>
      </c>
      <c r="I339">
        <v>2018</v>
      </c>
      <c r="N339" t="s">
        <v>36</v>
      </c>
      <c r="P339" t="s">
        <v>60</v>
      </c>
      <c r="Q339" t="s">
        <v>900</v>
      </c>
      <c r="R339" t="s">
        <v>911</v>
      </c>
      <c r="S339" t="s">
        <v>1774</v>
      </c>
      <c r="V339" t="s">
        <v>905</v>
      </c>
      <c r="Z339">
        <v>4</v>
      </c>
      <c r="AA339">
        <v>4</v>
      </c>
      <c r="AC339">
        <v>375</v>
      </c>
      <c r="AD339">
        <v>24</v>
      </c>
      <c r="AE339">
        <v>2789</v>
      </c>
      <c r="AF339">
        <v>24</v>
      </c>
      <c r="AG339" t="s">
        <v>3379</v>
      </c>
      <c r="AH339">
        <v>3.44544851426605</v>
      </c>
      <c r="AI339">
        <v>24</v>
      </c>
      <c r="AJ339" t="s">
        <v>69</v>
      </c>
      <c r="AK339" t="s">
        <v>69</v>
      </c>
      <c r="AM339"/>
      <c r="AN339">
        <v>13.61698077</v>
      </c>
      <c r="AO339">
        <v>24.839248000000001</v>
      </c>
      <c r="AP339">
        <v>13.7661297</v>
      </c>
      <c r="AQ339">
        <v>14.74</v>
      </c>
      <c r="AS339">
        <v>1.0999999999999999E-2</v>
      </c>
      <c r="AT339">
        <v>1.1186</v>
      </c>
      <c r="AW339" s="28">
        <f t="shared" si="25"/>
        <v>7.3027345036424003E-3</v>
      </c>
      <c r="AX339">
        <f t="shared" si="26"/>
        <v>0.86956521739130432</v>
      </c>
      <c r="AY339" s="62">
        <f t="shared" si="27"/>
        <v>6.350203916210783E-3</v>
      </c>
      <c r="AZ339" s="68" t="str">
        <f t="shared" si="28"/>
        <v>No</v>
      </c>
      <c r="BA339" s="68" t="str">
        <f t="shared" si="29"/>
        <v>No</v>
      </c>
    </row>
    <row r="340" spans="1:53" hidden="1">
      <c r="A340" t="s">
        <v>1815</v>
      </c>
      <c r="B340" t="s">
        <v>2911</v>
      </c>
      <c r="C340">
        <v>232</v>
      </c>
      <c r="F340" t="s">
        <v>1241</v>
      </c>
      <c r="G340" t="s">
        <v>1725</v>
      </c>
      <c r="I340">
        <v>2018</v>
      </c>
      <c r="N340" t="s">
        <v>36</v>
      </c>
      <c r="P340" t="s">
        <v>60</v>
      </c>
      <c r="Q340" t="s">
        <v>900</v>
      </c>
      <c r="R340" t="s">
        <v>911</v>
      </c>
      <c r="S340" t="s">
        <v>1774</v>
      </c>
      <c r="V340" t="s">
        <v>905</v>
      </c>
      <c r="Z340">
        <v>5</v>
      </c>
      <c r="AA340">
        <v>5</v>
      </c>
      <c r="AC340">
        <v>375</v>
      </c>
      <c r="AD340">
        <v>24</v>
      </c>
      <c r="AE340">
        <v>1032</v>
      </c>
      <c r="AF340">
        <v>24</v>
      </c>
      <c r="AG340" t="s">
        <v>3379</v>
      </c>
      <c r="AH340">
        <v>3.0136796972911926</v>
      </c>
      <c r="AI340">
        <v>24</v>
      </c>
      <c r="AJ340" t="s">
        <v>1800</v>
      </c>
      <c r="AK340" t="s">
        <v>1279</v>
      </c>
      <c r="AM340"/>
      <c r="AN340">
        <v>20.37934259</v>
      </c>
      <c r="AO340">
        <v>20.666329246246875</v>
      </c>
      <c r="AP340">
        <v>18.091181349999999</v>
      </c>
      <c r="AQ340">
        <v>20.661268112098057</v>
      </c>
      <c r="AS340">
        <v>-0.11899999999999999</v>
      </c>
      <c r="AT340">
        <v>0.4667</v>
      </c>
      <c r="AW340" s="28">
        <f t="shared" si="25"/>
        <v>-0.11073284531890459</v>
      </c>
      <c r="AX340">
        <f t="shared" si="26"/>
        <v>0.90322580645161288</v>
      </c>
      <c r="AY340" s="62">
        <f t="shared" si="27"/>
        <v>-0.1000167635138493</v>
      </c>
      <c r="AZ340" s="68" t="str">
        <f t="shared" si="28"/>
        <v>No</v>
      </c>
      <c r="BA340" s="68" t="str">
        <f t="shared" si="29"/>
        <v>No</v>
      </c>
    </row>
    <row r="341" spans="1:53" hidden="1">
      <c r="A341" t="s">
        <v>1815</v>
      </c>
      <c r="B341" t="s">
        <v>2915</v>
      </c>
      <c r="C341">
        <v>232</v>
      </c>
      <c r="F341" t="s">
        <v>1241</v>
      </c>
      <c r="G341" t="s">
        <v>1725</v>
      </c>
      <c r="I341">
        <v>2018</v>
      </c>
      <c r="N341" t="s">
        <v>36</v>
      </c>
      <c r="P341" t="s">
        <v>60</v>
      </c>
      <c r="Q341" t="s">
        <v>900</v>
      </c>
      <c r="R341" t="s">
        <v>911</v>
      </c>
      <c r="S341" t="s">
        <v>1774</v>
      </c>
      <c r="V341" t="s">
        <v>905</v>
      </c>
      <c r="Z341">
        <v>4</v>
      </c>
      <c r="AA341">
        <v>4</v>
      </c>
      <c r="AC341">
        <v>375</v>
      </c>
      <c r="AD341">
        <v>24</v>
      </c>
      <c r="AE341">
        <v>1032</v>
      </c>
      <c r="AF341">
        <v>24</v>
      </c>
      <c r="AG341" t="s">
        <v>3379</v>
      </c>
      <c r="AH341">
        <v>3.0136796972911926</v>
      </c>
      <c r="AI341">
        <v>24</v>
      </c>
      <c r="AJ341" t="s">
        <v>69</v>
      </c>
      <c r="AK341" t="s">
        <v>69</v>
      </c>
      <c r="AM341"/>
      <c r="AN341">
        <v>13.61698077</v>
      </c>
      <c r="AO341">
        <v>24.839248000000001</v>
      </c>
      <c r="AP341">
        <v>23.867995260000001</v>
      </c>
      <c r="AQ341">
        <v>15.38</v>
      </c>
      <c r="AS341">
        <v>0.56100000000000005</v>
      </c>
      <c r="AT341">
        <v>0.93569999999999998</v>
      </c>
      <c r="AW341" s="28">
        <f t="shared" si="25"/>
        <v>0.49621715919145265</v>
      </c>
      <c r="AX341">
        <f t="shared" si="26"/>
        <v>0.86956521739130432</v>
      </c>
      <c r="AY341" s="62">
        <f t="shared" si="27"/>
        <v>0.43149318190561098</v>
      </c>
      <c r="AZ341" s="68" t="str">
        <f t="shared" si="28"/>
        <v>No</v>
      </c>
      <c r="BA341" s="68" t="str">
        <f t="shared" si="29"/>
        <v>No</v>
      </c>
    </row>
    <row r="342" spans="1:53" hidden="1">
      <c r="A342" t="s">
        <v>1815</v>
      </c>
      <c r="B342" t="s">
        <v>2928</v>
      </c>
      <c r="C342">
        <v>232</v>
      </c>
      <c r="F342" t="s">
        <v>1241</v>
      </c>
      <c r="G342" t="s">
        <v>1725</v>
      </c>
      <c r="I342">
        <v>2018</v>
      </c>
      <c r="N342" t="s">
        <v>36</v>
      </c>
      <c r="P342" t="s">
        <v>60</v>
      </c>
      <c r="Q342" t="s">
        <v>900</v>
      </c>
      <c r="R342" t="s">
        <v>911</v>
      </c>
      <c r="S342" t="s">
        <v>1774</v>
      </c>
      <c r="V342" t="s">
        <v>905</v>
      </c>
      <c r="Z342">
        <v>4</v>
      </c>
      <c r="AA342">
        <v>4</v>
      </c>
      <c r="AC342">
        <v>375</v>
      </c>
      <c r="AD342">
        <v>24</v>
      </c>
      <c r="AE342">
        <v>1032</v>
      </c>
      <c r="AF342">
        <v>24</v>
      </c>
      <c r="AG342" t="s">
        <v>3379</v>
      </c>
      <c r="AH342">
        <v>3.0136796972911926</v>
      </c>
      <c r="AI342">
        <v>24</v>
      </c>
      <c r="AJ342" t="s">
        <v>1791</v>
      </c>
      <c r="AK342" t="s">
        <v>770</v>
      </c>
      <c r="AM342"/>
      <c r="AN342">
        <v>46.047965210000001</v>
      </c>
      <c r="AO342">
        <v>25.54</v>
      </c>
      <c r="AP342">
        <v>37.301217530000002</v>
      </c>
      <c r="AQ342">
        <v>13.44</v>
      </c>
      <c r="AS342">
        <v>-0.21099999999999999</v>
      </c>
      <c r="AT342">
        <v>0.1094</v>
      </c>
      <c r="AW342" s="28">
        <f t="shared" si="25"/>
        <v>-0.42860634447318358</v>
      </c>
      <c r="AX342">
        <f t="shared" si="26"/>
        <v>0.86956521739130432</v>
      </c>
      <c r="AY342" s="62">
        <f t="shared" si="27"/>
        <v>-0.37270116910711615</v>
      </c>
      <c r="AZ342" s="68" t="str">
        <f t="shared" si="28"/>
        <v>No</v>
      </c>
      <c r="BA342" s="68" t="str">
        <f t="shared" si="29"/>
        <v>No</v>
      </c>
    </row>
    <row r="343" spans="1:53" hidden="1">
      <c r="A343" t="s">
        <v>1815</v>
      </c>
      <c r="B343" t="s">
        <v>2947</v>
      </c>
      <c r="C343">
        <v>232</v>
      </c>
      <c r="F343" t="s">
        <v>1241</v>
      </c>
      <c r="G343" t="s">
        <v>1725</v>
      </c>
      <c r="I343">
        <v>2010</v>
      </c>
      <c r="N343" t="s">
        <v>36</v>
      </c>
      <c r="P343" t="s">
        <v>60</v>
      </c>
      <c r="Q343" t="s">
        <v>900</v>
      </c>
      <c r="R343" t="s">
        <v>911</v>
      </c>
      <c r="S343" t="s">
        <v>1774</v>
      </c>
      <c r="V343" t="s">
        <v>905</v>
      </c>
      <c r="Z343">
        <v>4</v>
      </c>
      <c r="AA343">
        <v>4</v>
      </c>
      <c r="AC343">
        <v>375</v>
      </c>
      <c r="AD343">
        <v>24</v>
      </c>
      <c r="AE343">
        <v>2789</v>
      </c>
      <c r="AF343">
        <v>24</v>
      </c>
      <c r="AG343" t="s">
        <v>3379</v>
      </c>
      <c r="AH343">
        <v>3.44544851426605</v>
      </c>
      <c r="AI343">
        <v>24</v>
      </c>
      <c r="AJ343" t="s">
        <v>1791</v>
      </c>
      <c r="AK343" t="s">
        <v>770</v>
      </c>
      <c r="AM343"/>
      <c r="AN343">
        <v>46.047965210000001</v>
      </c>
      <c r="AO343">
        <v>25.54</v>
      </c>
      <c r="AP343">
        <v>70.236081769999998</v>
      </c>
      <c r="AQ343">
        <v>16.14</v>
      </c>
      <c r="AS343">
        <v>0.42199999999999999</v>
      </c>
      <c r="AT343">
        <v>9.01E-2</v>
      </c>
      <c r="AW343" s="28">
        <f t="shared" si="25"/>
        <v>1.1322213195943407</v>
      </c>
      <c r="AX343">
        <f t="shared" si="26"/>
        <v>0.86956521739130432</v>
      </c>
      <c r="AY343" s="62">
        <f t="shared" si="27"/>
        <v>0.98454027790812226</v>
      </c>
      <c r="AZ343" s="68" t="str">
        <f t="shared" si="28"/>
        <v>No</v>
      </c>
      <c r="BA343" s="68" t="str">
        <f t="shared" si="29"/>
        <v>No</v>
      </c>
    </row>
    <row r="344" spans="1:53" hidden="1">
      <c r="A344" t="s">
        <v>1815</v>
      </c>
      <c r="B344" t="s">
        <v>2888</v>
      </c>
      <c r="C344">
        <v>232</v>
      </c>
      <c r="F344" t="s">
        <v>1241</v>
      </c>
      <c r="G344" t="s">
        <v>1725</v>
      </c>
      <c r="I344">
        <v>2011</v>
      </c>
      <c r="N344" t="s">
        <v>36</v>
      </c>
      <c r="P344" t="s">
        <v>60</v>
      </c>
      <c r="Q344" t="s">
        <v>900</v>
      </c>
      <c r="R344" t="s">
        <v>911</v>
      </c>
      <c r="S344" t="s">
        <v>1774</v>
      </c>
      <c r="V344" t="s">
        <v>907</v>
      </c>
      <c r="Z344">
        <v>4</v>
      </c>
      <c r="AA344">
        <v>4</v>
      </c>
      <c r="AC344">
        <v>375</v>
      </c>
      <c r="AD344">
        <v>24</v>
      </c>
      <c r="AE344">
        <v>368</v>
      </c>
      <c r="AF344">
        <v>27</v>
      </c>
      <c r="AG344" t="s">
        <v>3379</v>
      </c>
      <c r="AH344">
        <v>2.5658478186735176</v>
      </c>
      <c r="AI344">
        <v>24</v>
      </c>
      <c r="AJ344" t="s">
        <v>1099</v>
      </c>
      <c r="AK344" t="s">
        <v>40</v>
      </c>
      <c r="AM344"/>
      <c r="AN344">
        <v>2.6060934699999998</v>
      </c>
      <c r="AO344">
        <v>1.5</v>
      </c>
      <c r="AP344">
        <v>1.897518603</v>
      </c>
      <c r="AQ344">
        <v>0.98</v>
      </c>
      <c r="AS344">
        <v>-0.317</v>
      </c>
      <c r="AT344">
        <v>0.14929999999999999</v>
      </c>
      <c r="AW344" s="28">
        <f t="shared" si="25"/>
        <v>-0.55926954232452486</v>
      </c>
      <c r="AX344">
        <f t="shared" si="26"/>
        <v>0.86956521739130432</v>
      </c>
      <c r="AY344" s="62">
        <f t="shared" si="27"/>
        <v>-0.48632134115176073</v>
      </c>
      <c r="AZ344" s="68" t="str">
        <f t="shared" si="28"/>
        <v>No</v>
      </c>
      <c r="BA344" s="68" t="str">
        <f t="shared" si="29"/>
        <v>No</v>
      </c>
    </row>
    <row r="345" spans="1:53" hidden="1">
      <c r="A345" t="s">
        <v>1815</v>
      </c>
      <c r="B345" t="s">
        <v>2916</v>
      </c>
      <c r="C345">
        <v>232</v>
      </c>
      <c r="F345" t="s">
        <v>1241</v>
      </c>
      <c r="G345" t="s">
        <v>1725</v>
      </c>
      <c r="I345">
        <v>2018</v>
      </c>
      <c r="N345" t="s">
        <v>36</v>
      </c>
      <c r="P345" t="s">
        <v>60</v>
      </c>
      <c r="Q345" t="s">
        <v>900</v>
      </c>
      <c r="R345" t="s">
        <v>911</v>
      </c>
      <c r="S345" t="s">
        <v>1774</v>
      </c>
      <c r="V345" t="s">
        <v>907</v>
      </c>
      <c r="Z345">
        <v>5</v>
      </c>
      <c r="AA345">
        <v>5</v>
      </c>
      <c r="AC345">
        <v>375</v>
      </c>
      <c r="AD345">
        <v>24</v>
      </c>
      <c r="AE345">
        <v>368</v>
      </c>
      <c r="AF345">
        <v>27</v>
      </c>
      <c r="AG345" t="s">
        <v>3379</v>
      </c>
      <c r="AH345">
        <v>2.5658478186735176</v>
      </c>
      <c r="AI345">
        <v>24</v>
      </c>
      <c r="AJ345" t="s">
        <v>1800</v>
      </c>
      <c r="AK345" t="s">
        <v>1279</v>
      </c>
      <c r="AM345"/>
      <c r="AN345">
        <v>20.37934259</v>
      </c>
      <c r="AO345">
        <v>20.666329246246875</v>
      </c>
      <c r="AP345">
        <v>25.61587836</v>
      </c>
      <c r="AQ345">
        <v>20.303497235698092</v>
      </c>
      <c r="AS345">
        <v>0.22900000000000001</v>
      </c>
      <c r="AT345">
        <v>0.33139999999999997</v>
      </c>
      <c r="AW345" s="28">
        <f t="shared" si="25"/>
        <v>0.25561887274735601</v>
      </c>
      <c r="AX345">
        <f t="shared" si="26"/>
        <v>0.90322580645161288</v>
      </c>
      <c r="AY345" s="62">
        <f t="shared" si="27"/>
        <v>0.23088156248148284</v>
      </c>
      <c r="AZ345" s="68" t="str">
        <f t="shared" si="28"/>
        <v>No</v>
      </c>
      <c r="BA345" s="68" t="str">
        <f t="shared" si="29"/>
        <v>No</v>
      </c>
    </row>
    <row r="346" spans="1:53" hidden="1">
      <c r="A346" t="s">
        <v>1815</v>
      </c>
      <c r="B346" t="s">
        <v>2920</v>
      </c>
      <c r="C346">
        <v>232</v>
      </c>
      <c r="F346" t="s">
        <v>1241</v>
      </c>
      <c r="G346" t="s">
        <v>1725</v>
      </c>
      <c r="I346">
        <v>2010</v>
      </c>
      <c r="N346" t="s">
        <v>36</v>
      </c>
      <c r="P346" t="s">
        <v>60</v>
      </c>
      <c r="Q346" t="s">
        <v>900</v>
      </c>
      <c r="R346" t="s">
        <v>911</v>
      </c>
      <c r="S346" t="s">
        <v>1774</v>
      </c>
      <c r="V346" t="s">
        <v>907</v>
      </c>
      <c r="Z346">
        <v>4</v>
      </c>
      <c r="AA346">
        <v>4</v>
      </c>
      <c r="AC346">
        <v>375</v>
      </c>
      <c r="AD346">
        <v>24</v>
      </c>
      <c r="AE346">
        <v>368</v>
      </c>
      <c r="AF346">
        <v>27</v>
      </c>
      <c r="AG346" t="s">
        <v>3379</v>
      </c>
      <c r="AH346">
        <v>2.5658478186735176</v>
      </c>
      <c r="AI346">
        <v>24</v>
      </c>
      <c r="AJ346" t="s">
        <v>1791</v>
      </c>
      <c r="AK346" t="s">
        <v>770</v>
      </c>
      <c r="AM346"/>
      <c r="AN346">
        <v>46.047965210000001</v>
      </c>
      <c r="AO346">
        <v>25.54</v>
      </c>
      <c r="AP346">
        <v>31.258656009999999</v>
      </c>
      <c r="AQ346">
        <v>13.1</v>
      </c>
      <c r="AS346">
        <v>-0.38700000000000001</v>
      </c>
      <c r="AT346">
        <v>0.12089999999999999</v>
      </c>
      <c r="AW346" s="28">
        <f t="shared" si="25"/>
        <v>-0.7286604766255812</v>
      </c>
      <c r="AX346">
        <f t="shared" si="26"/>
        <v>0.86956521739130432</v>
      </c>
      <c r="AY346" s="62">
        <f t="shared" si="27"/>
        <v>-0.63361780576137494</v>
      </c>
      <c r="AZ346" s="68" t="str">
        <f t="shared" si="28"/>
        <v>No</v>
      </c>
      <c r="BA346" s="68" t="str">
        <f t="shared" si="29"/>
        <v>No</v>
      </c>
    </row>
    <row r="347" spans="1:53" hidden="1">
      <c r="A347" t="s">
        <v>1815</v>
      </c>
      <c r="B347" t="s">
        <v>2921</v>
      </c>
      <c r="C347">
        <v>232</v>
      </c>
      <c r="F347" t="s">
        <v>1241</v>
      </c>
      <c r="G347" t="s">
        <v>1725</v>
      </c>
      <c r="I347">
        <v>2010</v>
      </c>
      <c r="N347" t="s">
        <v>36</v>
      </c>
      <c r="P347" t="s">
        <v>60</v>
      </c>
      <c r="Q347" t="s">
        <v>900</v>
      </c>
      <c r="R347" t="s">
        <v>911</v>
      </c>
      <c r="S347" t="s">
        <v>1774</v>
      </c>
      <c r="V347" t="s">
        <v>907</v>
      </c>
      <c r="Z347">
        <v>4</v>
      </c>
      <c r="AA347">
        <v>4</v>
      </c>
      <c r="AC347">
        <v>375</v>
      </c>
      <c r="AD347">
        <v>24</v>
      </c>
      <c r="AE347">
        <v>368</v>
      </c>
      <c r="AF347">
        <v>27</v>
      </c>
      <c r="AG347" t="s">
        <v>3379</v>
      </c>
      <c r="AH347">
        <v>2.5658478186735176</v>
      </c>
      <c r="AI347">
        <v>24</v>
      </c>
      <c r="AJ347" t="s">
        <v>69</v>
      </c>
      <c r="AK347" t="s">
        <v>69</v>
      </c>
      <c r="AM347"/>
      <c r="AN347">
        <v>13.61698077</v>
      </c>
      <c r="AO347">
        <v>24.839248000000001</v>
      </c>
      <c r="AP347">
        <v>31.645557069999999</v>
      </c>
      <c r="AQ347">
        <v>13.3</v>
      </c>
      <c r="AS347">
        <v>0.84299999999999997</v>
      </c>
      <c r="AT347">
        <v>0.876</v>
      </c>
      <c r="AW347" s="28">
        <f t="shared" si="25"/>
        <v>0.90489769225694883</v>
      </c>
      <c r="AX347">
        <f t="shared" si="26"/>
        <v>0.86956521739130432</v>
      </c>
      <c r="AY347" s="62">
        <f t="shared" si="27"/>
        <v>0.78686755848430334</v>
      </c>
      <c r="AZ347" s="68" t="str">
        <f t="shared" si="28"/>
        <v>No</v>
      </c>
      <c r="BA347" s="68" t="str">
        <f t="shared" si="29"/>
        <v>No</v>
      </c>
    </row>
    <row r="348" spans="1:53" hidden="1">
      <c r="A348" t="s">
        <v>1815</v>
      </c>
      <c r="B348" t="s">
        <v>2885</v>
      </c>
      <c r="C348">
        <v>232</v>
      </c>
      <c r="F348" t="s">
        <v>1241</v>
      </c>
      <c r="G348" t="s">
        <v>1725</v>
      </c>
      <c r="I348">
        <v>2018</v>
      </c>
      <c r="N348" t="s">
        <v>36</v>
      </c>
      <c r="P348" t="s">
        <v>60</v>
      </c>
      <c r="Q348" t="s">
        <v>900</v>
      </c>
      <c r="R348" t="s">
        <v>911</v>
      </c>
      <c r="S348" t="s">
        <v>1774</v>
      </c>
      <c r="V348" t="s">
        <v>1015</v>
      </c>
      <c r="Z348">
        <v>4</v>
      </c>
      <c r="AA348">
        <v>4</v>
      </c>
      <c r="AC348">
        <v>375</v>
      </c>
      <c r="AD348">
        <v>24</v>
      </c>
      <c r="AE348">
        <v>2980</v>
      </c>
      <c r="AF348">
        <v>27</v>
      </c>
      <c r="AG348" t="s">
        <v>3379</v>
      </c>
      <c r="AH348">
        <v>3.4742162640762553</v>
      </c>
      <c r="AI348">
        <v>24</v>
      </c>
      <c r="AJ348" t="s">
        <v>1099</v>
      </c>
      <c r="AK348" t="s">
        <v>40</v>
      </c>
      <c r="AM348"/>
      <c r="AN348">
        <v>2.6060934699999998</v>
      </c>
      <c r="AO348">
        <v>1.5</v>
      </c>
      <c r="AP348">
        <v>1.6567744280000001</v>
      </c>
      <c r="AQ348">
        <v>1.88</v>
      </c>
      <c r="AS348">
        <v>-0.45300000000000001</v>
      </c>
      <c r="AT348">
        <v>0.40429999999999999</v>
      </c>
      <c r="AW348" s="28">
        <f t="shared" si="25"/>
        <v>-0.55821053862293435</v>
      </c>
      <c r="AX348">
        <f t="shared" si="26"/>
        <v>0.86956521739130432</v>
      </c>
      <c r="AY348" s="62">
        <f t="shared" si="27"/>
        <v>-0.48540046836776901</v>
      </c>
      <c r="AZ348" s="68" t="str">
        <f t="shared" si="28"/>
        <v>No</v>
      </c>
      <c r="BA348" s="68" t="str">
        <f t="shared" si="29"/>
        <v>No</v>
      </c>
    </row>
    <row r="349" spans="1:53" hidden="1">
      <c r="A349" t="s">
        <v>1815</v>
      </c>
      <c r="B349" t="s">
        <v>2889</v>
      </c>
      <c r="C349">
        <v>232</v>
      </c>
      <c r="F349" t="s">
        <v>1241</v>
      </c>
      <c r="G349" t="s">
        <v>1725</v>
      </c>
      <c r="I349">
        <v>2011</v>
      </c>
      <c r="N349" t="s">
        <v>36</v>
      </c>
      <c r="P349" t="s">
        <v>60</v>
      </c>
      <c r="Q349" t="s">
        <v>900</v>
      </c>
      <c r="R349" t="s">
        <v>911</v>
      </c>
      <c r="S349" t="s">
        <v>1774</v>
      </c>
      <c r="V349" t="s">
        <v>1015</v>
      </c>
      <c r="Z349">
        <v>4</v>
      </c>
      <c r="AA349">
        <v>4</v>
      </c>
      <c r="AC349">
        <v>375</v>
      </c>
      <c r="AD349">
        <v>24</v>
      </c>
      <c r="AE349">
        <v>1077</v>
      </c>
      <c r="AF349">
        <v>27</v>
      </c>
      <c r="AG349" t="s">
        <v>3379</v>
      </c>
      <c r="AH349">
        <v>3.0322157032979815</v>
      </c>
      <c r="AI349">
        <v>24</v>
      </c>
      <c r="AJ349" t="s">
        <v>1099</v>
      </c>
      <c r="AK349" t="s">
        <v>40</v>
      </c>
      <c r="AM349"/>
      <c r="AN349">
        <v>2.6060934699999998</v>
      </c>
      <c r="AO349">
        <v>1.5</v>
      </c>
      <c r="AP349">
        <v>1.899141849</v>
      </c>
      <c r="AQ349">
        <v>0.86</v>
      </c>
      <c r="AS349">
        <v>-0.316</v>
      </c>
      <c r="AT349">
        <v>0.1348</v>
      </c>
      <c r="AW349" s="28">
        <f t="shared" si="25"/>
        <v>-0.57822671119445224</v>
      </c>
      <c r="AX349">
        <f t="shared" si="26"/>
        <v>0.86956521739130432</v>
      </c>
      <c r="AY349" s="62">
        <f t="shared" si="27"/>
        <v>-0.50280583582126281</v>
      </c>
      <c r="AZ349" s="68" t="str">
        <f t="shared" si="28"/>
        <v>No</v>
      </c>
      <c r="BA349" s="68" t="str">
        <f t="shared" si="29"/>
        <v>No</v>
      </c>
    </row>
    <row r="350" spans="1:53" hidden="1">
      <c r="A350" t="s">
        <v>1815</v>
      </c>
      <c r="B350" t="s">
        <v>2912</v>
      </c>
      <c r="C350">
        <v>232</v>
      </c>
      <c r="F350" t="s">
        <v>1241</v>
      </c>
      <c r="G350" t="s">
        <v>1725</v>
      </c>
      <c r="I350">
        <v>2010</v>
      </c>
      <c r="N350" t="s">
        <v>36</v>
      </c>
      <c r="P350" t="s">
        <v>60</v>
      </c>
      <c r="Q350" t="s">
        <v>900</v>
      </c>
      <c r="R350" t="s">
        <v>911</v>
      </c>
      <c r="S350" t="s">
        <v>1774</v>
      </c>
      <c r="V350" t="s">
        <v>1015</v>
      </c>
      <c r="Z350">
        <v>5</v>
      </c>
      <c r="AA350">
        <v>5</v>
      </c>
      <c r="AC350">
        <v>375</v>
      </c>
      <c r="AD350">
        <v>24</v>
      </c>
      <c r="AE350">
        <v>1077</v>
      </c>
      <c r="AF350">
        <v>27</v>
      </c>
      <c r="AG350" t="s">
        <v>3379</v>
      </c>
      <c r="AH350">
        <v>3.0322157032979815</v>
      </c>
      <c r="AI350">
        <v>24</v>
      </c>
      <c r="AJ350" t="s">
        <v>1800</v>
      </c>
      <c r="AK350" t="s">
        <v>1279</v>
      </c>
      <c r="AM350"/>
      <c r="AN350">
        <v>20.37934259</v>
      </c>
      <c r="AO350">
        <v>20.666329246246875</v>
      </c>
      <c r="AP350">
        <v>18.70658542</v>
      </c>
      <c r="AQ350">
        <v>11.403946685248927</v>
      </c>
      <c r="AS350">
        <v>-8.5999999999999993E-2</v>
      </c>
      <c r="AT350">
        <v>0.28000000000000003</v>
      </c>
      <c r="AW350" s="28">
        <f t="shared" si="25"/>
        <v>-0.10022197010914025</v>
      </c>
      <c r="AX350">
        <f t="shared" si="26"/>
        <v>0.90322580645161288</v>
      </c>
      <c r="AY350" s="62">
        <f t="shared" si="27"/>
        <v>-9.0523069775997639E-2</v>
      </c>
      <c r="AZ350" s="68" t="str">
        <f t="shared" si="28"/>
        <v>No</v>
      </c>
      <c r="BA350" s="68" t="str">
        <f t="shared" si="29"/>
        <v>No</v>
      </c>
    </row>
    <row r="351" spans="1:53" hidden="1">
      <c r="A351" t="s">
        <v>1815</v>
      </c>
      <c r="B351" t="s">
        <v>2913</v>
      </c>
      <c r="C351">
        <v>232</v>
      </c>
      <c r="F351" t="s">
        <v>1241</v>
      </c>
      <c r="G351" t="s">
        <v>1725</v>
      </c>
      <c r="I351">
        <v>2017</v>
      </c>
      <c r="N351" t="s">
        <v>36</v>
      </c>
      <c r="P351" t="s">
        <v>60</v>
      </c>
      <c r="Q351" t="s">
        <v>900</v>
      </c>
      <c r="R351" t="s">
        <v>911</v>
      </c>
      <c r="S351" t="s">
        <v>1774</v>
      </c>
      <c r="V351" t="s">
        <v>1015</v>
      </c>
      <c r="Z351">
        <v>4</v>
      </c>
      <c r="AA351">
        <v>4</v>
      </c>
      <c r="AC351">
        <v>375</v>
      </c>
      <c r="AD351">
        <v>24</v>
      </c>
      <c r="AE351">
        <v>2980</v>
      </c>
      <c r="AF351">
        <v>27</v>
      </c>
      <c r="AG351" t="s">
        <v>3379</v>
      </c>
      <c r="AH351">
        <v>3.4742162640762553</v>
      </c>
      <c r="AI351">
        <v>24</v>
      </c>
      <c r="AJ351" t="s">
        <v>69</v>
      </c>
      <c r="AK351" t="s">
        <v>69</v>
      </c>
      <c r="AM351"/>
      <c r="AN351">
        <v>13.61698077</v>
      </c>
      <c r="AO351">
        <v>24.839248000000001</v>
      </c>
      <c r="AP351">
        <v>22.740254740000001</v>
      </c>
      <c r="AQ351">
        <v>26.76</v>
      </c>
      <c r="AS351">
        <v>0.51300000000000001</v>
      </c>
      <c r="AT351">
        <v>1.1781999999999999</v>
      </c>
      <c r="AW351" s="28">
        <f t="shared" si="25"/>
        <v>0.3533756796461176</v>
      </c>
      <c r="AX351">
        <f t="shared" si="26"/>
        <v>0.86956521739130432</v>
      </c>
      <c r="AY351" s="62">
        <f t="shared" si="27"/>
        <v>0.30728319969227619</v>
      </c>
      <c r="AZ351" s="68" t="str">
        <f t="shared" si="28"/>
        <v>No</v>
      </c>
      <c r="BA351" s="68" t="str">
        <f t="shared" si="29"/>
        <v>No</v>
      </c>
    </row>
    <row r="352" spans="1:53" hidden="1">
      <c r="A352" t="s">
        <v>1815</v>
      </c>
      <c r="B352" t="s">
        <v>2914</v>
      </c>
      <c r="C352">
        <v>232</v>
      </c>
      <c r="F352" t="s">
        <v>1241</v>
      </c>
      <c r="G352" t="s">
        <v>1725</v>
      </c>
      <c r="I352">
        <v>2010</v>
      </c>
      <c r="N352" t="s">
        <v>36</v>
      </c>
      <c r="P352" t="s">
        <v>60</v>
      </c>
      <c r="Q352" t="s">
        <v>900</v>
      </c>
      <c r="R352" t="s">
        <v>911</v>
      </c>
      <c r="S352" t="s">
        <v>1774</v>
      </c>
      <c r="V352" t="s">
        <v>1015</v>
      </c>
      <c r="Z352">
        <v>5</v>
      </c>
      <c r="AA352">
        <v>5</v>
      </c>
      <c r="AC352">
        <v>375</v>
      </c>
      <c r="AD352">
        <v>24</v>
      </c>
      <c r="AE352">
        <v>2980</v>
      </c>
      <c r="AF352">
        <v>27</v>
      </c>
      <c r="AG352" t="s">
        <v>3379</v>
      </c>
      <c r="AH352">
        <v>3.4742162640762553</v>
      </c>
      <c r="AI352">
        <v>24</v>
      </c>
      <c r="AJ352" t="s">
        <v>1800</v>
      </c>
      <c r="AK352" t="s">
        <v>1279</v>
      </c>
      <c r="AM352"/>
      <c r="AN352">
        <v>20.37934259</v>
      </c>
      <c r="AO352">
        <v>20.666329246246875</v>
      </c>
      <c r="AP352">
        <v>23.274596509999999</v>
      </c>
      <c r="AQ352">
        <v>7.490827724624296</v>
      </c>
      <c r="AS352">
        <v>0.13300000000000001</v>
      </c>
      <c r="AT352">
        <v>0.22639999999999999</v>
      </c>
      <c r="AW352" s="28">
        <f t="shared" si="25"/>
        <v>0.18626611230588985</v>
      </c>
      <c r="AX352">
        <f t="shared" si="26"/>
        <v>0.90322580645161288</v>
      </c>
      <c r="AY352" s="62">
        <f t="shared" si="27"/>
        <v>0.16824035950209407</v>
      </c>
      <c r="AZ352" s="68" t="str">
        <f t="shared" si="28"/>
        <v>No</v>
      </c>
      <c r="BA352" s="68" t="str">
        <f t="shared" si="29"/>
        <v>No</v>
      </c>
    </row>
    <row r="353" spans="1:53" hidden="1">
      <c r="A353" t="s">
        <v>1815</v>
      </c>
      <c r="B353" t="s">
        <v>2922</v>
      </c>
      <c r="C353">
        <v>232</v>
      </c>
      <c r="F353" t="s">
        <v>1241</v>
      </c>
      <c r="G353" t="s">
        <v>1725</v>
      </c>
      <c r="I353">
        <v>2010</v>
      </c>
      <c r="N353" t="s">
        <v>36</v>
      </c>
      <c r="P353" t="s">
        <v>60</v>
      </c>
      <c r="Q353" t="s">
        <v>900</v>
      </c>
      <c r="R353" t="s">
        <v>911</v>
      </c>
      <c r="S353" t="s">
        <v>1774</v>
      </c>
      <c r="V353" t="s">
        <v>1015</v>
      </c>
      <c r="Z353">
        <v>4</v>
      </c>
      <c r="AA353">
        <v>4</v>
      </c>
      <c r="AC353">
        <v>375</v>
      </c>
      <c r="AD353">
        <v>24</v>
      </c>
      <c r="AE353">
        <v>1077</v>
      </c>
      <c r="AF353">
        <v>27</v>
      </c>
      <c r="AG353" t="s">
        <v>3379</v>
      </c>
      <c r="AH353">
        <v>3.0322157032979815</v>
      </c>
      <c r="AI353">
        <v>24</v>
      </c>
      <c r="AJ353" t="s">
        <v>69</v>
      </c>
      <c r="AK353" t="s">
        <v>69</v>
      </c>
      <c r="AM353"/>
      <c r="AN353">
        <v>13.61698077</v>
      </c>
      <c r="AO353">
        <v>24.839248000000001</v>
      </c>
      <c r="AP353">
        <v>32.842318630000001</v>
      </c>
      <c r="AQ353">
        <v>23.24</v>
      </c>
      <c r="AS353">
        <v>0.88</v>
      </c>
      <c r="AT353">
        <v>0.95699999999999996</v>
      </c>
      <c r="AW353" s="28">
        <f t="shared" si="25"/>
        <v>0.79929333001330838</v>
      </c>
      <c r="AX353">
        <f t="shared" si="26"/>
        <v>0.86956521739130432</v>
      </c>
      <c r="AY353" s="62">
        <f t="shared" si="27"/>
        <v>0.69503767827244201</v>
      </c>
      <c r="AZ353" s="68" t="str">
        <f t="shared" si="28"/>
        <v>No</v>
      </c>
      <c r="BA353" s="68" t="str">
        <f t="shared" si="29"/>
        <v>No</v>
      </c>
    </row>
    <row r="354" spans="1:53" hidden="1">
      <c r="A354" t="s">
        <v>1815</v>
      </c>
      <c r="B354" t="s">
        <v>2933</v>
      </c>
      <c r="C354">
        <v>232</v>
      </c>
      <c r="F354" t="s">
        <v>1241</v>
      </c>
      <c r="G354" t="s">
        <v>1725</v>
      </c>
      <c r="I354">
        <v>2010</v>
      </c>
      <c r="N354" t="s">
        <v>36</v>
      </c>
      <c r="P354" t="s">
        <v>60</v>
      </c>
      <c r="Q354" t="s">
        <v>900</v>
      </c>
      <c r="R354" t="s">
        <v>911</v>
      </c>
      <c r="S354" t="s">
        <v>1774</v>
      </c>
      <c r="V354" t="s">
        <v>1015</v>
      </c>
      <c r="Z354">
        <v>4</v>
      </c>
      <c r="AA354">
        <v>4</v>
      </c>
      <c r="AC354">
        <v>375</v>
      </c>
      <c r="AD354">
        <v>24</v>
      </c>
      <c r="AE354">
        <v>1077</v>
      </c>
      <c r="AF354">
        <v>27</v>
      </c>
      <c r="AG354" t="s">
        <v>3379</v>
      </c>
      <c r="AH354">
        <v>3.0322157032979815</v>
      </c>
      <c r="AI354">
        <v>24</v>
      </c>
      <c r="AJ354" t="s">
        <v>1791</v>
      </c>
      <c r="AK354" t="s">
        <v>770</v>
      </c>
      <c r="AM354"/>
      <c r="AN354">
        <v>46.047965210000001</v>
      </c>
      <c r="AO354">
        <v>25.54</v>
      </c>
      <c r="AP354">
        <v>45.032113670000001</v>
      </c>
      <c r="AQ354">
        <v>46.38</v>
      </c>
      <c r="AS354">
        <v>-2.1999999999999999E-2</v>
      </c>
      <c r="AT354">
        <v>0.3422</v>
      </c>
      <c r="AW354" s="28">
        <f t="shared" si="25"/>
        <v>-2.7133324980591747E-2</v>
      </c>
      <c r="AX354">
        <f t="shared" si="26"/>
        <v>0.86956521739130432</v>
      </c>
      <c r="AY354" s="62">
        <f t="shared" si="27"/>
        <v>-2.3594195635297171E-2</v>
      </c>
      <c r="AZ354" s="68" t="str">
        <f t="shared" si="28"/>
        <v>No</v>
      </c>
      <c r="BA354" s="68" t="str">
        <f t="shared" si="29"/>
        <v>No</v>
      </c>
    </row>
    <row r="355" spans="1:53" hidden="1">
      <c r="A355" t="s">
        <v>1815</v>
      </c>
      <c r="B355" t="s">
        <v>2945</v>
      </c>
      <c r="C355">
        <v>232</v>
      </c>
      <c r="F355" t="s">
        <v>1241</v>
      </c>
      <c r="G355" t="s">
        <v>1725</v>
      </c>
      <c r="I355">
        <v>2017</v>
      </c>
      <c r="N355" t="s">
        <v>36</v>
      </c>
      <c r="P355" t="s">
        <v>60</v>
      </c>
      <c r="Q355" t="s">
        <v>900</v>
      </c>
      <c r="R355" t="s">
        <v>911</v>
      </c>
      <c r="S355" t="s">
        <v>1774</v>
      </c>
      <c r="V355" t="s">
        <v>1015</v>
      </c>
      <c r="Z355">
        <v>4</v>
      </c>
      <c r="AA355">
        <v>4</v>
      </c>
      <c r="AC355">
        <v>375</v>
      </c>
      <c r="AD355">
        <v>24</v>
      </c>
      <c r="AE355">
        <v>2980</v>
      </c>
      <c r="AF355">
        <v>27</v>
      </c>
      <c r="AG355" t="s">
        <v>3379</v>
      </c>
      <c r="AH355">
        <v>3.4742162640762553</v>
      </c>
      <c r="AI355">
        <v>24</v>
      </c>
      <c r="AJ355" t="s">
        <v>1791</v>
      </c>
      <c r="AK355" t="s">
        <v>770</v>
      </c>
      <c r="AM355"/>
      <c r="AN355">
        <v>46.047965210000001</v>
      </c>
      <c r="AO355">
        <v>25.54</v>
      </c>
      <c r="AP355">
        <v>62.840682569999998</v>
      </c>
      <c r="AQ355">
        <v>39</v>
      </c>
      <c r="AS355">
        <v>0.311</v>
      </c>
      <c r="AT355">
        <v>0.17319999999999999</v>
      </c>
      <c r="AW355" s="28">
        <f t="shared" si="25"/>
        <v>0.5094211542209518</v>
      </c>
      <c r="AX355">
        <f t="shared" si="26"/>
        <v>0.86956521739130432</v>
      </c>
      <c r="AY355" s="62">
        <f t="shared" si="27"/>
        <v>0.44297491671387113</v>
      </c>
      <c r="AZ355" s="68" t="str">
        <f t="shared" si="28"/>
        <v>No</v>
      </c>
      <c r="BA355" s="68" t="str">
        <f t="shared" si="29"/>
        <v>No</v>
      </c>
    </row>
    <row r="356" spans="1:53" hidden="1">
      <c r="A356" t="s">
        <v>1815</v>
      </c>
      <c r="B356" t="s">
        <v>3208</v>
      </c>
      <c r="C356">
        <v>123</v>
      </c>
      <c r="F356" t="s">
        <v>1241</v>
      </c>
      <c r="G356" t="s">
        <v>1736</v>
      </c>
      <c r="I356">
        <v>2012</v>
      </c>
      <c r="N356" t="s">
        <v>36</v>
      </c>
      <c r="P356" t="s">
        <v>60</v>
      </c>
      <c r="Q356" t="s">
        <v>900</v>
      </c>
      <c r="R356" t="s">
        <v>946</v>
      </c>
      <c r="S356" t="s">
        <v>948</v>
      </c>
      <c r="V356" t="s">
        <v>905</v>
      </c>
      <c r="Z356">
        <v>8</v>
      </c>
      <c r="AA356">
        <v>8</v>
      </c>
      <c r="AC356">
        <v>450</v>
      </c>
      <c r="AD356" s="37">
        <v>-0.5</v>
      </c>
      <c r="AE356">
        <v>1370</v>
      </c>
      <c r="AF356" s="37">
        <v>-0.3</v>
      </c>
      <c r="AG356" t="s">
        <v>3413</v>
      </c>
      <c r="AH356">
        <v>3.1367205671564067</v>
      </c>
      <c r="AI356" s="37">
        <v>-0.5</v>
      </c>
      <c r="AJ356" t="s">
        <v>1790</v>
      </c>
      <c r="AK356" t="s">
        <v>69</v>
      </c>
      <c r="AM356"/>
      <c r="AN356">
        <v>99.28</v>
      </c>
      <c r="AO356">
        <v>0.50911688245431419</v>
      </c>
      <c r="AP356">
        <v>96.01</v>
      </c>
      <c r="AQ356">
        <v>3.5921024484276618</v>
      </c>
      <c r="AS356">
        <v>-3.3000000000000002E-2</v>
      </c>
      <c r="AT356">
        <v>2.0000000000000001E-4</v>
      </c>
      <c r="AW356" s="28">
        <f t="shared" si="25"/>
        <v>-1.2746624967581903</v>
      </c>
      <c r="AX356">
        <f t="shared" si="26"/>
        <v>0.94545454545454544</v>
      </c>
      <c r="AY356" s="62">
        <f t="shared" si="27"/>
        <v>-1.2051354514804709</v>
      </c>
      <c r="AZ356" s="68" t="str">
        <f t="shared" si="28"/>
        <v>No</v>
      </c>
      <c r="BA356" s="68" t="str">
        <f t="shared" si="29"/>
        <v>No</v>
      </c>
    </row>
    <row r="357" spans="1:53" hidden="1">
      <c r="A357" t="s">
        <v>1815</v>
      </c>
      <c r="B357" t="s">
        <v>3212</v>
      </c>
      <c r="C357">
        <v>123</v>
      </c>
      <c r="F357" t="s">
        <v>1241</v>
      </c>
      <c r="G357" t="s">
        <v>1736</v>
      </c>
      <c r="I357">
        <v>2012</v>
      </c>
      <c r="N357" t="s">
        <v>36</v>
      </c>
      <c r="P357" t="s">
        <v>60</v>
      </c>
      <c r="Q357" t="s">
        <v>900</v>
      </c>
      <c r="R357" t="s">
        <v>946</v>
      </c>
      <c r="S357" t="s">
        <v>948</v>
      </c>
      <c r="V357" t="s">
        <v>905</v>
      </c>
      <c r="Z357">
        <v>10</v>
      </c>
      <c r="AA357">
        <v>10</v>
      </c>
      <c r="AC357">
        <v>450</v>
      </c>
      <c r="AD357" s="37">
        <v>-0.5</v>
      </c>
      <c r="AE357">
        <v>1370</v>
      </c>
      <c r="AF357" s="37">
        <v>-0.3</v>
      </c>
      <c r="AG357" t="s">
        <v>3413</v>
      </c>
      <c r="AH357">
        <v>3.1367205671564067</v>
      </c>
      <c r="AI357" s="37">
        <v>-0.5</v>
      </c>
      <c r="AJ357" t="s">
        <v>1813</v>
      </c>
      <c r="AK357" t="s">
        <v>59</v>
      </c>
      <c r="AM357"/>
      <c r="AN357">
        <v>96.99</v>
      </c>
      <c r="AO357">
        <v>2.9725410005582766</v>
      </c>
      <c r="AP357">
        <v>95.86</v>
      </c>
      <c r="AQ357">
        <v>4.1742065114222608</v>
      </c>
      <c r="AS357">
        <v>-1.2E-2</v>
      </c>
      <c r="AT357">
        <v>2.9999999999999997E-4</v>
      </c>
      <c r="AW357" s="28">
        <f t="shared" si="25"/>
        <v>-0.31185023843339682</v>
      </c>
      <c r="AX357">
        <f t="shared" si="26"/>
        <v>0.95774647887323949</v>
      </c>
      <c r="AY357" s="62">
        <f t="shared" si="27"/>
        <v>-0.29867346779536597</v>
      </c>
      <c r="AZ357" s="68" t="str">
        <f t="shared" si="28"/>
        <v>No</v>
      </c>
      <c r="BA357" s="68" t="str">
        <f t="shared" si="29"/>
        <v>No</v>
      </c>
    </row>
    <row r="358" spans="1:53" hidden="1">
      <c r="A358" t="s">
        <v>1815</v>
      </c>
      <c r="B358" t="s">
        <v>3214</v>
      </c>
      <c r="C358">
        <v>123</v>
      </c>
      <c r="F358" t="s">
        <v>1241</v>
      </c>
      <c r="G358" t="s">
        <v>1736</v>
      </c>
      <c r="I358">
        <v>2014</v>
      </c>
      <c r="N358" t="s">
        <v>36</v>
      </c>
      <c r="P358" t="s">
        <v>60</v>
      </c>
      <c r="Q358" t="s">
        <v>900</v>
      </c>
      <c r="R358" t="s">
        <v>946</v>
      </c>
      <c r="S358" t="s">
        <v>948</v>
      </c>
      <c r="V358" t="s">
        <v>905</v>
      </c>
      <c r="Z358">
        <v>8</v>
      </c>
      <c r="AA358">
        <v>8</v>
      </c>
      <c r="AC358">
        <v>450</v>
      </c>
      <c r="AD358" s="37">
        <v>-0.5</v>
      </c>
      <c r="AE358">
        <v>850</v>
      </c>
      <c r="AF358" s="37">
        <v>-0.5</v>
      </c>
      <c r="AG358" t="s">
        <v>3413</v>
      </c>
      <c r="AH358">
        <v>2.9294189257142929</v>
      </c>
      <c r="AI358" s="37">
        <v>-0.5</v>
      </c>
      <c r="AJ358" t="s">
        <v>1790</v>
      </c>
      <c r="AK358" t="s">
        <v>770</v>
      </c>
      <c r="AM358"/>
      <c r="AN358">
        <v>99.28</v>
      </c>
      <c r="AO358">
        <v>0.50911688245431419</v>
      </c>
      <c r="AP358">
        <v>98.55</v>
      </c>
      <c r="AQ358">
        <v>0.50911688245431419</v>
      </c>
      <c r="AS358">
        <v>-7.0000000000000001E-3</v>
      </c>
      <c r="AT358">
        <v>1E-4</v>
      </c>
      <c r="AW358" s="28">
        <f t="shared" si="25"/>
        <v>-1.4338554174060627</v>
      </c>
      <c r="AX358">
        <f t="shared" si="26"/>
        <v>0.94545454545454544</v>
      </c>
      <c r="AY358" s="62">
        <f t="shared" si="27"/>
        <v>-1.3556451219111865</v>
      </c>
      <c r="AZ358" s="68" t="str">
        <f t="shared" si="28"/>
        <v>No</v>
      </c>
      <c r="BA358" s="68" t="str">
        <f t="shared" si="29"/>
        <v>No</v>
      </c>
    </row>
    <row r="359" spans="1:53" hidden="1">
      <c r="A359" t="s">
        <v>1815</v>
      </c>
      <c r="B359" t="s">
        <v>3215</v>
      </c>
      <c r="C359">
        <v>123</v>
      </c>
      <c r="F359" t="s">
        <v>1241</v>
      </c>
      <c r="G359" t="s">
        <v>1736</v>
      </c>
      <c r="I359">
        <v>2014</v>
      </c>
      <c r="N359" t="s">
        <v>36</v>
      </c>
      <c r="P359" t="s">
        <v>60</v>
      </c>
      <c r="Q359" t="s">
        <v>900</v>
      </c>
      <c r="R359" t="s">
        <v>946</v>
      </c>
      <c r="S359" t="s">
        <v>948</v>
      </c>
      <c r="V359" t="s">
        <v>905</v>
      </c>
      <c r="Z359">
        <v>10</v>
      </c>
      <c r="AA359">
        <v>10</v>
      </c>
      <c r="AC359">
        <v>450</v>
      </c>
      <c r="AD359" s="37">
        <v>-0.5</v>
      </c>
      <c r="AE359">
        <v>850</v>
      </c>
      <c r="AF359" s="37">
        <v>-0.5</v>
      </c>
      <c r="AG359" t="s">
        <v>3413</v>
      </c>
      <c r="AH359">
        <v>2.9294189257142929</v>
      </c>
      <c r="AI359" s="37">
        <v>-0.5</v>
      </c>
      <c r="AJ359" t="s">
        <v>1813</v>
      </c>
      <c r="AK359" t="s">
        <v>59</v>
      </c>
      <c r="AM359"/>
      <c r="AN359">
        <v>96.99</v>
      </c>
      <c r="AO359">
        <v>2.9725410005582766</v>
      </c>
      <c r="AP359">
        <v>96.99</v>
      </c>
      <c r="AQ359">
        <v>1.2016655108639842</v>
      </c>
      <c r="AS359">
        <v>0</v>
      </c>
      <c r="AT359">
        <v>1E-4</v>
      </c>
      <c r="AW359" s="28">
        <f t="shared" si="25"/>
        <v>0</v>
      </c>
      <c r="AX359">
        <f t="shared" si="26"/>
        <v>0.95774647887323949</v>
      </c>
      <c r="AY359" s="62">
        <f t="shared" si="27"/>
        <v>0</v>
      </c>
      <c r="AZ359" s="68" t="str">
        <f t="shared" si="28"/>
        <v>No</v>
      </c>
      <c r="BA359" s="68" t="str">
        <f t="shared" si="29"/>
        <v>No</v>
      </c>
    </row>
    <row r="360" spans="1:53" hidden="1">
      <c r="A360" t="s">
        <v>1815</v>
      </c>
      <c r="B360" t="s">
        <v>3207</v>
      </c>
      <c r="C360">
        <v>123</v>
      </c>
      <c r="F360" t="s">
        <v>1241</v>
      </c>
      <c r="G360" t="s">
        <v>1736</v>
      </c>
      <c r="I360">
        <v>2012</v>
      </c>
      <c r="N360" t="s">
        <v>36</v>
      </c>
      <c r="P360" t="s">
        <v>60</v>
      </c>
      <c r="Q360" t="s">
        <v>900</v>
      </c>
      <c r="R360" t="s">
        <v>946</v>
      </c>
      <c r="S360" t="s">
        <v>948</v>
      </c>
      <c r="V360" t="s">
        <v>907</v>
      </c>
      <c r="Z360">
        <v>8</v>
      </c>
      <c r="AA360">
        <v>8</v>
      </c>
      <c r="AC360">
        <v>450</v>
      </c>
      <c r="AD360" s="37">
        <v>-0.5</v>
      </c>
      <c r="AE360">
        <v>450</v>
      </c>
      <c r="AF360" s="37">
        <v>2.9</v>
      </c>
      <c r="AG360" t="s">
        <v>3413</v>
      </c>
      <c r="AH360">
        <v>2.6532125137753435</v>
      </c>
      <c r="AI360" s="37">
        <v>-0.5</v>
      </c>
      <c r="AJ360" t="s">
        <v>1790</v>
      </c>
      <c r="AK360" t="s">
        <v>59</v>
      </c>
      <c r="AM360"/>
      <c r="AN360">
        <v>99.28</v>
      </c>
      <c r="AO360">
        <v>0.50911688245431419</v>
      </c>
      <c r="AP360">
        <v>88.95</v>
      </c>
      <c r="AQ360">
        <v>9.2206724266725804</v>
      </c>
      <c r="AS360">
        <v>-0.11</v>
      </c>
      <c r="AT360">
        <v>1.2999999999999999E-3</v>
      </c>
      <c r="AW360" s="28">
        <f t="shared" si="25"/>
        <v>-1.5819462506553361</v>
      </c>
      <c r="AX360">
        <f t="shared" si="26"/>
        <v>0.94545454545454544</v>
      </c>
      <c r="AY360" s="62">
        <f t="shared" si="27"/>
        <v>-1.4956582733468633</v>
      </c>
      <c r="AZ360" s="68" t="str">
        <f t="shared" si="28"/>
        <v>No</v>
      </c>
      <c r="BA360" s="68" t="str">
        <f t="shared" si="29"/>
        <v>No</v>
      </c>
    </row>
    <row r="361" spans="1:53" hidden="1">
      <c r="A361" t="s">
        <v>1815</v>
      </c>
      <c r="B361" t="s">
        <v>3211</v>
      </c>
      <c r="C361">
        <v>123</v>
      </c>
      <c r="F361" t="s">
        <v>1241</v>
      </c>
      <c r="G361" t="s">
        <v>1736</v>
      </c>
      <c r="I361">
        <v>2012</v>
      </c>
      <c r="N361" t="s">
        <v>36</v>
      </c>
      <c r="P361" t="s">
        <v>60</v>
      </c>
      <c r="Q361" t="s">
        <v>900</v>
      </c>
      <c r="R361" t="s">
        <v>946</v>
      </c>
      <c r="S361" t="s">
        <v>948</v>
      </c>
      <c r="V361" t="s">
        <v>907</v>
      </c>
      <c r="Z361">
        <v>8</v>
      </c>
      <c r="AA361">
        <v>8</v>
      </c>
      <c r="AC361">
        <v>450</v>
      </c>
      <c r="AD361" s="37">
        <v>-0.5</v>
      </c>
      <c r="AE361">
        <v>450</v>
      </c>
      <c r="AF361" s="37">
        <v>0.9</v>
      </c>
      <c r="AG361" t="s">
        <v>3413</v>
      </c>
      <c r="AH361">
        <v>2.6532125137753435</v>
      </c>
      <c r="AI361" s="37">
        <v>-0.5</v>
      </c>
      <c r="AJ361" t="s">
        <v>1790</v>
      </c>
      <c r="AK361" t="s">
        <v>770</v>
      </c>
      <c r="AM361"/>
      <c r="AN361">
        <v>99.28</v>
      </c>
      <c r="AO361">
        <v>0.50911688245431419</v>
      </c>
      <c r="AP361">
        <v>97.64</v>
      </c>
      <c r="AQ361">
        <v>2.5738686835190334</v>
      </c>
      <c r="AS361">
        <v>-1.7000000000000001E-2</v>
      </c>
      <c r="AT361">
        <v>1E-4</v>
      </c>
      <c r="AW361" s="28">
        <f t="shared" si="25"/>
        <v>-0.88397180905827655</v>
      </c>
      <c r="AX361">
        <f t="shared" si="26"/>
        <v>0.94545454545454544</v>
      </c>
      <c r="AY361" s="62">
        <f t="shared" si="27"/>
        <v>-0.83575516492782509</v>
      </c>
      <c r="AZ361" s="68" t="str">
        <f t="shared" si="28"/>
        <v>No</v>
      </c>
      <c r="BA361" s="68" t="str">
        <f t="shared" si="29"/>
        <v>No</v>
      </c>
    </row>
    <row r="362" spans="1:53" hidden="1">
      <c r="A362" t="s">
        <v>1815</v>
      </c>
      <c r="B362" t="s">
        <v>3216</v>
      </c>
      <c r="C362">
        <v>123</v>
      </c>
      <c r="F362" t="s">
        <v>1241</v>
      </c>
      <c r="G362" t="s">
        <v>1736</v>
      </c>
      <c r="I362">
        <v>2014</v>
      </c>
      <c r="N362" t="s">
        <v>36</v>
      </c>
      <c r="P362" t="s">
        <v>60</v>
      </c>
      <c r="Q362" t="s">
        <v>900</v>
      </c>
      <c r="R362" t="s">
        <v>946</v>
      </c>
      <c r="S362" t="s">
        <v>948</v>
      </c>
      <c r="V362" t="s">
        <v>907</v>
      </c>
      <c r="Z362">
        <v>10</v>
      </c>
      <c r="AA362">
        <v>10</v>
      </c>
      <c r="AC362">
        <v>450</v>
      </c>
      <c r="AD362" s="37">
        <v>-0.5</v>
      </c>
      <c r="AE362">
        <v>450</v>
      </c>
      <c r="AF362" s="37">
        <v>2.9</v>
      </c>
      <c r="AG362" t="s">
        <v>3413</v>
      </c>
      <c r="AH362">
        <v>2.6532125137753435</v>
      </c>
      <c r="AI362" s="37">
        <v>-0.5</v>
      </c>
      <c r="AJ362" t="s">
        <v>1813</v>
      </c>
      <c r="AK362" t="s">
        <v>59</v>
      </c>
      <c r="AM362"/>
      <c r="AN362">
        <v>96.99</v>
      </c>
      <c r="AO362">
        <v>2.9725410005582766</v>
      </c>
      <c r="AP362">
        <v>96.99</v>
      </c>
      <c r="AQ362">
        <v>2.9725410005582766</v>
      </c>
      <c r="AS362">
        <v>0</v>
      </c>
      <c r="AT362">
        <v>2.0000000000000001E-4</v>
      </c>
      <c r="AW362" s="28">
        <f t="shared" si="25"/>
        <v>0</v>
      </c>
      <c r="AX362">
        <f t="shared" si="26"/>
        <v>0.95774647887323949</v>
      </c>
      <c r="AY362" s="62">
        <f t="shared" si="27"/>
        <v>0</v>
      </c>
      <c r="AZ362" s="68" t="str">
        <f t="shared" si="28"/>
        <v>No</v>
      </c>
      <c r="BA362" s="68" t="str">
        <f t="shared" si="29"/>
        <v>No</v>
      </c>
    </row>
    <row r="363" spans="1:53" hidden="1">
      <c r="A363" t="s">
        <v>1815</v>
      </c>
      <c r="B363" t="s">
        <v>3218</v>
      </c>
      <c r="C363">
        <v>123</v>
      </c>
      <c r="F363" t="s">
        <v>1241</v>
      </c>
      <c r="G363" t="s">
        <v>1736</v>
      </c>
      <c r="I363">
        <v>2014</v>
      </c>
      <c r="N363" t="s">
        <v>36</v>
      </c>
      <c r="P363" t="s">
        <v>60</v>
      </c>
      <c r="Q363" t="s">
        <v>900</v>
      </c>
      <c r="R363" t="s">
        <v>946</v>
      </c>
      <c r="S363" t="s">
        <v>948</v>
      </c>
      <c r="V363" t="s">
        <v>907</v>
      </c>
      <c r="Z363">
        <v>10</v>
      </c>
      <c r="AA363">
        <v>10</v>
      </c>
      <c r="AC363">
        <v>450</v>
      </c>
      <c r="AD363" s="37">
        <v>-0.5</v>
      </c>
      <c r="AE363">
        <v>450</v>
      </c>
      <c r="AF363" s="37">
        <v>0.9</v>
      </c>
      <c r="AG363" t="s">
        <v>3413</v>
      </c>
      <c r="AH363">
        <v>2.6532125137753435</v>
      </c>
      <c r="AI363" s="37">
        <v>-0.5</v>
      </c>
      <c r="AJ363" t="s">
        <v>1813</v>
      </c>
      <c r="AK363" t="s">
        <v>59</v>
      </c>
      <c r="AM363"/>
      <c r="AN363">
        <v>96.99</v>
      </c>
      <c r="AO363">
        <v>2.9725410005582766</v>
      </c>
      <c r="AP363">
        <v>98.87</v>
      </c>
      <c r="AQ363">
        <v>1.2016655108639842</v>
      </c>
      <c r="AS363">
        <v>1.9E-2</v>
      </c>
      <c r="AT363">
        <v>1E-4</v>
      </c>
      <c r="AW363" s="28">
        <f t="shared" si="25"/>
        <v>0.82923245181551841</v>
      </c>
      <c r="AX363">
        <f t="shared" si="26"/>
        <v>0.95774647887323949</v>
      </c>
      <c r="AY363" s="62">
        <f t="shared" si="27"/>
        <v>0.79419446089373602</v>
      </c>
      <c r="AZ363" s="68" t="str">
        <f t="shared" si="28"/>
        <v>No</v>
      </c>
      <c r="BA363" s="68" t="str">
        <f t="shared" si="29"/>
        <v>No</v>
      </c>
    </row>
    <row r="364" spans="1:53" hidden="1">
      <c r="A364" t="s">
        <v>1815</v>
      </c>
      <c r="B364" t="s">
        <v>3203</v>
      </c>
      <c r="C364">
        <v>123</v>
      </c>
      <c r="F364" t="s">
        <v>1241</v>
      </c>
      <c r="G364" t="s">
        <v>1736</v>
      </c>
      <c r="I364">
        <v>2012</v>
      </c>
      <c r="N364" t="s">
        <v>36</v>
      </c>
      <c r="P364" t="s">
        <v>60</v>
      </c>
      <c r="Q364" t="s">
        <v>900</v>
      </c>
      <c r="R364" t="s">
        <v>946</v>
      </c>
      <c r="S364" t="s">
        <v>948</v>
      </c>
      <c r="V364" t="s">
        <v>1015</v>
      </c>
      <c r="Z364">
        <v>8</v>
      </c>
      <c r="AA364">
        <v>8</v>
      </c>
      <c r="AC364">
        <v>450</v>
      </c>
      <c r="AD364" s="37">
        <v>-0.5</v>
      </c>
      <c r="AE364">
        <v>1370</v>
      </c>
      <c r="AF364" s="37">
        <v>3.4</v>
      </c>
      <c r="AG364" t="s">
        <v>3413</v>
      </c>
      <c r="AH364">
        <v>3.1367205671564067</v>
      </c>
      <c r="AI364" s="37">
        <v>-0.5</v>
      </c>
      <c r="AJ364" t="s">
        <v>1790</v>
      </c>
      <c r="AK364" t="s">
        <v>59</v>
      </c>
      <c r="AM364"/>
      <c r="AN364">
        <v>99.28</v>
      </c>
      <c r="AO364">
        <v>0.50911688245431419</v>
      </c>
      <c r="AP364">
        <v>87.86</v>
      </c>
      <c r="AQ364">
        <v>6.675088014401009</v>
      </c>
      <c r="AS364">
        <v>-0.122</v>
      </c>
      <c r="AT364">
        <v>6.9999999999999999E-4</v>
      </c>
      <c r="AW364" s="28">
        <f t="shared" si="25"/>
        <v>-2.4124846348797506</v>
      </c>
      <c r="AX364">
        <f t="shared" si="26"/>
        <v>0.94545454545454544</v>
      </c>
      <c r="AY364" s="62">
        <f t="shared" si="27"/>
        <v>-2.2808945638863096</v>
      </c>
      <c r="AZ364" s="68" t="str">
        <f t="shared" si="28"/>
        <v>No</v>
      </c>
      <c r="BA364" s="68" t="str">
        <f t="shared" si="29"/>
        <v>No</v>
      </c>
    </row>
    <row r="365" spans="1:53" hidden="1">
      <c r="A365" t="s">
        <v>1815</v>
      </c>
      <c r="B365" t="s">
        <v>3204</v>
      </c>
      <c r="C365">
        <v>123</v>
      </c>
      <c r="F365" t="s">
        <v>1241</v>
      </c>
      <c r="G365" t="s">
        <v>1736</v>
      </c>
      <c r="I365">
        <v>2012</v>
      </c>
      <c r="N365" t="s">
        <v>36</v>
      </c>
      <c r="P365" t="s">
        <v>60</v>
      </c>
      <c r="Q365" t="s">
        <v>900</v>
      </c>
      <c r="R365" t="s">
        <v>946</v>
      </c>
      <c r="S365" t="s">
        <v>948</v>
      </c>
      <c r="V365" t="s">
        <v>1015</v>
      </c>
      <c r="Z365">
        <v>8</v>
      </c>
      <c r="AA365">
        <v>8</v>
      </c>
      <c r="AC365">
        <v>450</v>
      </c>
      <c r="AD365" s="37">
        <v>-0.5</v>
      </c>
      <c r="AE365">
        <v>850</v>
      </c>
      <c r="AF365" s="37">
        <v>3</v>
      </c>
      <c r="AG365" t="s">
        <v>3413</v>
      </c>
      <c r="AH365">
        <v>2.9294189257142929</v>
      </c>
      <c r="AI365" s="37">
        <v>-0.5</v>
      </c>
      <c r="AJ365" t="s">
        <v>1790</v>
      </c>
      <c r="AK365" t="s">
        <v>59</v>
      </c>
      <c r="AM365"/>
      <c r="AN365">
        <v>99.28</v>
      </c>
      <c r="AO365">
        <v>0.50911688245431419</v>
      </c>
      <c r="AP365">
        <v>88.41</v>
      </c>
      <c r="AQ365">
        <v>6.675088014401009</v>
      </c>
      <c r="AS365">
        <v>-0.11600000000000001</v>
      </c>
      <c r="AT365">
        <v>6.9999999999999999E-4</v>
      </c>
      <c r="AW365" s="28">
        <f t="shared" si="25"/>
        <v>-2.2962966708531432</v>
      </c>
      <c r="AX365">
        <f t="shared" si="26"/>
        <v>0.94545454545454544</v>
      </c>
      <c r="AY365" s="62">
        <f t="shared" si="27"/>
        <v>-2.1710441251702446</v>
      </c>
      <c r="AZ365" s="68" t="str">
        <f t="shared" si="28"/>
        <v>No</v>
      </c>
      <c r="BA365" s="68" t="str">
        <f t="shared" si="29"/>
        <v>No</v>
      </c>
    </row>
    <row r="366" spans="1:53" hidden="1">
      <c r="A366" t="s">
        <v>1815</v>
      </c>
      <c r="B366" t="s">
        <v>3205</v>
      </c>
      <c r="C366">
        <v>123</v>
      </c>
      <c r="F366" t="s">
        <v>1241</v>
      </c>
      <c r="G366" t="s">
        <v>1736</v>
      </c>
      <c r="I366">
        <v>2012</v>
      </c>
      <c r="N366" t="s">
        <v>36</v>
      </c>
      <c r="P366" t="s">
        <v>60</v>
      </c>
      <c r="Q366" t="s">
        <v>900</v>
      </c>
      <c r="R366" t="s">
        <v>946</v>
      </c>
      <c r="S366" t="s">
        <v>948</v>
      </c>
      <c r="V366" t="s">
        <v>1015</v>
      </c>
      <c r="Z366">
        <v>10</v>
      </c>
      <c r="AA366">
        <v>10</v>
      </c>
      <c r="AC366">
        <v>450</v>
      </c>
      <c r="AD366" s="37">
        <v>-0.5</v>
      </c>
      <c r="AE366">
        <v>1370</v>
      </c>
      <c r="AF366" s="37">
        <v>1.8</v>
      </c>
      <c r="AG366" t="s">
        <v>3413</v>
      </c>
      <c r="AH366">
        <v>3.1367205671564067</v>
      </c>
      <c r="AI366" s="37">
        <v>-0.5</v>
      </c>
      <c r="AJ366" t="s">
        <v>1813</v>
      </c>
      <c r="AK366" t="s">
        <v>69</v>
      </c>
      <c r="AM366"/>
      <c r="AN366">
        <v>96.99</v>
      </c>
      <c r="AO366">
        <v>2.9725410005582766</v>
      </c>
      <c r="AP366">
        <v>86.65</v>
      </c>
      <c r="AQ366">
        <v>7.7159574908108457</v>
      </c>
      <c r="AS366">
        <v>-0.113</v>
      </c>
      <c r="AT366">
        <v>8.9999999999999998E-4</v>
      </c>
      <c r="AW366" s="28">
        <f t="shared" si="25"/>
        <v>-1.7684646969361191</v>
      </c>
      <c r="AX366">
        <f t="shared" si="26"/>
        <v>0.95774647887323949</v>
      </c>
      <c r="AY366" s="62">
        <f t="shared" si="27"/>
        <v>-1.6937408365021986</v>
      </c>
      <c r="AZ366" s="68" t="str">
        <f t="shared" si="28"/>
        <v>No</v>
      </c>
      <c r="BA366" s="68" t="str">
        <f t="shared" si="29"/>
        <v>No</v>
      </c>
    </row>
    <row r="367" spans="1:53" hidden="1">
      <c r="A367" t="s">
        <v>1815</v>
      </c>
      <c r="B367" t="s">
        <v>3206</v>
      </c>
      <c r="C367">
        <v>123</v>
      </c>
      <c r="F367" t="s">
        <v>1241</v>
      </c>
      <c r="G367" t="s">
        <v>1736</v>
      </c>
      <c r="I367">
        <v>2012</v>
      </c>
      <c r="N367" t="s">
        <v>36</v>
      </c>
      <c r="P367" t="s">
        <v>60</v>
      </c>
      <c r="Q367" t="s">
        <v>900</v>
      </c>
      <c r="R367" t="s">
        <v>946</v>
      </c>
      <c r="S367" t="s">
        <v>948</v>
      </c>
      <c r="V367" t="s">
        <v>1015</v>
      </c>
      <c r="Z367">
        <v>10</v>
      </c>
      <c r="AA367">
        <v>10</v>
      </c>
      <c r="AC367">
        <v>450</v>
      </c>
      <c r="AD367" s="37">
        <v>-0.5</v>
      </c>
      <c r="AE367">
        <v>1370</v>
      </c>
      <c r="AF367" s="37">
        <v>3.4</v>
      </c>
      <c r="AG367" t="s">
        <v>3413</v>
      </c>
      <c r="AH367">
        <v>3.1367205671564067</v>
      </c>
      <c r="AI367" s="37">
        <v>-0.5</v>
      </c>
      <c r="AJ367" t="s">
        <v>1813</v>
      </c>
      <c r="AK367" t="s">
        <v>69</v>
      </c>
      <c r="AM367"/>
      <c r="AN367">
        <v>96.99</v>
      </c>
      <c r="AO367">
        <v>2.9725410005582766</v>
      </c>
      <c r="AP367">
        <v>86.65</v>
      </c>
      <c r="AQ367">
        <v>7.7159574908108457</v>
      </c>
      <c r="AS367">
        <v>-0.113</v>
      </c>
      <c r="AT367">
        <v>8.9999999999999998E-4</v>
      </c>
      <c r="AW367" s="28">
        <f t="shared" si="25"/>
        <v>-1.7684646969361191</v>
      </c>
      <c r="AX367">
        <f t="shared" si="26"/>
        <v>0.95774647887323949</v>
      </c>
      <c r="AY367" s="62">
        <f t="shared" si="27"/>
        <v>-1.6937408365021986</v>
      </c>
      <c r="AZ367" s="68" t="str">
        <f t="shared" si="28"/>
        <v>No</v>
      </c>
      <c r="BA367" s="68" t="str">
        <f t="shared" si="29"/>
        <v>No</v>
      </c>
    </row>
    <row r="368" spans="1:53" hidden="1">
      <c r="A368" t="s">
        <v>1815</v>
      </c>
      <c r="B368" t="s">
        <v>3209</v>
      </c>
      <c r="C368">
        <v>123</v>
      </c>
      <c r="F368" t="s">
        <v>1241</v>
      </c>
      <c r="G368" t="s">
        <v>1736</v>
      </c>
      <c r="I368">
        <v>2012</v>
      </c>
      <c r="N368" t="s">
        <v>36</v>
      </c>
      <c r="P368" t="s">
        <v>60</v>
      </c>
      <c r="Q368" t="s">
        <v>900</v>
      </c>
      <c r="R368" t="s">
        <v>946</v>
      </c>
      <c r="S368" t="s">
        <v>948</v>
      </c>
      <c r="V368" t="s">
        <v>1015</v>
      </c>
      <c r="Z368">
        <v>8</v>
      </c>
      <c r="AA368">
        <v>8</v>
      </c>
      <c r="AC368">
        <v>450</v>
      </c>
      <c r="AD368" s="37">
        <v>-0.5</v>
      </c>
      <c r="AE368">
        <v>1370</v>
      </c>
      <c r="AF368" s="37">
        <v>1.8</v>
      </c>
      <c r="AG368" t="s">
        <v>3413</v>
      </c>
      <c r="AH368">
        <v>3.1367205671564067</v>
      </c>
      <c r="AI368" s="37">
        <v>-0.5</v>
      </c>
      <c r="AJ368" t="s">
        <v>1790</v>
      </c>
      <c r="AK368" t="s">
        <v>59</v>
      </c>
      <c r="AM368"/>
      <c r="AN368">
        <v>99.28</v>
      </c>
      <c r="AO368">
        <v>0.50911688245431419</v>
      </c>
      <c r="AP368">
        <v>97.28</v>
      </c>
      <c r="AQ368">
        <v>3.5921024484276618</v>
      </c>
      <c r="AS368">
        <v>-0.02</v>
      </c>
      <c r="AT368">
        <v>2.0000000000000001E-4</v>
      </c>
      <c r="AW368" s="28">
        <f t="shared" si="25"/>
        <v>-0.77961008976036195</v>
      </c>
      <c r="AX368">
        <f t="shared" si="26"/>
        <v>0.94545454545454544</v>
      </c>
      <c r="AY368" s="62">
        <f t="shared" si="27"/>
        <v>-0.7370859030461604</v>
      </c>
      <c r="AZ368" s="68" t="str">
        <f t="shared" si="28"/>
        <v>No</v>
      </c>
      <c r="BA368" s="68" t="str">
        <f t="shared" si="29"/>
        <v>No</v>
      </c>
    </row>
    <row r="369" spans="1:53" hidden="1">
      <c r="A369" t="s">
        <v>1815</v>
      </c>
      <c r="B369" t="s">
        <v>3210</v>
      </c>
      <c r="C369">
        <v>123</v>
      </c>
      <c r="F369" t="s">
        <v>1241</v>
      </c>
      <c r="G369" t="s">
        <v>1736</v>
      </c>
      <c r="I369">
        <v>2012</v>
      </c>
      <c r="N369" t="s">
        <v>36</v>
      </c>
      <c r="P369" t="s">
        <v>60</v>
      </c>
      <c r="Q369" t="s">
        <v>900</v>
      </c>
      <c r="R369" t="s">
        <v>946</v>
      </c>
      <c r="S369" t="s">
        <v>948</v>
      </c>
      <c r="V369" t="s">
        <v>1015</v>
      </c>
      <c r="Z369">
        <v>10</v>
      </c>
      <c r="AA369">
        <v>10</v>
      </c>
      <c r="AC369">
        <v>450</v>
      </c>
      <c r="AD369" s="37">
        <v>-0.5</v>
      </c>
      <c r="AE369">
        <v>850</v>
      </c>
      <c r="AF369" s="37">
        <v>3</v>
      </c>
      <c r="AG369" t="s">
        <v>3413</v>
      </c>
      <c r="AH369">
        <v>2.9294189257142929</v>
      </c>
      <c r="AI369" s="37">
        <v>-0.5</v>
      </c>
      <c r="AJ369" t="s">
        <v>1813</v>
      </c>
      <c r="AK369" t="s">
        <v>59</v>
      </c>
      <c r="AM369"/>
      <c r="AN369">
        <v>96.99</v>
      </c>
      <c r="AO369">
        <v>2.9725410005582766</v>
      </c>
      <c r="AP369">
        <v>95.11</v>
      </c>
      <c r="AQ369">
        <v>4.7434164902525691</v>
      </c>
      <c r="AS369">
        <v>-0.02</v>
      </c>
      <c r="AT369">
        <v>2.9999999999999997E-4</v>
      </c>
      <c r="AW369" s="28">
        <f t="shared" si="25"/>
        <v>-0.47495347312542352</v>
      </c>
      <c r="AX369">
        <f t="shared" si="26"/>
        <v>0.95774647887323949</v>
      </c>
      <c r="AY369" s="62">
        <f t="shared" si="27"/>
        <v>-0.45488501651449015</v>
      </c>
      <c r="AZ369" s="68" t="str">
        <f t="shared" si="28"/>
        <v>No</v>
      </c>
      <c r="BA369" s="68" t="str">
        <f t="shared" si="29"/>
        <v>No</v>
      </c>
    </row>
    <row r="370" spans="1:53" hidden="1">
      <c r="A370" t="s">
        <v>1815</v>
      </c>
      <c r="B370" t="s">
        <v>3213</v>
      </c>
      <c r="C370">
        <v>123</v>
      </c>
      <c r="F370" t="s">
        <v>1241</v>
      </c>
      <c r="G370" t="s">
        <v>1736</v>
      </c>
      <c r="I370">
        <v>2012</v>
      </c>
      <c r="N370" t="s">
        <v>36</v>
      </c>
      <c r="P370" t="s">
        <v>60</v>
      </c>
      <c r="Q370" t="s">
        <v>900</v>
      </c>
      <c r="R370" t="s">
        <v>946</v>
      </c>
      <c r="S370" t="s">
        <v>948</v>
      </c>
      <c r="V370" t="s">
        <v>1015</v>
      </c>
      <c r="Z370">
        <v>8</v>
      </c>
      <c r="AA370">
        <v>8</v>
      </c>
      <c r="AC370">
        <v>450</v>
      </c>
      <c r="AD370" s="37">
        <v>-0.5</v>
      </c>
      <c r="AE370">
        <v>850</v>
      </c>
      <c r="AF370" s="37">
        <v>1.6</v>
      </c>
      <c r="AG370" t="s">
        <v>3413</v>
      </c>
      <c r="AH370">
        <v>2.9294189257142929</v>
      </c>
      <c r="AI370" s="37">
        <v>-0.5</v>
      </c>
      <c r="AJ370" t="s">
        <v>1790</v>
      </c>
      <c r="AK370" t="s">
        <v>770</v>
      </c>
      <c r="AM370"/>
      <c r="AN370">
        <v>99.28</v>
      </c>
      <c r="AO370">
        <v>0.50911688245431419</v>
      </c>
      <c r="AP370">
        <v>98.37</v>
      </c>
      <c r="AQ370">
        <v>2.5738686835190334</v>
      </c>
      <c r="AS370">
        <v>-8.9999999999999993E-3</v>
      </c>
      <c r="AT370">
        <v>1E-4</v>
      </c>
      <c r="AW370" s="28">
        <f t="shared" si="25"/>
        <v>-0.49049655258721242</v>
      </c>
      <c r="AX370">
        <f t="shared" si="26"/>
        <v>0.94545454545454544</v>
      </c>
      <c r="AY370" s="62">
        <f t="shared" si="27"/>
        <v>-0.46374219517336446</v>
      </c>
      <c r="AZ370" s="68" t="str">
        <f t="shared" si="28"/>
        <v>No</v>
      </c>
      <c r="BA370" s="68" t="str">
        <f t="shared" si="29"/>
        <v>No</v>
      </c>
    </row>
    <row r="371" spans="1:53" hidden="1">
      <c r="A371" t="s">
        <v>1815</v>
      </c>
      <c r="B371" t="s">
        <v>3217</v>
      </c>
      <c r="C371">
        <v>123</v>
      </c>
      <c r="F371" t="s">
        <v>1241</v>
      </c>
      <c r="G371" t="s">
        <v>1736</v>
      </c>
      <c r="I371">
        <v>2014</v>
      </c>
      <c r="N371" t="s">
        <v>36</v>
      </c>
      <c r="P371" t="s">
        <v>60</v>
      </c>
      <c r="Q371" t="s">
        <v>900</v>
      </c>
      <c r="R371" t="s">
        <v>946</v>
      </c>
      <c r="S371" t="s">
        <v>948</v>
      </c>
      <c r="V371" t="s">
        <v>1015</v>
      </c>
      <c r="Z371">
        <v>10</v>
      </c>
      <c r="AA371">
        <v>10</v>
      </c>
      <c r="AC371">
        <v>450</v>
      </c>
      <c r="AD371" s="37">
        <v>-0.5</v>
      </c>
      <c r="AE371">
        <v>850</v>
      </c>
      <c r="AF371" s="37">
        <v>1.6</v>
      </c>
      <c r="AG371" t="s">
        <v>3413</v>
      </c>
      <c r="AH371">
        <v>2.9294189257142929</v>
      </c>
      <c r="AI371" s="37">
        <v>-0.5</v>
      </c>
      <c r="AJ371" t="s">
        <v>1813</v>
      </c>
      <c r="AK371" t="s">
        <v>59</v>
      </c>
      <c r="AM371"/>
      <c r="AN371">
        <v>96.99</v>
      </c>
      <c r="AO371">
        <v>2.9725410005582766</v>
      </c>
      <c r="AP371">
        <v>97.56</v>
      </c>
      <c r="AQ371">
        <v>1.2016655108639842</v>
      </c>
      <c r="AS371">
        <v>6.0000000000000001E-3</v>
      </c>
      <c r="AT371">
        <v>1E-4</v>
      </c>
      <c r="AW371" s="28">
        <f t="shared" si="25"/>
        <v>0.25141622209300485</v>
      </c>
      <c r="AX371">
        <f t="shared" si="26"/>
        <v>0.95774647887323949</v>
      </c>
      <c r="AY371" s="62">
        <f t="shared" si="27"/>
        <v>0.24079300144118776</v>
      </c>
      <c r="AZ371" s="68" t="str">
        <f t="shared" si="28"/>
        <v>No</v>
      </c>
      <c r="BA371" s="68" t="str">
        <f t="shared" si="29"/>
        <v>No</v>
      </c>
    </row>
    <row r="372" spans="1:53" hidden="1">
      <c r="A372" t="s">
        <v>1815</v>
      </c>
      <c r="B372" t="s">
        <v>2648</v>
      </c>
      <c r="C372">
        <v>67</v>
      </c>
      <c r="F372" t="s">
        <v>1241</v>
      </c>
      <c r="G372" t="s">
        <v>1705</v>
      </c>
      <c r="I372">
        <v>2009</v>
      </c>
      <c r="N372" t="s">
        <v>36</v>
      </c>
      <c r="P372" t="s">
        <v>60</v>
      </c>
      <c r="Q372" t="s">
        <v>900</v>
      </c>
      <c r="R372" t="s">
        <v>1742</v>
      </c>
      <c r="S372" t="s">
        <v>1757</v>
      </c>
      <c r="V372" t="s">
        <v>905</v>
      </c>
      <c r="Z372">
        <v>5</v>
      </c>
      <c r="AA372">
        <v>5</v>
      </c>
      <c r="AC372">
        <v>409</v>
      </c>
      <c r="AD372">
        <v>14.4</v>
      </c>
      <c r="AE372">
        <v>1132</v>
      </c>
      <c r="AF372">
        <v>14.7</v>
      </c>
      <c r="AG372" t="s">
        <v>3352</v>
      </c>
      <c r="AH372">
        <v>3.0538464268522527</v>
      </c>
      <c r="AI372">
        <v>14.4</v>
      </c>
      <c r="AJ372" t="s">
        <v>1099</v>
      </c>
      <c r="AK372" t="s">
        <v>40</v>
      </c>
      <c r="AM372"/>
      <c r="AN372">
        <v>14.35</v>
      </c>
      <c r="AO372">
        <v>8.4299762751742069</v>
      </c>
      <c r="AP372">
        <v>2.94</v>
      </c>
      <c r="AQ372">
        <v>1.9453791404248171</v>
      </c>
      <c r="AS372">
        <v>-1.585</v>
      </c>
      <c r="AT372">
        <v>0.157</v>
      </c>
      <c r="AW372" s="28">
        <f t="shared" si="25"/>
        <v>-1.8651237015266002</v>
      </c>
      <c r="AX372">
        <f t="shared" si="26"/>
        <v>0.90322580645161288</v>
      </c>
      <c r="AY372" s="62">
        <f t="shared" si="27"/>
        <v>-1.6846278594433808</v>
      </c>
      <c r="AZ372" s="68" t="str">
        <f t="shared" si="28"/>
        <v>No</v>
      </c>
      <c r="BA372" s="68" t="str">
        <f t="shared" si="29"/>
        <v>No</v>
      </c>
    </row>
    <row r="373" spans="1:53" hidden="1">
      <c r="A373" t="s">
        <v>1815</v>
      </c>
      <c r="B373" t="s">
        <v>2654</v>
      </c>
      <c r="C373">
        <v>67</v>
      </c>
      <c r="F373" t="s">
        <v>1241</v>
      </c>
      <c r="G373" t="s">
        <v>1705</v>
      </c>
      <c r="I373">
        <v>2009</v>
      </c>
      <c r="N373" t="s">
        <v>36</v>
      </c>
      <c r="P373" t="s">
        <v>60</v>
      </c>
      <c r="Q373" t="s">
        <v>900</v>
      </c>
      <c r="R373" t="s">
        <v>1742</v>
      </c>
      <c r="S373" t="s">
        <v>1757</v>
      </c>
      <c r="V373" t="s">
        <v>905</v>
      </c>
      <c r="Z373">
        <v>5</v>
      </c>
      <c r="AA373">
        <v>5</v>
      </c>
      <c r="AC373">
        <v>409</v>
      </c>
      <c r="AD373">
        <v>14.4</v>
      </c>
      <c r="AE373">
        <v>1132</v>
      </c>
      <c r="AF373">
        <v>14.7</v>
      </c>
      <c r="AG373" t="s">
        <v>3352</v>
      </c>
      <c r="AH373">
        <v>3.0538464268522527</v>
      </c>
      <c r="AI373">
        <v>14.4</v>
      </c>
      <c r="AJ373" t="s">
        <v>665</v>
      </c>
      <c r="AK373" t="s">
        <v>904</v>
      </c>
      <c r="AM373"/>
      <c r="AN373">
        <v>0.03</v>
      </c>
      <c r="AO373">
        <v>0</v>
      </c>
      <c r="AP373">
        <v>0.02</v>
      </c>
      <c r="AQ373">
        <v>0</v>
      </c>
      <c r="AS373">
        <v>-0.24099999999999999</v>
      </c>
      <c r="AT373">
        <v>4.7999999999999996E-3</v>
      </c>
      <c r="AW373" s="28" t="e">
        <f t="shared" si="25"/>
        <v>#DIV/0!</v>
      </c>
      <c r="AX373">
        <f t="shared" si="26"/>
        <v>0.90322580645161288</v>
      </c>
      <c r="AY373" s="62" t="e">
        <f t="shared" si="27"/>
        <v>#DIV/0!</v>
      </c>
      <c r="AZ373" s="68" t="e">
        <f t="shared" si="28"/>
        <v>#DIV/0!</v>
      </c>
      <c r="BA373" s="68" t="e">
        <f t="shared" si="29"/>
        <v>#DIV/0!</v>
      </c>
    </row>
    <row r="374" spans="1:53" hidden="1">
      <c r="A374" t="s">
        <v>1815</v>
      </c>
      <c r="B374" t="s">
        <v>2655</v>
      </c>
      <c r="C374">
        <v>67</v>
      </c>
      <c r="F374" t="s">
        <v>1241</v>
      </c>
      <c r="G374" t="s">
        <v>1705</v>
      </c>
      <c r="I374">
        <v>2014</v>
      </c>
      <c r="N374" t="s">
        <v>36</v>
      </c>
      <c r="P374" t="s">
        <v>60</v>
      </c>
      <c r="Q374" t="s">
        <v>900</v>
      </c>
      <c r="R374" t="s">
        <v>1742</v>
      </c>
      <c r="S374" t="s">
        <v>1758</v>
      </c>
      <c r="V374" t="s">
        <v>905</v>
      </c>
      <c r="Z374">
        <v>5</v>
      </c>
      <c r="AA374">
        <v>5</v>
      </c>
      <c r="AC374">
        <v>413</v>
      </c>
      <c r="AD374">
        <v>14.7</v>
      </c>
      <c r="AE374">
        <v>1076</v>
      </c>
      <c r="AF374">
        <v>15</v>
      </c>
      <c r="AG374" t="s">
        <v>3353</v>
      </c>
      <c r="AH374">
        <v>3.0318122713303706</v>
      </c>
      <c r="AI374">
        <v>14.7</v>
      </c>
      <c r="AJ374" t="s">
        <v>1099</v>
      </c>
      <c r="AK374" t="s">
        <v>40</v>
      </c>
      <c r="AM374"/>
      <c r="AN374">
        <v>6.14</v>
      </c>
      <c r="AO374">
        <v>1.6099689437998486</v>
      </c>
      <c r="AP374">
        <v>4.92</v>
      </c>
      <c r="AQ374">
        <v>1.0733126291998991</v>
      </c>
      <c r="AS374">
        <v>-0.222</v>
      </c>
      <c r="AT374">
        <v>2.3400000000000001E-2</v>
      </c>
      <c r="AW374" s="28">
        <f t="shared" si="25"/>
        <v>-0.89167565296214613</v>
      </c>
      <c r="AX374">
        <f t="shared" si="26"/>
        <v>0.90322580645161288</v>
      </c>
      <c r="AY374" s="62">
        <f t="shared" si="27"/>
        <v>-0.80538446074000292</v>
      </c>
      <c r="AZ374" s="68" t="str">
        <f t="shared" si="28"/>
        <v>No</v>
      </c>
      <c r="BA374" s="68" t="str">
        <f t="shared" si="29"/>
        <v>No</v>
      </c>
    </row>
    <row r="375" spans="1:53" hidden="1">
      <c r="A375" t="s">
        <v>1815</v>
      </c>
      <c r="B375" t="s">
        <v>2656</v>
      </c>
      <c r="C375">
        <v>67</v>
      </c>
      <c r="F375" t="s">
        <v>1241</v>
      </c>
      <c r="G375" t="s">
        <v>1705</v>
      </c>
      <c r="I375">
        <v>2014</v>
      </c>
      <c r="N375" t="s">
        <v>36</v>
      </c>
      <c r="P375" t="s">
        <v>60</v>
      </c>
      <c r="Q375" t="s">
        <v>900</v>
      </c>
      <c r="R375" t="s">
        <v>1742</v>
      </c>
      <c r="S375" t="s">
        <v>1758</v>
      </c>
      <c r="V375" t="s">
        <v>905</v>
      </c>
      <c r="Z375">
        <v>5</v>
      </c>
      <c r="AA375">
        <v>5</v>
      </c>
      <c r="AC375">
        <v>413</v>
      </c>
      <c r="AD375">
        <v>14.7</v>
      </c>
      <c r="AE375">
        <v>1076</v>
      </c>
      <c r="AF375">
        <v>15</v>
      </c>
      <c r="AG375" t="s">
        <v>3353</v>
      </c>
      <c r="AH375">
        <v>3.0318122713303706</v>
      </c>
      <c r="AI375">
        <v>14.7</v>
      </c>
      <c r="AJ375" t="s">
        <v>665</v>
      </c>
      <c r="AK375" t="s">
        <v>904</v>
      </c>
      <c r="AM375"/>
      <c r="AN375">
        <v>0.03</v>
      </c>
      <c r="AO375">
        <v>0</v>
      </c>
      <c r="AP375">
        <v>0.03</v>
      </c>
      <c r="AQ375">
        <v>0</v>
      </c>
      <c r="AS375">
        <v>-3.2000000000000001E-2</v>
      </c>
      <c r="AT375">
        <v>4.7000000000000002E-3</v>
      </c>
      <c r="AW375" s="28" t="e">
        <f t="shared" si="25"/>
        <v>#DIV/0!</v>
      </c>
      <c r="AX375">
        <f t="shared" si="26"/>
        <v>0.90322580645161288</v>
      </c>
      <c r="AY375" s="62" t="e">
        <f t="shared" si="27"/>
        <v>#DIV/0!</v>
      </c>
      <c r="AZ375" s="68" t="e">
        <f t="shared" si="28"/>
        <v>#DIV/0!</v>
      </c>
      <c r="BA375" s="68" t="e">
        <f t="shared" si="29"/>
        <v>#DIV/0!</v>
      </c>
    </row>
    <row r="376" spans="1:53" hidden="1">
      <c r="A376" t="s">
        <v>1815</v>
      </c>
      <c r="B376" t="s">
        <v>2649</v>
      </c>
      <c r="C376">
        <v>67</v>
      </c>
      <c r="F376" t="s">
        <v>1241</v>
      </c>
      <c r="G376" t="s">
        <v>1705</v>
      </c>
      <c r="I376">
        <v>2009</v>
      </c>
      <c r="N376" t="s">
        <v>36</v>
      </c>
      <c r="P376" t="s">
        <v>60</v>
      </c>
      <c r="Q376" t="s">
        <v>900</v>
      </c>
      <c r="R376" t="s">
        <v>1742</v>
      </c>
      <c r="S376" t="s">
        <v>1757</v>
      </c>
      <c r="V376" t="s">
        <v>907</v>
      </c>
      <c r="Z376">
        <v>5</v>
      </c>
      <c r="AA376">
        <v>5</v>
      </c>
      <c r="AC376">
        <v>409</v>
      </c>
      <c r="AD376">
        <v>14.4</v>
      </c>
      <c r="AE376">
        <v>423</v>
      </c>
      <c r="AF376">
        <v>19.8</v>
      </c>
      <c r="AG376" t="s">
        <v>3352</v>
      </c>
      <c r="AH376">
        <v>2.6263403673750423</v>
      </c>
      <c r="AI376">
        <v>14.4</v>
      </c>
      <c r="AJ376" t="s">
        <v>1099</v>
      </c>
      <c r="AK376" t="s">
        <v>40</v>
      </c>
      <c r="AM376"/>
      <c r="AN376">
        <v>14.35</v>
      </c>
      <c r="AO376">
        <v>8.4299762751742069</v>
      </c>
      <c r="AP376">
        <v>4.3899999999999997</v>
      </c>
      <c r="AQ376">
        <v>5.5007272246494825</v>
      </c>
      <c r="AS376">
        <v>-1.1839999999999999</v>
      </c>
      <c r="AT376">
        <v>0.3841</v>
      </c>
      <c r="AW376" s="28">
        <f t="shared" si="25"/>
        <v>-1.3993340044285569</v>
      </c>
      <c r="AX376">
        <f t="shared" si="26"/>
        <v>0.90322580645161288</v>
      </c>
      <c r="AY376" s="62">
        <f t="shared" si="27"/>
        <v>-1.2639145846451481</v>
      </c>
      <c r="AZ376" s="68" t="str">
        <f t="shared" si="28"/>
        <v>No</v>
      </c>
      <c r="BA376" s="68" t="str">
        <f t="shared" si="29"/>
        <v>No</v>
      </c>
    </row>
    <row r="377" spans="1:53" hidden="1">
      <c r="A377" t="s">
        <v>1815</v>
      </c>
      <c r="B377" t="s">
        <v>2653</v>
      </c>
      <c r="C377">
        <v>67</v>
      </c>
      <c r="F377" t="s">
        <v>1241</v>
      </c>
      <c r="G377" t="s">
        <v>1705</v>
      </c>
      <c r="I377">
        <v>2009</v>
      </c>
      <c r="N377" t="s">
        <v>36</v>
      </c>
      <c r="P377" t="s">
        <v>60</v>
      </c>
      <c r="Q377" t="s">
        <v>900</v>
      </c>
      <c r="R377" t="s">
        <v>1742</v>
      </c>
      <c r="S377" t="s">
        <v>1757</v>
      </c>
      <c r="V377" t="s">
        <v>907</v>
      </c>
      <c r="Z377">
        <v>5</v>
      </c>
      <c r="AA377">
        <v>5</v>
      </c>
      <c r="AC377">
        <v>409</v>
      </c>
      <c r="AD377">
        <v>14.4</v>
      </c>
      <c r="AE377">
        <v>423</v>
      </c>
      <c r="AF377">
        <v>19.8</v>
      </c>
      <c r="AG377" t="s">
        <v>3352</v>
      </c>
      <c r="AH377">
        <v>2.6263403673750423</v>
      </c>
      <c r="AI377">
        <v>14.4</v>
      </c>
      <c r="AJ377" t="s">
        <v>665</v>
      </c>
      <c r="AK377" t="s">
        <v>904</v>
      </c>
      <c r="AM377"/>
      <c r="AN377">
        <v>0.03</v>
      </c>
      <c r="AO377">
        <v>0</v>
      </c>
      <c r="AP377">
        <v>0.02</v>
      </c>
      <c r="AQ377">
        <v>0</v>
      </c>
      <c r="AS377">
        <v>-0.38800000000000001</v>
      </c>
      <c r="AT377">
        <v>4.8999999999999998E-3</v>
      </c>
      <c r="AW377" s="28" t="e">
        <f t="shared" si="25"/>
        <v>#DIV/0!</v>
      </c>
      <c r="AX377">
        <f t="shared" si="26"/>
        <v>0.90322580645161288</v>
      </c>
      <c r="AY377" s="62" t="e">
        <f t="shared" si="27"/>
        <v>#DIV/0!</v>
      </c>
      <c r="AZ377" s="68" t="e">
        <f t="shared" si="28"/>
        <v>#DIV/0!</v>
      </c>
      <c r="BA377" s="68" t="e">
        <f t="shared" si="29"/>
        <v>#DIV/0!</v>
      </c>
    </row>
    <row r="378" spans="1:53" hidden="1">
      <c r="A378" t="s">
        <v>1815</v>
      </c>
      <c r="B378" t="s">
        <v>2658</v>
      </c>
      <c r="C378">
        <v>67</v>
      </c>
      <c r="F378" t="s">
        <v>1241</v>
      </c>
      <c r="G378" t="s">
        <v>1705</v>
      </c>
      <c r="I378">
        <v>2014</v>
      </c>
      <c r="N378" t="s">
        <v>36</v>
      </c>
      <c r="P378" t="s">
        <v>60</v>
      </c>
      <c r="Q378" t="s">
        <v>900</v>
      </c>
      <c r="R378" t="s">
        <v>1742</v>
      </c>
      <c r="S378" t="s">
        <v>1758</v>
      </c>
      <c r="V378" t="s">
        <v>907</v>
      </c>
      <c r="Z378">
        <v>5</v>
      </c>
      <c r="AA378">
        <v>5</v>
      </c>
      <c r="AC378">
        <v>413</v>
      </c>
      <c r="AD378">
        <v>14.7</v>
      </c>
      <c r="AE378">
        <v>412</v>
      </c>
      <c r="AF378">
        <v>19.7</v>
      </c>
      <c r="AG378" t="s">
        <v>3353</v>
      </c>
      <c r="AH378">
        <v>2.6148972160331345</v>
      </c>
      <c r="AI378">
        <v>14.7</v>
      </c>
      <c r="AJ378" t="s">
        <v>1099</v>
      </c>
      <c r="AK378" t="s">
        <v>40</v>
      </c>
      <c r="AM378"/>
      <c r="AN378">
        <v>6.14</v>
      </c>
      <c r="AO378">
        <v>1.6099689437998486</v>
      </c>
      <c r="AP378">
        <v>6.68</v>
      </c>
      <c r="AQ378">
        <v>1.0062305898749055</v>
      </c>
      <c r="AS378">
        <v>8.4000000000000005E-2</v>
      </c>
      <c r="AT378">
        <v>1.8499999999999999E-2</v>
      </c>
      <c r="AW378" s="28">
        <f t="shared" si="25"/>
        <v>0.40224091389239452</v>
      </c>
      <c r="AX378">
        <f t="shared" si="26"/>
        <v>0.90322580645161288</v>
      </c>
      <c r="AY378" s="62">
        <f t="shared" si="27"/>
        <v>0.36331437383829179</v>
      </c>
      <c r="AZ378" s="68" t="str">
        <f t="shared" si="28"/>
        <v>No</v>
      </c>
      <c r="BA378" s="68" t="str">
        <f t="shared" si="29"/>
        <v>No</v>
      </c>
    </row>
    <row r="379" spans="1:53" hidden="1">
      <c r="A379" t="s">
        <v>1815</v>
      </c>
      <c r="B379" t="s">
        <v>2659</v>
      </c>
      <c r="C379">
        <v>67</v>
      </c>
      <c r="F379" t="s">
        <v>1241</v>
      </c>
      <c r="G379" t="s">
        <v>1705</v>
      </c>
      <c r="I379">
        <v>2014</v>
      </c>
      <c r="N379" t="s">
        <v>36</v>
      </c>
      <c r="P379" t="s">
        <v>60</v>
      </c>
      <c r="Q379" t="s">
        <v>900</v>
      </c>
      <c r="R379" t="s">
        <v>1742</v>
      </c>
      <c r="S379" t="s">
        <v>1758</v>
      </c>
      <c r="V379" t="s">
        <v>907</v>
      </c>
      <c r="Z379">
        <v>5</v>
      </c>
      <c r="AA379">
        <v>5</v>
      </c>
      <c r="AC379">
        <v>413</v>
      </c>
      <c r="AD379">
        <v>14.7</v>
      </c>
      <c r="AE379">
        <v>412</v>
      </c>
      <c r="AF379">
        <v>19.7</v>
      </c>
      <c r="AG379" t="s">
        <v>3353</v>
      </c>
      <c r="AH379">
        <v>2.6148972160331345</v>
      </c>
      <c r="AI379">
        <v>14.7</v>
      </c>
      <c r="AJ379" t="s">
        <v>665</v>
      </c>
      <c r="AK379" t="s">
        <v>904</v>
      </c>
      <c r="AM379"/>
      <c r="AN379">
        <v>0.03</v>
      </c>
      <c r="AO379">
        <v>0</v>
      </c>
      <c r="AP379">
        <v>0.04</v>
      </c>
      <c r="AQ379">
        <v>0</v>
      </c>
      <c r="AS379">
        <v>0.09</v>
      </c>
      <c r="AT379">
        <v>4.4999999999999997E-3</v>
      </c>
      <c r="AW379" s="28" t="e">
        <f t="shared" si="25"/>
        <v>#DIV/0!</v>
      </c>
      <c r="AX379">
        <f t="shared" si="26"/>
        <v>0.90322580645161288</v>
      </c>
      <c r="AY379" s="62" t="e">
        <f t="shared" si="27"/>
        <v>#DIV/0!</v>
      </c>
      <c r="AZ379" s="68" t="e">
        <f t="shared" si="28"/>
        <v>#DIV/0!</v>
      </c>
      <c r="BA379" s="68" t="e">
        <f t="shared" si="29"/>
        <v>#DIV/0!</v>
      </c>
    </row>
    <row r="380" spans="1:53" hidden="1">
      <c r="A380" t="s">
        <v>1815</v>
      </c>
      <c r="B380" t="s">
        <v>2650</v>
      </c>
      <c r="C380">
        <v>67</v>
      </c>
      <c r="F380" t="s">
        <v>1241</v>
      </c>
      <c r="G380" t="s">
        <v>1705</v>
      </c>
      <c r="I380">
        <v>2009</v>
      </c>
      <c r="N380" t="s">
        <v>36</v>
      </c>
      <c r="P380" t="s">
        <v>60</v>
      </c>
      <c r="Q380" t="s">
        <v>900</v>
      </c>
      <c r="R380" t="s">
        <v>1742</v>
      </c>
      <c r="S380" t="s">
        <v>1757</v>
      </c>
      <c r="V380" t="s">
        <v>1015</v>
      </c>
      <c r="Z380">
        <v>5</v>
      </c>
      <c r="AA380">
        <v>5</v>
      </c>
      <c r="AC380">
        <v>409</v>
      </c>
      <c r="AD380">
        <v>14.4</v>
      </c>
      <c r="AE380">
        <v>1109</v>
      </c>
      <c r="AF380">
        <v>19.7</v>
      </c>
      <c r="AG380" t="s">
        <v>3352</v>
      </c>
      <c r="AH380">
        <v>3.0449315461491602</v>
      </c>
      <c r="AI380">
        <v>14.4</v>
      </c>
      <c r="AJ380" t="s">
        <v>1099</v>
      </c>
      <c r="AK380" t="s">
        <v>40</v>
      </c>
      <c r="AM380"/>
      <c r="AN380">
        <v>14.35</v>
      </c>
      <c r="AO380">
        <v>8.4299762751742069</v>
      </c>
      <c r="AP380">
        <v>6.23</v>
      </c>
      <c r="AQ380">
        <v>2.8398063314247333</v>
      </c>
      <c r="AS380">
        <v>-0.83399999999999996</v>
      </c>
      <c r="AT380">
        <v>0.1109</v>
      </c>
      <c r="AW380" s="28">
        <f t="shared" si="25"/>
        <v>-1.2909314710648885</v>
      </c>
      <c r="AX380">
        <f t="shared" si="26"/>
        <v>0.90322580645161288</v>
      </c>
      <c r="AY380" s="62">
        <f t="shared" si="27"/>
        <v>-1.1660026190263508</v>
      </c>
      <c r="AZ380" s="68" t="str">
        <f t="shared" si="28"/>
        <v>No</v>
      </c>
      <c r="BA380" s="68" t="str">
        <f t="shared" si="29"/>
        <v>No</v>
      </c>
    </row>
    <row r="381" spans="1:53" hidden="1">
      <c r="A381" t="s">
        <v>1815</v>
      </c>
      <c r="B381" t="s">
        <v>2651</v>
      </c>
      <c r="C381">
        <v>67</v>
      </c>
      <c r="F381" t="s">
        <v>1241</v>
      </c>
      <c r="G381" t="s">
        <v>1705</v>
      </c>
      <c r="I381">
        <v>2009</v>
      </c>
      <c r="N381" t="s">
        <v>36</v>
      </c>
      <c r="P381" t="s">
        <v>60</v>
      </c>
      <c r="Q381" t="s">
        <v>900</v>
      </c>
      <c r="R381" t="s">
        <v>1742</v>
      </c>
      <c r="S381" t="s">
        <v>1758</v>
      </c>
      <c r="V381" t="s">
        <v>1015</v>
      </c>
      <c r="Z381">
        <v>5</v>
      </c>
      <c r="AA381">
        <v>5</v>
      </c>
      <c r="AC381">
        <v>413</v>
      </c>
      <c r="AD381">
        <v>14.7</v>
      </c>
      <c r="AE381">
        <v>1075</v>
      </c>
      <c r="AF381">
        <v>20</v>
      </c>
      <c r="AG381" t="s">
        <v>3353</v>
      </c>
      <c r="AH381">
        <v>3.0314084642516241</v>
      </c>
      <c r="AI381">
        <v>14.7</v>
      </c>
      <c r="AJ381" t="s">
        <v>1099</v>
      </c>
      <c r="AK381" t="s">
        <v>40</v>
      </c>
      <c r="AM381"/>
      <c r="AN381">
        <v>6.14</v>
      </c>
      <c r="AO381">
        <v>1.6099689437998486</v>
      </c>
      <c r="AP381">
        <v>3.64</v>
      </c>
      <c r="AQ381">
        <v>0.40249223594996214</v>
      </c>
      <c r="AS381">
        <v>-0.52300000000000002</v>
      </c>
      <c r="AT381">
        <v>1.6500000000000001E-2</v>
      </c>
      <c r="AW381" s="28">
        <f t="shared" si="25"/>
        <v>-2.1304583023538064</v>
      </c>
      <c r="AX381">
        <f t="shared" si="26"/>
        <v>0.90322580645161288</v>
      </c>
      <c r="AY381" s="62">
        <f t="shared" si="27"/>
        <v>-1.924284918255051</v>
      </c>
      <c r="AZ381" s="68" t="str">
        <f t="shared" si="28"/>
        <v>No</v>
      </c>
      <c r="BA381" s="68" t="str">
        <f t="shared" si="29"/>
        <v>No</v>
      </c>
    </row>
    <row r="382" spans="1:53" hidden="1">
      <c r="A382" t="s">
        <v>1815</v>
      </c>
      <c r="B382" t="s">
        <v>2652</v>
      </c>
      <c r="C382">
        <v>67</v>
      </c>
      <c r="F382" t="s">
        <v>1241</v>
      </c>
      <c r="G382" t="s">
        <v>1705</v>
      </c>
      <c r="I382">
        <v>2009</v>
      </c>
      <c r="N382" t="s">
        <v>36</v>
      </c>
      <c r="P382" t="s">
        <v>60</v>
      </c>
      <c r="Q382" t="s">
        <v>900</v>
      </c>
      <c r="R382" t="s">
        <v>1742</v>
      </c>
      <c r="S382" t="s">
        <v>1757</v>
      </c>
      <c r="V382" t="s">
        <v>1015</v>
      </c>
      <c r="Z382">
        <v>5</v>
      </c>
      <c r="AA382">
        <v>5</v>
      </c>
      <c r="AC382">
        <v>409</v>
      </c>
      <c r="AD382">
        <v>14.4</v>
      </c>
      <c r="AE382">
        <v>1109</v>
      </c>
      <c r="AF382">
        <v>19.7</v>
      </c>
      <c r="AG382" t="s">
        <v>3352</v>
      </c>
      <c r="AH382">
        <v>3.0449315461491602</v>
      </c>
      <c r="AI382">
        <v>14.4</v>
      </c>
      <c r="AJ382" t="s">
        <v>665</v>
      </c>
      <c r="AK382" t="s">
        <v>904</v>
      </c>
      <c r="AM382"/>
      <c r="AN382">
        <v>0.03</v>
      </c>
      <c r="AO382">
        <v>0</v>
      </c>
      <c r="AP382">
        <v>0.02</v>
      </c>
      <c r="AQ382">
        <v>0</v>
      </c>
      <c r="AS382">
        <v>-0.442</v>
      </c>
      <c r="AT382">
        <v>4.7000000000000002E-3</v>
      </c>
      <c r="AW382" s="28" t="e">
        <f t="shared" si="25"/>
        <v>#DIV/0!</v>
      </c>
      <c r="AX382">
        <f t="shared" si="26"/>
        <v>0.90322580645161288</v>
      </c>
      <c r="AY382" s="62" t="e">
        <f t="shared" si="27"/>
        <v>#DIV/0!</v>
      </c>
      <c r="AZ382" s="68" t="e">
        <f t="shared" si="28"/>
        <v>#DIV/0!</v>
      </c>
      <c r="BA382" s="68" t="e">
        <f t="shared" si="29"/>
        <v>#DIV/0!</v>
      </c>
    </row>
    <row r="383" spans="1:53" hidden="1">
      <c r="A383" t="s">
        <v>1815</v>
      </c>
      <c r="B383" t="s">
        <v>2657</v>
      </c>
      <c r="C383">
        <v>67</v>
      </c>
      <c r="F383" t="s">
        <v>1241</v>
      </c>
      <c r="G383" t="s">
        <v>1705</v>
      </c>
      <c r="I383">
        <v>2014</v>
      </c>
      <c r="N383" t="s">
        <v>36</v>
      </c>
      <c r="P383" t="s">
        <v>60</v>
      </c>
      <c r="Q383" t="s">
        <v>900</v>
      </c>
      <c r="R383" t="s">
        <v>1742</v>
      </c>
      <c r="S383" t="s">
        <v>1758</v>
      </c>
      <c r="V383" t="s">
        <v>1015</v>
      </c>
      <c r="Z383">
        <v>5</v>
      </c>
      <c r="AA383">
        <v>5</v>
      </c>
      <c r="AC383">
        <v>413</v>
      </c>
      <c r="AD383">
        <v>14.7</v>
      </c>
      <c r="AE383">
        <v>1075</v>
      </c>
      <c r="AF383">
        <v>20</v>
      </c>
      <c r="AG383" t="s">
        <v>3353</v>
      </c>
      <c r="AH383">
        <v>3.0314084642516241</v>
      </c>
      <c r="AI383">
        <v>14.7</v>
      </c>
      <c r="AJ383" t="s">
        <v>665</v>
      </c>
      <c r="AK383" t="s">
        <v>904</v>
      </c>
      <c r="AM383"/>
      <c r="AN383">
        <v>0.03</v>
      </c>
      <c r="AO383">
        <v>0</v>
      </c>
      <c r="AP383">
        <v>0.03</v>
      </c>
      <c r="AQ383">
        <v>0</v>
      </c>
      <c r="AS383">
        <v>-3.2000000000000001E-2</v>
      </c>
      <c r="AT383">
        <v>4.4000000000000003E-3</v>
      </c>
      <c r="AW383" s="28" t="e">
        <f t="shared" si="25"/>
        <v>#DIV/0!</v>
      </c>
      <c r="AX383">
        <f t="shared" si="26"/>
        <v>0.90322580645161288</v>
      </c>
      <c r="AY383" s="62" t="e">
        <f t="shared" si="27"/>
        <v>#DIV/0!</v>
      </c>
      <c r="AZ383" s="68" t="e">
        <f t="shared" si="28"/>
        <v>#DIV/0!</v>
      </c>
      <c r="BA383" s="68" t="e">
        <f t="shared" si="29"/>
        <v>#DIV/0!</v>
      </c>
    </row>
    <row r="384" spans="1:53" hidden="1">
      <c r="A384" t="s">
        <v>1815</v>
      </c>
      <c r="B384" t="s">
        <v>2316</v>
      </c>
      <c r="C384">
        <v>176</v>
      </c>
      <c r="F384" t="s">
        <v>1241</v>
      </c>
      <c r="G384" t="s">
        <v>1987</v>
      </c>
      <c r="I384">
        <v>2018</v>
      </c>
      <c r="N384" t="s">
        <v>36</v>
      </c>
      <c r="P384" t="s">
        <v>60</v>
      </c>
      <c r="Q384" t="s">
        <v>900</v>
      </c>
      <c r="R384" t="s">
        <v>888</v>
      </c>
      <c r="S384" t="s">
        <v>2001</v>
      </c>
      <c r="V384" t="s">
        <v>905</v>
      </c>
      <c r="Z384">
        <v>9</v>
      </c>
      <c r="AA384">
        <v>9</v>
      </c>
      <c r="AC384">
        <v>425</v>
      </c>
      <c r="AD384">
        <v>-0.6</v>
      </c>
      <c r="AE384">
        <v>658</v>
      </c>
      <c r="AF384">
        <v>-0.6</v>
      </c>
      <c r="AG384" t="s">
        <v>3451</v>
      </c>
      <c r="AI384">
        <v>-0.6</v>
      </c>
      <c r="AJ384" t="s">
        <v>2033</v>
      </c>
      <c r="AK384" t="s">
        <v>904</v>
      </c>
      <c r="AN384">
        <v>699.52610000000004</v>
      </c>
      <c r="AO384">
        <v>48.33</v>
      </c>
      <c r="AP384">
        <v>694.7867</v>
      </c>
      <c r="AQ384">
        <v>42.653999999999996</v>
      </c>
      <c r="AS384">
        <v>-6.7999999999999996E-3</v>
      </c>
      <c r="AT384">
        <v>8.9999999999999998E-4</v>
      </c>
      <c r="AW384" s="28">
        <f t="shared" si="25"/>
        <v>-0.10397881703379577</v>
      </c>
      <c r="AX384">
        <f t="shared" si="26"/>
        <v>0.95238095238095233</v>
      </c>
      <c r="AY384" s="62">
        <f t="shared" si="27"/>
        <v>-9.9027444794091202E-2</v>
      </c>
      <c r="AZ384" s="68" t="str">
        <f t="shared" si="28"/>
        <v>No</v>
      </c>
      <c r="BA384" s="68" t="str">
        <f t="shared" si="29"/>
        <v>No</v>
      </c>
    </row>
    <row r="385" spans="1:53" hidden="1">
      <c r="A385" t="s">
        <v>1815</v>
      </c>
      <c r="B385" t="s">
        <v>2318</v>
      </c>
      <c r="C385">
        <v>176</v>
      </c>
      <c r="F385" t="s">
        <v>1241</v>
      </c>
      <c r="G385" t="s">
        <v>1987</v>
      </c>
      <c r="I385">
        <v>2019</v>
      </c>
      <c r="N385" t="s">
        <v>36</v>
      </c>
      <c r="P385" t="s">
        <v>60</v>
      </c>
      <c r="Q385" t="s">
        <v>900</v>
      </c>
      <c r="R385" t="s">
        <v>888</v>
      </c>
      <c r="S385" t="s">
        <v>2001</v>
      </c>
      <c r="V385" t="s">
        <v>905</v>
      </c>
      <c r="Z385">
        <v>9</v>
      </c>
      <c r="AA385">
        <v>9</v>
      </c>
      <c r="AC385">
        <v>425</v>
      </c>
      <c r="AD385">
        <v>-0.6</v>
      </c>
      <c r="AE385">
        <v>1008</v>
      </c>
      <c r="AF385">
        <v>-0.6</v>
      </c>
      <c r="AG385" t="s">
        <v>3451</v>
      </c>
      <c r="AI385">
        <v>-0.6</v>
      </c>
      <c r="AJ385" t="s">
        <v>2033</v>
      </c>
      <c r="AK385" t="s">
        <v>904</v>
      </c>
      <c r="AN385">
        <v>699.52610000000004</v>
      </c>
      <c r="AO385">
        <v>48.33</v>
      </c>
      <c r="AP385">
        <v>696.6825</v>
      </c>
      <c r="AQ385">
        <v>45.497700000000002</v>
      </c>
      <c r="AS385">
        <v>-4.1000000000000003E-3</v>
      </c>
      <c r="AT385">
        <v>1E-3</v>
      </c>
      <c r="AW385" s="28">
        <f t="shared" si="25"/>
        <v>-6.0585633723119883E-2</v>
      </c>
      <c r="AX385">
        <f t="shared" si="26"/>
        <v>0.95238095238095233</v>
      </c>
      <c r="AY385" s="62">
        <f t="shared" si="27"/>
        <v>-5.7700603545828455E-2</v>
      </c>
      <c r="AZ385" s="68" t="str">
        <f t="shared" si="28"/>
        <v>No</v>
      </c>
      <c r="BA385" s="68" t="str">
        <f t="shared" si="29"/>
        <v>No</v>
      </c>
    </row>
    <row r="386" spans="1:53" hidden="1">
      <c r="A386" t="s">
        <v>1815</v>
      </c>
      <c r="B386" t="s">
        <v>2315</v>
      </c>
      <c r="C386">
        <v>176</v>
      </c>
      <c r="F386" t="s">
        <v>1241</v>
      </c>
      <c r="G386" t="s">
        <v>1987</v>
      </c>
      <c r="I386">
        <v>2021</v>
      </c>
      <c r="N386" t="s">
        <v>36</v>
      </c>
      <c r="P386" t="s">
        <v>60</v>
      </c>
      <c r="Q386" t="s">
        <v>900</v>
      </c>
      <c r="R386" t="s">
        <v>888</v>
      </c>
      <c r="S386" t="s">
        <v>2001</v>
      </c>
      <c r="V386" t="s">
        <v>907</v>
      </c>
      <c r="Z386">
        <v>9</v>
      </c>
      <c r="AA386">
        <v>8</v>
      </c>
      <c r="AC386">
        <v>425</v>
      </c>
      <c r="AD386">
        <v>-0.6</v>
      </c>
      <c r="AE386">
        <v>456</v>
      </c>
      <c r="AF386">
        <v>1.9</v>
      </c>
      <c r="AG386" t="s">
        <v>3451</v>
      </c>
      <c r="AI386">
        <v>-0.6</v>
      </c>
      <c r="AJ386" t="s">
        <v>2033</v>
      </c>
      <c r="AK386" t="s">
        <v>904</v>
      </c>
      <c r="AN386">
        <v>699.52610000000004</v>
      </c>
      <c r="AO386">
        <v>48.33</v>
      </c>
      <c r="AP386">
        <v>679.62090000000001</v>
      </c>
      <c r="AQ386">
        <v>37.533510788094418</v>
      </c>
      <c r="AS386">
        <v>-2.8899999999999999E-2</v>
      </c>
      <c r="AT386">
        <v>8.9999999999999998E-4</v>
      </c>
      <c r="AW386" s="28">
        <f t="shared" ref="AW386:AW449" si="30">(AP386-$AN386)/SQRT(((AA386-1)*AQ386*AQ386+($Z386-1)*$AO386*$AO386)/(AA386+$Z386-2))</f>
        <v>-0.45627523801885367</v>
      </c>
      <c r="AX386">
        <f t="shared" ref="AX386:AX449" si="31">1-(3/(4*(AA386+$Z386-2)-1))</f>
        <v>0.94915254237288138</v>
      </c>
      <c r="AY386" s="62">
        <f t="shared" ref="AY386:AY449" si="32">AX386*AW386</f>
        <v>-0.43307480218738653</v>
      </c>
      <c r="AZ386" s="68" t="str">
        <f t="shared" ref="AZ386:AZ449" si="33">IF(AY386&gt;10,"Yes","No")</f>
        <v>No</v>
      </c>
      <c r="BA386" s="68" t="str">
        <f t="shared" ref="BA386:BA449" si="34">IF(AY386&lt;-10,"Yes","No")</f>
        <v>No</v>
      </c>
    </row>
    <row r="387" spans="1:53" hidden="1">
      <c r="A387" t="s">
        <v>1815</v>
      </c>
      <c r="B387" t="s">
        <v>2332</v>
      </c>
      <c r="C387">
        <v>176</v>
      </c>
      <c r="F387" t="s">
        <v>1241</v>
      </c>
      <c r="G387" t="s">
        <v>1987</v>
      </c>
      <c r="I387">
        <v>2014</v>
      </c>
      <c r="N387" t="s">
        <v>36</v>
      </c>
      <c r="P387" t="s">
        <v>60</v>
      </c>
      <c r="Q387" t="s">
        <v>900</v>
      </c>
      <c r="R387" t="s">
        <v>888</v>
      </c>
      <c r="S387" t="s">
        <v>2001</v>
      </c>
      <c r="V387" t="s">
        <v>1015</v>
      </c>
      <c r="Z387">
        <v>9</v>
      </c>
      <c r="AA387">
        <v>5</v>
      </c>
      <c r="AC387">
        <v>425</v>
      </c>
      <c r="AD387">
        <v>-0.6</v>
      </c>
      <c r="AE387">
        <v>669</v>
      </c>
      <c r="AF387">
        <v>2</v>
      </c>
      <c r="AG387" t="s">
        <v>3451</v>
      </c>
      <c r="AI387">
        <v>-0.6</v>
      </c>
      <c r="AJ387" t="s">
        <v>2033</v>
      </c>
      <c r="AK387" t="s">
        <v>904</v>
      </c>
      <c r="AN387">
        <v>699.52610000000004</v>
      </c>
      <c r="AO387">
        <v>48.33</v>
      </c>
      <c r="AP387">
        <v>677.7251</v>
      </c>
      <c r="AQ387">
        <v>40.270466240782461</v>
      </c>
      <c r="AS387">
        <v>-3.1699999999999999E-2</v>
      </c>
      <c r="AT387">
        <v>1.1999999999999999E-3</v>
      </c>
      <c r="AW387" s="28">
        <f t="shared" si="30"/>
        <v>-0.47599043993009427</v>
      </c>
      <c r="AX387">
        <f t="shared" si="31"/>
        <v>0.93617021276595747</v>
      </c>
      <c r="AY387" s="62">
        <f t="shared" si="32"/>
        <v>-0.44560807142391806</v>
      </c>
      <c r="AZ387" s="68" t="str">
        <f t="shared" si="33"/>
        <v>No</v>
      </c>
      <c r="BA387" s="68" t="str">
        <f t="shared" si="34"/>
        <v>No</v>
      </c>
    </row>
    <row r="388" spans="1:53" hidden="1">
      <c r="A388" t="s">
        <v>1815</v>
      </c>
      <c r="B388" t="s">
        <v>2550</v>
      </c>
      <c r="C388">
        <v>21</v>
      </c>
      <c r="F388" t="s">
        <v>1241</v>
      </c>
      <c r="G388" t="s">
        <v>1697</v>
      </c>
      <c r="I388">
        <v>2015</v>
      </c>
      <c r="N388" t="s">
        <v>36</v>
      </c>
      <c r="P388" t="s">
        <v>60</v>
      </c>
      <c r="Q388" t="s">
        <v>900</v>
      </c>
      <c r="R388" t="s">
        <v>1741</v>
      </c>
      <c r="S388" t="s">
        <v>1752</v>
      </c>
      <c r="V388" t="s">
        <v>905</v>
      </c>
      <c r="Z388">
        <v>24</v>
      </c>
      <c r="AA388">
        <v>24</v>
      </c>
      <c r="AC388">
        <v>533</v>
      </c>
      <c r="AD388">
        <v>18.899999999999999</v>
      </c>
      <c r="AE388">
        <v>1511</v>
      </c>
      <c r="AF388">
        <v>18.8</v>
      </c>
      <c r="AG388" t="s">
        <v>3341</v>
      </c>
      <c r="AH388">
        <v>3.1792644643390253</v>
      </c>
      <c r="AI388">
        <v>18.899999999999999</v>
      </c>
      <c r="AJ388" t="s">
        <v>1800</v>
      </c>
      <c r="AK388" t="s">
        <v>1279</v>
      </c>
      <c r="AM388"/>
      <c r="AN388">
        <v>26.1</v>
      </c>
      <c r="AO388">
        <v>6.3686733312362627</v>
      </c>
      <c r="AP388">
        <v>30.8</v>
      </c>
      <c r="AQ388">
        <v>4.8989794855663558</v>
      </c>
      <c r="AS388">
        <v>0.16600000000000001</v>
      </c>
      <c r="AT388">
        <v>3.5000000000000001E-3</v>
      </c>
      <c r="AW388" s="28">
        <f t="shared" si="30"/>
        <v>0.82723917897529631</v>
      </c>
      <c r="AX388">
        <f t="shared" si="31"/>
        <v>0.98360655737704916</v>
      </c>
      <c r="AY388" s="62">
        <f t="shared" si="32"/>
        <v>0.81367788095930782</v>
      </c>
      <c r="AZ388" s="68" t="str">
        <f t="shared" si="33"/>
        <v>No</v>
      </c>
      <c r="BA388" s="68" t="str">
        <f t="shared" si="34"/>
        <v>No</v>
      </c>
    </row>
    <row r="389" spans="1:53" hidden="1">
      <c r="A389" t="s">
        <v>1815</v>
      </c>
      <c r="B389" t="s">
        <v>2552</v>
      </c>
      <c r="C389">
        <v>21</v>
      </c>
      <c r="F389" t="s">
        <v>1241</v>
      </c>
      <c r="G389" t="s">
        <v>1697</v>
      </c>
      <c r="I389">
        <v>2015</v>
      </c>
      <c r="N389" t="s">
        <v>36</v>
      </c>
      <c r="P389" t="s">
        <v>60</v>
      </c>
      <c r="Q389" t="s">
        <v>900</v>
      </c>
      <c r="R389" t="s">
        <v>1741</v>
      </c>
      <c r="S389" t="s">
        <v>1752</v>
      </c>
      <c r="V389" t="s">
        <v>907</v>
      </c>
      <c r="Z389">
        <v>24</v>
      </c>
      <c r="AA389">
        <v>24</v>
      </c>
      <c r="AC389">
        <v>533</v>
      </c>
      <c r="AD389">
        <v>18.899999999999999</v>
      </c>
      <c r="AE389">
        <v>541</v>
      </c>
      <c r="AF389">
        <v>21.7</v>
      </c>
      <c r="AG389" t="s">
        <v>3341</v>
      </c>
      <c r="AH389">
        <v>2.7331972651065692</v>
      </c>
      <c r="AI389">
        <v>18.899999999999999</v>
      </c>
      <c r="AJ389" t="s">
        <v>1800</v>
      </c>
      <c r="AK389" t="s">
        <v>1279</v>
      </c>
      <c r="AM389"/>
      <c r="AN389">
        <v>26.1</v>
      </c>
      <c r="AO389">
        <v>6.3686733312362627</v>
      </c>
      <c r="AP389">
        <v>40.700000000000003</v>
      </c>
      <c r="AQ389">
        <v>4.8989794855663558</v>
      </c>
      <c r="AS389">
        <v>0.44400000000000001</v>
      </c>
      <c r="AT389">
        <v>3.0999999999999999E-3</v>
      </c>
      <c r="AW389" s="28">
        <f t="shared" si="30"/>
        <v>2.5697217049019851</v>
      </c>
      <c r="AX389">
        <f t="shared" si="31"/>
        <v>0.98360655737704916</v>
      </c>
      <c r="AY389" s="62">
        <f t="shared" si="32"/>
        <v>2.5275951195757229</v>
      </c>
      <c r="AZ389" s="68" t="str">
        <f t="shared" si="33"/>
        <v>No</v>
      </c>
      <c r="BA389" s="68" t="str">
        <f t="shared" si="34"/>
        <v>No</v>
      </c>
    </row>
    <row r="390" spans="1:53" hidden="1">
      <c r="A390" t="s">
        <v>1815</v>
      </c>
      <c r="B390" t="s">
        <v>2553</v>
      </c>
      <c r="C390">
        <v>21</v>
      </c>
      <c r="F390" t="s">
        <v>1241</v>
      </c>
      <c r="G390" t="s">
        <v>1697</v>
      </c>
      <c r="I390">
        <v>2015</v>
      </c>
      <c r="N390" t="s">
        <v>36</v>
      </c>
      <c r="P390" t="s">
        <v>60</v>
      </c>
      <c r="Q390" t="s">
        <v>900</v>
      </c>
      <c r="R390" t="s">
        <v>1741</v>
      </c>
      <c r="S390" t="s">
        <v>1752</v>
      </c>
      <c r="V390" t="s">
        <v>907</v>
      </c>
      <c r="Z390">
        <v>24</v>
      </c>
      <c r="AA390">
        <v>24</v>
      </c>
      <c r="AC390">
        <v>533</v>
      </c>
      <c r="AD390">
        <v>18.899999999999999</v>
      </c>
      <c r="AE390">
        <v>560</v>
      </c>
      <c r="AF390">
        <v>21</v>
      </c>
      <c r="AG390" t="s">
        <v>3341</v>
      </c>
      <c r="AH390">
        <v>2.7481880270062002</v>
      </c>
      <c r="AI390">
        <v>18.899999999999999</v>
      </c>
      <c r="AJ390" t="s">
        <v>1800</v>
      </c>
      <c r="AK390" t="s">
        <v>1279</v>
      </c>
      <c r="AM390"/>
      <c r="AN390">
        <v>26.1</v>
      </c>
      <c r="AO390">
        <v>6.3686733312362627</v>
      </c>
      <c r="AP390">
        <v>42.4</v>
      </c>
      <c r="AQ390">
        <v>4.8989794855663558</v>
      </c>
      <c r="AS390">
        <v>0.48499999999999999</v>
      </c>
      <c r="AT390">
        <v>3.0000000000000001E-3</v>
      </c>
      <c r="AW390" s="28">
        <f t="shared" si="30"/>
        <v>2.8689358760207084</v>
      </c>
      <c r="AX390">
        <f t="shared" si="31"/>
        <v>0.98360655737704916</v>
      </c>
      <c r="AY390" s="62">
        <f t="shared" si="32"/>
        <v>2.8219041403482379</v>
      </c>
      <c r="AZ390" s="68" t="str">
        <f t="shared" si="33"/>
        <v>No</v>
      </c>
      <c r="BA390" s="68" t="str">
        <f t="shared" si="34"/>
        <v>No</v>
      </c>
    </row>
    <row r="391" spans="1:53" hidden="1">
      <c r="A391" t="s">
        <v>1815</v>
      </c>
      <c r="B391" t="s">
        <v>2549</v>
      </c>
      <c r="C391">
        <v>21</v>
      </c>
      <c r="F391" t="s">
        <v>1241</v>
      </c>
      <c r="G391" t="s">
        <v>1697</v>
      </c>
      <c r="I391">
        <v>2015</v>
      </c>
      <c r="N391" t="s">
        <v>36</v>
      </c>
      <c r="P391" t="s">
        <v>60</v>
      </c>
      <c r="Q391" t="s">
        <v>900</v>
      </c>
      <c r="R391" t="s">
        <v>1741</v>
      </c>
      <c r="S391" t="s">
        <v>1752</v>
      </c>
      <c r="V391" t="s">
        <v>1015</v>
      </c>
      <c r="Z391">
        <v>24</v>
      </c>
      <c r="AA391">
        <v>24</v>
      </c>
      <c r="AC391">
        <v>533</v>
      </c>
      <c r="AD391">
        <v>18.899999999999999</v>
      </c>
      <c r="AE391">
        <v>1574</v>
      </c>
      <c r="AF391">
        <v>20.9</v>
      </c>
      <c r="AG391" t="s">
        <v>3341</v>
      </c>
      <c r="AH391">
        <v>3.1970047280230456</v>
      </c>
      <c r="AI391">
        <v>18.899999999999999</v>
      </c>
      <c r="AJ391" t="s">
        <v>1800</v>
      </c>
      <c r="AK391" t="s">
        <v>1279</v>
      </c>
      <c r="AM391"/>
      <c r="AN391">
        <v>26.1</v>
      </c>
      <c r="AO391">
        <v>6.3686733312362627</v>
      </c>
      <c r="AP391">
        <v>27.8</v>
      </c>
      <c r="AQ391">
        <v>8.3282651254628046</v>
      </c>
      <c r="AS391">
        <v>6.3E-2</v>
      </c>
      <c r="AT391">
        <v>6.1999999999999998E-3</v>
      </c>
      <c r="AW391" s="28">
        <f t="shared" si="30"/>
        <v>0.22931135435113589</v>
      </c>
      <c r="AX391">
        <f t="shared" si="31"/>
        <v>0.98360655737704916</v>
      </c>
      <c r="AY391" s="62">
        <f t="shared" si="32"/>
        <v>0.22555215182078939</v>
      </c>
      <c r="AZ391" s="68" t="str">
        <f t="shared" si="33"/>
        <v>No</v>
      </c>
      <c r="BA391" s="68" t="str">
        <f t="shared" si="34"/>
        <v>No</v>
      </c>
    </row>
    <row r="392" spans="1:53" hidden="1">
      <c r="A392" t="s">
        <v>1815</v>
      </c>
      <c r="B392" t="s">
        <v>2551</v>
      </c>
      <c r="C392">
        <v>21</v>
      </c>
      <c r="F392" t="s">
        <v>1241</v>
      </c>
      <c r="G392" t="s">
        <v>1697</v>
      </c>
      <c r="I392">
        <v>2015</v>
      </c>
      <c r="N392" t="s">
        <v>36</v>
      </c>
      <c r="P392" t="s">
        <v>60</v>
      </c>
      <c r="Q392" t="s">
        <v>900</v>
      </c>
      <c r="R392" t="s">
        <v>1741</v>
      </c>
      <c r="S392" t="s">
        <v>1752</v>
      </c>
      <c r="V392" t="s">
        <v>1015</v>
      </c>
      <c r="Z392">
        <v>24</v>
      </c>
      <c r="AA392">
        <v>24</v>
      </c>
      <c r="AC392">
        <v>533</v>
      </c>
      <c r="AD392">
        <v>18.899999999999999</v>
      </c>
      <c r="AE392">
        <v>1559</v>
      </c>
      <c r="AF392">
        <v>21.5</v>
      </c>
      <c r="AG392" t="s">
        <v>3341</v>
      </c>
      <c r="AH392">
        <v>3.1928461151888419</v>
      </c>
      <c r="AI392">
        <v>18.899999999999999</v>
      </c>
      <c r="AJ392" t="s">
        <v>1800</v>
      </c>
      <c r="AK392" t="s">
        <v>1279</v>
      </c>
      <c r="AM392"/>
      <c r="AN392">
        <v>26.1</v>
      </c>
      <c r="AO392">
        <v>6.3686733312362627</v>
      </c>
      <c r="AP392">
        <v>38.6</v>
      </c>
      <c r="AQ392">
        <v>4.8989794855663558</v>
      </c>
      <c r="AS392">
        <v>0.39100000000000001</v>
      </c>
      <c r="AT392">
        <v>3.2000000000000002E-3</v>
      </c>
      <c r="AW392" s="28">
        <f t="shared" si="30"/>
        <v>2.200104199402384</v>
      </c>
      <c r="AX392">
        <f t="shared" si="31"/>
        <v>0.98360655737704916</v>
      </c>
      <c r="AY392" s="62">
        <f t="shared" si="32"/>
        <v>2.1640369174449678</v>
      </c>
      <c r="AZ392" s="68" t="str">
        <f t="shared" si="33"/>
        <v>No</v>
      </c>
      <c r="BA392" s="68" t="str">
        <f t="shared" si="34"/>
        <v>No</v>
      </c>
    </row>
    <row r="393" spans="1:53" hidden="1">
      <c r="A393" t="s">
        <v>1815</v>
      </c>
      <c r="B393" t="s">
        <v>2479</v>
      </c>
      <c r="C393">
        <v>5</v>
      </c>
      <c r="F393" t="s">
        <v>1241</v>
      </c>
      <c r="G393" t="s">
        <v>1691</v>
      </c>
      <c r="I393">
        <v>2013</v>
      </c>
      <c r="N393" t="s">
        <v>36</v>
      </c>
      <c r="P393" t="s">
        <v>60</v>
      </c>
      <c r="Q393" t="s">
        <v>900</v>
      </c>
      <c r="R393" t="s">
        <v>911</v>
      </c>
      <c r="S393" t="s">
        <v>1746</v>
      </c>
      <c r="V393" t="s">
        <v>905</v>
      </c>
      <c r="Z393">
        <v>4</v>
      </c>
      <c r="AA393">
        <v>4</v>
      </c>
      <c r="AC393">
        <v>242</v>
      </c>
      <c r="AD393">
        <v>24.4</v>
      </c>
      <c r="AE393">
        <v>872</v>
      </c>
      <c r="AF393">
        <v>24.1</v>
      </c>
      <c r="AG393" t="s">
        <v>3335</v>
      </c>
      <c r="AH393">
        <v>2.9405164849325671</v>
      </c>
      <c r="AI393">
        <v>24.4</v>
      </c>
      <c r="AJ393" t="s">
        <v>1791</v>
      </c>
      <c r="AK393" t="s">
        <v>770</v>
      </c>
      <c r="AM393"/>
      <c r="AN393">
        <v>33.54</v>
      </c>
      <c r="AO393">
        <v>5.54</v>
      </c>
      <c r="AP393">
        <v>37.14</v>
      </c>
      <c r="AQ393">
        <v>10.92</v>
      </c>
      <c r="AS393">
        <v>0.10199999999999999</v>
      </c>
      <c r="AT393">
        <v>2.8400000000000002E-2</v>
      </c>
      <c r="AW393" s="28">
        <f t="shared" si="30"/>
        <v>0.41577813017777593</v>
      </c>
      <c r="AX393">
        <f t="shared" si="31"/>
        <v>0.86956521739130432</v>
      </c>
      <c r="AY393" s="62">
        <f t="shared" si="32"/>
        <v>0.36154620015458777</v>
      </c>
      <c r="AZ393" s="68" t="str">
        <f t="shared" si="33"/>
        <v>No</v>
      </c>
      <c r="BA393" s="68" t="str">
        <f t="shared" si="34"/>
        <v>No</v>
      </c>
    </row>
    <row r="394" spans="1:53" hidden="1">
      <c r="A394" t="s">
        <v>1815</v>
      </c>
      <c r="B394" t="s">
        <v>2478</v>
      </c>
      <c r="C394">
        <v>5</v>
      </c>
      <c r="F394" t="s">
        <v>1241</v>
      </c>
      <c r="G394" t="s">
        <v>1691</v>
      </c>
      <c r="I394">
        <v>2013</v>
      </c>
      <c r="N394" t="s">
        <v>36</v>
      </c>
      <c r="P394" t="s">
        <v>60</v>
      </c>
      <c r="Q394" t="s">
        <v>900</v>
      </c>
      <c r="R394" t="s">
        <v>911</v>
      </c>
      <c r="S394" t="s">
        <v>1746</v>
      </c>
      <c r="V394" t="s">
        <v>907</v>
      </c>
      <c r="Z394">
        <v>4</v>
      </c>
      <c r="AA394">
        <v>4</v>
      </c>
      <c r="AC394">
        <v>242</v>
      </c>
      <c r="AD394">
        <v>24.4</v>
      </c>
      <c r="AE394">
        <v>275</v>
      </c>
      <c r="AF394">
        <v>27.6</v>
      </c>
      <c r="AG394" t="s">
        <v>3335</v>
      </c>
      <c r="AH394">
        <v>2.4393326938302629</v>
      </c>
      <c r="AI394">
        <v>24.4</v>
      </c>
      <c r="AJ394" t="s">
        <v>1791</v>
      </c>
      <c r="AK394" t="s">
        <v>770</v>
      </c>
      <c r="AM394"/>
      <c r="AN394">
        <v>33.54</v>
      </c>
      <c r="AO394">
        <v>5.54</v>
      </c>
      <c r="AP394">
        <v>33.299999999999997</v>
      </c>
      <c r="AQ394">
        <v>3.98</v>
      </c>
      <c r="AS394">
        <v>-7.0000000000000001E-3</v>
      </c>
      <c r="AT394">
        <v>1.04E-2</v>
      </c>
      <c r="AW394" s="28">
        <f t="shared" si="30"/>
        <v>-4.9756563753450979E-2</v>
      </c>
      <c r="AX394">
        <f t="shared" si="31"/>
        <v>0.86956521739130432</v>
      </c>
      <c r="AY394" s="62">
        <f t="shared" si="32"/>
        <v>-4.3266577176913894E-2</v>
      </c>
      <c r="AZ394" s="68" t="str">
        <f t="shared" si="33"/>
        <v>No</v>
      </c>
      <c r="BA394" s="68" t="str">
        <f t="shared" si="34"/>
        <v>No</v>
      </c>
    </row>
    <row r="395" spans="1:53" hidden="1">
      <c r="A395" t="s">
        <v>1815</v>
      </c>
      <c r="B395" t="s">
        <v>2480</v>
      </c>
      <c r="C395">
        <v>5</v>
      </c>
      <c r="F395" t="s">
        <v>1241</v>
      </c>
      <c r="G395" t="s">
        <v>1691</v>
      </c>
      <c r="I395">
        <v>2013</v>
      </c>
      <c r="N395" t="s">
        <v>36</v>
      </c>
      <c r="P395" t="s">
        <v>60</v>
      </c>
      <c r="Q395" t="s">
        <v>900</v>
      </c>
      <c r="R395" t="s">
        <v>911</v>
      </c>
      <c r="S395" t="s">
        <v>1746</v>
      </c>
      <c r="V395" t="s">
        <v>1015</v>
      </c>
      <c r="Z395">
        <v>4</v>
      </c>
      <c r="AA395">
        <v>4</v>
      </c>
      <c r="AC395">
        <v>242</v>
      </c>
      <c r="AD395">
        <v>24.4</v>
      </c>
      <c r="AE395">
        <v>976</v>
      </c>
      <c r="AF395">
        <v>27.4</v>
      </c>
      <c r="AG395" t="s">
        <v>3335</v>
      </c>
      <c r="AH395">
        <v>2.9894498176666917</v>
      </c>
      <c r="AI395">
        <v>24.4</v>
      </c>
      <c r="AJ395" t="s">
        <v>1791</v>
      </c>
      <c r="AK395" t="s">
        <v>770</v>
      </c>
      <c r="AM395"/>
      <c r="AN395">
        <v>33.54</v>
      </c>
      <c r="AO395">
        <v>5.54</v>
      </c>
      <c r="AP395">
        <v>44.01</v>
      </c>
      <c r="AQ395">
        <v>7.28</v>
      </c>
      <c r="AS395">
        <v>0.27200000000000002</v>
      </c>
      <c r="AT395">
        <v>1.37E-2</v>
      </c>
      <c r="AW395" s="28">
        <f t="shared" si="30"/>
        <v>1.6185454363931264</v>
      </c>
      <c r="AX395">
        <f t="shared" si="31"/>
        <v>0.86956521739130432</v>
      </c>
      <c r="AY395" s="62">
        <f t="shared" si="32"/>
        <v>1.4074308142548926</v>
      </c>
      <c r="AZ395" s="68" t="str">
        <f t="shared" si="33"/>
        <v>No</v>
      </c>
      <c r="BA395" s="68" t="str">
        <f t="shared" si="34"/>
        <v>No</v>
      </c>
    </row>
    <row r="396" spans="1:53" hidden="1">
      <c r="A396" t="s">
        <v>1815</v>
      </c>
      <c r="B396" t="s">
        <v>2323</v>
      </c>
      <c r="C396">
        <v>182</v>
      </c>
      <c r="F396" t="s">
        <v>1241</v>
      </c>
      <c r="G396" t="s">
        <v>1983</v>
      </c>
      <c r="I396">
        <v>2018</v>
      </c>
      <c r="N396" t="s">
        <v>36</v>
      </c>
      <c r="P396" t="s">
        <v>60</v>
      </c>
      <c r="Q396" t="s">
        <v>900</v>
      </c>
      <c r="R396" t="s">
        <v>888</v>
      </c>
      <c r="S396" t="s">
        <v>1998</v>
      </c>
      <c r="V396" t="s">
        <v>905</v>
      </c>
      <c r="Z396">
        <v>13</v>
      </c>
      <c r="AA396">
        <v>14</v>
      </c>
      <c r="AC396">
        <v>462</v>
      </c>
      <c r="AD396">
        <v>21.1</v>
      </c>
      <c r="AE396">
        <v>960</v>
      </c>
      <c r="AF396">
        <v>21.1</v>
      </c>
      <c r="AG396" t="s">
        <v>3442</v>
      </c>
      <c r="AI396">
        <v>21.1</v>
      </c>
      <c r="AJ396" t="s">
        <v>2023</v>
      </c>
      <c r="AK396" t="s">
        <v>40</v>
      </c>
      <c r="AN396">
        <v>0.92310000000000003</v>
      </c>
      <c r="AO396">
        <v>0.14422205101855956</v>
      </c>
      <c r="AP396">
        <v>0.98570000000000002</v>
      </c>
      <c r="AQ396">
        <v>0.22150611729701733</v>
      </c>
      <c r="AS396">
        <v>6.5699999999999995E-2</v>
      </c>
      <c r="AT396">
        <v>5.5999999999999999E-3</v>
      </c>
      <c r="AW396" s="28">
        <f t="shared" si="30"/>
        <v>0.3322566954414557</v>
      </c>
      <c r="AX396">
        <f t="shared" si="31"/>
        <v>0.96969696969696972</v>
      </c>
      <c r="AY396" s="62">
        <f t="shared" si="32"/>
        <v>0.32218831073110854</v>
      </c>
      <c r="AZ396" s="68" t="str">
        <f t="shared" si="33"/>
        <v>No</v>
      </c>
      <c r="BA396" s="68" t="str">
        <f t="shared" si="34"/>
        <v>No</v>
      </c>
    </row>
    <row r="397" spans="1:53" hidden="1">
      <c r="A397" t="s">
        <v>1815</v>
      </c>
      <c r="B397" t="s">
        <v>2296</v>
      </c>
      <c r="C397">
        <v>182</v>
      </c>
      <c r="F397" t="s">
        <v>1241</v>
      </c>
      <c r="G397" t="s">
        <v>1983</v>
      </c>
      <c r="I397">
        <v>2015</v>
      </c>
      <c r="N397" t="s">
        <v>36</v>
      </c>
      <c r="P397" t="s">
        <v>60</v>
      </c>
      <c r="Q397" t="s">
        <v>900</v>
      </c>
      <c r="R397" t="s">
        <v>888</v>
      </c>
      <c r="S397" t="s">
        <v>1998</v>
      </c>
      <c r="V397" t="s">
        <v>907</v>
      </c>
      <c r="Z397">
        <v>13</v>
      </c>
      <c r="AA397">
        <v>16</v>
      </c>
      <c r="AC397">
        <v>462</v>
      </c>
      <c r="AD397">
        <v>21.1</v>
      </c>
      <c r="AE397">
        <v>538</v>
      </c>
      <c r="AF397">
        <v>24.8</v>
      </c>
      <c r="AG397" t="s">
        <v>3442</v>
      </c>
      <c r="AI397">
        <v>21.1</v>
      </c>
      <c r="AJ397" t="s">
        <v>2023</v>
      </c>
      <c r="AK397" t="s">
        <v>40</v>
      </c>
      <c r="AN397">
        <v>0.92310000000000003</v>
      </c>
      <c r="AO397">
        <v>0.14422205101855956</v>
      </c>
      <c r="AP397">
        <v>1.1000000000000001</v>
      </c>
      <c r="AQ397">
        <v>0.20960000000000001</v>
      </c>
      <c r="AS397">
        <v>0.1754</v>
      </c>
      <c r="AT397">
        <v>4.3E-3</v>
      </c>
      <c r="AW397" s="28">
        <f t="shared" si="30"/>
        <v>0.96433416845805442</v>
      </c>
      <c r="AX397">
        <f t="shared" si="31"/>
        <v>0.9719626168224299</v>
      </c>
      <c r="AY397" s="62">
        <f t="shared" si="32"/>
        <v>0.93729676186577249</v>
      </c>
      <c r="AZ397" s="68" t="str">
        <f t="shared" si="33"/>
        <v>No</v>
      </c>
      <c r="BA397" s="68" t="str">
        <f t="shared" si="34"/>
        <v>No</v>
      </c>
    </row>
    <row r="398" spans="1:53" hidden="1">
      <c r="A398" t="s">
        <v>1815</v>
      </c>
      <c r="B398" t="s">
        <v>2263</v>
      </c>
      <c r="C398">
        <v>182</v>
      </c>
      <c r="F398" t="s">
        <v>1241</v>
      </c>
      <c r="G398" t="s">
        <v>1983</v>
      </c>
      <c r="I398">
        <v>2021</v>
      </c>
      <c r="N398" t="s">
        <v>36</v>
      </c>
      <c r="P398" t="s">
        <v>60</v>
      </c>
      <c r="Q398" t="s">
        <v>900</v>
      </c>
      <c r="R398" t="s">
        <v>888</v>
      </c>
      <c r="S398" t="s">
        <v>1998</v>
      </c>
      <c r="V398" t="s">
        <v>1015</v>
      </c>
      <c r="Z398">
        <v>13</v>
      </c>
      <c r="AA398">
        <v>16</v>
      </c>
      <c r="AC398">
        <v>462</v>
      </c>
      <c r="AD398">
        <v>21.1</v>
      </c>
      <c r="AE398">
        <v>1011</v>
      </c>
      <c r="AF398">
        <v>24.9</v>
      </c>
      <c r="AG398" t="s">
        <v>3442</v>
      </c>
      <c r="AI398">
        <v>21.1</v>
      </c>
      <c r="AJ398" t="s">
        <v>2023</v>
      </c>
      <c r="AK398" t="s">
        <v>40</v>
      </c>
      <c r="AN398">
        <v>0.92310000000000003</v>
      </c>
      <c r="AO398">
        <v>0.14422205101855956</v>
      </c>
      <c r="AP398">
        <v>1.2438</v>
      </c>
      <c r="AQ398">
        <v>0.316</v>
      </c>
      <c r="AS398">
        <v>0.29820000000000002</v>
      </c>
      <c r="AT398">
        <v>6.0000000000000001E-3</v>
      </c>
      <c r="AW398" s="28">
        <f t="shared" si="30"/>
        <v>1.2606069745863588</v>
      </c>
      <c r="AX398">
        <f t="shared" si="31"/>
        <v>0.9719626168224299</v>
      </c>
      <c r="AY398" s="62">
        <f t="shared" si="32"/>
        <v>1.2252628538035637</v>
      </c>
      <c r="AZ398" s="68" t="str">
        <f t="shared" si="33"/>
        <v>No</v>
      </c>
      <c r="BA398" s="68" t="str">
        <f t="shared" si="34"/>
        <v>No</v>
      </c>
    </row>
    <row r="399" spans="1:53" hidden="1">
      <c r="A399" t="s">
        <v>1815</v>
      </c>
      <c r="B399" t="s">
        <v>2559</v>
      </c>
      <c r="C399">
        <v>23</v>
      </c>
      <c r="F399" t="s">
        <v>1241</v>
      </c>
      <c r="G399" t="s">
        <v>1698</v>
      </c>
      <c r="I399">
        <v>2015</v>
      </c>
      <c r="N399" t="s">
        <v>36</v>
      </c>
      <c r="P399" t="s">
        <v>60</v>
      </c>
      <c r="Q399" t="s">
        <v>900</v>
      </c>
      <c r="R399" t="s">
        <v>946</v>
      </c>
      <c r="S399" t="s">
        <v>1148</v>
      </c>
      <c r="V399" t="s">
        <v>905</v>
      </c>
      <c r="Z399">
        <v>5</v>
      </c>
      <c r="AA399">
        <v>5</v>
      </c>
      <c r="AC399">
        <v>311</v>
      </c>
      <c r="AD399">
        <v>18.8</v>
      </c>
      <c r="AE399">
        <v>1850</v>
      </c>
      <c r="AF399">
        <v>18.8</v>
      </c>
      <c r="AG399" t="s">
        <v>3342</v>
      </c>
      <c r="AH399">
        <v>3.2671717284030137</v>
      </c>
      <c r="AI399">
        <v>18.8</v>
      </c>
      <c r="AJ399" t="s">
        <v>69</v>
      </c>
      <c r="AK399" t="s">
        <v>69</v>
      </c>
      <c r="AM399"/>
      <c r="AN399">
        <v>0.67</v>
      </c>
      <c r="AO399">
        <v>0.53665631459994956</v>
      </c>
      <c r="AP399">
        <v>0.44</v>
      </c>
      <c r="AQ399">
        <v>0.53665631459994956</v>
      </c>
      <c r="AS399">
        <v>-0.40500000000000003</v>
      </c>
      <c r="AT399">
        <v>0.4274</v>
      </c>
      <c r="AW399" s="28">
        <f t="shared" si="30"/>
        <v>-0.42857969568745974</v>
      </c>
      <c r="AX399">
        <f t="shared" si="31"/>
        <v>0.90322580645161288</v>
      </c>
      <c r="AY399" s="62">
        <f t="shared" si="32"/>
        <v>-0.38710424126609266</v>
      </c>
      <c r="AZ399" s="68" t="str">
        <f t="shared" si="33"/>
        <v>No</v>
      </c>
      <c r="BA399" s="68" t="str">
        <f t="shared" si="34"/>
        <v>No</v>
      </c>
    </row>
    <row r="400" spans="1:53" hidden="1">
      <c r="A400" t="s">
        <v>1815</v>
      </c>
      <c r="B400" t="s">
        <v>2561</v>
      </c>
      <c r="C400">
        <v>23</v>
      </c>
      <c r="F400" t="s">
        <v>1241</v>
      </c>
      <c r="G400" t="s">
        <v>1698</v>
      </c>
      <c r="I400">
        <v>2015</v>
      </c>
      <c r="N400" t="s">
        <v>36</v>
      </c>
      <c r="P400" t="s">
        <v>60</v>
      </c>
      <c r="Q400" t="s">
        <v>900</v>
      </c>
      <c r="R400" t="s">
        <v>946</v>
      </c>
      <c r="S400" t="s">
        <v>1148</v>
      </c>
      <c r="V400" t="s">
        <v>905</v>
      </c>
      <c r="Z400">
        <v>135</v>
      </c>
      <c r="AA400">
        <v>135</v>
      </c>
      <c r="AC400">
        <v>346</v>
      </c>
      <c r="AD400">
        <v>18.8</v>
      </c>
      <c r="AE400">
        <v>899</v>
      </c>
      <c r="AF400">
        <v>18.8</v>
      </c>
      <c r="AG400" t="s">
        <v>3343</v>
      </c>
      <c r="AH400">
        <v>2.9537596917332287</v>
      </c>
      <c r="AI400">
        <v>18.8</v>
      </c>
      <c r="AJ400" t="s">
        <v>1791</v>
      </c>
      <c r="AK400" t="s">
        <v>770</v>
      </c>
      <c r="AM400"/>
      <c r="AN400">
        <v>5.74</v>
      </c>
      <c r="AO400">
        <v>2.3237900077244502</v>
      </c>
      <c r="AP400">
        <v>3.96</v>
      </c>
      <c r="AQ400">
        <v>4.7637695158351221</v>
      </c>
      <c r="AS400">
        <v>-0.371</v>
      </c>
      <c r="AT400">
        <v>1.1900000000000001E-2</v>
      </c>
      <c r="AW400" s="28">
        <f t="shared" si="30"/>
        <v>-0.47493270349180217</v>
      </c>
      <c r="AX400">
        <f t="shared" si="31"/>
        <v>0.99719887955182074</v>
      </c>
      <c r="AY400" s="62">
        <f t="shared" si="32"/>
        <v>-0.47360235978454224</v>
      </c>
      <c r="AZ400" s="68" t="str">
        <f t="shared" si="33"/>
        <v>No</v>
      </c>
      <c r="BA400" s="68" t="str">
        <f t="shared" si="34"/>
        <v>No</v>
      </c>
    </row>
    <row r="401" spans="1:53" hidden="1">
      <c r="A401" t="s">
        <v>1815</v>
      </c>
      <c r="B401" t="s">
        <v>2563</v>
      </c>
      <c r="C401">
        <v>23</v>
      </c>
      <c r="F401" t="s">
        <v>1241</v>
      </c>
      <c r="G401" t="s">
        <v>1698</v>
      </c>
      <c r="I401">
        <v>2015</v>
      </c>
      <c r="N401" t="s">
        <v>36</v>
      </c>
      <c r="P401" t="s">
        <v>60</v>
      </c>
      <c r="Q401" t="s">
        <v>900</v>
      </c>
      <c r="R401" t="s">
        <v>946</v>
      </c>
      <c r="S401" t="s">
        <v>1148</v>
      </c>
      <c r="V401" t="s">
        <v>905</v>
      </c>
      <c r="Z401">
        <v>15</v>
      </c>
      <c r="AA401">
        <v>15</v>
      </c>
      <c r="AC401">
        <v>311</v>
      </c>
      <c r="AD401">
        <v>18.8</v>
      </c>
      <c r="AE401">
        <v>1850</v>
      </c>
      <c r="AF401">
        <v>18.8</v>
      </c>
      <c r="AG401" t="s">
        <v>3342</v>
      </c>
      <c r="AH401">
        <v>3.2671717284030137</v>
      </c>
      <c r="AI401">
        <v>18.8</v>
      </c>
      <c r="AJ401" t="s">
        <v>1099</v>
      </c>
      <c r="AK401" t="s">
        <v>40</v>
      </c>
      <c r="AM401"/>
      <c r="AN401">
        <v>0.48</v>
      </c>
      <c r="AO401">
        <v>0</v>
      </c>
      <c r="AP401">
        <v>0.35</v>
      </c>
      <c r="AQ401">
        <v>3.8729833462074169E-2</v>
      </c>
      <c r="AS401">
        <v>-0.316</v>
      </c>
      <c r="AT401">
        <v>5.0000000000000001E-4</v>
      </c>
      <c r="AW401" s="28">
        <f t="shared" si="30"/>
        <v>-4.7469288317114398</v>
      </c>
      <c r="AX401">
        <f t="shared" si="31"/>
        <v>0.97297297297297303</v>
      </c>
      <c r="AY401" s="62">
        <f t="shared" si="32"/>
        <v>-4.6186334578814012</v>
      </c>
      <c r="AZ401" s="68" t="str">
        <f t="shared" si="33"/>
        <v>No</v>
      </c>
      <c r="BA401" s="68" t="str">
        <f t="shared" si="34"/>
        <v>No</v>
      </c>
    </row>
    <row r="402" spans="1:53" hidden="1">
      <c r="A402" t="s">
        <v>1815</v>
      </c>
      <c r="B402" t="s">
        <v>2564</v>
      </c>
      <c r="C402">
        <v>23</v>
      </c>
      <c r="F402" t="s">
        <v>1241</v>
      </c>
      <c r="G402" t="s">
        <v>1698</v>
      </c>
      <c r="I402">
        <v>2015</v>
      </c>
      <c r="N402" t="s">
        <v>36</v>
      </c>
      <c r="P402" t="s">
        <v>60</v>
      </c>
      <c r="Q402" t="s">
        <v>900</v>
      </c>
      <c r="R402" t="s">
        <v>946</v>
      </c>
      <c r="S402" t="s">
        <v>1148</v>
      </c>
      <c r="V402" t="s">
        <v>905</v>
      </c>
      <c r="Z402">
        <v>15</v>
      </c>
      <c r="AA402">
        <v>15</v>
      </c>
      <c r="AC402">
        <v>311</v>
      </c>
      <c r="AD402">
        <v>18.8</v>
      </c>
      <c r="AE402">
        <v>885</v>
      </c>
      <c r="AF402">
        <v>18.8</v>
      </c>
      <c r="AG402" t="s">
        <v>3342</v>
      </c>
      <c r="AH402">
        <v>2.9469432706978256</v>
      </c>
      <c r="AI402">
        <v>18.8</v>
      </c>
      <c r="AJ402" t="s">
        <v>1099</v>
      </c>
      <c r="AK402" t="s">
        <v>40</v>
      </c>
      <c r="AM402"/>
      <c r="AN402">
        <v>0.48</v>
      </c>
      <c r="AO402">
        <v>0</v>
      </c>
      <c r="AP402">
        <v>0.43</v>
      </c>
      <c r="AQ402">
        <v>3.8729833462074169E-2</v>
      </c>
      <c r="AS402">
        <v>-0.11</v>
      </c>
      <c r="AT402">
        <v>2.0000000000000001E-4</v>
      </c>
      <c r="AW402" s="28">
        <f t="shared" si="30"/>
        <v>-1.8257418583505534</v>
      </c>
      <c r="AX402">
        <f t="shared" si="31"/>
        <v>0.97297297297297303</v>
      </c>
      <c r="AY402" s="62">
        <f t="shared" si="32"/>
        <v>-1.7763974838005385</v>
      </c>
      <c r="AZ402" s="68" t="str">
        <f t="shared" si="33"/>
        <v>No</v>
      </c>
      <c r="BA402" s="68" t="str">
        <f t="shared" si="34"/>
        <v>No</v>
      </c>
    </row>
    <row r="403" spans="1:53" hidden="1">
      <c r="A403" t="s">
        <v>1815</v>
      </c>
      <c r="B403" t="s">
        <v>2570</v>
      </c>
      <c r="C403">
        <v>23</v>
      </c>
      <c r="F403" t="s">
        <v>1241</v>
      </c>
      <c r="G403" t="s">
        <v>1698</v>
      </c>
      <c r="I403">
        <v>2015</v>
      </c>
      <c r="N403" t="s">
        <v>36</v>
      </c>
      <c r="P403" t="s">
        <v>60</v>
      </c>
      <c r="Q403" t="s">
        <v>900</v>
      </c>
      <c r="R403" t="s">
        <v>946</v>
      </c>
      <c r="S403" t="s">
        <v>1148</v>
      </c>
      <c r="V403" t="s">
        <v>905</v>
      </c>
      <c r="Z403">
        <v>5</v>
      </c>
      <c r="AA403">
        <v>5</v>
      </c>
      <c r="AC403">
        <v>311</v>
      </c>
      <c r="AD403">
        <v>18.8</v>
      </c>
      <c r="AE403">
        <v>885</v>
      </c>
      <c r="AF403">
        <v>18.8</v>
      </c>
      <c r="AG403" t="s">
        <v>3342</v>
      </c>
      <c r="AH403">
        <v>2.9469432706978256</v>
      </c>
      <c r="AI403">
        <v>18.8</v>
      </c>
      <c r="AJ403" t="s">
        <v>69</v>
      </c>
      <c r="AK403" t="s">
        <v>69</v>
      </c>
      <c r="AM403"/>
      <c r="AN403">
        <v>0.67</v>
      </c>
      <c r="AO403">
        <v>0.53665631459994956</v>
      </c>
      <c r="AP403">
        <v>0.7</v>
      </c>
      <c r="AQ403">
        <v>0.53665631459994956</v>
      </c>
      <c r="AS403">
        <v>4.7E-2</v>
      </c>
      <c r="AT403">
        <v>0.25119999999999998</v>
      </c>
      <c r="AW403" s="28">
        <f t="shared" si="30"/>
        <v>5.5901699437494581E-2</v>
      </c>
      <c r="AX403">
        <f t="shared" si="31"/>
        <v>0.90322580645161288</v>
      </c>
      <c r="AY403" s="62">
        <f t="shared" si="32"/>
        <v>5.0491857556446716E-2</v>
      </c>
      <c r="AZ403" s="68" t="str">
        <f t="shared" si="33"/>
        <v>No</v>
      </c>
      <c r="BA403" s="68" t="str">
        <f t="shared" si="34"/>
        <v>No</v>
      </c>
    </row>
    <row r="404" spans="1:53" hidden="1">
      <c r="A404" t="s">
        <v>1815</v>
      </c>
      <c r="B404" t="s">
        <v>2554</v>
      </c>
      <c r="C404">
        <v>23</v>
      </c>
      <c r="F404" t="s">
        <v>1241</v>
      </c>
      <c r="G404" t="s">
        <v>1698</v>
      </c>
      <c r="I404">
        <v>2015</v>
      </c>
      <c r="N404" t="s">
        <v>36</v>
      </c>
      <c r="P404" t="s">
        <v>60</v>
      </c>
      <c r="Q404" t="s">
        <v>900</v>
      </c>
      <c r="R404" t="s">
        <v>946</v>
      </c>
      <c r="S404" t="s">
        <v>1148</v>
      </c>
      <c r="V404" t="s">
        <v>907</v>
      </c>
      <c r="Z404">
        <v>5</v>
      </c>
      <c r="AA404">
        <v>5</v>
      </c>
      <c r="AC404">
        <v>311</v>
      </c>
      <c r="AD404">
        <v>18.8</v>
      </c>
      <c r="AE404">
        <v>314</v>
      </c>
      <c r="AF404">
        <v>22.5</v>
      </c>
      <c r="AG404" t="s">
        <v>3342</v>
      </c>
      <c r="AH404">
        <v>2.4969296480732148</v>
      </c>
      <c r="AI404">
        <v>18.8</v>
      </c>
      <c r="AJ404" t="s">
        <v>69</v>
      </c>
      <c r="AK404" t="s">
        <v>69</v>
      </c>
      <c r="AM404"/>
      <c r="AN404">
        <v>0.67</v>
      </c>
      <c r="AO404">
        <v>0.53665631459994956</v>
      </c>
      <c r="AP404">
        <v>0.1</v>
      </c>
      <c r="AQ404">
        <v>0.62609903369994124</v>
      </c>
      <c r="AS404">
        <v>-1.9450000000000001</v>
      </c>
      <c r="AT404">
        <v>9.0268999999999995</v>
      </c>
      <c r="AW404" s="28">
        <f t="shared" si="30"/>
        <v>-0.97754193531230038</v>
      </c>
      <c r="AX404">
        <f t="shared" si="31"/>
        <v>0.90322580645161288</v>
      </c>
      <c r="AY404" s="62">
        <f t="shared" si="32"/>
        <v>-0.88294110286272287</v>
      </c>
      <c r="AZ404" s="68" t="str">
        <f t="shared" si="33"/>
        <v>No</v>
      </c>
      <c r="BA404" s="68" t="str">
        <f t="shared" si="34"/>
        <v>No</v>
      </c>
    </row>
    <row r="405" spans="1:53" hidden="1">
      <c r="A405" t="s">
        <v>1815</v>
      </c>
      <c r="B405" t="s">
        <v>2557</v>
      </c>
      <c r="C405">
        <v>23</v>
      </c>
      <c r="F405" t="s">
        <v>1241</v>
      </c>
      <c r="G405" t="s">
        <v>1698</v>
      </c>
      <c r="I405">
        <v>2015</v>
      </c>
      <c r="N405" t="s">
        <v>36</v>
      </c>
      <c r="P405" t="s">
        <v>60</v>
      </c>
      <c r="Q405" t="s">
        <v>900</v>
      </c>
      <c r="R405" t="s">
        <v>946</v>
      </c>
      <c r="S405" t="s">
        <v>1148</v>
      </c>
      <c r="V405" t="s">
        <v>907</v>
      </c>
      <c r="Z405">
        <v>5</v>
      </c>
      <c r="AA405">
        <v>5</v>
      </c>
      <c r="AC405">
        <v>311</v>
      </c>
      <c r="AD405">
        <v>18.8</v>
      </c>
      <c r="AE405">
        <v>305</v>
      </c>
      <c r="AF405">
        <v>20.5</v>
      </c>
      <c r="AG405" t="s">
        <v>3342</v>
      </c>
      <c r="AH405">
        <v>2.4842998393467859</v>
      </c>
      <c r="AI405">
        <v>18.8</v>
      </c>
      <c r="AJ405" t="s">
        <v>69</v>
      </c>
      <c r="AK405" t="s">
        <v>69</v>
      </c>
      <c r="AM405"/>
      <c r="AN405">
        <v>0.67</v>
      </c>
      <c r="AO405">
        <v>0.53665631459994956</v>
      </c>
      <c r="AP405">
        <v>0.38</v>
      </c>
      <c r="AQ405">
        <v>0.58137767414994534</v>
      </c>
      <c r="AS405">
        <v>-0.55900000000000005</v>
      </c>
      <c r="AT405">
        <v>0.58109999999999995</v>
      </c>
      <c r="AW405" s="28">
        <f t="shared" si="30"/>
        <v>-0.5183532539172927</v>
      </c>
      <c r="AX405">
        <f t="shared" si="31"/>
        <v>0.90322580645161288</v>
      </c>
      <c r="AY405" s="62">
        <f t="shared" si="32"/>
        <v>-0.46819003579626434</v>
      </c>
      <c r="AZ405" s="68" t="str">
        <f t="shared" si="33"/>
        <v>No</v>
      </c>
      <c r="BA405" s="68" t="str">
        <f t="shared" si="34"/>
        <v>No</v>
      </c>
    </row>
    <row r="406" spans="1:53" hidden="1">
      <c r="A406" t="s">
        <v>1815</v>
      </c>
      <c r="B406" t="s">
        <v>2562</v>
      </c>
      <c r="C406">
        <v>23</v>
      </c>
      <c r="F406" t="s">
        <v>1241</v>
      </c>
      <c r="G406" t="s">
        <v>1698</v>
      </c>
      <c r="I406">
        <v>2015</v>
      </c>
      <c r="N406" t="s">
        <v>36</v>
      </c>
      <c r="P406" t="s">
        <v>60</v>
      </c>
      <c r="Q406" t="s">
        <v>900</v>
      </c>
      <c r="R406" t="s">
        <v>946</v>
      </c>
      <c r="S406" t="s">
        <v>1148</v>
      </c>
      <c r="V406" t="s">
        <v>907</v>
      </c>
      <c r="Z406">
        <v>135</v>
      </c>
      <c r="AA406">
        <v>135</v>
      </c>
      <c r="AC406">
        <v>346</v>
      </c>
      <c r="AD406">
        <v>18.8</v>
      </c>
      <c r="AE406">
        <v>340</v>
      </c>
      <c r="AF406">
        <v>22.4</v>
      </c>
      <c r="AG406" t="s">
        <v>3343</v>
      </c>
      <c r="AH406">
        <v>2.5314789170422549</v>
      </c>
      <c r="AI406">
        <v>18.8</v>
      </c>
      <c r="AJ406" t="s">
        <v>1791</v>
      </c>
      <c r="AK406" t="s">
        <v>770</v>
      </c>
      <c r="AM406"/>
      <c r="AN406">
        <v>5.74</v>
      </c>
      <c r="AO406">
        <v>2.3237900077244502</v>
      </c>
      <c r="AP406">
        <v>3.96</v>
      </c>
      <c r="AQ406">
        <v>2.3237900077244502</v>
      </c>
      <c r="AS406">
        <v>-0.371</v>
      </c>
      <c r="AT406">
        <v>3.8999999999999998E-3</v>
      </c>
      <c r="AW406" s="28">
        <f t="shared" si="30"/>
        <v>-0.76599003958324474</v>
      </c>
      <c r="AX406">
        <f t="shared" si="31"/>
        <v>0.99719887955182074</v>
      </c>
      <c r="AY406" s="62">
        <f t="shared" si="32"/>
        <v>-0.76384440922026642</v>
      </c>
      <c r="AZ406" s="68" t="str">
        <f t="shared" si="33"/>
        <v>No</v>
      </c>
      <c r="BA406" s="68" t="str">
        <f t="shared" si="34"/>
        <v>No</v>
      </c>
    </row>
    <row r="407" spans="1:53" hidden="1">
      <c r="A407" t="s">
        <v>1815</v>
      </c>
      <c r="B407" t="s">
        <v>2569</v>
      </c>
      <c r="C407">
        <v>23</v>
      </c>
      <c r="F407" t="s">
        <v>1241</v>
      </c>
      <c r="G407" t="s">
        <v>1698</v>
      </c>
      <c r="I407">
        <v>2015</v>
      </c>
      <c r="N407" t="s">
        <v>36</v>
      </c>
      <c r="P407" t="s">
        <v>60</v>
      </c>
      <c r="Q407" t="s">
        <v>900</v>
      </c>
      <c r="R407" t="s">
        <v>946</v>
      </c>
      <c r="S407" t="s">
        <v>1148</v>
      </c>
      <c r="V407" t="s">
        <v>907</v>
      </c>
      <c r="Z407">
        <v>15</v>
      </c>
      <c r="AA407">
        <v>15</v>
      </c>
      <c r="AC407">
        <v>311</v>
      </c>
      <c r="AD407">
        <v>18.8</v>
      </c>
      <c r="AE407">
        <v>305</v>
      </c>
      <c r="AF407">
        <v>20.5</v>
      </c>
      <c r="AG407" t="s">
        <v>3342</v>
      </c>
      <c r="AH407">
        <v>2.4842998393467859</v>
      </c>
      <c r="AI407">
        <v>18.8</v>
      </c>
      <c r="AJ407" t="s">
        <v>1099</v>
      </c>
      <c r="AK407" t="s">
        <v>40</v>
      </c>
      <c r="AM407"/>
      <c r="AN407">
        <v>0.48</v>
      </c>
      <c r="AO407">
        <v>0</v>
      </c>
      <c r="AP407">
        <v>0.5</v>
      </c>
      <c r="AQ407">
        <v>0</v>
      </c>
      <c r="AS407">
        <v>4.1000000000000002E-2</v>
      </c>
      <c r="AT407">
        <v>1E-4</v>
      </c>
      <c r="AW407" s="28" t="e">
        <f t="shared" si="30"/>
        <v>#DIV/0!</v>
      </c>
      <c r="AX407">
        <f t="shared" si="31"/>
        <v>0.97297297297297303</v>
      </c>
      <c r="AY407" s="62" t="e">
        <f t="shared" si="32"/>
        <v>#DIV/0!</v>
      </c>
      <c r="AZ407" s="68" t="e">
        <f t="shared" si="33"/>
        <v>#DIV/0!</v>
      </c>
      <c r="BA407" s="68" t="e">
        <f t="shared" si="34"/>
        <v>#DIV/0!</v>
      </c>
    </row>
    <row r="408" spans="1:53" hidden="1">
      <c r="A408" t="s">
        <v>1815</v>
      </c>
      <c r="B408" t="s">
        <v>2571</v>
      </c>
      <c r="C408">
        <v>23</v>
      </c>
      <c r="F408" t="s">
        <v>1241</v>
      </c>
      <c r="G408" t="s">
        <v>1698</v>
      </c>
      <c r="I408">
        <v>2011</v>
      </c>
      <c r="N408" t="s">
        <v>36</v>
      </c>
      <c r="P408" t="s">
        <v>60</v>
      </c>
      <c r="Q408" t="s">
        <v>900</v>
      </c>
      <c r="R408" t="s">
        <v>946</v>
      </c>
      <c r="S408" t="s">
        <v>1148</v>
      </c>
      <c r="V408" t="s">
        <v>907</v>
      </c>
      <c r="Z408">
        <v>15</v>
      </c>
      <c r="AA408">
        <v>15</v>
      </c>
      <c r="AC408">
        <v>311</v>
      </c>
      <c r="AD408">
        <v>18.8</v>
      </c>
      <c r="AE408">
        <v>314</v>
      </c>
      <c r="AF408">
        <v>22.5</v>
      </c>
      <c r="AG408" t="s">
        <v>3342</v>
      </c>
      <c r="AH408">
        <v>2.4969296480732148</v>
      </c>
      <c r="AI408">
        <v>18.8</v>
      </c>
      <c r="AJ408" t="s">
        <v>1099</v>
      </c>
      <c r="AK408" t="s">
        <v>40</v>
      </c>
      <c r="AM408"/>
      <c r="AN408">
        <v>0.48</v>
      </c>
      <c r="AO408">
        <v>0</v>
      </c>
      <c r="AP408">
        <v>0.52</v>
      </c>
      <c r="AQ408">
        <v>0</v>
      </c>
      <c r="AS408">
        <v>0.08</v>
      </c>
      <c r="AT408">
        <v>1E-4</v>
      </c>
      <c r="AW408" s="28" t="e">
        <f t="shared" si="30"/>
        <v>#DIV/0!</v>
      </c>
      <c r="AX408">
        <f t="shared" si="31"/>
        <v>0.97297297297297303</v>
      </c>
      <c r="AY408" s="62" t="e">
        <f t="shared" si="32"/>
        <v>#DIV/0!</v>
      </c>
      <c r="AZ408" s="68" t="e">
        <f t="shared" si="33"/>
        <v>#DIV/0!</v>
      </c>
      <c r="BA408" s="68" t="e">
        <f t="shared" si="34"/>
        <v>#DIV/0!</v>
      </c>
    </row>
    <row r="409" spans="1:53" hidden="1">
      <c r="A409" t="s">
        <v>1815</v>
      </c>
      <c r="B409" t="s">
        <v>2572</v>
      </c>
      <c r="C409">
        <v>23</v>
      </c>
      <c r="F409" t="s">
        <v>1241</v>
      </c>
      <c r="G409" t="s">
        <v>1698</v>
      </c>
      <c r="I409">
        <v>2011</v>
      </c>
      <c r="N409" t="s">
        <v>36</v>
      </c>
      <c r="P409" t="s">
        <v>60</v>
      </c>
      <c r="Q409" t="s">
        <v>900</v>
      </c>
      <c r="R409" t="s">
        <v>946</v>
      </c>
      <c r="S409" t="s">
        <v>1148</v>
      </c>
      <c r="V409" t="s">
        <v>907</v>
      </c>
      <c r="Z409">
        <v>135</v>
      </c>
      <c r="AA409">
        <v>135</v>
      </c>
      <c r="AC409">
        <v>346</v>
      </c>
      <c r="AD409">
        <v>18.8</v>
      </c>
      <c r="AE409">
        <v>326</v>
      </c>
      <c r="AF409">
        <v>20.399999999999999</v>
      </c>
      <c r="AG409" t="s">
        <v>3343</v>
      </c>
      <c r="AH409">
        <v>2.5132176000679389</v>
      </c>
      <c r="AI409">
        <v>18.8</v>
      </c>
      <c r="AJ409" t="s">
        <v>1791</v>
      </c>
      <c r="AK409" t="s">
        <v>770</v>
      </c>
      <c r="AM409"/>
      <c r="AN409">
        <v>5.74</v>
      </c>
      <c r="AO409">
        <v>2.3237900077244502</v>
      </c>
      <c r="AP409">
        <v>11.28</v>
      </c>
      <c r="AQ409">
        <v>2.3237900077244502</v>
      </c>
      <c r="AS409">
        <v>0.67600000000000005</v>
      </c>
      <c r="AT409">
        <v>1.6000000000000001E-3</v>
      </c>
      <c r="AW409" s="28">
        <f t="shared" si="30"/>
        <v>2.3840364153321207</v>
      </c>
      <c r="AX409">
        <f t="shared" si="31"/>
        <v>0.99719887955182074</v>
      </c>
      <c r="AY409" s="62">
        <f t="shared" si="32"/>
        <v>2.3773584421799301</v>
      </c>
      <c r="AZ409" s="68" t="str">
        <f t="shared" si="33"/>
        <v>No</v>
      </c>
      <c r="BA409" s="68" t="str">
        <f t="shared" si="34"/>
        <v>No</v>
      </c>
    </row>
    <row r="410" spans="1:53" hidden="1">
      <c r="A410" t="s">
        <v>1815</v>
      </c>
      <c r="B410" t="s">
        <v>2555</v>
      </c>
      <c r="C410">
        <v>23</v>
      </c>
      <c r="F410" t="s">
        <v>1241</v>
      </c>
      <c r="G410" t="s">
        <v>1698</v>
      </c>
      <c r="I410">
        <v>2015</v>
      </c>
      <c r="N410" t="s">
        <v>36</v>
      </c>
      <c r="P410" t="s">
        <v>60</v>
      </c>
      <c r="Q410" t="s">
        <v>900</v>
      </c>
      <c r="R410" t="s">
        <v>946</v>
      </c>
      <c r="S410" t="s">
        <v>1148</v>
      </c>
      <c r="V410" t="s">
        <v>1015</v>
      </c>
      <c r="Z410">
        <v>5</v>
      </c>
      <c r="AA410">
        <v>5</v>
      </c>
      <c r="AC410">
        <v>311</v>
      </c>
      <c r="AD410">
        <v>18.8</v>
      </c>
      <c r="AE410">
        <v>916</v>
      </c>
      <c r="AF410">
        <v>22.5</v>
      </c>
      <c r="AG410" t="s">
        <v>3342</v>
      </c>
      <c r="AH410">
        <v>2.9618954736678504</v>
      </c>
      <c r="AI410">
        <v>18.8</v>
      </c>
      <c r="AJ410" t="s">
        <v>69</v>
      </c>
      <c r="AK410" t="s">
        <v>69</v>
      </c>
      <c r="AM410"/>
      <c r="AN410">
        <v>0.67</v>
      </c>
      <c r="AO410">
        <v>0.53665631459994956</v>
      </c>
      <c r="AP410">
        <v>0.1</v>
      </c>
      <c r="AQ410">
        <v>0.67082039324993692</v>
      </c>
      <c r="AS410">
        <v>-1.9450000000000001</v>
      </c>
      <c r="AT410">
        <v>9.9403000000000006</v>
      </c>
      <c r="AW410" s="28">
        <f t="shared" si="30"/>
        <v>-0.93834311681711013</v>
      </c>
      <c r="AX410">
        <f t="shared" si="31"/>
        <v>0.90322580645161288</v>
      </c>
      <c r="AY410" s="62">
        <f t="shared" si="32"/>
        <v>-0.84753571841545428</v>
      </c>
      <c r="AZ410" s="68" t="str">
        <f t="shared" si="33"/>
        <v>No</v>
      </c>
      <c r="BA410" s="68" t="str">
        <f t="shared" si="34"/>
        <v>No</v>
      </c>
    </row>
    <row r="411" spans="1:53" hidden="1">
      <c r="A411" t="s">
        <v>1815</v>
      </c>
      <c r="B411" t="s">
        <v>2556</v>
      </c>
      <c r="C411">
        <v>23</v>
      </c>
      <c r="F411" t="s">
        <v>1241</v>
      </c>
      <c r="G411" t="s">
        <v>1698</v>
      </c>
      <c r="I411">
        <v>2015</v>
      </c>
      <c r="N411" t="s">
        <v>36</v>
      </c>
      <c r="P411" t="s">
        <v>60</v>
      </c>
      <c r="Q411" t="s">
        <v>900</v>
      </c>
      <c r="R411" t="s">
        <v>946</v>
      </c>
      <c r="S411" t="s">
        <v>1148</v>
      </c>
      <c r="V411" t="s">
        <v>1015</v>
      </c>
      <c r="Z411">
        <v>5</v>
      </c>
      <c r="AA411">
        <v>5</v>
      </c>
      <c r="AC411">
        <v>311</v>
      </c>
      <c r="AD411">
        <v>18.8</v>
      </c>
      <c r="AE411">
        <v>1838</v>
      </c>
      <c r="AF411">
        <v>20.5</v>
      </c>
      <c r="AG411" t="s">
        <v>3342</v>
      </c>
      <c r="AH411">
        <v>3.2643455070500926</v>
      </c>
      <c r="AI411">
        <v>18.8</v>
      </c>
      <c r="AJ411" t="s">
        <v>69</v>
      </c>
      <c r="AK411" t="s">
        <v>69</v>
      </c>
      <c r="AM411"/>
      <c r="AN411">
        <v>0.67</v>
      </c>
      <c r="AO411">
        <v>0.53665631459994956</v>
      </c>
      <c r="AP411">
        <v>0.25</v>
      </c>
      <c r="AQ411">
        <v>0.60373835392494324</v>
      </c>
      <c r="AS411">
        <v>-0.96399999999999997</v>
      </c>
      <c r="AT411">
        <v>1.2603</v>
      </c>
      <c r="AW411" s="28">
        <f t="shared" si="30"/>
        <v>-0.73531602401444629</v>
      </c>
      <c r="AX411">
        <f t="shared" si="31"/>
        <v>0.90322580645161288</v>
      </c>
      <c r="AY411" s="62">
        <f t="shared" si="32"/>
        <v>-0.6641564087872418</v>
      </c>
      <c r="AZ411" s="68" t="str">
        <f t="shared" si="33"/>
        <v>No</v>
      </c>
      <c r="BA411" s="68" t="str">
        <f t="shared" si="34"/>
        <v>No</v>
      </c>
    </row>
    <row r="412" spans="1:53" hidden="1">
      <c r="A412" t="s">
        <v>1815</v>
      </c>
      <c r="B412" t="s">
        <v>2558</v>
      </c>
      <c r="C412">
        <v>23</v>
      </c>
      <c r="F412" t="s">
        <v>1241</v>
      </c>
      <c r="G412" t="s">
        <v>1698</v>
      </c>
      <c r="I412">
        <v>2015</v>
      </c>
      <c r="N412" t="s">
        <v>36</v>
      </c>
      <c r="P412" t="s">
        <v>60</v>
      </c>
      <c r="Q412" t="s">
        <v>900</v>
      </c>
      <c r="R412" t="s">
        <v>946</v>
      </c>
      <c r="S412" t="s">
        <v>1148</v>
      </c>
      <c r="V412" t="s">
        <v>1015</v>
      </c>
      <c r="Z412">
        <v>5</v>
      </c>
      <c r="AA412">
        <v>5</v>
      </c>
      <c r="AC412">
        <v>311</v>
      </c>
      <c r="AD412">
        <v>18.8</v>
      </c>
      <c r="AE412">
        <v>1898</v>
      </c>
      <c r="AF412">
        <v>22.5</v>
      </c>
      <c r="AG412" t="s">
        <v>3342</v>
      </c>
      <c r="AH412">
        <v>3.2782962080912736</v>
      </c>
      <c r="AI412">
        <v>18.8</v>
      </c>
      <c r="AJ412" t="s">
        <v>69</v>
      </c>
      <c r="AK412" t="s">
        <v>69</v>
      </c>
      <c r="AM412"/>
      <c r="AN412">
        <v>0.67</v>
      </c>
      <c r="AO412">
        <v>0.53665631459994956</v>
      </c>
      <c r="AP412">
        <v>0.41</v>
      </c>
      <c r="AQ412">
        <v>0.51429563482495166</v>
      </c>
      <c r="AS412">
        <v>-0.47899999999999998</v>
      </c>
      <c r="AT412">
        <v>0.43469999999999998</v>
      </c>
      <c r="AW412" s="28">
        <f t="shared" si="30"/>
        <v>-0.49467755392067397</v>
      </c>
      <c r="AX412">
        <f t="shared" si="31"/>
        <v>0.90322580645161288</v>
      </c>
      <c r="AY412" s="62">
        <f t="shared" si="32"/>
        <v>-0.44680553257351197</v>
      </c>
      <c r="AZ412" s="68" t="str">
        <f t="shared" si="33"/>
        <v>No</v>
      </c>
      <c r="BA412" s="68" t="str">
        <f t="shared" si="34"/>
        <v>No</v>
      </c>
    </row>
    <row r="413" spans="1:53" hidden="1">
      <c r="A413" t="s">
        <v>1815</v>
      </c>
      <c r="B413" t="s">
        <v>2560</v>
      </c>
      <c r="C413">
        <v>23</v>
      </c>
      <c r="F413" t="s">
        <v>1241</v>
      </c>
      <c r="G413" t="s">
        <v>1698</v>
      </c>
      <c r="I413">
        <v>2015</v>
      </c>
      <c r="N413" t="s">
        <v>36</v>
      </c>
      <c r="P413" t="s">
        <v>60</v>
      </c>
      <c r="Q413" t="s">
        <v>900</v>
      </c>
      <c r="R413" t="s">
        <v>946</v>
      </c>
      <c r="S413" t="s">
        <v>1148</v>
      </c>
      <c r="V413" t="s">
        <v>1015</v>
      </c>
      <c r="Z413">
        <v>5</v>
      </c>
      <c r="AA413">
        <v>5</v>
      </c>
      <c r="AC413">
        <v>311</v>
      </c>
      <c r="AD413">
        <v>18.8</v>
      </c>
      <c r="AE413">
        <v>884</v>
      </c>
      <c r="AF413">
        <v>20.5</v>
      </c>
      <c r="AG413" t="s">
        <v>3342</v>
      </c>
      <c r="AH413">
        <v>2.9464522650130731</v>
      </c>
      <c r="AI413">
        <v>18.8</v>
      </c>
      <c r="AJ413" t="s">
        <v>69</v>
      </c>
      <c r="AK413" t="s">
        <v>69</v>
      </c>
      <c r="AM413"/>
      <c r="AN413">
        <v>0.67</v>
      </c>
      <c r="AO413">
        <v>0.53665631459994956</v>
      </c>
      <c r="AP413">
        <v>0.44</v>
      </c>
      <c r="AQ413">
        <v>0.53665631459994956</v>
      </c>
      <c r="AS413">
        <v>-0.40500000000000003</v>
      </c>
      <c r="AT413">
        <v>0.42749999999999999</v>
      </c>
      <c r="AW413" s="28">
        <f t="shared" si="30"/>
        <v>-0.42857969568745974</v>
      </c>
      <c r="AX413">
        <f t="shared" si="31"/>
        <v>0.90322580645161288</v>
      </c>
      <c r="AY413" s="62">
        <f t="shared" si="32"/>
        <v>-0.38710424126609266</v>
      </c>
      <c r="AZ413" s="68" t="str">
        <f t="shared" si="33"/>
        <v>No</v>
      </c>
      <c r="BA413" s="68" t="str">
        <f t="shared" si="34"/>
        <v>No</v>
      </c>
    </row>
    <row r="414" spans="1:53" hidden="1">
      <c r="A414" t="s">
        <v>1815</v>
      </c>
      <c r="B414" t="s">
        <v>2565</v>
      </c>
      <c r="C414">
        <v>23</v>
      </c>
      <c r="F414" t="s">
        <v>1241</v>
      </c>
      <c r="G414" t="s">
        <v>1698</v>
      </c>
      <c r="I414">
        <v>2015</v>
      </c>
      <c r="N414" t="s">
        <v>36</v>
      </c>
      <c r="P414" t="s">
        <v>60</v>
      </c>
      <c r="Q414" t="s">
        <v>900</v>
      </c>
      <c r="R414" t="s">
        <v>946</v>
      </c>
      <c r="S414" t="s">
        <v>1148</v>
      </c>
      <c r="V414" t="s">
        <v>1015</v>
      </c>
      <c r="Z414">
        <v>15</v>
      </c>
      <c r="AA414">
        <v>15</v>
      </c>
      <c r="AC414">
        <v>311</v>
      </c>
      <c r="AD414">
        <v>18.8</v>
      </c>
      <c r="AE414">
        <v>1838</v>
      </c>
      <c r="AF414">
        <v>20.5</v>
      </c>
      <c r="AG414" t="s">
        <v>3342</v>
      </c>
      <c r="AH414">
        <v>3.2643455070500926</v>
      </c>
      <c r="AI414">
        <v>18.8</v>
      </c>
      <c r="AJ414" t="s">
        <v>1099</v>
      </c>
      <c r="AK414" t="s">
        <v>40</v>
      </c>
      <c r="AM414"/>
      <c r="AN414">
        <v>0.48</v>
      </c>
      <c r="AO414">
        <v>0</v>
      </c>
      <c r="AP414">
        <v>0.43</v>
      </c>
      <c r="AQ414">
        <v>3.8729833462074169E-2</v>
      </c>
      <c r="AS414">
        <v>-0.11</v>
      </c>
      <c r="AT414">
        <v>4.0000000000000002E-4</v>
      </c>
      <c r="AW414" s="28">
        <f t="shared" si="30"/>
        <v>-1.8257418583505534</v>
      </c>
      <c r="AX414">
        <f t="shared" si="31"/>
        <v>0.97297297297297303</v>
      </c>
      <c r="AY414" s="62">
        <f t="shared" si="32"/>
        <v>-1.7763974838005385</v>
      </c>
      <c r="AZ414" s="68" t="str">
        <f t="shared" si="33"/>
        <v>No</v>
      </c>
      <c r="BA414" s="68" t="str">
        <f t="shared" si="34"/>
        <v>No</v>
      </c>
    </row>
    <row r="415" spans="1:53" hidden="1">
      <c r="A415" t="s">
        <v>1815</v>
      </c>
      <c r="B415" t="s">
        <v>2566</v>
      </c>
      <c r="C415">
        <v>23</v>
      </c>
      <c r="F415" t="s">
        <v>1241</v>
      </c>
      <c r="G415" t="s">
        <v>1698</v>
      </c>
      <c r="I415">
        <v>2015</v>
      </c>
      <c r="N415" t="s">
        <v>36</v>
      </c>
      <c r="P415" t="s">
        <v>60</v>
      </c>
      <c r="Q415" t="s">
        <v>900</v>
      </c>
      <c r="R415" t="s">
        <v>946</v>
      </c>
      <c r="S415" t="s">
        <v>1148</v>
      </c>
      <c r="V415" t="s">
        <v>1015</v>
      </c>
      <c r="Z415">
        <v>15</v>
      </c>
      <c r="AA415">
        <v>15</v>
      </c>
      <c r="AC415">
        <v>311</v>
      </c>
      <c r="AD415">
        <v>18.8</v>
      </c>
      <c r="AE415">
        <v>1898</v>
      </c>
      <c r="AF415">
        <v>22.5</v>
      </c>
      <c r="AG415" t="s">
        <v>3342</v>
      </c>
      <c r="AH415">
        <v>3.2782962080912736</v>
      </c>
      <c r="AI415">
        <v>18.8</v>
      </c>
      <c r="AJ415" t="s">
        <v>1099</v>
      </c>
      <c r="AK415" t="s">
        <v>40</v>
      </c>
      <c r="AM415"/>
      <c r="AN415">
        <v>0.48</v>
      </c>
      <c r="AO415">
        <v>0</v>
      </c>
      <c r="AP415">
        <v>0.45</v>
      </c>
      <c r="AQ415">
        <v>3.8729833462074169E-2</v>
      </c>
      <c r="AS415">
        <v>-6.5000000000000002E-2</v>
      </c>
      <c r="AT415">
        <v>2.9999999999999997E-4</v>
      </c>
      <c r="AW415" s="28">
        <f t="shared" si="30"/>
        <v>-1.095445115010331</v>
      </c>
      <c r="AX415">
        <f t="shared" si="31"/>
        <v>0.97297297297297303</v>
      </c>
      <c r="AY415" s="62">
        <f t="shared" si="32"/>
        <v>-1.0658384902803222</v>
      </c>
      <c r="AZ415" s="68" t="str">
        <f t="shared" si="33"/>
        <v>No</v>
      </c>
      <c r="BA415" s="68" t="str">
        <f t="shared" si="34"/>
        <v>No</v>
      </c>
    </row>
    <row r="416" spans="1:53" hidden="1">
      <c r="A416" t="s">
        <v>1815</v>
      </c>
      <c r="B416" t="s">
        <v>2567</v>
      </c>
      <c r="C416">
        <v>23</v>
      </c>
      <c r="F416" t="s">
        <v>1241</v>
      </c>
      <c r="G416" t="s">
        <v>1698</v>
      </c>
      <c r="I416">
        <v>2015</v>
      </c>
      <c r="N416" t="s">
        <v>36</v>
      </c>
      <c r="P416" t="s">
        <v>60</v>
      </c>
      <c r="Q416" t="s">
        <v>900</v>
      </c>
      <c r="R416" t="s">
        <v>946</v>
      </c>
      <c r="S416" t="s">
        <v>1148</v>
      </c>
      <c r="V416" t="s">
        <v>1015</v>
      </c>
      <c r="Z416">
        <v>15</v>
      </c>
      <c r="AA416">
        <v>15</v>
      </c>
      <c r="AC416">
        <v>311</v>
      </c>
      <c r="AD416">
        <v>18.8</v>
      </c>
      <c r="AE416">
        <v>884</v>
      </c>
      <c r="AF416">
        <v>20.5</v>
      </c>
      <c r="AG416" t="s">
        <v>3342</v>
      </c>
      <c r="AH416">
        <v>2.9464522650130731</v>
      </c>
      <c r="AI416">
        <v>18.8</v>
      </c>
      <c r="AJ416" t="s">
        <v>1099</v>
      </c>
      <c r="AK416" t="s">
        <v>40</v>
      </c>
      <c r="AM416"/>
      <c r="AN416">
        <v>0.48</v>
      </c>
      <c r="AO416">
        <v>0</v>
      </c>
      <c r="AP416">
        <v>0.47</v>
      </c>
      <c r="AQ416">
        <v>0</v>
      </c>
      <c r="AS416">
        <v>-2.1000000000000001E-2</v>
      </c>
      <c r="AT416">
        <v>1E-4</v>
      </c>
      <c r="AW416" s="28" t="e">
        <f t="shared" si="30"/>
        <v>#DIV/0!</v>
      </c>
      <c r="AX416">
        <f t="shared" si="31"/>
        <v>0.97297297297297303</v>
      </c>
      <c r="AY416" s="62" t="e">
        <f t="shared" si="32"/>
        <v>#DIV/0!</v>
      </c>
      <c r="AZ416" s="68" t="e">
        <f t="shared" si="33"/>
        <v>#DIV/0!</v>
      </c>
      <c r="BA416" s="68" t="e">
        <f t="shared" si="34"/>
        <v>#DIV/0!</v>
      </c>
    </row>
    <row r="417" spans="1:53" hidden="1">
      <c r="A417" t="s">
        <v>1815</v>
      </c>
      <c r="B417" t="s">
        <v>2568</v>
      </c>
      <c r="C417">
        <v>23</v>
      </c>
      <c r="F417" t="s">
        <v>1241</v>
      </c>
      <c r="G417" t="s">
        <v>1698</v>
      </c>
      <c r="I417">
        <v>2015</v>
      </c>
      <c r="N417" t="s">
        <v>36</v>
      </c>
      <c r="P417" t="s">
        <v>60</v>
      </c>
      <c r="Q417" t="s">
        <v>900</v>
      </c>
      <c r="R417" t="s">
        <v>946</v>
      </c>
      <c r="S417" t="s">
        <v>1148</v>
      </c>
      <c r="V417" t="s">
        <v>1015</v>
      </c>
      <c r="Z417">
        <v>15</v>
      </c>
      <c r="AA417">
        <v>15</v>
      </c>
      <c r="AC417">
        <v>311</v>
      </c>
      <c r="AD417">
        <v>18.8</v>
      </c>
      <c r="AE417">
        <v>916</v>
      </c>
      <c r="AF417">
        <v>22.5</v>
      </c>
      <c r="AG417" t="s">
        <v>3342</v>
      </c>
      <c r="AH417">
        <v>2.9618954736678504</v>
      </c>
      <c r="AI417">
        <v>18.8</v>
      </c>
      <c r="AJ417" t="s">
        <v>1099</v>
      </c>
      <c r="AK417" t="s">
        <v>40</v>
      </c>
      <c r="AM417"/>
      <c r="AN417">
        <v>0.48</v>
      </c>
      <c r="AO417">
        <v>0</v>
      </c>
      <c r="AP417">
        <v>0.48</v>
      </c>
      <c r="AQ417">
        <v>0</v>
      </c>
      <c r="AS417">
        <v>0</v>
      </c>
      <c r="AT417">
        <v>1E-4</v>
      </c>
      <c r="AW417" s="28" t="e">
        <f t="shared" si="30"/>
        <v>#DIV/0!</v>
      </c>
      <c r="AX417">
        <f t="shared" si="31"/>
        <v>0.97297297297297303</v>
      </c>
      <c r="AY417" s="62" t="e">
        <f t="shared" si="32"/>
        <v>#DIV/0!</v>
      </c>
      <c r="AZ417" s="68" t="e">
        <f t="shared" si="33"/>
        <v>#DIV/0!</v>
      </c>
      <c r="BA417" s="68" t="e">
        <f t="shared" si="34"/>
        <v>#DIV/0!</v>
      </c>
    </row>
    <row r="418" spans="1:53" hidden="1">
      <c r="A418" t="s">
        <v>1815</v>
      </c>
      <c r="B418" t="s">
        <v>2573</v>
      </c>
      <c r="C418">
        <v>23</v>
      </c>
      <c r="F418" t="s">
        <v>1241</v>
      </c>
      <c r="G418" t="s">
        <v>1698</v>
      </c>
      <c r="I418">
        <v>2011</v>
      </c>
      <c r="N418" t="s">
        <v>36</v>
      </c>
      <c r="P418" t="s">
        <v>60</v>
      </c>
      <c r="Q418" t="s">
        <v>900</v>
      </c>
      <c r="R418" t="s">
        <v>946</v>
      </c>
      <c r="S418" t="s">
        <v>1148</v>
      </c>
      <c r="V418" t="s">
        <v>1015</v>
      </c>
      <c r="Z418">
        <v>135</v>
      </c>
      <c r="AA418">
        <v>135</v>
      </c>
      <c r="AC418">
        <v>346</v>
      </c>
      <c r="AD418">
        <v>18.8</v>
      </c>
      <c r="AE418">
        <v>958</v>
      </c>
      <c r="AF418">
        <v>22.4</v>
      </c>
      <c r="AG418" t="s">
        <v>3343</v>
      </c>
      <c r="AH418">
        <v>2.9813655090785445</v>
      </c>
      <c r="AI418">
        <v>18.8</v>
      </c>
      <c r="AJ418" t="s">
        <v>1791</v>
      </c>
      <c r="AK418" t="s">
        <v>770</v>
      </c>
      <c r="AM418"/>
      <c r="AN418">
        <v>5.74</v>
      </c>
      <c r="AO418">
        <v>2.3237900077244502</v>
      </c>
      <c r="AP418">
        <v>11.88</v>
      </c>
      <c r="AQ418">
        <v>4.7637695158351221</v>
      </c>
      <c r="AS418">
        <v>0.72699999999999998</v>
      </c>
      <c r="AT418">
        <v>2.3999999999999998E-3</v>
      </c>
      <c r="AW418" s="28">
        <f t="shared" si="30"/>
        <v>1.6382510109211603</v>
      </c>
      <c r="AX418">
        <f t="shared" si="31"/>
        <v>0.99719887955182074</v>
      </c>
      <c r="AY418" s="62">
        <f t="shared" si="32"/>
        <v>1.6336620725152187</v>
      </c>
      <c r="AZ418" s="68" t="str">
        <f t="shared" si="33"/>
        <v>No</v>
      </c>
      <c r="BA418" s="68" t="str">
        <f t="shared" si="34"/>
        <v>No</v>
      </c>
    </row>
    <row r="419" spans="1:53" hidden="1">
      <c r="A419" t="s">
        <v>1815</v>
      </c>
      <c r="B419" t="s">
        <v>2574</v>
      </c>
      <c r="C419">
        <v>23</v>
      </c>
      <c r="F419" t="s">
        <v>1241</v>
      </c>
      <c r="G419" t="s">
        <v>1698</v>
      </c>
      <c r="I419">
        <v>2011</v>
      </c>
      <c r="N419" t="s">
        <v>36</v>
      </c>
      <c r="P419" t="s">
        <v>60</v>
      </c>
      <c r="Q419" t="s">
        <v>900</v>
      </c>
      <c r="R419" t="s">
        <v>946</v>
      </c>
      <c r="S419" t="s">
        <v>1148</v>
      </c>
      <c r="V419" t="s">
        <v>1015</v>
      </c>
      <c r="Z419">
        <v>135</v>
      </c>
      <c r="AA419">
        <v>135</v>
      </c>
      <c r="AC419">
        <v>346</v>
      </c>
      <c r="AD419">
        <v>18.8</v>
      </c>
      <c r="AE419">
        <v>1850</v>
      </c>
      <c r="AF419">
        <v>20.5</v>
      </c>
      <c r="AG419" t="s">
        <v>3343</v>
      </c>
      <c r="AH419">
        <v>3.2671717284030137</v>
      </c>
      <c r="AI419">
        <v>18.8</v>
      </c>
      <c r="AJ419" t="s">
        <v>1791</v>
      </c>
      <c r="AK419" t="s">
        <v>770</v>
      </c>
      <c r="AM419"/>
      <c r="AN419">
        <v>5.74</v>
      </c>
      <c r="AO419">
        <v>2.3237900077244502</v>
      </c>
      <c r="AP419">
        <v>17.02</v>
      </c>
      <c r="AQ419">
        <v>5.6932855189249025</v>
      </c>
      <c r="AS419">
        <v>1.087</v>
      </c>
      <c r="AT419">
        <v>2.0999999999999999E-3</v>
      </c>
      <c r="AW419" s="28">
        <f t="shared" si="30"/>
        <v>2.5941832974638039</v>
      </c>
      <c r="AX419">
        <f t="shared" si="31"/>
        <v>0.99719887955182074</v>
      </c>
      <c r="AY419" s="62">
        <f t="shared" si="32"/>
        <v>2.5869166775829529</v>
      </c>
      <c r="AZ419" s="68" t="str">
        <f t="shared" si="33"/>
        <v>No</v>
      </c>
      <c r="BA419" s="68" t="str">
        <f t="shared" si="34"/>
        <v>No</v>
      </c>
    </row>
    <row r="420" spans="1:53" hidden="1">
      <c r="A420" t="s">
        <v>1815</v>
      </c>
      <c r="B420" t="s">
        <v>2575</v>
      </c>
      <c r="C420">
        <v>23</v>
      </c>
      <c r="F420" t="s">
        <v>1241</v>
      </c>
      <c r="G420" t="s">
        <v>1698</v>
      </c>
      <c r="I420">
        <v>2011</v>
      </c>
      <c r="N420" t="s">
        <v>36</v>
      </c>
      <c r="P420" t="s">
        <v>60</v>
      </c>
      <c r="Q420" t="s">
        <v>900</v>
      </c>
      <c r="R420" t="s">
        <v>946</v>
      </c>
      <c r="S420" t="s">
        <v>1148</v>
      </c>
      <c r="V420" t="s">
        <v>1015</v>
      </c>
      <c r="Z420">
        <v>135</v>
      </c>
      <c r="AA420">
        <v>135</v>
      </c>
      <c r="AC420">
        <v>346</v>
      </c>
      <c r="AD420">
        <v>18.8</v>
      </c>
      <c r="AE420">
        <v>896</v>
      </c>
      <c r="AF420">
        <v>20.5</v>
      </c>
      <c r="AG420" t="s">
        <v>3343</v>
      </c>
      <c r="AH420">
        <v>2.9523080096621253</v>
      </c>
      <c r="AI420">
        <v>18.8</v>
      </c>
      <c r="AJ420" t="s">
        <v>1791</v>
      </c>
      <c r="AK420" t="s">
        <v>770</v>
      </c>
      <c r="AM420"/>
      <c r="AN420">
        <v>5.74</v>
      </c>
      <c r="AO420">
        <v>2.3237900077244502</v>
      </c>
      <c r="AP420">
        <v>20.190000000000001</v>
      </c>
      <c r="AQ420">
        <v>4.9961485166075672</v>
      </c>
      <c r="AS420">
        <v>1.258</v>
      </c>
      <c r="AT420">
        <v>1.6999999999999999E-3</v>
      </c>
      <c r="AW420" s="28">
        <f t="shared" si="30"/>
        <v>3.7086959750498147</v>
      </c>
      <c r="AX420">
        <f t="shared" si="31"/>
        <v>0.99719887955182074</v>
      </c>
      <c r="AY420" s="62">
        <f t="shared" si="32"/>
        <v>3.6983074709180226</v>
      </c>
      <c r="AZ420" s="68" t="str">
        <f t="shared" si="33"/>
        <v>No</v>
      </c>
      <c r="BA420" s="68" t="str">
        <f t="shared" si="34"/>
        <v>No</v>
      </c>
    </row>
    <row r="421" spans="1:53" hidden="1">
      <c r="A421" t="s">
        <v>1815</v>
      </c>
      <c r="B421" t="s">
        <v>3125</v>
      </c>
      <c r="C421">
        <v>89</v>
      </c>
      <c r="F421" t="s">
        <v>1241</v>
      </c>
      <c r="G421" t="s">
        <v>1734</v>
      </c>
      <c r="I421">
        <v>2018</v>
      </c>
      <c r="N421" t="s">
        <v>36</v>
      </c>
      <c r="P421" t="s">
        <v>60</v>
      </c>
      <c r="Q421" t="s">
        <v>900</v>
      </c>
      <c r="R421" t="s">
        <v>946</v>
      </c>
      <c r="S421" t="s">
        <v>1754</v>
      </c>
      <c r="V421" t="s">
        <v>905</v>
      </c>
      <c r="Z421">
        <v>3</v>
      </c>
      <c r="AA421">
        <v>3</v>
      </c>
      <c r="AC421">
        <v>541</v>
      </c>
      <c r="AD421" s="37">
        <v>23</v>
      </c>
      <c r="AE421">
        <v>2919</v>
      </c>
      <c r="AF421" s="37">
        <v>23</v>
      </c>
      <c r="AG421" t="s">
        <v>3401</v>
      </c>
      <c r="AH421">
        <v>3.4652340949880145</v>
      </c>
      <c r="AI421" s="37">
        <v>23</v>
      </c>
      <c r="AJ421" t="s">
        <v>1813</v>
      </c>
      <c r="AK421" t="s">
        <v>59</v>
      </c>
      <c r="AM421"/>
      <c r="AN421">
        <v>97.65</v>
      </c>
      <c r="AO421">
        <v>3.7585502524244632</v>
      </c>
      <c r="AP421">
        <v>88.26</v>
      </c>
      <c r="AQ421">
        <v>2.8232428163372698</v>
      </c>
      <c r="AS421">
        <v>-0.10100000000000001</v>
      </c>
      <c r="AT421">
        <v>8.0000000000000004E-4</v>
      </c>
      <c r="AW421" s="28">
        <f t="shared" si="30"/>
        <v>-2.8249450306389301</v>
      </c>
      <c r="AX421">
        <f t="shared" si="31"/>
        <v>0.8</v>
      </c>
      <c r="AY421" s="62">
        <f t="shared" si="32"/>
        <v>-2.2599560245111441</v>
      </c>
      <c r="AZ421" s="68" t="str">
        <f t="shared" si="33"/>
        <v>No</v>
      </c>
      <c r="BA421" s="68" t="str">
        <f t="shared" si="34"/>
        <v>No</v>
      </c>
    </row>
    <row r="422" spans="1:53" hidden="1">
      <c r="A422" t="s">
        <v>1815</v>
      </c>
      <c r="B422" t="s">
        <v>3127</v>
      </c>
      <c r="C422">
        <v>89</v>
      </c>
      <c r="F422" t="s">
        <v>1241</v>
      </c>
      <c r="G422" t="s">
        <v>1734</v>
      </c>
      <c r="I422">
        <v>2018</v>
      </c>
      <c r="N422" t="s">
        <v>36</v>
      </c>
      <c r="P422" t="s">
        <v>60</v>
      </c>
      <c r="Q422" t="s">
        <v>900</v>
      </c>
      <c r="R422" t="s">
        <v>946</v>
      </c>
      <c r="S422" t="s">
        <v>1754</v>
      </c>
      <c r="V422" t="s">
        <v>905</v>
      </c>
      <c r="Z422">
        <v>3</v>
      </c>
      <c r="AA422">
        <v>3</v>
      </c>
      <c r="AC422">
        <v>541</v>
      </c>
      <c r="AD422" s="37">
        <v>23</v>
      </c>
      <c r="AE422">
        <v>1484</v>
      </c>
      <c r="AF422" s="37">
        <v>22.9</v>
      </c>
      <c r="AG422" t="s">
        <v>3401</v>
      </c>
      <c r="AH422">
        <v>3.1714339009430081</v>
      </c>
      <c r="AI422" s="37">
        <v>23</v>
      </c>
      <c r="AJ422" t="s">
        <v>1813</v>
      </c>
      <c r="AK422" t="s">
        <v>59</v>
      </c>
      <c r="AM422"/>
      <c r="AN422">
        <v>97.65</v>
      </c>
      <c r="AO422">
        <v>3.7585502524244632</v>
      </c>
      <c r="AP422">
        <v>91.08</v>
      </c>
      <c r="AQ422">
        <v>2.8232428163372698</v>
      </c>
      <c r="AS422">
        <v>-7.0000000000000007E-2</v>
      </c>
      <c r="AT422">
        <v>8.0000000000000004E-4</v>
      </c>
      <c r="AW422" s="28">
        <f t="shared" si="30"/>
        <v>-1.9765589830988062</v>
      </c>
      <c r="AX422">
        <f t="shared" si="31"/>
        <v>0.8</v>
      </c>
      <c r="AY422" s="62">
        <f t="shared" si="32"/>
        <v>-1.5812471864790449</v>
      </c>
      <c r="AZ422" s="68" t="str">
        <f t="shared" si="33"/>
        <v>No</v>
      </c>
      <c r="BA422" s="68" t="str">
        <f t="shared" si="34"/>
        <v>No</v>
      </c>
    </row>
    <row r="423" spans="1:53" hidden="1">
      <c r="A423" t="s">
        <v>1815</v>
      </c>
      <c r="B423" t="s">
        <v>3129</v>
      </c>
      <c r="C423">
        <v>89</v>
      </c>
      <c r="F423" t="s">
        <v>1241</v>
      </c>
      <c r="G423" t="s">
        <v>1734</v>
      </c>
      <c r="I423">
        <v>2018</v>
      </c>
      <c r="N423" t="s">
        <v>36</v>
      </c>
      <c r="P423" t="s">
        <v>60</v>
      </c>
      <c r="Q423" t="s">
        <v>900</v>
      </c>
      <c r="R423" t="s">
        <v>946</v>
      </c>
      <c r="S423" t="s">
        <v>1148</v>
      </c>
      <c r="V423" t="s">
        <v>905</v>
      </c>
      <c r="Z423">
        <v>3</v>
      </c>
      <c r="AA423">
        <v>3</v>
      </c>
      <c r="AC423">
        <v>899</v>
      </c>
      <c r="AD423" s="37">
        <v>19.2</v>
      </c>
      <c r="AE423">
        <v>2583</v>
      </c>
      <c r="AF423" s="37">
        <v>19.3</v>
      </c>
      <c r="AG423" t="s">
        <v>3402</v>
      </c>
      <c r="AH423">
        <v>3.4121244061733171</v>
      </c>
      <c r="AI423" s="37">
        <v>19.2</v>
      </c>
      <c r="AJ423" t="s">
        <v>1813</v>
      </c>
      <c r="AK423" t="s">
        <v>59</v>
      </c>
      <c r="AM423"/>
      <c r="AN423">
        <v>100</v>
      </c>
      <c r="AO423">
        <v>1.905255888325765E-3</v>
      </c>
      <c r="AP423">
        <v>95.45</v>
      </c>
      <c r="AQ423">
        <v>0</v>
      </c>
      <c r="AS423">
        <v>-4.7E-2</v>
      </c>
      <c r="AT423">
        <v>1E-4</v>
      </c>
      <c r="AW423" s="28">
        <f t="shared" si="30"/>
        <v>-3377.3267665646831</v>
      </c>
      <c r="AX423">
        <f t="shared" si="31"/>
        <v>0.8</v>
      </c>
      <c r="AY423" s="62">
        <f t="shared" si="32"/>
        <v>-2701.8614132517469</v>
      </c>
      <c r="AZ423" s="68" t="str">
        <f t="shared" si="33"/>
        <v>No</v>
      </c>
      <c r="BA423" s="68" t="str">
        <f t="shared" si="34"/>
        <v>Yes</v>
      </c>
    </row>
    <row r="424" spans="1:53" hidden="1">
      <c r="A424" t="s">
        <v>1815</v>
      </c>
      <c r="B424" t="s">
        <v>3140</v>
      </c>
      <c r="C424">
        <v>89</v>
      </c>
      <c r="F424" t="s">
        <v>1241</v>
      </c>
      <c r="G424" t="s">
        <v>1734</v>
      </c>
      <c r="I424">
        <v>2017</v>
      </c>
      <c r="N424" t="s">
        <v>36</v>
      </c>
      <c r="P424" t="s">
        <v>60</v>
      </c>
      <c r="Q424" t="s">
        <v>900</v>
      </c>
      <c r="R424" t="s">
        <v>946</v>
      </c>
      <c r="S424" t="s">
        <v>1148</v>
      </c>
      <c r="V424" t="s">
        <v>905</v>
      </c>
      <c r="Z424">
        <v>3</v>
      </c>
      <c r="AA424">
        <v>3</v>
      </c>
      <c r="AC424">
        <v>899</v>
      </c>
      <c r="AD424" s="37">
        <v>19.2</v>
      </c>
      <c r="AE424">
        <v>1591</v>
      </c>
      <c r="AF424" s="37">
        <v>19.3</v>
      </c>
      <c r="AG424" t="s">
        <v>3402</v>
      </c>
      <c r="AH424">
        <v>3.2016701796465816</v>
      </c>
      <c r="AI424" s="37">
        <v>19.2</v>
      </c>
      <c r="AJ424" t="s">
        <v>1813</v>
      </c>
      <c r="AK424" t="s">
        <v>59</v>
      </c>
      <c r="AM424"/>
      <c r="AN424">
        <v>100</v>
      </c>
      <c r="AO424">
        <v>1.905255888325765E-3</v>
      </c>
      <c r="AP424">
        <v>98.48</v>
      </c>
      <c r="AQ424">
        <v>0</v>
      </c>
      <c r="AS424">
        <v>-1.4999999999999999E-2</v>
      </c>
      <c r="AT424">
        <v>1E-4</v>
      </c>
      <c r="AW424" s="28">
        <f t="shared" si="30"/>
        <v>-1128.2498209183095</v>
      </c>
      <c r="AX424">
        <f t="shared" si="31"/>
        <v>0.8</v>
      </c>
      <c r="AY424" s="62">
        <f t="shared" si="32"/>
        <v>-902.59985673464769</v>
      </c>
      <c r="AZ424" s="68" t="str">
        <f t="shared" si="33"/>
        <v>No</v>
      </c>
      <c r="BA424" s="68" t="str">
        <f t="shared" si="34"/>
        <v>Yes</v>
      </c>
    </row>
    <row r="425" spans="1:53" hidden="1">
      <c r="A425" t="s">
        <v>1815</v>
      </c>
      <c r="B425" t="s">
        <v>3141</v>
      </c>
      <c r="C425">
        <v>89</v>
      </c>
      <c r="F425" t="s">
        <v>1241</v>
      </c>
      <c r="G425" t="s">
        <v>1734</v>
      </c>
      <c r="I425">
        <v>2017</v>
      </c>
      <c r="N425" t="s">
        <v>36</v>
      </c>
      <c r="P425" t="s">
        <v>60</v>
      </c>
      <c r="Q425" t="s">
        <v>900</v>
      </c>
      <c r="R425" t="s">
        <v>946</v>
      </c>
      <c r="S425" t="s">
        <v>1781</v>
      </c>
      <c r="V425" t="s">
        <v>905</v>
      </c>
      <c r="Z425">
        <v>3</v>
      </c>
      <c r="AA425">
        <v>3</v>
      </c>
      <c r="AC425">
        <v>489</v>
      </c>
      <c r="AD425" s="37">
        <v>19.3</v>
      </c>
      <c r="AE425">
        <v>1343</v>
      </c>
      <c r="AF425" s="37">
        <v>19.3</v>
      </c>
      <c r="AG425" t="s">
        <v>3400</v>
      </c>
      <c r="AH425">
        <v>3.1280760126687155</v>
      </c>
      <c r="AI425" s="37">
        <v>19.3</v>
      </c>
      <c r="AJ425" t="s">
        <v>1813</v>
      </c>
      <c r="AK425" t="s">
        <v>59</v>
      </c>
      <c r="AM425"/>
      <c r="AN425">
        <v>98.48</v>
      </c>
      <c r="AO425">
        <v>7.1014083110323956</v>
      </c>
      <c r="AP425">
        <v>97.46</v>
      </c>
      <c r="AQ425">
        <v>6.0968188426424481</v>
      </c>
      <c r="AS425">
        <v>-0.01</v>
      </c>
      <c r="AT425">
        <v>3.0000000000000001E-3</v>
      </c>
      <c r="AW425" s="28">
        <f t="shared" si="30"/>
        <v>-0.15412040511435593</v>
      </c>
      <c r="AX425">
        <f t="shared" si="31"/>
        <v>0.8</v>
      </c>
      <c r="AY425" s="62">
        <f t="shared" si="32"/>
        <v>-0.12329632409148475</v>
      </c>
      <c r="AZ425" s="68" t="str">
        <f t="shared" si="33"/>
        <v>No</v>
      </c>
      <c r="BA425" s="68" t="str">
        <f t="shared" si="34"/>
        <v>No</v>
      </c>
    </row>
    <row r="426" spans="1:53" hidden="1">
      <c r="A426" t="s">
        <v>1815</v>
      </c>
      <c r="B426" t="s">
        <v>3142</v>
      </c>
      <c r="C426">
        <v>89</v>
      </c>
      <c r="F426" t="s">
        <v>1241</v>
      </c>
      <c r="G426" t="s">
        <v>1734</v>
      </c>
      <c r="I426">
        <v>2017</v>
      </c>
      <c r="N426" t="s">
        <v>36</v>
      </c>
      <c r="P426" t="s">
        <v>60</v>
      </c>
      <c r="Q426" t="s">
        <v>900</v>
      </c>
      <c r="R426" t="s">
        <v>946</v>
      </c>
      <c r="S426" t="s">
        <v>1781</v>
      </c>
      <c r="V426" t="s">
        <v>905</v>
      </c>
      <c r="Z426">
        <v>3</v>
      </c>
      <c r="AA426">
        <v>3</v>
      </c>
      <c r="AC426">
        <v>489</v>
      </c>
      <c r="AD426" s="37">
        <v>19.3</v>
      </c>
      <c r="AE426">
        <v>2755</v>
      </c>
      <c r="AF426" s="37">
        <v>19.3</v>
      </c>
      <c r="AG426" t="s">
        <v>3400</v>
      </c>
      <c r="AH426">
        <v>3.4401216031878037</v>
      </c>
      <c r="AI426" s="37">
        <v>19.3</v>
      </c>
      <c r="AJ426" t="s">
        <v>1813</v>
      </c>
      <c r="AK426" t="s">
        <v>770</v>
      </c>
      <c r="AM426"/>
      <c r="AN426">
        <v>98.48</v>
      </c>
      <c r="AO426">
        <v>7.1014083110323956</v>
      </c>
      <c r="AP426">
        <v>97.46</v>
      </c>
      <c r="AQ426">
        <v>8.1233182874980354</v>
      </c>
      <c r="AS426">
        <v>-0.01</v>
      </c>
      <c r="AT426">
        <v>4.1000000000000003E-3</v>
      </c>
      <c r="AW426" s="28">
        <f t="shared" si="30"/>
        <v>-0.13369172993917566</v>
      </c>
      <c r="AX426">
        <f t="shared" si="31"/>
        <v>0.8</v>
      </c>
      <c r="AY426" s="62">
        <f t="shared" si="32"/>
        <v>-0.10695338395134053</v>
      </c>
      <c r="AZ426" s="68" t="str">
        <f t="shared" si="33"/>
        <v>No</v>
      </c>
      <c r="BA426" s="68" t="str">
        <f t="shared" si="34"/>
        <v>No</v>
      </c>
    </row>
    <row r="427" spans="1:53" hidden="1">
      <c r="A427" t="s">
        <v>1815</v>
      </c>
      <c r="B427" t="s">
        <v>3128</v>
      </c>
      <c r="C427">
        <v>89</v>
      </c>
      <c r="F427" t="s">
        <v>1241</v>
      </c>
      <c r="G427" t="s">
        <v>1734</v>
      </c>
      <c r="I427">
        <v>2018</v>
      </c>
      <c r="N427" t="s">
        <v>36</v>
      </c>
      <c r="P427" t="s">
        <v>60</v>
      </c>
      <c r="Q427" t="s">
        <v>900</v>
      </c>
      <c r="R427" t="s">
        <v>946</v>
      </c>
      <c r="S427" t="s">
        <v>1754</v>
      </c>
      <c r="V427" t="s">
        <v>907</v>
      </c>
      <c r="Z427">
        <v>3</v>
      </c>
      <c r="AA427">
        <v>3</v>
      </c>
      <c r="AC427">
        <v>541</v>
      </c>
      <c r="AD427" s="37">
        <v>23</v>
      </c>
      <c r="AE427">
        <v>561</v>
      </c>
      <c r="AF427" s="37">
        <v>25.1</v>
      </c>
      <c r="AG427" t="s">
        <v>3401</v>
      </c>
      <c r="AH427">
        <v>2.7489628612561616</v>
      </c>
      <c r="AI427" s="37">
        <v>23</v>
      </c>
      <c r="AJ427" t="s">
        <v>1813</v>
      </c>
      <c r="AK427" t="s">
        <v>59</v>
      </c>
      <c r="AM427"/>
      <c r="AN427">
        <v>97.65</v>
      </c>
      <c r="AO427">
        <v>3.7585502524244632</v>
      </c>
      <c r="AP427">
        <v>92.02</v>
      </c>
      <c r="AQ427">
        <v>3.2908965343808667</v>
      </c>
      <c r="AS427">
        <v>-5.8999999999999997E-2</v>
      </c>
      <c r="AT427">
        <v>8.9999999999999998E-4</v>
      </c>
      <c r="AW427" s="28">
        <f t="shared" si="30"/>
        <v>-1.5937852874435658</v>
      </c>
      <c r="AX427">
        <f t="shared" si="31"/>
        <v>0.8</v>
      </c>
      <c r="AY427" s="62">
        <f t="shared" si="32"/>
        <v>-1.2750282299548528</v>
      </c>
      <c r="AZ427" s="68" t="str">
        <f t="shared" si="33"/>
        <v>No</v>
      </c>
      <c r="BA427" s="68" t="str">
        <f t="shared" si="34"/>
        <v>No</v>
      </c>
    </row>
    <row r="428" spans="1:53" hidden="1">
      <c r="A428" t="s">
        <v>1815</v>
      </c>
      <c r="B428" t="s">
        <v>3134</v>
      </c>
      <c r="C428">
        <v>89</v>
      </c>
      <c r="F428" t="s">
        <v>1241</v>
      </c>
      <c r="G428" t="s">
        <v>1734</v>
      </c>
      <c r="I428">
        <v>2018</v>
      </c>
      <c r="N428" t="s">
        <v>36</v>
      </c>
      <c r="P428" t="s">
        <v>60</v>
      </c>
      <c r="Q428" t="s">
        <v>900</v>
      </c>
      <c r="R428" t="s">
        <v>946</v>
      </c>
      <c r="S428" t="s">
        <v>1148</v>
      </c>
      <c r="V428" t="s">
        <v>907</v>
      </c>
      <c r="Z428">
        <v>3</v>
      </c>
      <c r="AA428">
        <v>3</v>
      </c>
      <c r="AC428">
        <v>899</v>
      </c>
      <c r="AD428" s="37">
        <v>19.2</v>
      </c>
      <c r="AE428">
        <v>1034</v>
      </c>
      <c r="AF428" s="37">
        <v>23</v>
      </c>
      <c r="AG428" t="s">
        <v>3402</v>
      </c>
      <c r="AH428">
        <v>3.0145205387579237</v>
      </c>
      <c r="AI428" s="37">
        <v>19.2</v>
      </c>
      <c r="AJ428" t="s">
        <v>1813</v>
      </c>
      <c r="AK428" t="s">
        <v>770</v>
      </c>
      <c r="AM428"/>
      <c r="AN428">
        <v>100</v>
      </c>
      <c r="AO428">
        <v>0</v>
      </c>
      <c r="AP428">
        <v>96.46</v>
      </c>
      <c r="AQ428">
        <v>2.026499444855586</v>
      </c>
      <c r="AS428">
        <v>-3.5999999999999997E-2</v>
      </c>
      <c r="AT428">
        <v>1E-4</v>
      </c>
      <c r="AW428" s="28">
        <f t="shared" si="30"/>
        <v>-2.4704255525505605</v>
      </c>
      <c r="AX428">
        <f t="shared" si="31"/>
        <v>0.8</v>
      </c>
      <c r="AY428" s="62">
        <f t="shared" si="32"/>
        <v>-1.9763404420404485</v>
      </c>
      <c r="AZ428" s="68" t="str">
        <f t="shared" si="33"/>
        <v>No</v>
      </c>
      <c r="BA428" s="68" t="str">
        <f t="shared" si="34"/>
        <v>No</v>
      </c>
    </row>
    <row r="429" spans="1:53" hidden="1">
      <c r="A429" t="s">
        <v>1815</v>
      </c>
      <c r="B429" t="s">
        <v>3135</v>
      </c>
      <c r="C429">
        <v>89</v>
      </c>
      <c r="F429" t="s">
        <v>1241</v>
      </c>
      <c r="G429" t="s">
        <v>1734</v>
      </c>
      <c r="I429">
        <v>2018</v>
      </c>
      <c r="N429" t="s">
        <v>36</v>
      </c>
      <c r="P429" t="s">
        <v>60</v>
      </c>
      <c r="Q429" t="s">
        <v>900</v>
      </c>
      <c r="R429" t="s">
        <v>946</v>
      </c>
      <c r="S429" t="s">
        <v>1148</v>
      </c>
      <c r="V429" t="s">
        <v>907</v>
      </c>
      <c r="Z429">
        <v>3</v>
      </c>
      <c r="AA429">
        <v>3</v>
      </c>
      <c r="AC429">
        <v>899</v>
      </c>
      <c r="AD429" s="37">
        <v>19.2</v>
      </c>
      <c r="AE429">
        <v>910</v>
      </c>
      <c r="AF429" s="37">
        <v>25.2</v>
      </c>
      <c r="AG429" t="s">
        <v>3402</v>
      </c>
      <c r="AH429">
        <v>2.9590413923210934</v>
      </c>
      <c r="AI429" s="37">
        <v>19.2</v>
      </c>
      <c r="AJ429" t="s">
        <v>1813</v>
      </c>
      <c r="AK429" t="s">
        <v>59</v>
      </c>
      <c r="AM429"/>
      <c r="AN429">
        <v>100</v>
      </c>
      <c r="AO429">
        <v>0</v>
      </c>
      <c r="AP429">
        <v>96.46</v>
      </c>
      <c r="AQ429">
        <v>2.5287941790505606</v>
      </c>
      <c r="AS429">
        <v>-3.5999999999999997E-2</v>
      </c>
      <c r="AT429">
        <v>2.0000000000000001E-4</v>
      </c>
      <c r="AW429" s="28">
        <f t="shared" si="30"/>
        <v>-1.9797245866329833</v>
      </c>
      <c r="AX429">
        <f t="shared" si="31"/>
        <v>0.8</v>
      </c>
      <c r="AY429" s="62">
        <f t="shared" si="32"/>
        <v>-1.5837796693063868</v>
      </c>
      <c r="AZ429" s="68" t="str">
        <f t="shared" si="33"/>
        <v>No</v>
      </c>
      <c r="BA429" s="68" t="str">
        <f t="shared" si="34"/>
        <v>No</v>
      </c>
    </row>
    <row r="430" spans="1:53" hidden="1">
      <c r="A430" t="s">
        <v>1815</v>
      </c>
      <c r="B430" t="s">
        <v>3138</v>
      </c>
      <c r="C430">
        <v>89</v>
      </c>
      <c r="F430" t="s">
        <v>1241</v>
      </c>
      <c r="G430" t="s">
        <v>1734</v>
      </c>
      <c r="I430">
        <v>2018</v>
      </c>
      <c r="N430" t="s">
        <v>36</v>
      </c>
      <c r="P430" t="s">
        <v>60</v>
      </c>
      <c r="Q430" t="s">
        <v>900</v>
      </c>
      <c r="R430" t="s">
        <v>946</v>
      </c>
      <c r="S430" t="s">
        <v>1148</v>
      </c>
      <c r="V430" t="s">
        <v>907</v>
      </c>
      <c r="Z430">
        <v>3</v>
      </c>
      <c r="AA430">
        <v>3</v>
      </c>
      <c r="AC430">
        <v>899</v>
      </c>
      <c r="AD430" s="37">
        <v>19.2</v>
      </c>
      <c r="AE430">
        <v>963</v>
      </c>
      <c r="AF430" s="37">
        <v>21.2</v>
      </c>
      <c r="AG430" t="s">
        <v>3402</v>
      </c>
      <c r="AH430">
        <v>2.9836262871245345</v>
      </c>
      <c r="AI430" s="37">
        <v>19.2</v>
      </c>
      <c r="AJ430" t="s">
        <v>1813</v>
      </c>
      <c r="AK430" t="s">
        <v>770</v>
      </c>
      <c r="AM430"/>
      <c r="AN430">
        <v>100</v>
      </c>
      <c r="AO430">
        <v>0</v>
      </c>
      <c r="AP430">
        <v>97.47</v>
      </c>
      <c r="AQ430">
        <v>1.0045894683899488</v>
      </c>
      <c r="AS430">
        <v>-2.5999999999999999E-2</v>
      </c>
      <c r="AT430">
        <v>1E-4</v>
      </c>
      <c r="AW430" s="28">
        <f t="shared" si="30"/>
        <v>-3.5616143961157722</v>
      </c>
      <c r="AX430">
        <f t="shared" si="31"/>
        <v>0.8</v>
      </c>
      <c r="AY430" s="62">
        <f t="shared" si="32"/>
        <v>-2.8492915168926181</v>
      </c>
      <c r="AZ430" s="68" t="str">
        <f t="shared" si="33"/>
        <v>No</v>
      </c>
      <c r="BA430" s="68" t="str">
        <f t="shared" si="34"/>
        <v>No</v>
      </c>
    </row>
    <row r="431" spans="1:53" hidden="1">
      <c r="A431" t="s">
        <v>1815</v>
      </c>
      <c r="B431" t="s">
        <v>3143</v>
      </c>
      <c r="C431">
        <v>89</v>
      </c>
      <c r="F431" t="s">
        <v>1241</v>
      </c>
      <c r="G431" t="s">
        <v>1734</v>
      </c>
      <c r="I431">
        <v>2017</v>
      </c>
      <c r="N431" t="s">
        <v>36</v>
      </c>
      <c r="P431" t="s">
        <v>60</v>
      </c>
      <c r="Q431" t="s">
        <v>900</v>
      </c>
      <c r="R431" t="s">
        <v>946</v>
      </c>
      <c r="S431" t="s">
        <v>1781</v>
      </c>
      <c r="V431" t="s">
        <v>907</v>
      </c>
      <c r="Z431">
        <v>3</v>
      </c>
      <c r="AA431">
        <v>3</v>
      </c>
      <c r="AC431">
        <v>489</v>
      </c>
      <c r="AD431" s="37">
        <v>19.3</v>
      </c>
      <c r="AE431">
        <v>467</v>
      </c>
      <c r="AF431" s="37">
        <v>21.1</v>
      </c>
      <c r="AG431" t="s">
        <v>3400</v>
      </c>
      <c r="AH431">
        <v>2.6693168805661123</v>
      </c>
      <c r="AI431" s="37">
        <v>19.3</v>
      </c>
      <c r="AJ431" t="s">
        <v>1813</v>
      </c>
      <c r="AK431" t="s">
        <v>59</v>
      </c>
      <c r="AM431"/>
      <c r="AN431">
        <v>98.48</v>
      </c>
      <c r="AO431">
        <v>7.1014083110323956</v>
      </c>
      <c r="AP431">
        <v>97.46</v>
      </c>
      <c r="AQ431">
        <v>7.6210235533030604</v>
      </c>
      <c r="AS431">
        <v>-0.01</v>
      </c>
      <c r="AT431">
        <v>3.8E-3</v>
      </c>
      <c r="AW431" s="28">
        <f t="shared" si="30"/>
        <v>-0.13847784227328183</v>
      </c>
      <c r="AX431">
        <f t="shared" si="31"/>
        <v>0.8</v>
      </c>
      <c r="AY431" s="62">
        <f t="shared" si="32"/>
        <v>-0.11078227381862547</v>
      </c>
      <c r="AZ431" s="68" t="str">
        <f t="shared" si="33"/>
        <v>No</v>
      </c>
      <c r="BA431" s="68" t="str">
        <f t="shared" si="34"/>
        <v>No</v>
      </c>
    </row>
    <row r="432" spans="1:53" hidden="1">
      <c r="A432" t="s">
        <v>1815</v>
      </c>
      <c r="B432" t="s">
        <v>3144</v>
      </c>
      <c r="C432">
        <v>89</v>
      </c>
      <c r="F432" t="s">
        <v>1241</v>
      </c>
      <c r="G432" t="s">
        <v>1734</v>
      </c>
      <c r="I432">
        <v>2017</v>
      </c>
      <c r="N432" t="s">
        <v>36</v>
      </c>
      <c r="P432" t="s">
        <v>60</v>
      </c>
      <c r="Q432" t="s">
        <v>900</v>
      </c>
      <c r="R432" t="s">
        <v>946</v>
      </c>
      <c r="S432" t="s">
        <v>1782</v>
      </c>
      <c r="V432" t="s">
        <v>907</v>
      </c>
      <c r="Z432">
        <v>3</v>
      </c>
      <c r="AA432">
        <v>3</v>
      </c>
      <c r="AC432">
        <v>574</v>
      </c>
      <c r="AD432" s="37">
        <v>23</v>
      </c>
      <c r="AE432">
        <v>580</v>
      </c>
      <c r="AF432" s="37">
        <v>25.1</v>
      </c>
      <c r="AG432" t="s">
        <v>3403</v>
      </c>
      <c r="AH432">
        <v>2.7634279935629373</v>
      </c>
      <c r="AI432" s="37">
        <v>23</v>
      </c>
      <c r="AJ432" t="s">
        <v>1813</v>
      </c>
      <c r="AK432" t="s">
        <v>59</v>
      </c>
      <c r="AM432"/>
      <c r="AN432">
        <v>15.97</v>
      </c>
      <c r="AO432">
        <v>1.2470765814495914</v>
      </c>
      <c r="AP432">
        <v>19.309999999999999</v>
      </c>
      <c r="AQ432">
        <v>1.2470765814495914</v>
      </c>
      <c r="AS432">
        <v>0.19</v>
      </c>
      <c r="AT432">
        <v>3.3999999999999998E-3</v>
      </c>
      <c r="AW432" s="28">
        <f t="shared" si="30"/>
        <v>2.678263748740763</v>
      </c>
      <c r="AX432">
        <f t="shared" si="31"/>
        <v>0.8</v>
      </c>
      <c r="AY432" s="62">
        <f t="shared" si="32"/>
        <v>2.1426109989926103</v>
      </c>
      <c r="AZ432" s="68" t="str">
        <f t="shared" si="33"/>
        <v>No</v>
      </c>
      <c r="BA432" s="68" t="str">
        <f t="shared" si="34"/>
        <v>No</v>
      </c>
    </row>
    <row r="433" spans="1:53" hidden="1">
      <c r="A433" t="s">
        <v>1815</v>
      </c>
      <c r="B433" t="s">
        <v>3121</v>
      </c>
      <c r="C433">
        <v>89</v>
      </c>
      <c r="F433" t="s">
        <v>1241</v>
      </c>
      <c r="G433" t="s">
        <v>1734</v>
      </c>
      <c r="I433">
        <v>2018</v>
      </c>
      <c r="N433" t="s">
        <v>36</v>
      </c>
      <c r="P433" t="s">
        <v>60</v>
      </c>
      <c r="Q433" t="s">
        <v>900</v>
      </c>
      <c r="R433" t="s">
        <v>946</v>
      </c>
      <c r="S433" t="s">
        <v>1781</v>
      </c>
      <c r="V433" t="s">
        <v>1015</v>
      </c>
      <c r="Z433">
        <v>3</v>
      </c>
      <c r="AA433">
        <v>3</v>
      </c>
      <c r="AC433">
        <v>489</v>
      </c>
      <c r="AD433" s="37">
        <v>19.3</v>
      </c>
      <c r="AE433">
        <v>2539</v>
      </c>
      <c r="AF433" s="37">
        <v>23</v>
      </c>
      <c r="AG433" t="s">
        <v>3400</v>
      </c>
      <c r="AH433">
        <v>3.4046627008737222</v>
      </c>
      <c r="AI433" s="37">
        <v>19.3</v>
      </c>
      <c r="AJ433" t="s">
        <v>1813</v>
      </c>
      <c r="AK433" t="s">
        <v>59</v>
      </c>
      <c r="AM433"/>
      <c r="AN433">
        <v>98.48</v>
      </c>
      <c r="AO433">
        <v>7.1014083110323956</v>
      </c>
      <c r="AP433">
        <v>70.56</v>
      </c>
      <c r="AQ433">
        <v>6.5991135768374223</v>
      </c>
      <c r="AS433">
        <v>-0.33300000000000002</v>
      </c>
      <c r="AT433">
        <v>4.7000000000000002E-3</v>
      </c>
      <c r="AW433" s="28">
        <f t="shared" si="30"/>
        <v>-4.0730207203400308</v>
      </c>
      <c r="AX433">
        <f t="shared" si="31"/>
        <v>0.8</v>
      </c>
      <c r="AY433" s="62">
        <f t="shared" si="32"/>
        <v>-3.2584165762720247</v>
      </c>
      <c r="AZ433" s="68" t="str">
        <f t="shared" si="33"/>
        <v>No</v>
      </c>
      <c r="BA433" s="68" t="str">
        <f t="shared" si="34"/>
        <v>No</v>
      </c>
    </row>
    <row r="434" spans="1:53" hidden="1">
      <c r="A434" t="s">
        <v>1815</v>
      </c>
      <c r="B434" t="s">
        <v>3122</v>
      </c>
      <c r="C434">
        <v>89</v>
      </c>
      <c r="F434" t="s">
        <v>1241</v>
      </c>
      <c r="G434" t="s">
        <v>1734</v>
      </c>
      <c r="I434">
        <v>2018</v>
      </c>
      <c r="N434" t="s">
        <v>36</v>
      </c>
      <c r="P434" t="s">
        <v>60</v>
      </c>
      <c r="Q434" t="s">
        <v>900</v>
      </c>
      <c r="R434" t="s">
        <v>946</v>
      </c>
      <c r="S434" t="s">
        <v>1781</v>
      </c>
      <c r="V434" t="s">
        <v>1015</v>
      </c>
      <c r="Z434">
        <v>3</v>
      </c>
      <c r="AA434">
        <v>3</v>
      </c>
      <c r="AC434">
        <v>489</v>
      </c>
      <c r="AD434" s="37">
        <v>19.3</v>
      </c>
      <c r="AE434">
        <v>1316</v>
      </c>
      <c r="AF434" s="37">
        <v>23</v>
      </c>
      <c r="AG434" t="s">
        <v>3400</v>
      </c>
      <c r="AH434">
        <v>3.1192558892779365</v>
      </c>
      <c r="AI434" s="37">
        <v>19.3</v>
      </c>
      <c r="AJ434" t="s">
        <v>1813</v>
      </c>
      <c r="AK434" t="s">
        <v>59</v>
      </c>
      <c r="AM434"/>
      <c r="AN434">
        <v>98.48</v>
      </c>
      <c r="AO434">
        <v>7.1014083110323956</v>
      </c>
      <c r="AP434">
        <v>72.59</v>
      </c>
      <c r="AQ434">
        <v>7.6210235533030604</v>
      </c>
      <c r="AS434">
        <v>-0.30499999999999999</v>
      </c>
      <c r="AT434">
        <v>5.4000000000000003E-3</v>
      </c>
      <c r="AW434" s="28">
        <f t="shared" si="30"/>
        <v>-3.5148934671129712</v>
      </c>
      <c r="AX434">
        <f t="shared" si="31"/>
        <v>0.8</v>
      </c>
      <c r="AY434" s="62">
        <f t="shared" si="32"/>
        <v>-2.8119147736903773</v>
      </c>
      <c r="AZ434" s="68" t="str">
        <f t="shared" si="33"/>
        <v>No</v>
      </c>
      <c r="BA434" s="68" t="str">
        <f t="shared" si="34"/>
        <v>No</v>
      </c>
    </row>
    <row r="435" spans="1:53" hidden="1">
      <c r="A435" t="s">
        <v>1815</v>
      </c>
      <c r="B435" t="s">
        <v>3123</v>
      </c>
      <c r="C435">
        <v>89</v>
      </c>
      <c r="F435" t="s">
        <v>1241</v>
      </c>
      <c r="G435" t="s">
        <v>1734</v>
      </c>
      <c r="I435">
        <v>2018</v>
      </c>
      <c r="N435" t="s">
        <v>36</v>
      </c>
      <c r="P435" t="s">
        <v>60</v>
      </c>
      <c r="Q435" t="s">
        <v>900</v>
      </c>
      <c r="R435" t="s">
        <v>946</v>
      </c>
      <c r="S435" t="s">
        <v>1781</v>
      </c>
      <c r="V435" t="s">
        <v>1015</v>
      </c>
      <c r="Z435">
        <v>3</v>
      </c>
      <c r="AA435">
        <v>3</v>
      </c>
      <c r="AC435">
        <v>489</v>
      </c>
      <c r="AD435" s="37">
        <v>19.3</v>
      </c>
      <c r="AE435">
        <v>2813</v>
      </c>
      <c r="AF435" s="37">
        <v>21.2</v>
      </c>
      <c r="AG435" t="s">
        <v>3400</v>
      </c>
      <c r="AH435">
        <v>3.4491697321652008</v>
      </c>
      <c r="AI435" s="37">
        <v>19.3</v>
      </c>
      <c r="AJ435" t="s">
        <v>1813</v>
      </c>
      <c r="AK435" t="s">
        <v>59</v>
      </c>
      <c r="AM435"/>
      <c r="AN435">
        <v>98.48</v>
      </c>
      <c r="AO435">
        <v>7.1014083110323956</v>
      </c>
      <c r="AP435">
        <v>76.14</v>
      </c>
      <c r="AQ435">
        <v>7.6210235533030604</v>
      </c>
      <c r="AS435">
        <v>-0.25700000000000001</v>
      </c>
      <c r="AT435">
        <v>5.1000000000000004E-3</v>
      </c>
      <c r="AW435" s="28">
        <f t="shared" si="30"/>
        <v>-3.0329362709657701</v>
      </c>
      <c r="AX435">
        <f t="shared" si="31"/>
        <v>0.8</v>
      </c>
      <c r="AY435" s="62">
        <f t="shared" si="32"/>
        <v>-2.4263490167726163</v>
      </c>
      <c r="AZ435" s="68" t="str">
        <f t="shared" si="33"/>
        <v>No</v>
      </c>
      <c r="BA435" s="68" t="str">
        <f t="shared" si="34"/>
        <v>No</v>
      </c>
    </row>
    <row r="436" spans="1:53" hidden="1">
      <c r="A436" t="s">
        <v>1815</v>
      </c>
      <c r="B436" t="s">
        <v>3124</v>
      </c>
      <c r="C436">
        <v>89</v>
      </c>
      <c r="F436" t="s">
        <v>1241</v>
      </c>
      <c r="G436" t="s">
        <v>1734</v>
      </c>
      <c r="I436">
        <v>2018</v>
      </c>
      <c r="N436" t="s">
        <v>36</v>
      </c>
      <c r="P436" t="s">
        <v>60</v>
      </c>
      <c r="Q436" t="s">
        <v>900</v>
      </c>
      <c r="R436" t="s">
        <v>946</v>
      </c>
      <c r="S436" t="s">
        <v>1754</v>
      </c>
      <c r="V436" t="s">
        <v>1015</v>
      </c>
      <c r="Z436">
        <v>3</v>
      </c>
      <c r="AA436">
        <v>3</v>
      </c>
      <c r="AC436">
        <v>541</v>
      </c>
      <c r="AD436" s="37">
        <v>23</v>
      </c>
      <c r="AE436">
        <v>2865</v>
      </c>
      <c r="AF436" s="37">
        <v>25.1</v>
      </c>
      <c r="AG436" t="s">
        <v>3401</v>
      </c>
      <c r="AH436">
        <v>3.457124626303409</v>
      </c>
      <c r="AI436" s="37">
        <v>23</v>
      </c>
      <c r="AJ436" t="s">
        <v>1813</v>
      </c>
      <c r="AK436" t="s">
        <v>59</v>
      </c>
      <c r="AM436"/>
      <c r="AN436">
        <v>97.65</v>
      </c>
      <c r="AO436">
        <v>3.7585502524244632</v>
      </c>
      <c r="AP436">
        <v>86.85</v>
      </c>
      <c r="AQ436">
        <v>3.2908965343808667</v>
      </c>
      <c r="AS436">
        <v>-0.11700000000000001</v>
      </c>
      <c r="AT436">
        <v>1E-3</v>
      </c>
      <c r="AW436" s="28">
        <f t="shared" si="30"/>
        <v>-3.0573501073517764</v>
      </c>
      <c r="AX436">
        <f t="shared" si="31"/>
        <v>0.8</v>
      </c>
      <c r="AY436" s="62">
        <f t="shared" si="32"/>
        <v>-2.4458800858814214</v>
      </c>
      <c r="AZ436" s="68" t="str">
        <f t="shared" si="33"/>
        <v>No</v>
      </c>
      <c r="BA436" s="68" t="str">
        <f t="shared" si="34"/>
        <v>No</v>
      </c>
    </row>
    <row r="437" spans="1:53" hidden="1">
      <c r="A437" t="s">
        <v>1815</v>
      </c>
      <c r="B437" t="s">
        <v>3126</v>
      </c>
      <c r="C437">
        <v>89</v>
      </c>
      <c r="F437" t="s">
        <v>1241</v>
      </c>
      <c r="G437" t="s">
        <v>1734</v>
      </c>
      <c r="I437">
        <v>2018</v>
      </c>
      <c r="N437" t="s">
        <v>36</v>
      </c>
      <c r="P437" t="s">
        <v>60</v>
      </c>
      <c r="Q437" t="s">
        <v>900</v>
      </c>
      <c r="R437" t="s">
        <v>946</v>
      </c>
      <c r="S437" t="s">
        <v>1754</v>
      </c>
      <c r="V437" t="s">
        <v>1015</v>
      </c>
      <c r="Z437">
        <v>3</v>
      </c>
      <c r="AA437">
        <v>3</v>
      </c>
      <c r="AC437">
        <v>541</v>
      </c>
      <c r="AD437" s="37">
        <v>23</v>
      </c>
      <c r="AE437">
        <v>1599</v>
      </c>
      <c r="AF437" s="37">
        <v>25.2</v>
      </c>
      <c r="AG437" t="s">
        <v>3401</v>
      </c>
      <c r="AH437">
        <v>3.2038484637462346</v>
      </c>
      <c r="AI437" s="37">
        <v>23</v>
      </c>
      <c r="AJ437" t="s">
        <v>1813</v>
      </c>
      <c r="AK437" t="s">
        <v>59</v>
      </c>
      <c r="AM437"/>
      <c r="AN437">
        <v>97.65</v>
      </c>
      <c r="AO437">
        <v>3.7585502524244632</v>
      </c>
      <c r="AP437">
        <v>88.26</v>
      </c>
      <c r="AQ437">
        <v>1.8706148721743876</v>
      </c>
      <c r="AS437">
        <v>-0.10100000000000001</v>
      </c>
      <c r="AT437">
        <v>5.9999999999999995E-4</v>
      </c>
      <c r="AW437" s="28">
        <f t="shared" si="30"/>
        <v>-3.1630418580412547</v>
      </c>
      <c r="AX437">
        <f t="shared" si="31"/>
        <v>0.8</v>
      </c>
      <c r="AY437" s="62">
        <f t="shared" si="32"/>
        <v>-2.530433486433004</v>
      </c>
      <c r="AZ437" s="68" t="str">
        <f t="shared" si="33"/>
        <v>No</v>
      </c>
      <c r="BA437" s="68" t="str">
        <f t="shared" si="34"/>
        <v>No</v>
      </c>
    </row>
    <row r="438" spans="1:53" hidden="1">
      <c r="A438" t="s">
        <v>1815</v>
      </c>
      <c r="B438" t="s">
        <v>3130</v>
      </c>
      <c r="C438">
        <v>89</v>
      </c>
      <c r="F438" t="s">
        <v>1241</v>
      </c>
      <c r="G438" t="s">
        <v>1734</v>
      </c>
      <c r="I438">
        <v>2018</v>
      </c>
      <c r="N438" t="s">
        <v>36</v>
      </c>
      <c r="P438" t="s">
        <v>60</v>
      </c>
      <c r="Q438" t="s">
        <v>900</v>
      </c>
      <c r="R438" t="s">
        <v>946</v>
      </c>
      <c r="S438" t="s">
        <v>1148</v>
      </c>
      <c r="V438" t="s">
        <v>1015</v>
      </c>
      <c r="Z438">
        <v>3</v>
      </c>
      <c r="AA438">
        <v>3</v>
      </c>
      <c r="AC438">
        <v>899</v>
      </c>
      <c r="AD438" s="37">
        <v>19.2</v>
      </c>
      <c r="AE438">
        <v>1266</v>
      </c>
      <c r="AF438" s="37">
        <v>22.9</v>
      </c>
      <c r="AG438" t="s">
        <v>3402</v>
      </c>
      <c r="AH438">
        <v>3.1024337056813365</v>
      </c>
      <c r="AI438" s="37">
        <v>19.2</v>
      </c>
      <c r="AJ438" t="s">
        <v>1813</v>
      </c>
      <c r="AK438" t="s">
        <v>59</v>
      </c>
      <c r="AM438"/>
      <c r="AN438">
        <v>100</v>
      </c>
      <c r="AO438">
        <v>0</v>
      </c>
      <c r="AP438">
        <v>95.96</v>
      </c>
      <c r="AQ438">
        <v>1.5068842025849232</v>
      </c>
      <c r="AS438">
        <v>-4.1000000000000002E-2</v>
      </c>
      <c r="AT438">
        <v>1E-4</v>
      </c>
      <c r="AW438" s="28">
        <f t="shared" si="30"/>
        <v>-3.7915473413195615</v>
      </c>
      <c r="AX438">
        <f t="shared" si="31"/>
        <v>0.8</v>
      </c>
      <c r="AY438" s="62">
        <f t="shared" si="32"/>
        <v>-3.0332378730556493</v>
      </c>
      <c r="AZ438" s="68" t="str">
        <f t="shared" si="33"/>
        <v>No</v>
      </c>
      <c r="BA438" s="68" t="str">
        <f t="shared" si="34"/>
        <v>No</v>
      </c>
    </row>
    <row r="439" spans="1:53" hidden="1">
      <c r="A439" t="s">
        <v>1815</v>
      </c>
      <c r="B439" t="s">
        <v>3131</v>
      </c>
      <c r="C439">
        <v>89</v>
      </c>
      <c r="F439" t="s">
        <v>1241</v>
      </c>
      <c r="G439" t="s">
        <v>1734</v>
      </c>
      <c r="I439">
        <v>2018</v>
      </c>
      <c r="N439" t="s">
        <v>36</v>
      </c>
      <c r="P439" t="s">
        <v>60</v>
      </c>
      <c r="Q439" t="s">
        <v>900</v>
      </c>
      <c r="R439" t="s">
        <v>946</v>
      </c>
      <c r="S439" t="s">
        <v>1148</v>
      </c>
      <c r="V439" t="s">
        <v>1015</v>
      </c>
      <c r="Z439">
        <v>3</v>
      </c>
      <c r="AA439">
        <v>3</v>
      </c>
      <c r="AC439">
        <v>899</v>
      </c>
      <c r="AD439" s="37">
        <v>19.2</v>
      </c>
      <c r="AE439">
        <v>2489</v>
      </c>
      <c r="AF439" s="37">
        <v>23</v>
      </c>
      <c r="AG439" t="s">
        <v>3402</v>
      </c>
      <c r="AH439">
        <v>3.3960248966085933</v>
      </c>
      <c r="AI439" s="37">
        <v>19.2</v>
      </c>
      <c r="AJ439" t="s">
        <v>1813</v>
      </c>
      <c r="AK439" t="s">
        <v>59</v>
      </c>
      <c r="AM439"/>
      <c r="AN439">
        <v>100</v>
      </c>
      <c r="AO439">
        <v>0</v>
      </c>
      <c r="AP439">
        <v>95.96</v>
      </c>
      <c r="AQ439">
        <v>1.5068842025849232</v>
      </c>
      <c r="AS439">
        <v>-4.1000000000000002E-2</v>
      </c>
      <c r="AT439">
        <v>1E-4</v>
      </c>
      <c r="AW439" s="28">
        <f t="shared" si="30"/>
        <v>-3.7915473413195615</v>
      </c>
      <c r="AX439">
        <f t="shared" si="31"/>
        <v>0.8</v>
      </c>
      <c r="AY439" s="62">
        <f t="shared" si="32"/>
        <v>-3.0332378730556493</v>
      </c>
      <c r="AZ439" s="68" t="str">
        <f t="shared" si="33"/>
        <v>No</v>
      </c>
      <c r="BA439" s="68" t="str">
        <f t="shared" si="34"/>
        <v>No</v>
      </c>
    </row>
    <row r="440" spans="1:53" hidden="1">
      <c r="A440" t="s">
        <v>1815</v>
      </c>
      <c r="B440" t="s">
        <v>3132</v>
      </c>
      <c r="C440">
        <v>89</v>
      </c>
      <c r="F440" t="s">
        <v>1241</v>
      </c>
      <c r="G440" t="s">
        <v>1734</v>
      </c>
      <c r="I440">
        <v>2018</v>
      </c>
      <c r="N440" t="s">
        <v>36</v>
      </c>
      <c r="P440" t="s">
        <v>60</v>
      </c>
      <c r="Q440" t="s">
        <v>900</v>
      </c>
      <c r="R440" t="s">
        <v>946</v>
      </c>
      <c r="S440" t="s">
        <v>1148</v>
      </c>
      <c r="V440" t="s">
        <v>1015</v>
      </c>
      <c r="Z440">
        <v>3</v>
      </c>
      <c r="AA440">
        <v>3</v>
      </c>
      <c r="AC440">
        <v>899</v>
      </c>
      <c r="AD440" s="37">
        <v>19.2</v>
      </c>
      <c r="AE440">
        <v>2379</v>
      </c>
      <c r="AF440" s="37">
        <v>25.1</v>
      </c>
      <c r="AG440" t="s">
        <v>3402</v>
      </c>
      <c r="AH440">
        <v>3.3763944420372662</v>
      </c>
      <c r="AI440" s="37">
        <v>19.2</v>
      </c>
      <c r="AJ440" t="s">
        <v>1813</v>
      </c>
      <c r="AK440" t="s">
        <v>59</v>
      </c>
      <c r="AM440"/>
      <c r="AN440">
        <v>100</v>
      </c>
      <c r="AO440">
        <v>1.905255888325765E-3</v>
      </c>
      <c r="AP440">
        <v>95.96</v>
      </c>
      <c r="AQ440">
        <v>0</v>
      </c>
      <c r="AS440">
        <v>-4.1000000000000002E-2</v>
      </c>
      <c r="AT440">
        <v>1E-4</v>
      </c>
      <c r="AW440" s="28">
        <f t="shared" si="30"/>
        <v>-2998.7692608618349</v>
      </c>
      <c r="AX440">
        <f t="shared" si="31"/>
        <v>0.8</v>
      </c>
      <c r="AY440" s="62">
        <f t="shared" si="32"/>
        <v>-2399.0154086894681</v>
      </c>
      <c r="AZ440" s="68" t="str">
        <f t="shared" si="33"/>
        <v>No</v>
      </c>
      <c r="BA440" s="68" t="str">
        <f t="shared" si="34"/>
        <v>Yes</v>
      </c>
    </row>
    <row r="441" spans="1:53" hidden="1">
      <c r="A441" t="s">
        <v>1815</v>
      </c>
      <c r="B441" t="s">
        <v>3133</v>
      </c>
      <c r="C441">
        <v>89</v>
      </c>
      <c r="F441" t="s">
        <v>1241</v>
      </c>
      <c r="G441" t="s">
        <v>1734</v>
      </c>
      <c r="I441">
        <v>2018</v>
      </c>
      <c r="N441" t="s">
        <v>36</v>
      </c>
      <c r="P441" t="s">
        <v>60</v>
      </c>
      <c r="Q441" t="s">
        <v>900</v>
      </c>
      <c r="R441" t="s">
        <v>946</v>
      </c>
      <c r="S441" t="s">
        <v>1148</v>
      </c>
      <c r="V441" t="s">
        <v>1015</v>
      </c>
      <c r="Z441">
        <v>3</v>
      </c>
      <c r="AA441">
        <v>3</v>
      </c>
      <c r="AC441">
        <v>899</v>
      </c>
      <c r="AD441" s="37">
        <v>19.2</v>
      </c>
      <c r="AE441">
        <v>2801</v>
      </c>
      <c r="AF441" s="37">
        <v>21.2</v>
      </c>
      <c r="AG441" t="s">
        <v>3402</v>
      </c>
      <c r="AH441">
        <v>3.4473131088235682</v>
      </c>
      <c r="AI441" s="37">
        <v>19.2</v>
      </c>
      <c r="AJ441" t="s">
        <v>1813</v>
      </c>
      <c r="AK441" t="s">
        <v>59</v>
      </c>
      <c r="AM441"/>
      <c r="AN441">
        <v>100</v>
      </c>
      <c r="AO441">
        <v>0</v>
      </c>
      <c r="AP441">
        <v>96.46</v>
      </c>
      <c r="AQ441">
        <v>0.50229473419497439</v>
      </c>
      <c r="AS441">
        <v>-3.5999999999999997E-2</v>
      </c>
      <c r="AT441">
        <v>1E-4</v>
      </c>
      <c r="AW441" s="28">
        <f t="shared" si="30"/>
        <v>-9.9668892982212256</v>
      </c>
      <c r="AX441">
        <f t="shared" si="31"/>
        <v>0.8</v>
      </c>
      <c r="AY441" s="62">
        <f t="shared" si="32"/>
        <v>-7.9735114385769812</v>
      </c>
      <c r="AZ441" s="68" t="str">
        <f t="shared" si="33"/>
        <v>No</v>
      </c>
      <c r="BA441" s="68" t="str">
        <f t="shared" si="34"/>
        <v>No</v>
      </c>
    </row>
    <row r="442" spans="1:53" hidden="1">
      <c r="A442" t="s">
        <v>1815</v>
      </c>
      <c r="B442" t="s">
        <v>3136</v>
      </c>
      <c r="C442">
        <v>89</v>
      </c>
      <c r="F442" t="s">
        <v>1241</v>
      </c>
      <c r="G442" t="s">
        <v>1734</v>
      </c>
      <c r="I442">
        <v>2018</v>
      </c>
      <c r="N442" t="s">
        <v>36</v>
      </c>
      <c r="P442" t="s">
        <v>60</v>
      </c>
      <c r="Q442" t="s">
        <v>900</v>
      </c>
      <c r="R442" t="s">
        <v>946</v>
      </c>
      <c r="S442" t="s">
        <v>1148</v>
      </c>
      <c r="V442" t="s">
        <v>1015</v>
      </c>
      <c r="Z442">
        <v>3</v>
      </c>
      <c r="AA442">
        <v>3</v>
      </c>
      <c r="AC442">
        <v>899</v>
      </c>
      <c r="AD442" s="37">
        <v>19.2</v>
      </c>
      <c r="AE442">
        <v>1367</v>
      </c>
      <c r="AF442" s="37">
        <v>25.2</v>
      </c>
      <c r="AG442" t="s">
        <v>3402</v>
      </c>
      <c r="AH442">
        <v>3.1357685145678222</v>
      </c>
      <c r="AI442" s="37">
        <v>19.2</v>
      </c>
      <c r="AJ442" t="s">
        <v>1813</v>
      </c>
      <c r="AK442" t="s">
        <v>59</v>
      </c>
      <c r="AM442"/>
      <c r="AN442">
        <v>100</v>
      </c>
      <c r="AO442">
        <v>1.905255888325765E-3</v>
      </c>
      <c r="AP442">
        <v>96.97</v>
      </c>
      <c r="AQ442">
        <v>0</v>
      </c>
      <c r="AS442">
        <v>-3.1E-2</v>
      </c>
      <c r="AT442">
        <v>1E-4</v>
      </c>
      <c r="AW442" s="28">
        <f t="shared" si="30"/>
        <v>-2249.0769456463736</v>
      </c>
      <c r="AX442">
        <f t="shared" si="31"/>
        <v>0.8</v>
      </c>
      <c r="AY442" s="62">
        <f t="shared" si="32"/>
        <v>-1799.2615565170991</v>
      </c>
      <c r="AZ442" s="68" t="str">
        <f t="shared" si="33"/>
        <v>No</v>
      </c>
      <c r="BA442" s="68" t="str">
        <f t="shared" si="34"/>
        <v>Yes</v>
      </c>
    </row>
    <row r="443" spans="1:53" hidden="1">
      <c r="A443" t="s">
        <v>1815</v>
      </c>
      <c r="B443" t="s">
        <v>3137</v>
      </c>
      <c r="C443">
        <v>89</v>
      </c>
      <c r="F443" t="s">
        <v>1241</v>
      </c>
      <c r="G443" t="s">
        <v>1734</v>
      </c>
      <c r="I443">
        <v>2018</v>
      </c>
      <c r="N443" t="s">
        <v>36</v>
      </c>
      <c r="P443" t="s">
        <v>60</v>
      </c>
      <c r="Q443" t="s">
        <v>900</v>
      </c>
      <c r="R443" t="s">
        <v>946</v>
      </c>
      <c r="S443" t="s">
        <v>1781</v>
      </c>
      <c r="V443" t="s">
        <v>1015</v>
      </c>
      <c r="Z443">
        <v>3</v>
      </c>
      <c r="AA443">
        <v>3</v>
      </c>
      <c r="AC443">
        <v>489</v>
      </c>
      <c r="AD443" s="37">
        <v>19.3</v>
      </c>
      <c r="AE443">
        <v>1433</v>
      </c>
      <c r="AF443" s="37">
        <v>21.2</v>
      </c>
      <c r="AG443" t="s">
        <v>3400</v>
      </c>
      <c r="AH443">
        <v>3.1562461903973444</v>
      </c>
      <c r="AI443" s="37">
        <v>19.3</v>
      </c>
      <c r="AJ443" t="s">
        <v>1813</v>
      </c>
      <c r="AK443" t="s">
        <v>59</v>
      </c>
      <c r="AM443"/>
      <c r="AN443">
        <v>98.48</v>
      </c>
      <c r="AO443">
        <v>7.1014083110323956</v>
      </c>
      <c r="AP443">
        <v>95.94</v>
      </c>
      <c r="AQ443">
        <v>7.6210235533030604</v>
      </c>
      <c r="AS443">
        <v>-2.5999999999999999E-2</v>
      </c>
      <c r="AT443">
        <v>3.8E-3</v>
      </c>
      <c r="AW443" s="28">
        <f t="shared" si="30"/>
        <v>-0.34483697977856198</v>
      </c>
      <c r="AX443">
        <f t="shared" si="31"/>
        <v>0.8</v>
      </c>
      <c r="AY443" s="62">
        <f t="shared" si="32"/>
        <v>-0.2758695838228496</v>
      </c>
      <c r="AZ443" s="68" t="str">
        <f t="shared" si="33"/>
        <v>No</v>
      </c>
      <c r="BA443" s="68" t="str">
        <f t="shared" si="34"/>
        <v>No</v>
      </c>
    </row>
    <row r="444" spans="1:53" hidden="1">
      <c r="A444" t="s">
        <v>1815</v>
      </c>
      <c r="B444" t="s">
        <v>3139</v>
      </c>
      <c r="C444">
        <v>89</v>
      </c>
      <c r="F444" t="s">
        <v>1241</v>
      </c>
      <c r="G444" t="s">
        <v>1734</v>
      </c>
      <c r="I444">
        <v>2018</v>
      </c>
      <c r="N444" t="s">
        <v>36</v>
      </c>
      <c r="P444" t="s">
        <v>60</v>
      </c>
      <c r="Q444" t="s">
        <v>900</v>
      </c>
      <c r="R444" t="s">
        <v>946</v>
      </c>
      <c r="S444" t="s">
        <v>1148</v>
      </c>
      <c r="V444" t="s">
        <v>1015</v>
      </c>
      <c r="Z444">
        <v>3</v>
      </c>
      <c r="AA444">
        <v>3</v>
      </c>
      <c r="AC444">
        <v>899</v>
      </c>
      <c r="AD444" s="37">
        <v>19.2</v>
      </c>
      <c r="AE444">
        <v>1293</v>
      </c>
      <c r="AF444" s="37">
        <v>21.3</v>
      </c>
      <c r="AG444" t="s">
        <v>3402</v>
      </c>
      <c r="AH444">
        <v>3.1115985248803941</v>
      </c>
      <c r="AI444" s="37">
        <v>19.2</v>
      </c>
      <c r="AJ444" t="s">
        <v>1813</v>
      </c>
      <c r="AK444" t="s">
        <v>770</v>
      </c>
      <c r="AM444"/>
      <c r="AN444">
        <v>100</v>
      </c>
      <c r="AO444">
        <v>0</v>
      </c>
      <c r="AP444">
        <v>97.98</v>
      </c>
      <c r="AQ444">
        <v>1.0045894683899488</v>
      </c>
      <c r="AS444">
        <v>-0.02</v>
      </c>
      <c r="AT444">
        <v>1E-4</v>
      </c>
      <c r="AW444" s="28">
        <f t="shared" si="30"/>
        <v>-2.8436605059896611</v>
      </c>
      <c r="AX444">
        <f t="shared" si="31"/>
        <v>0.8</v>
      </c>
      <c r="AY444" s="62">
        <f t="shared" si="32"/>
        <v>-2.2749284047917291</v>
      </c>
      <c r="AZ444" s="68" t="str">
        <f t="shared" si="33"/>
        <v>No</v>
      </c>
      <c r="BA444" s="68" t="str">
        <f t="shared" si="34"/>
        <v>No</v>
      </c>
    </row>
    <row r="445" spans="1:53" hidden="1">
      <c r="A445" t="s">
        <v>1815</v>
      </c>
      <c r="B445" t="s">
        <v>3220</v>
      </c>
      <c r="C445">
        <v>197</v>
      </c>
      <c r="F445" t="s">
        <v>1241</v>
      </c>
      <c r="G445" t="s">
        <v>1737</v>
      </c>
      <c r="I445">
        <v>2015</v>
      </c>
      <c r="N445" t="s">
        <v>36</v>
      </c>
      <c r="P445" t="s">
        <v>60</v>
      </c>
      <c r="Q445" t="s">
        <v>900</v>
      </c>
      <c r="R445" t="s">
        <v>946</v>
      </c>
      <c r="S445" t="s">
        <v>1754</v>
      </c>
      <c r="V445" t="s">
        <v>905</v>
      </c>
      <c r="Z445">
        <v>6</v>
      </c>
      <c r="AA445">
        <v>6</v>
      </c>
      <c r="AC445">
        <v>498</v>
      </c>
      <c r="AD445" s="37">
        <v>20.399999999999999</v>
      </c>
      <c r="AE445">
        <v>1001</v>
      </c>
      <c r="AF445" s="37">
        <v>20.3</v>
      </c>
      <c r="AG445" t="s">
        <v>3414</v>
      </c>
      <c r="AH445">
        <v>3.0004340774793188</v>
      </c>
      <c r="AI445" s="37">
        <v>20.399999999999999</v>
      </c>
      <c r="AJ445" t="s">
        <v>69</v>
      </c>
      <c r="AK445" t="s">
        <v>69</v>
      </c>
      <c r="AM445"/>
      <c r="AN445">
        <v>11.14</v>
      </c>
      <c r="AO445">
        <v>20.64919853166219</v>
      </c>
      <c r="AP445">
        <v>58.73</v>
      </c>
      <c r="AQ445">
        <v>44.262279652092026</v>
      </c>
      <c r="AS445">
        <v>-0.76700000000000002</v>
      </c>
      <c r="AT445">
        <v>0.20069999999999999</v>
      </c>
      <c r="AW445" s="28">
        <f t="shared" si="30"/>
        <v>1.3779626952098532</v>
      </c>
      <c r="AX445">
        <f t="shared" si="31"/>
        <v>0.92307692307692313</v>
      </c>
      <c r="AY445" s="62">
        <f t="shared" si="32"/>
        <v>1.2719655648090953</v>
      </c>
      <c r="AZ445" s="68" t="str">
        <f t="shared" si="33"/>
        <v>No</v>
      </c>
      <c r="BA445" s="68" t="str">
        <f t="shared" si="34"/>
        <v>No</v>
      </c>
    </row>
    <row r="446" spans="1:53" hidden="1">
      <c r="A446" t="s">
        <v>1815</v>
      </c>
      <c r="B446" t="s">
        <v>3219</v>
      </c>
      <c r="C446">
        <v>197</v>
      </c>
      <c r="F446" t="s">
        <v>1241</v>
      </c>
      <c r="G446" t="s">
        <v>1737</v>
      </c>
      <c r="I446">
        <v>2014</v>
      </c>
      <c r="N446" t="s">
        <v>36</v>
      </c>
      <c r="P446" t="s">
        <v>60</v>
      </c>
      <c r="Q446" t="s">
        <v>900</v>
      </c>
      <c r="R446" t="s">
        <v>946</v>
      </c>
      <c r="S446" t="s">
        <v>1754</v>
      </c>
      <c r="V446" t="s">
        <v>907</v>
      </c>
      <c r="Z446">
        <v>6</v>
      </c>
      <c r="AA446">
        <v>6</v>
      </c>
      <c r="AC446">
        <v>498</v>
      </c>
      <c r="AD446" s="37">
        <v>20.399999999999999</v>
      </c>
      <c r="AE446">
        <v>544</v>
      </c>
      <c r="AF446" s="37">
        <v>26.9</v>
      </c>
      <c r="AG446" t="s">
        <v>3414</v>
      </c>
      <c r="AH446">
        <v>2.7355988996981799</v>
      </c>
      <c r="AI446" s="37">
        <v>20.399999999999999</v>
      </c>
      <c r="AJ446" t="s">
        <v>1813</v>
      </c>
      <c r="AK446" t="s">
        <v>59</v>
      </c>
      <c r="AM446"/>
      <c r="AN446">
        <v>85.86</v>
      </c>
      <c r="AO446">
        <v>13.472193585307478</v>
      </c>
      <c r="AP446">
        <v>1.83</v>
      </c>
      <c r="AQ446">
        <v>3.9191835884530848</v>
      </c>
      <c r="AS446">
        <v>-3.8479999999999999</v>
      </c>
      <c r="AT446">
        <v>0.76849999999999996</v>
      </c>
      <c r="AW446" s="28">
        <f t="shared" si="30"/>
        <v>-8.4697505745015924</v>
      </c>
      <c r="AX446">
        <f t="shared" si="31"/>
        <v>0.92307692307692313</v>
      </c>
      <c r="AY446" s="62">
        <f t="shared" si="32"/>
        <v>-7.8182312995399315</v>
      </c>
      <c r="AZ446" s="68" t="str">
        <f t="shared" si="33"/>
        <v>No</v>
      </c>
      <c r="BA446" s="68" t="str">
        <f t="shared" si="34"/>
        <v>No</v>
      </c>
    </row>
    <row r="447" spans="1:53" hidden="1">
      <c r="A447" t="s">
        <v>1815</v>
      </c>
      <c r="B447" t="s">
        <v>3222</v>
      </c>
      <c r="C447">
        <v>197</v>
      </c>
      <c r="F447" t="s">
        <v>1241</v>
      </c>
      <c r="G447" t="s">
        <v>1737</v>
      </c>
      <c r="I447">
        <v>2015</v>
      </c>
      <c r="N447" t="s">
        <v>36</v>
      </c>
      <c r="P447" t="s">
        <v>60</v>
      </c>
      <c r="Q447" t="s">
        <v>900</v>
      </c>
      <c r="R447" t="s">
        <v>946</v>
      </c>
      <c r="S447" t="s">
        <v>1754</v>
      </c>
      <c r="V447" t="s">
        <v>907</v>
      </c>
      <c r="Z447">
        <v>6</v>
      </c>
      <c r="AA447">
        <v>6</v>
      </c>
      <c r="AC447">
        <v>498</v>
      </c>
      <c r="AD447" s="37">
        <v>20.399999999999999</v>
      </c>
      <c r="AE447">
        <v>509</v>
      </c>
      <c r="AF447" s="37">
        <v>26.1</v>
      </c>
      <c r="AG447" t="s">
        <v>3414</v>
      </c>
      <c r="AH447">
        <v>2.7067177823367587</v>
      </c>
      <c r="AI447" s="37">
        <v>20.399999999999999</v>
      </c>
      <c r="AJ447" t="s">
        <v>1813</v>
      </c>
      <c r="AK447" t="s">
        <v>59</v>
      </c>
      <c r="AM447"/>
      <c r="AN447">
        <v>85.86</v>
      </c>
      <c r="AO447">
        <v>13.472193585307478</v>
      </c>
      <c r="AP447">
        <v>52.87</v>
      </c>
      <c r="AQ447">
        <v>55.799376340600794</v>
      </c>
      <c r="AS447">
        <v>-0.48499999999999999</v>
      </c>
      <c r="AT447">
        <v>0.1898</v>
      </c>
      <c r="AW447" s="28">
        <f t="shared" si="30"/>
        <v>-0.81276494588786996</v>
      </c>
      <c r="AX447">
        <f t="shared" si="31"/>
        <v>0.92307692307692313</v>
      </c>
      <c r="AY447" s="62">
        <f t="shared" si="32"/>
        <v>-0.75024456543495688</v>
      </c>
      <c r="AZ447" s="68" t="str">
        <f t="shared" si="33"/>
        <v>No</v>
      </c>
      <c r="BA447" s="68" t="str">
        <f t="shared" si="34"/>
        <v>No</v>
      </c>
    </row>
    <row r="448" spans="1:53" hidden="1">
      <c r="A448" t="s">
        <v>1815</v>
      </c>
      <c r="B448" t="s">
        <v>3221</v>
      </c>
      <c r="C448">
        <v>197</v>
      </c>
      <c r="F448" t="s">
        <v>1241</v>
      </c>
      <c r="G448" t="s">
        <v>1737</v>
      </c>
      <c r="I448">
        <v>2015</v>
      </c>
      <c r="N448" t="s">
        <v>36</v>
      </c>
      <c r="P448" t="s">
        <v>60</v>
      </c>
      <c r="Q448" t="s">
        <v>900</v>
      </c>
      <c r="R448" t="s">
        <v>946</v>
      </c>
      <c r="S448" t="s">
        <v>1754</v>
      </c>
      <c r="V448" t="s">
        <v>1015</v>
      </c>
      <c r="Z448">
        <v>6</v>
      </c>
      <c r="AA448">
        <v>6</v>
      </c>
      <c r="AC448">
        <v>498</v>
      </c>
      <c r="AD448" s="37">
        <v>20.399999999999999</v>
      </c>
      <c r="AE448">
        <v>1166</v>
      </c>
      <c r="AF448" s="37">
        <v>24.5</v>
      </c>
      <c r="AG448" t="s">
        <v>3414</v>
      </c>
      <c r="AH448">
        <v>3.0666985504229953</v>
      </c>
      <c r="AI448" s="37">
        <v>20.399999999999999</v>
      </c>
      <c r="AJ448" t="s">
        <v>69</v>
      </c>
      <c r="AK448" t="s">
        <v>69</v>
      </c>
      <c r="AM448"/>
      <c r="AN448">
        <v>11.14</v>
      </c>
      <c r="AO448">
        <v>20.64919853166219</v>
      </c>
      <c r="AP448">
        <v>50.3</v>
      </c>
      <c r="AQ448">
        <v>39.093856294819524</v>
      </c>
      <c r="AS448">
        <v>-0.58099999999999996</v>
      </c>
      <c r="AT448">
        <v>0.11210000000000001</v>
      </c>
      <c r="AW448" s="28">
        <f t="shared" si="30"/>
        <v>1.252608959624824</v>
      </c>
      <c r="AX448">
        <f t="shared" si="31"/>
        <v>0.92307692307692313</v>
      </c>
      <c r="AY448" s="62">
        <f t="shared" si="32"/>
        <v>1.1562544242690684</v>
      </c>
      <c r="AZ448" s="68" t="str">
        <f t="shared" si="33"/>
        <v>No</v>
      </c>
      <c r="BA448" s="68" t="str">
        <f t="shared" si="34"/>
        <v>No</v>
      </c>
    </row>
    <row r="449" spans="1:53" hidden="1">
      <c r="A449" t="s">
        <v>1815</v>
      </c>
      <c r="B449" t="s">
        <v>3223</v>
      </c>
      <c r="C449">
        <v>197</v>
      </c>
      <c r="F449" t="s">
        <v>1241</v>
      </c>
      <c r="G449" t="s">
        <v>1737</v>
      </c>
      <c r="I449">
        <v>2015</v>
      </c>
      <c r="N449" t="s">
        <v>36</v>
      </c>
      <c r="P449" t="s">
        <v>60</v>
      </c>
      <c r="Q449" t="s">
        <v>900</v>
      </c>
      <c r="R449" t="s">
        <v>946</v>
      </c>
      <c r="S449" t="s">
        <v>1754</v>
      </c>
      <c r="V449" t="s">
        <v>1015</v>
      </c>
      <c r="Z449">
        <v>6</v>
      </c>
      <c r="AA449">
        <v>6</v>
      </c>
      <c r="AC449">
        <v>498</v>
      </c>
      <c r="AD449" s="37">
        <v>20.399999999999999</v>
      </c>
      <c r="AE449">
        <v>895</v>
      </c>
      <c r="AF449" s="37">
        <v>26</v>
      </c>
      <c r="AG449" t="s">
        <v>3414</v>
      </c>
      <c r="AH449">
        <v>2.9518230353159121</v>
      </c>
      <c r="AI449" s="37">
        <v>20.399999999999999</v>
      </c>
      <c r="AJ449" t="s">
        <v>1813</v>
      </c>
      <c r="AK449" t="s">
        <v>59</v>
      </c>
      <c r="AM449"/>
      <c r="AN449">
        <v>85.86</v>
      </c>
      <c r="AO449">
        <v>13.472193585307478</v>
      </c>
      <c r="AP449">
        <v>55.75</v>
      </c>
      <c r="AQ449">
        <v>50.018580547632496</v>
      </c>
      <c r="AS449">
        <v>-0.432</v>
      </c>
      <c r="AT449">
        <v>0.13830000000000001</v>
      </c>
      <c r="AW449" s="28">
        <f t="shared" si="30"/>
        <v>-0.82202762380841243</v>
      </c>
      <c r="AX449">
        <f t="shared" si="31"/>
        <v>0.92307692307692313</v>
      </c>
      <c r="AY449" s="62">
        <f t="shared" si="32"/>
        <v>-0.75879472966930384</v>
      </c>
      <c r="AZ449" s="68" t="str">
        <f t="shared" si="33"/>
        <v>No</v>
      </c>
      <c r="BA449" s="68" t="str">
        <f t="shared" si="34"/>
        <v>No</v>
      </c>
    </row>
    <row r="450" spans="1:53" hidden="1">
      <c r="A450" t="s">
        <v>1815</v>
      </c>
      <c r="B450" t="s">
        <v>3224</v>
      </c>
      <c r="C450">
        <v>197</v>
      </c>
      <c r="F450" t="s">
        <v>1241</v>
      </c>
      <c r="G450" t="s">
        <v>1737</v>
      </c>
      <c r="I450">
        <v>2015</v>
      </c>
      <c r="N450" t="s">
        <v>36</v>
      </c>
      <c r="P450" t="s">
        <v>60</v>
      </c>
      <c r="Q450" t="s">
        <v>900</v>
      </c>
      <c r="R450" t="s">
        <v>946</v>
      </c>
      <c r="S450" t="s">
        <v>1754</v>
      </c>
      <c r="V450" t="s">
        <v>1015</v>
      </c>
      <c r="Z450">
        <v>6</v>
      </c>
      <c r="AA450">
        <v>6</v>
      </c>
      <c r="AC450">
        <v>498</v>
      </c>
      <c r="AD450" s="37">
        <v>20.399999999999999</v>
      </c>
      <c r="AE450">
        <v>895</v>
      </c>
      <c r="AF450" s="37">
        <v>26</v>
      </c>
      <c r="AG450" t="s">
        <v>3414</v>
      </c>
      <c r="AH450">
        <v>2.9518230353159121</v>
      </c>
      <c r="AI450" s="37">
        <v>20.399999999999999</v>
      </c>
      <c r="AJ450" t="s">
        <v>69</v>
      </c>
      <c r="AK450" t="s">
        <v>69</v>
      </c>
      <c r="AM450"/>
      <c r="AN450">
        <v>11.14</v>
      </c>
      <c r="AO450">
        <v>20.64919853166219</v>
      </c>
      <c r="AP450">
        <v>41.56</v>
      </c>
      <c r="AQ450">
        <v>36.889315526314661</v>
      </c>
      <c r="AS450">
        <v>-0.41899999999999998</v>
      </c>
      <c r="AT450">
        <v>7.5399999999999995E-2</v>
      </c>
      <c r="AW450" s="28">
        <f t="shared" ref="AW450:AW513" si="35">(AP450-$AN450)/SQRT(((AA450-1)*AQ450*AQ450+($Z450-1)*$AO450*$AO450)/(AA450+$Z450-2))</f>
        <v>1.0176215447736914</v>
      </c>
      <c r="AX450">
        <f t="shared" ref="AX450:AX513" si="36">1-(3/(4*(AA450+$Z450-2)-1))</f>
        <v>0.92307692307692313</v>
      </c>
      <c r="AY450" s="62">
        <f t="shared" ref="AY450:AY513" si="37">AX450*AW450</f>
        <v>0.93934296440648435</v>
      </c>
      <c r="AZ450" s="68" t="str">
        <f t="shared" ref="AZ450:AZ513" si="38">IF(AY450&gt;10,"Yes","No")</f>
        <v>No</v>
      </c>
      <c r="BA450" s="68" t="str">
        <f t="shared" ref="BA450:BA513" si="39">IF(AY450&lt;-10,"Yes","No")</f>
        <v>No</v>
      </c>
    </row>
    <row r="451" spans="1:53" hidden="1">
      <c r="A451" t="s">
        <v>1815</v>
      </c>
      <c r="B451" t="s">
        <v>2330</v>
      </c>
      <c r="C451">
        <v>179</v>
      </c>
      <c r="F451" t="s">
        <v>1241</v>
      </c>
      <c r="G451" t="s">
        <v>1982</v>
      </c>
      <c r="I451">
        <v>2014</v>
      </c>
      <c r="N451" t="s">
        <v>36</v>
      </c>
      <c r="P451" t="s">
        <v>60</v>
      </c>
      <c r="Q451" t="s">
        <v>900</v>
      </c>
      <c r="R451" t="s">
        <v>888</v>
      </c>
      <c r="S451" t="s">
        <v>1999</v>
      </c>
      <c r="V451" t="s">
        <v>905</v>
      </c>
      <c r="Z451">
        <v>4</v>
      </c>
      <c r="AA451">
        <v>4</v>
      </c>
      <c r="AC451">
        <v>389</v>
      </c>
      <c r="AD451">
        <v>19</v>
      </c>
      <c r="AE451">
        <v>1750</v>
      </c>
      <c r="AF451">
        <v>19</v>
      </c>
      <c r="AG451" t="s">
        <v>3440</v>
      </c>
      <c r="AI451">
        <v>19</v>
      </c>
      <c r="AJ451" t="s">
        <v>1205</v>
      </c>
      <c r="AK451" t="s">
        <v>40</v>
      </c>
      <c r="AN451">
        <v>4.05</v>
      </c>
      <c r="AO451">
        <v>0.24</v>
      </c>
      <c r="AP451">
        <v>4.22</v>
      </c>
      <c r="AQ451">
        <v>7.0000000000000007E-2</v>
      </c>
      <c r="AS451">
        <v>4.1099999999999998E-2</v>
      </c>
      <c r="AT451">
        <v>8.9999999999999998E-4</v>
      </c>
      <c r="AW451" s="28">
        <f t="shared" si="35"/>
        <v>0.96166522241370433</v>
      </c>
      <c r="AX451">
        <f t="shared" si="36"/>
        <v>0.86956521739130432</v>
      </c>
      <c r="AY451" s="62">
        <f t="shared" si="37"/>
        <v>0.83623062818582983</v>
      </c>
      <c r="AZ451" s="68" t="str">
        <f t="shared" si="38"/>
        <v>No</v>
      </c>
      <c r="BA451" s="68" t="str">
        <f t="shared" si="39"/>
        <v>No</v>
      </c>
    </row>
    <row r="452" spans="1:53" hidden="1">
      <c r="A452" t="s">
        <v>1815</v>
      </c>
      <c r="B452" t="s">
        <v>2402</v>
      </c>
      <c r="C452">
        <v>179</v>
      </c>
      <c r="F452" t="s">
        <v>1241</v>
      </c>
      <c r="G452" t="s">
        <v>1982</v>
      </c>
      <c r="I452">
        <v>2017</v>
      </c>
      <c r="N452" t="s">
        <v>36</v>
      </c>
      <c r="P452" t="s">
        <v>60</v>
      </c>
      <c r="Q452" t="s">
        <v>900</v>
      </c>
      <c r="R452" t="s">
        <v>888</v>
      </c>
      <c r="S452" t="s">
        <v>1999</v>
      </c>
      <c r="V452" t="s">
        <v>905</v>
      </c>
      <c r="Z452">
        <v>4</v>
      </c>
      <c r="AA452">
        <v>4</v>
      </c>
      <c r="AC452">
        <v>389</v>
      </c>
      <c r="AD452">
        <v>19</v>
      </c>
      <c r="AE452">
        <v>1750</v>
      </c>
      <c r="AF452">
        <v>19</v>
      </c>
      <c r="AG452" t="s">
        <v>3453</v>
      </c>
      <c r="AI452">
        <v>19</v>
      </c>
      <c r="AJ452" t="s">
        <v>2044</v>
      </c>
      <c r="AK452" t="s">
        <v>770</v>
      </c>
      <c r="AN452">
        <v>9</v>
      </c>
      <c r="AO452">
        <v>0.02</v>
      </c>
      <c r="AP452">
        <v>9.6999999999999993</v>
      </c>
      <c r="AQ452">
        <v>1.5</v>
      </c>
      <c r="AS452">
        <v>7.4899999999999994E-2</v>
      </c>
      <c r="AT452">
        <v>6.0000000000000001E-3</v>
      </c>
      <c r="AW452" s="28">
        <f t="shared" si="35"/>
        <v>0.65990767325440991</v>
      </c>
      <c r="AX452">
        <f t="shared" si="36"/>
        <v>0.86956521739130432</v>
      </c>
      <c r="AY452" s="62">
        <f t="shared" si="37"/>
        <v>0.57383275935166078</v>
      </c>
      <c r="AZ452" s="68" t="str">
        <f t="shared" si="38"/>
        <v>No</v>
      </c>
      <c r="BA452" s="68" t="str">
        <f t="shared" si="39"/>
        <v>No</v>
      </c>
    </row>
    <row r="453" spans="1:53" hidden="1">
      <c r="A453" t="s">
        <v>1815</v>
      </c>
      <c r="B453" t="s">
        <v>2412</v>
      </c>
      <c r="C453">
        <v>179</v>
      </c>
      <c r="F453" t="s">
        <v>1241</v>
      </c>
      <c r="G453" t="s">
        <v>1982</v>
      </c>
      <c r="I453">
        <v>2018</v>
      </c>
      <c r="N453" t="s">
        <v>36</v>
      </c>
      <c r="P453" t="s">
        <v>60</v>
      </c>
      <c r="Q453" t="s">
        <v>900</v>
      </c>
      <c r="R453" t="s">
        <v>888</v>
      </c>
      <c r="S453" t="s">
        <v>1999</v>
      </c>
      <c r="V453" t="s">
        <v>905</v>
      </c>
      <c r="Z453">
        <v>4</v>
      </c>
      <c r="AA453">
        <v>4</v>
      </c>
      <c r="AC453">
        <v>389</v>
      </c>
      <c r="AD453">
        <v>19</v>
      </c>
      <c r="AE453">
        <v>1750</v>
      </c>
      <c r="AF453">
        <v>19</v>
      </c>
      <c r="AG453" t="s">
        <v>3453</v>
      </c>
      <c r="AI453">
        <v>19</v>
      </c>
      <c r="AJ453" t="s">
        <v>787</v>
      </c>
      <c r="AK453" t="s">
        <v>59</v>
      </c>
      <c r="AN453">
        <v>80.2</v>
      </c>
      <c r="AO453">
        <v>12</v>
      </c>
      <c r="AP453">
        <v>81</v>
      </c>
      <c r="AQ453">
        <v>9.1999999999999993</v>
      </c>
      <c r="AS453">
        <v>9.9000000000000008E-3</v>
      </c>
      <c r="AT453">
        <v>8.8000000000000005E-3</v>
      </c>
      <c r="AW453" s="28">
        <f t="shared" si="35"/>
        <v>7.4821925288305738E-2</v>
      </c>
      <c r="AX453">
        <f t="shared" si="36"/>
        <v>0.86956521739130432</v>
      </c>
      <c r="AY453" s="62">
        <f t="shared" si="37"/>
        <v>6.5062543728961503E-2</v>
      </c>
      <c r="AZ453" s="68" t="str">
        <f t="shared" si="38"/>
        <v>No</v>
      </c>
      <c r="BA453" s="68" t="str">
        <f t="shared" si="39"/>
        <v>No</v>
      </c>
    </row>
    <row r="454" spans="1:53" hidden="1">
      <c r="A454" t="s">
        <v>1815</v>
      </c>
      <c r="B454" t="s">
        <v>2442</v>
      </c>
      <c r="C454">
        <v>179</v>
      </c>
      <c r="F454" t="s">
        <v>1241</v>
      </c>
      <c r="G454" t="s">
        <v>1982</v>
      </c>
      <c r="I454">
        <v>2018</v>
      </c>
      <c r="N454" t="s">
        <v>36</v>
      </c>
      <c r="P454" t="s">
        <v>60</v>
      </c>
      <c r="Q454" t="s">
        <v>900</v>
      </c>
      <c r="R454" t="s">
        <v>888</v>
      </c>
      <c r="S454" t="s">
        <v>1999</v>
      </c>
      <c r="V454" t="s">
        <v>905</v>
      </c>
      <c r="Z454">
        <v>4</v>
      </c>
      <c r="AA454">
        <v>4</v>
      </c>
      <c r="AC454">
        <v>389</v>
      </c>
      <c r="AD454">
        <v>19</v>
      </c>
      <c r="AE454">
        <v>1750</v>
      </c>
      <c r="AF454">
        <v>19</v>
      </c>
      <c r="AG454" t="s">
        <v>3440</v>
      </c>
      <c r="AI454">
        <v>19</v>
      </c>
      <c r="AJ454" t="s">
        <v>787</v>
      </c>
      <c r="AK454" t="s">
        <v>69</v>
      </c>
      <c r="AN454">
        <v>33.9</v>
      </c>
      <c r="AO454">
        <v>24</v>
      </c>
      <c r="AP454">
        <v>18.2</v>
      </c>
      <c r="AQ454">
        <v>17.7</v>
      </c>
      <c r="AS454">
        <v>-0.622</v>
      </c>
      <c r="AT454">
        <v>0.36180000000000001</v>
      </c>
      <c r="AW454" s="28">
        <f t="shared" si="35"/>
        <v>-0.74454841917953063</v>
      </c>
      <c r="AX454">
        <f t="shared" si="36"/>
        <v>0.86956521739130432</v>
      </c>
      <c r="AY454" s="62">
        <f t="shared" si="37"/>
        <v>-0.6474334079822005</v>
      </c>
      <c r="AZ454" s="68" t="str">
        <f t="shared" si="38"/>
        <v>No</v>
      </c>
      <c r="BA454" s="68" t="str">
        <f t="shared" si="39"/>
        <v>No</v>
      </c>
    </row>
    <row r="455" spans="1:53" hidden="1">
      <c r="A455" t="s">
        <v>1815</v>
      </c>
      <c r="B455" t="s">
        <v>2238</v>
      </c>
      <c r="C455">
        <v>179</v>
      </c>
      <c r="F455" t="s">
        <v>1241</v>
      </c>
      <c r="G455" t="s">
        <v>1982</v>
      </c>
      <c r="I455">
        <v>2018</v>
      </c>
      <c r="N455" t="s">
        <v>36</v>
      </c>
      <c r="P455" t="s">
        <v>60</v>
      </c>
      <c r="Q455" t="s">
        <v>900</v>
      </c>
      <c r="R455" t="s">
        <v>888</v>
      </c>
      <c r="S455" t="s">
        <v>1999</v>
      </c>
      <c r="V455" t="s">
        <v>907</v>
      </c>
      <c r="Z455">
        <v>4</v>
      </c>
      <c r="AA455">
        <v>4</v>
      </c>
      <c r="AC455">
        <v>389</v>
      </c>
      <c r="AD455">
        <v>19</v>
      </c>
      <c r="AE455">
        <v>372</v>
      </c>
      <c r="AF455">
        <v>29</v>
      </c>
      <c r="AG455" t="s">
        <v>3440</v>
      </c>
      <c r="AI455">
        <v>19</v>
      </c>
      <c r="AJ455" t="s">
        <v>1205</v>
      </c>
      <c r="AK455" t="s">
        <v>40</v>
      </c>
      <c r="AN455">
        <v>4.05</v>
      </c>
      <c r="AO455">
        <v>0.24</v>
      </c>
      <c r="AP455">
        <v>5.81</v>
      </c>
      <c r="AQ455">
        <v>0.2</v>
      </c>
      <c r="AS455">
        <v>0.3609</v>
      </c>
      <c r="AT455">
        <v>1.1000000000000001E-3</v>
      </c>
      <c r="AW455" s="28">
        <f t="shared" si="35"/>
        <v>7.9671456517416299</v>
      </c>
      <c r="AX455">
        <f t="shared" si="36"/>
        <v>0.86956521739130432</v>
      </c>
      <c r="AY455" s="62">
        <f t="shared" si="37"/>
        <v>6.9279527406448951</v>
      </c>
      <c r="AZ455" s="68" t="str">
        <f t="shared" si="38"/>
        <v>No</v>
      </c>
      <c r="BA455" s="68" t="str">
        <f t="shared" si="39"/>
        <v>No</v>
      </c>
    </row>
    <row r="456" spans="1:53" hidden="1">
      <c r="A456" t="s">
        <v>1815</v>
      </c>
      <c r="B456" t="s">
        <v>2317</v>
      </c>
      <c r="C456">
        <v>179</v>
      </c>
      <c r="F456" t="s">
        <v>1241</v>
      </c>
      <c r="G456" t="s">
        <v>1982</v>
      </c>
      <c r="I456">
        <v>2018</v>
      </c>
      <c r="N456" t="s">
        <v>36</v>
      </c>
      <c r="P456" t="s">
        <v>60</v>
      </c>
      <c r="Q456" t="s">
        <v>900</v>
      </c>
      <c r="R456" t="s">
        <v>888</v>
      </c>
      <c r="S456" t="s">
        <v>1999</v>
      </c>
      <c r="V456" t="s">
        <v>907</v>
      </c>
      <c r="Z456">
        <v>4</v>
      </c>
      <c r="AA456">
        <v>4</v>
      </c>
      <c r="AC456">
        <v>389</v>
      </c>
      <c r="AD456">
        <v>19</v>
      </c>
      <c r="AE456">
        <v>372</v>
      </c>
      <c r="AF456">
        <v>29</v>
      </c>
      <c r="AG456" t="s">
        <v>3440</v>
      </c>
      <c r="AI456">
        <v>19</v>
      </c>
      <c r="AJ456" t="s">
        <v>787</v>
      </c>
      <c r="AK456" t="s">
        <v>69</v>
      </c>
      <c r="AN456">
        <v>33.9</v>
      </c>
      <c r="AO456">
        <v>24</v>
      </c>
      <c r="AP456">
        <v>37</v>
      </c>
      <c r="AQ456">
        <v>8.1999999999999993</v>
      </c>
      <c r="AS456">
        <v>8.7499999999999994E-2</v>
      </c>
      <c r="AT456">
        <v>0.1376</v>
      </c>
      <c r="AW456" s="28">
        <f t="shared" si="35"/>
        <v>0.17285827312612934</v>
      </c>
      <c r="AX456">
        <f t="shared" si="36"/>
        <v>0.86956521739130432</v>
      </c>
      <c r="AY456" s="62">
        <f t="shared" si="37"/>
        <v>0.15031154184880813</v>
      </c>
      <c r="AZ456" s="68" t="str">
        <f t="shared" si="38"/>
        <v>No</v>
      </c>
      <c r="BA456" s="68" t="str">
        <f t="shared" si="39"/>
        <v>No</v>
      </c>
    </row>
    <row r="457" spans="1:53" hidden="1">
      <c r="A457" t="s">
        <v>1815</v>
      </c>
      <c r="B457" t="s">
        <v>2377</v>
      </c>
      <c r="C457">
        <v>179</v>
      </c>
      <c r="F457" t="s">
        <v>1241</v>
      </c>
      <c r="G457" t="s">
        <v>1982</v>
      </c>
      <c r="I457">
        <v>2014</v>
      </c>
      <c r="N457" t="s">
        <v>36</v>
      </c>
      <c r="P457" t="s">
        <v>60</v>
      </c>
      <c r="Q457" t="s">
        <v>900</v>
      </c>
      <c r="R457" t="s">
        <v>888</v>
      </c>
      <c r="S457" t="s">
        <v>1999</v>
      </c>
      <c r="V457" t="s">
        <v>907</v>
      </c>
      <c r="Z457">
        <v>4</v>
      </c>
      <c r="AA457">
        <v>4</v>
      </c>
      <c r="AC457">
        <v>389</v>
      </c>
      <c r="AD457">
        <v>19</v>
      </c>
      <c r="AE457">
        <v>372</v>
      </c>
      <c r="AF457">
        <v>29</v>
      </c>
      <c r="AG457" t="s">
        <v>3453</v>
      </c>
      <c r="AI457">
        <v>19</v>
      </c>
      <c r="AJ457" t="s">
        <v>2044</v>
      </c>
      <c r="AK457" t="s">
        <v>770</v>
      </c>
      <c r="AN457">
        <v>9</v>
      </c>
      <c r="AO457">
        <v>0.02</v>
      </c>
      <c r="AP457">
        <v>4.4000000000000004</v>
      </c>
      <c r="AQ457">
        <v>0.5</v>
      </c>
      <c r="AS457">
        <v>-0.71560000000000001</v>
      </c>
      <c r="AT457">
        <v>3.2000000000000002E-3</v>
      </c>
      <c r="AW457" s="28">
        <f t="shared" si="35"/>
        <v>-13.000368635717093</v>
      </c>
      <c r="AX457">
        <f t="shared" si="36"/>
        <v>0.86956521739130432</v>
      </c>
      <c r="AY457" s="62">
        <f t="shared" si="37"/>
        <v>-11.304668378884429</v>
      </c>
      <c r="AZ457" s="68" t="str">
        <f t="shared" si="38"/>
        <v>No</v>
      </c>
      <c r="BA457" s="68" t="str">
        <f t="shared" si="39"/>
        <v>Yes</v>
      </c>
    </row>
    <row r="458" spans="1:53" hidden="1">
      <c r="A458" t="s">
        <v>1815</v>
      </c>
      <c r="B458" t="s">
        <v>2398</v>
      </c>
      <c r="C458">
        <v>179</v>
      </c>
      <c r="F458" t="s">
        <v>1241</v>
      </c>
      <c r="G458" t="s">
        <v>1982</v>
      </c>
      <c r="I458">
        <v>2020</v>
      </c>
      <c r="N458" t="s">
        <v>36</v>
      </c>
      <c r="P458" t="s">
        <v>60</v>
      </c>
      <c r="Q458" t="s">
        <v>900</v>
      </c>
      <c r="R458" t="s">
        <v>888</v>
      </c>
      <c r="S458" t="s">
        <v>1999</v>
      </c>
      <c r="V458" t="s">
        <v>907</v>
      </c>
      <c r="Z458">
        <v>4</v>
      </c>
      <c r="AA458">
        <v>4</v>
      </c>
      <c r="AC458">
        <v>389</v>
      </c>
      <c r="AD458">
        <v>19</v>
      </c>
      <c r="AE458">
        <v>372</v>
      </c>
      <c r="AF458">
        <v>29</v>
      </c>
      <c r="AG458" t="s">
        <v>3453</v>
      </c>
      <c r="AI458">
        <v>19</v>
      </c>
      <c r="AJ458" t="s">
        <v>787</v>
      </c>
      <c r="AK458" t="s">
        <v>59</v>
      </c>
      <c r="AN458">
        <v>80.2</v>
      </c>
      <c r="AO458">
        <v>12</v>
      </c>
      <c r="AP458">
        <v>96</v>
      </c>
      <c r="AQ458">
        <v>3.1</v>
      </c>
      <c r="AS458">
        <v>0.17979999999999999</v>
      </c>
      <c r="AT458">
        <v>5.8999999999999999E-3</v>
      </c>
      <c r="AW458" s="28">
        <f t="shared" si="35"/>
        <v>1.8028613991818263</v>
      </c>
      <c r="AX458">
        <f t="shared" si="36"/>
        <v>0.86956521739130432</v>
      </c>
      <c r="AY458" s="62">
        <f t="shared" si="37"/>
        <v>1.5677055645059359</v>
      </c>
      <c r="AZ458" s="68" t="str">
        <f t="shared" si="38"/>
        <v>No</v>
      </c>
      <c r="BA458" s="68" t="str">
        <f t="shared" si="39"/>
        <v>No</v>
      </c>
    </row>
    <row r="459" spans="1:53" hidden="1">
      <c r="A459" t="s">
        <v>1815</v>
      </c>
      <c r="B459" t="s">
        <v>2294</v>
      </c>
      <c r="C459">
        <v>179</v>
      </c>
      <c r="F459" t="s">
        <v>1241</v>
      </c>
      <c r="G459" t="s">
        <v>1982</v>
      </c>
      <c r="I459">
        <v>2018</v>
      </c>
      <c r="N459" t="s">
        <v>36</v>
      </c>
      <c r="P459" t="s">
        <v>60</v>
      </c>
      <c r="Q459" t="s">
        <v>900</v>
      </c>
      <c r="R459" t="s">
        <v>888</v>
      </c>
      <c r="S459" t="s">
        <v>1999</v>
      </c>
      <c r="V459" t="s">
        <v>1015</v>
      </c>
      <c r="Z459">
        <v>4</v>
      </c>
      <c r="AA459">
        <v>4</v>
      </c>
      <c r="AC459">
        <v>389</v>
      </c>
      <c r="AD459">
        <v>19</v>
      </c>
      <c r="AE459">
        <v>1630</v>
      </c>
      <c r="AF459">
        <v>29</v>
      </c>
      <c r="AG459" t="s">
        <v>3440</v>
      </c>
      <c r="AI459">
        <v>19</v>
      </c>
      <c r="AJ459" t="s">
        <v>1205</v>
      </c>
      <c r="AK459" t="s">
        <v>40</v>
      </c>
      <c r="AN459">
        <v>4.05</v>
      </c>
      <c r="AO459">
        <v>0.24</v>
      </c>
      <c r="AP459">
        <v>4.87</v>
      </c>
      <c r="AQ459">
        <v>0.18</v>
      </c>
      <c r="AS459">
        <v>0.18440000000000001</v>
      </c>
      <c r="AT459">
        <v>1.1000000000000001E-3</v>
      </c>
      <c r="AW459" s="28">
        <f t="shared" si="35"/>
        <v>3.8655170704864608</v>
      </c>
      <c r="AX459">
        <f t="shared" si="36"/>
        <v>0.86956521739130432</v>
      </c>
      <c r="AY459" s="62">
        <f t="shared" si="37"/>
        <v>3.361319191727357</v>
      </c>
      <c r="AZ459" s="68" t="str">
        <f t="shared" si="38"/>
        <v>No</v>
      </c>
      <c r="BA459" s="68" t="str">
        <f t="shared" si="39"/>
        <v>No</v>
      </c>
    </row>
    <row r="460" spans="1:53" hidden="1">
      <c r="A460" t="s">
        <v>1815</v>
      </c>
      <c r="B460" t="s">
        <v>2399</v>
      </c>
      <c r="C460">
        <v>179</v>
      </c>
      <c r="F460" t="s">
        <v>1241</v>
      </c>
      <c r="G460" t="s">
        <v>1982</v>
      </c>
      <c r="I460">
        <v>2021</v>
      </c>
      <c r="N460" t="s">
        <v>36</v>
      </c>
      <c r="P460" t="s">
        <v>60</v>
      </c>
      <c r="Q460" t="s">
        <v>900</v>
      </c>
      <c r="R460" t="s">
        <v>888</v>
      </c>
      <c r="S460" t="s">
        <v>1999</v>
      </c>
      <c r="V460" t="s">
        <v>1015</v>
      </c>
      <c r="Z460">
        <v>4</v>
      </c>
      <c r="AA460">
        <v>4</v>
      </c>
      <c r="AC460">
        <v>389</v>
      </c>
      <c r="AD460">
        <v>19</v>
      </c>
      <c r="AE460">
        <v>1630</v>
      </c>
      <c r="AF460">
        <v>29</v>
      </c>
      <c r="AG460" t="s">
        <v>3453</v>
      </c>
      <c r="AI460">
        <v>19</v>
      </c>
      <c r="AJ460" t="s">
        <v>787</v>
      </c>
      <c r="AK460" t="s">
        <v>59</v>
      </c>
      <c r="AN460">
        <v>80.2</v>
      </c>
      <c r="AO460">
        <v>12</v>
      </c>
      <c r="AP460">
        <v>96</v>
      </c>
      <c r="AQ460">
        <v>3.1</v>
      </c>
      <c r="AS460">
        <v>0.17979999999999999</v>
      </c>
      <c r="AT460">
        <v>5.8999999999999999E-3</v>
      </c>
      <c r="AW460" s="28">
        <f t="shared" si="35"/>
        <v>1.8028613991818263</v>
      </c>
      <c r="AX460">
        <f t="shared" si="36"/>
        <v>0.86956521739130432</v>
      </c>
      <c r="AY460" s="62">
        <f t="shared" si="37"/>
        <v>1.5677055645059359</v>
      </c>
      <c r="AZ460" s="68" t="str">
        <f t="shared" si="38"/>
        <v>No</v>
      </c>
      <c r="BA460" s="68" t="str">
        <f t="shared" si="39"/>
        <v>No</v>
      </c>
    </row>
    <row r="461" spans="1:53" hidden="1">
      <c r="A461" t="s">
        <v>1815</v>
      </c>
      <c r="B461" t="s">
        <v>2409</v>
      </c>
      <c r="C461">
        <v>179</v>
      </c>
      <c r="F461" t="s">
        <v>1241</v>
      </c>
      <c r="G461" t="s">
        <v>1982</v>
      </c>
      <c r="I461">
        <v>2020</v>
      </c>
      <c r="N461" t="s">
        <v>36</v>
      </c>
      <c r="P461" t="s">
        <v>60</v>
      </c>
      <c r="Q461" t="s">
        <v>900</v>
      </c>
      <c r="R461" t="s">
        <v>888</v>
      </c>
      <c r="S461" t="s">
        <v>1999</v>
      </c>
      <c r="V461" t="s">
        <v>1015</v>
      </c>
      <c r="Z461">
        <v>4</v>
      </c>
      <c r="AA461">
        <v>4</v>
      </c>
      <c r="AC461">
        <v>389</v>
      </c>
      <c r="AD461">
        <v>19</v>
      </c>
      <c r="AE461">
        <v>1630</v>
      </c>
      <c r="AF461">
        <v>29</v>
      </c>
      <c r="AG461" t="s">
        <v>3453</v>
      </c>
      <c r="AI461">
        <v>19</v>
      </c>
      <c r="AJ461" t="s">
        <v>2044</v>
      </c>
      <c r="AK461" t="s">
        <v>770</v>
      </c>
      <c r="AN461">
        <v>9</v>
      </c>
      <c r="AO461">
        <v>0.02</v>
      </c>
      <c r="AP461">
        <v>3.4</v>
      </c>
      <c r="AQ461">
        <v>0.6</v>
      </c>
      <c r="AS461">
        <v>-0.97340000000000004</v>
      </c>
      <c r="AT461">
        <v>7.7999999999999996E-3</v>
      </c>
      <c r="AW461" s="28">
        <f t="shared" si="35"/>
        <v>-13.191999728083273</v>
      </c>
      <c r="AX461">
        <f t="shared" si="36"/>
        <v>0.86956521739130432</v>
      </c>
      <c r="AY461" s="62">
        <f t="shared" si="37"/>
        <v>-11.471304111376758</v>
      </c>
      <c r="AZ461" s="68" t="str">
        <f t="shared" si="38"/>
        <v>No</v>
      </c>
      <c r="BA461" s="68" t="str">
        <f t="shared" si="39"/>
        <v>Yes</v>
      </c>
    </row>
    <row r="462" spans="1:53" hidden="1">
      <c r="A462" t="s">
        <v>1815</v>
      </c>
      <c r="B462" t="s">
        <v>2464</v>
      </c>
      <c r="C462">
        <v>179</v>
      </c>
      <c r="F462" t="s">
        <v>1241</v>
      </c>
      <c r="G462" t="s">
        <v>1982</v>
      </c>
      <c r="I462">
        <v>2018</v>
      </c>
      <c r="N462" t="s">
        <v>36</v>
      </c>
      <c r="P462" t="s">
        <v>60</v>
      </c>
      <c r="Q462" t="s">
        <v>900</v>
      </c>
      <c r="R462" t="s">
        <v>888</v>
      </c>
      <c r="S462" t="s">
        <v>1999</v>
      </c>
      <c r="V462" t="s">
        <v>1015</v>
      </c>
      <c r="Z462">
        <v>4</v>
      </c>
      <c r="AA462">
        <v>4</v>
      </c>
      <c r="AC462">
        <v>389</v>
      </c>
      <c r="AD462">
        <v>19</v>
      </c>
      <c r="AE462">
        <v>1630</v>
      </c>
      <c r="AF462">
        <v>29</v>
      </c>
      <c r="AG462" t="s">
        <v>3440</v>
      </c>
      <c r="AI462">
        <v>19</v>
      </c>
      <c r="AJ462" t="s">
        <v>787</v>
      </c>
      <c r="AK462" t="s">
        <v>69</v>
      </c>
      <c r="AN462">
        <v>33.9</v>
      </c>
      <c r="AO462">
        <v>24</v>
      </c>
      <c r="AP462">
        <v>6.6</v>
      </c>
      <c r="AQ462">
        <v>2.2999999999999998</v>
      </c>
      <c r="AS462">
        <v>-1.6363000000000001</v>
      </c>
      <c r="AT462">
        <v>0.15570000000000001</v>
      </c>
      <c r="AW462" s="28">
        <f t="shared" si="35"/>
        <v>-1.6013313974061303</v>
      </c>
      <c r="AX462">
        <f t="shared" si="36"/>
        <v>0.86956521739130432</v>
      </c>
      <c r="AY462" s="62">
        <f t="shared" si="37"/>
        <v>-1.3924620847009828</v>
      </c>
      <c r="AZ462" s="68" t="str">
        <f t="shared" si="38"/>
        <v>No</v>
      </c>
      <c r="BA462" s="68" t="str">
        <f t="shared" si="39"/>
        <v>No</v>
      </c>
    </row>
    <row r="463" spans="1:53" hidden="1">
      <c r="A463" t="s">
        <v>1815</v>
      </c>
      <c r="B463" t="s">
        <v>2746</v>
      </c>
      <c r="C463">
        <v>93</v>
      </c>
      <c r="F463" t="s">
        <v>1241</v>
      </c>
      <c r="G463" t="s">
        <v>1713</v>
      </c>
      <c r="I463">
        <v>2019</v>
      </c>
      <c r="N463" t="s">
        <v>36</v>
      </c>
      <c r="P463" t="s">
        <v>60</v>
      </c>
      <c r="Q463" t="s">
        <v>900</v>
      </c>
      <c r="R463" t="s">
        <v>1742</v>
      </c>
      <c r="S463" t="s">
        <v>1764</v>
      </c>
      <c r="V463" t="s">
        <v>905</v>
      </c>
      <c r="Z463">
        <v>8</v>
      </c>
      <c r="AA463">
        <v>8</v>
      </c>
      <c r="AC463">
        <v>484</v>
      </c>
      <c r="AD463">
        <v>30.1</v>
      </c>
      <c r="AE463">
        <v>1149</v>
      </c>
      <c r="AF463">
        <v>30</v>
      </c>
      <c r="AG463" t="s">
        <v>3364</v>
      </c>
      <c r="AH463">
        <v>3.060320028688285</v>
      </c>
      <c r="AI463">
        <v>30.1</v>
      </c>
      <c r="AJ463" t="s">
        <v>1807</v>
      </c>
      <c r="AK463" t="s">
        <v>770</v>
      </c>
      <c r="AM463"/>
      <c r="AN463">
        <v>5.71</v>
      </c>
      <c r="AO463">
        <v>0.39597979746446665</v>
      </c>
      <c r="AP463">
        <v>6.5</v>
      </c>
      <c r="AQ463">
        <v>0.33941125496954283</v>
      </c>
      <c r="AS463">
        <v>0.129</v>
      </c>
      <c r="AT463">
        <v>8.9999999999999998E-4</v>
      </c>
      <c r="AW463" s="28">
        <f t="shared" si="35"/>
        <v>2.1421882709592297</v>
      </c>
      <c r="AX463">
        <f t="shared" si="36"/>
        <v>0.94545454545454544</v>
      </c>
      <c r="AY463" s="62">
        <f t="shared" si="37"/>
        <v>2.0253416379978173</v>
      </c>
      <c r="AZ463" s="68" t="str">
        <f t="shared" si="38"/>
        <v>No</v>
      </c>
      <c r="BA463" s="68" t="str">
        <f t="shared" si="39"/>
        <v>No</v>
      </c>
    </row>
    <row r="464" spans="1:53" hidden="1">
      <c r="A464" t="s">
        <v>1815</v>
      </c>
      <c r="B464" t="s">
        <v>2745</v>
      </c>
      <c r="C464">
        <v>93</v>
      </c>
      <c r="F464" t="s">
        <v>1241</v>
      </c>
      <c r="G464" t="s">
        <v>1713</v>
      </c>
      <c r="I464">
        <v>2019</v>
      </c>
      <c r="N464" t="s">
        <v>36</v>
      </c>
      <c r="P464" t="s">
        <v>60</v>
      </c>
      <c r="Q464" t="s">
        <v>900</v>
      </c>
      <c r="R464" t="s">
        <v>1742</v>
      </c>
      <c r="S464" t="s">
        <v>1764</v>
      </c>
      <c r="V464" t="s">
        <v>907</v>
      </c>
      <c r="Z464">
        <v>8</v>
      </c>
      <c r="AA464">
        <v>8</v>
      </c>
      <c r="AC464">
        <v>484</v>
      </c>
      <c r="AD464">
        <v>30.1</v>
      </c>
      <c r="AE464">
        <v>524</v>
      </c>
      <c r="AF464">
        <v>32</v>
      </c>
      <c r="AG464" t="s">
        <v>3364</v>
      </c>
      <c r="AH464">
        <v>2.7193312869837265</v>
      </c>
      <c r="AI464">
        <v>30.1</v>
      </c>
      <c r="AJ464" t="s">
        <v>1807</v>
      </c>
      <c r="AK464" t="s">
        <v>770</v>
      </c>
      <c r="AM464"/>
      <c r="AN464">
        <v>5.71</v>
      </c>
      <c r="AO464">
        <v>0.39597979746446665</v>
      </c>
      <c r="AP464">
        <v>5.25</v>
      </c>
      <c r="AQ464">
        <v>0.42426406871192851</v>
      </c>
      <c r="AS464">
        <v>-8.4000000000000005E-2</v>
      </c>
      <c r="AT464">
        <v>1.4E-3</v>
      </c>
      <c r="AW464" s="28">
        <f t="shared" si="35"/>
        <v>-1.1209514113057322</v>
      </c>
      <c r="AX464">
        <f t="shared" si="36"/>
        <v>0.94545454545454544</v>
      </c>
      <c r="AY464" s="62">
        <f t="shared" si="37"/>
        <v>-1.0598086070526922</v>
      </c>
      <c r="AZ464" s="68" t="str">
        <f t="shared" si="38"/>
        <v>No</v>
      </c>
      <c r="BA464" s="68" t="str">
        <f t="shared" si="39"/>
        <v>No</v>
      </c>
    </row>
    <row r="465" spans="1:53" hidden="1">
      <c r="A465" t="s">
        <v>1815</v>
      </c>
      <c r="B465" t="s">
        <v>2744</v>
      </c>
      <c r="C465">
        <v>93</v>
      </c>
      <c r="F465" t="s">
        <v>1241</v>
      </c>
      <c r="G465" t="s">
        <v>1713</v>
      </c>
      <c r="I465">
        <v>2019</v>
      </c>
      <c r="N465" t="s">
        <v>36</v>
      </c>
      <c r="P465" t="s">
        <v>60</v>
      </c>
      <c r="Q465" t="s">
        <v>900</v>
      </c>
      <c r="R465" t="s">
        <v>1742</v>
      </c>
      <c r="S465" t="s">
        <v>1764</v>
      </c>
      <c r="V465" t="s">
        <v>1015</v>
      </c>
      <c r="Z465">
        <v>8</v>
      </c>
      <c r="AA465">
        <v>8</v>
      </c>
      <c r="AC465">
        <v>484</v>
      </c>
      <c r="AD465">
        <v>30.1</v>
      </c>
      <c r="AE465">
        <v>1199</v>
      </c>
      <c r="AF465">
        <v>32</v>
      </c>
      <c r="AG465" t="s">
        <v>3364</v>
      </c>
      <c r="AH465">
        <v>3.0788191830988487</v>
      </c>
      <c r="AI465">
        <v>30.1</v>
      </c>
      <c r="AJ465" t="s">
        <v>1807</v>
      </c>
      <c r="AK465" t="s">
        <v>770</v>
      </c>
      <c r="AM465"/>
      <c r="AN465">
        <v>5.71</v>
      </c>
      <c r="AO465">
        <v>0.39597979746446665</v>
      </c>
      <c r="AP465">
        <v>5.16</v>
      </c>
      <c r="AQ465">
        <v>0.45254833995939048</v>
      </c>
      <c r="AS465">
        <v>-0.10199999999999999</v>
      </c>
      <c r="AT465">
        <v>1.6000000000000001E-3</v>
      </c>
      <c r="AW465" s="28">
        <f t="shared" si="35"/>
        <v>-1.2934911940274456</v>
      </c>
      <c r="AX465">
        <f t="shared" si="36"/>
        <v>0.94545454545454544</v>
      </c>
      <c r="AY465" s="62">
        <f t="shared" si="37"/>
        <v>-1.2229371288986759</v>
      </c>
      <c r="AZ465" s="68" t="str">
        <f t="shared" si="38"/>
        <v>No</v>
      </c>
      <c r="BA465" s="68" t="str">
        <f t="shared" si="39"/>
        <v>No</v>
      </c>
    </row>
    <row r="466" spans="1:53" hidden="1">
      <c r="A466" t="s">
        <v>1815</v>
      </c>
      <c r="B466" t="s">
        <v>2667</v>
      </c>
      <c r="C466">
        <v>69</v>
      </c>
      <c r="F466" t="s">
        <v>1241</v>
      </c>
      <c r="G466" t="s">
        <v>1706</v>
      </c>
      <c r="I466">
        <v>2014</v>
      </c>
      <c r="N466" t="s">
        <v>36</v>
      </c>
      <c r="P466" t="s">
        <v>60</v>
      </c>
      <c r="Q466" t="s">
        <v>900</v>
      </c>
      <c r="R466" t="s">
        <v>946</v>
      </c>
      <c r="S466" t="s">
        <v>1756</v>
      </c>
      <c r="V466" t="s">
        <v>905</v>
      </c>
      <c r="Z466">
        <v>9</v>
      </c>
      <c r="AA466">
        <v>9</v>
      </c>
      <c r="AC466">
        <v>291</v>
      </c>
      <c r="AD466">
        <v>20</v>
      </c>
      <c r="AE466">
        <v>2089</v>
      </c>
      <c r="AF466">
        <v>20</v>
      </c>
      <c r="AG466" t="s">
        <v>3355</v>
      </c>
      <c r="AH466">
        <v>3.3199384399803087</v>
      </c>
      <c r="AI466">
        <v>20</v>
      </c>
      <c r="AJ466" t="s">
        <v>1790</v>
      </c>
      <c r="AK466" t="s">
        <v>770</v>
      </c>
      <c r="AM466"/>
      <c r="AN466">
        <v>96.15</v>
      </c>
      <c r="AO466">
        <v>3.99</v>
      </c>
      <c r="AP466">
        <v>79.13</v>
      </c>
      <c r="AQ466">
        <v>7.38</v>
      </c>
      <c r="AS466">
        <v>-0.19500000000000001</v>
      </c>
      <c r="AT466">
        <v>1.1999999999999999E-3</v>
      </c>
      <c r="AW466" s="28">
        <f t="shared" si="35"/>
        <v>-2.869036270677499</v>
      </c>
      <c r="AX466">
        <f t="shared" si="36"/>
        <v>0.95238095238095233</v>
      </c>
      <c r="AY466" s="62">
        <f t="shared" si="37"/>
        <v>-2.7324154958833322</v>
      </c>
      <c r="AZ466" s="68" t="str">
        <f t="shared" si="38"/>
        <v>No</v>
      </c>
      <c r="BA466" s="68" t="str">
        <f t="shared" si="39"/>
        <v>No</v>
      </c>
    </row>
    <row r="467" spans="1:53" hidden="1">
      <c r="A467" t="s">
        <v>1815</v>
      </c>
      <c r="B467" t="s">
        <v>2673</v>
      </c>
      <c r="C467">
        <v>69</v>
      </c>
      <c r="F467" t="s">
        <v>1241</v>
      </c>
      <c r="G467" t="s">
        <v>1706</v>
      </c>
      <c r="I467">
        <v>2014</v>
      </c>
      <c r="N467" t="s">
        <v>36</v>
      </c>
      <c r="P467" t="s">
        <v>60</v>
      </c>
      <c r="Q467" t="s">
        <v>900</v>
      </c>
      <c r="R467" t="s">
        <v>946</v>
      </c>
      <c r="S467" t="s">
        <v>956</v>
      </c>
      <c r="V467" t="s">
        <v>905</v>
      </c>
      <c r="Z467">
        <v>9</v>
      </c>
      <c r="AA467">
        <v>9</v>
      </c>
      <c r="AC467">
        <v>291</v>
      </c>
      <c r="AD467">
        <v>20</v>
      </c>
      <c r="AE467">
        <v>1274</v>
      </c>
      <c r="AF467">
        <v>20</v>
      </c>
      <c r="AG467" t="s">
        <v>3354</v>
      </c>
      <c r="AH467">
        <v>3.1051694279993316</v>
      </c>
      <c r="AI467">
        <v>20</v>
      </c>
      <c r="AJ467" t="s">
        <v>1790</v>
      </c>
      <c r="AK467" t="s">
        <v>770</v>
      </c>
      <c r="AM467"/>
      <c r="AN467">
        <v>88.6</v>
      </c>
      <c r="AO467">
        <v>6.8999999999999995</v>
      </c>
      <c r="AP467">
        <v>78.900000000000006</v>
      </c>
      <c r="AQ467">
        <v>11.64</v>
      </c>
      <c r="AS467">
        <v>-0.11600000000000001</v>
      </c>
      <c r="AT467">
        <v>3.0999999999999999E-3</v>
      </c>
      <c r="AW467" s="28">
        <f t="shared" si="35"/>
        <v>-1.0137784014171944</v>
      </c>
      <c r="AX467">
        <f t="shared" si="36"/>
        <v>0.95238095238095233</v>
      </c>
      <c r="AY467" s="62">
        <f t="shared" si="37"/>
        <v>-0.96550323944494698</v>
      </c>
      <c r="AZ467" s="68" t="str">
        <f t="shared" si="38"/>
        <v>No</v>
      </c>
      <c r="BA467" s="68" t="str">
        <f t="shared" si="39"/>
        <v>No</v>
      </c>
    </row>
    <row r="468" spans="1:53" hidden="1">
      <c r="A468" t="s">
        <v>1815</v>
      </c>
      <c r="B468" t="s">
        <v>2674</v>
      </c>
      <c r="C468">
        <v>69</v>
      </c>
      <c r="F468" t="s">
        <v>1241</v>
      </c>
      <c r="G468" t="s">
        <v>1706</v>
      </c>
      <c r="I468">
        <v>2014</v>
      </c>
      <c r="N468" t="s">
        <v>36</v>
      </c>
      <c r="P468" t="s">
        <v>60</v>
      </c>
      <c r="Q468" t="s">
        <v>900</v>
      </c>
      <c r="R468" t="s">
        <v>946</v>
      </c>
      <c r="S468" t="s">
        <v>1756</v>
      </c>
      <c r="V468" t="s">
        <v>905</v>
      </c>
      <c r="Z468">
        <v>9</v>
      </c>
      <c r="AA468">
        <v>9</v>
      </c>
      <c r="AC468">
        <v>291</v>
      </c>
      <c r="AD468">
        <v>20</v>
      </c>
      <c r="AE468">
        <v>1274</v>
      </c>
      <c r="AF468">
        <v>20</v>
      </c>
      <c r="AG468" t="s">
        <v>3355</v>
      </c>
      <c r="AH468">
        <v>3.1051694279993316</v>
      </c>
      <c r="AI468">
        <v>20</v>
      </c>
      <c r="AJ468" t="s">
        <v>1790</v>
      </c>
      <c r="AK468" t="s">
        <v>770</v>
      </c>
      <c r="AM468"/>
      <c r="AN468">
        <v>96.15</v>
      </c>
      <c r="AO468">
        <v>3.99</v>
      </c>
      <c r="AP468">
        <v>85.75</v>
      </c>
      <c r="AQ468">
        <v>7.9499999999999993</v>
      </c>
      <c r="AS468">
        <v>-0.114</v>
      </c>
      <c r="AT468">
        <v>1.1000000000000001E-3</v>
      </c>
      <c r="AW468" s="28">
        <f t="shared" si="35"/>
        <v>-1.6534766343287488</v>
      </c>
      <c r="AX468">
        <f t="shared" si="36"/>
        <v>0.95238095238095233</v>
      </c>
      <c r="AY468" s="62">
        <f t="shared" si="37"/>
        <v>-1.5747396517416654</v>
      </c>
      <c r="AZ468" s="68" t="str">
        <f t="shared" si="38"/>
        <v>No</v>
      </c>
      <c r="BA468" s="68" t="str">
        <f t="shared" si="39"/>
        <v>No</v>
      </c>
    </row>
    <row r="469" spans="1:53" hidden="1">
      <c r="A469" t="s">
        <v>1815</v>
      </c>
      <c r="B469" t="s">
        <v>2677</v>
      </c>
      <c r="C469">
        <v>69</v>
      </c>
      <c r="F469" t="s">
        <v>1241</v>
      </c>
      <c r="G469" t="s">
        <v>1706</v>
      </c>
      <c r="I469">
        <v>2014</v>
      </c>
      <c r="N469" t="s">
        <v>36</v>
      </c>
      <c r="P469" t="s">
        <v>60</v>
      </c>
      <c r="Q469" t="s">
        <v>900</v>
      </c>
      <c r="R469" t="s">
        <v>946</v>
      </c>
      <c r="S469" t="s">
        <v>956</v>
      </c>
      <c r="V469" t="s">
        <v>905</v>
      </c>
      <c r="Z469">
        <v>9</v>
      </c>
      <c r="AA469">
        <v>9</v>
      </c>
      <c r="AC469">
        <v>291</v>
      </c>
      <c r="AD469">
        <v>20</v>
      </c>
      <c r="AE469">
        <v>2089</v>
      </c>
      <c r="AF469">
        <v>20</v>
      </c>
      <c r="AG469" t="s">
        <v>3354</v>
      </c>
      <c r="AH469">
        <v>3.3199384399803087</v>
      </c>
      <c r="AI469">
        <v>20</v>
      </c>
      <c r="AJ469" t="s">
        <v>1790</v>
      </c>
      <c r="AK469" t="s">
        <v>770</v>
      </c>
      <c r="AM469"/>
      <c r="AN469">
        <v>88.6</v>
      </c>
      <c r="AO469">
        <v>6.8999999999999995</v>
      </c>
      <c r="AP469">
        <v>80.84</v>
      </c>
      <c r="AQ469">
        <v>10.92</v>
      </c>
      <c r="AS469">
        <v>-9.1999999999999998E-2</v>
      </c>
      <c r="AT469">
        <v>2.7000000000000001E-3</v>
      </c>
      <c r="AW469" s="28">
        <f t="shared" si="35"/>
        <v>-0.84958196474285597</v>
      </c>
      <c r="AX469">
        <f t="shared" si="36"/>
        <v>0.95238095238095233</v>
      </c>
      <c r="AY469" s="62">
        <f t="shared" si="37"/>
        <v>-0.80912568070748181</v>
      </c>
      <c r="AZ469" s="68" t="str">
        <f t="shared" si="38"/>
        <v>No</v>
      </c>
      <c r="BA469" s="68" t="str">
        <f t="shared" si="39"/>
        <v>No</v>
      </c>
    </row>
    <row r="470" spans="1:53" hidden="1">
      <c r="A470" t="s">
        <v>1815</v>
      </c>
      <c r="B470" t="s">
        <v>2679</v>
      </c>
      <c r="C470">
        <v>69</v>
      </c>
      <c r="F470" t="s">
        <v>1241</v>
      </c>
      <c r="G470" t="s">
        <v>1706</v>
      </c>
      <c r="I470">
        <v>2014</v>
      </c>
      <c r="N470" t="s">
        <v>36</v>
      </c>
      <c r="P470" t="s">
        <v>60</v>
      </c>
      <c r="Q470" t="s">
        <v>900</v>
      </c>
      <c r="R470" t="s">
        <v>946</v>
      </c>
      <c r="S470" t="s">
        <v>1756</v>
      </c>
      <c r="V470" t="s">
        <v>905</v>
      </c>
      <c r="Z470">
        <v>9</v>
      </c>
      <c r="AA470">
        <v>9</v>
      </c>
      <c r="AC470">
        <v>291</v>
      </c>
      <c r="AD470">
        <v>20</v>
      </c>
      <c r="AE470">
        <v>768</v>
      </c>
      <c r="AF470">
        <v>20</v>
      </c>
      <c r="AG470" t="s">
        <v>3355</v>
      </c>
      <c r="AH470">
        <v>2.8853612200315122</v>
      </c>
      <c r="AI470">
        <v>20</v>
      </c>
      <c r="AJ470" t="s">
        <v>1790</v>
      </c>
      <c r="AK470" t="s">
        <v>770</v>
      </c>
      <c r="AM470"/>
      <c r="AN470">
        <v>96.15</v>
      </c>
      <c r="AO470">
        <v>3.99</v>
      </c>
      <c r="AP470">
        <v>91.04</v>
      </c>
      <c r="AQ470">
        <v>3.99</v>
      </c>
      <c r="AS470">
        <v>-5.5E-2</v>
      </c>
      <c r="AT470">
        <v>4.0000000000000002E-4</v>
      </c>
      <c r="AW470" s="28">
        <f t="shared" si="35"/>
        <v>-1.2807017543859647</v>
      </c>
      <c r="AX470">
        <f t="shared" si="36"/>
        <v>0.95238095238095233</v>
      </c>
      <c r="AY470" s="62">
        <f t="shared" si="37"/>
        <v>-1.2197159565580615</v>
      </c>
      <c r="AZ470" s="68" t="str">
        <f t="shared" si="38"/>
        <v>No</v>
      </c>
      <c r="BA470" s="68" t="str">
        <f t="shared" si="39"/>
        <v>No</v>
      </c>
    </row>
    <row r="471" spans="1:53" hidden="1">
      <c r="A471" t="s">
        <v>1815</v>
      </c>
      <c r="B471" t="s">
        <v>2681</v>
      </c>
      <c r="C471">
        <v>69</v>
      </c>
      <c r="F471" t="s">
        <v>1241</v>
      </c>
      <c r="G471" t="s">
        <v>1706</v>
      </c>
      <c r="I471">
        <v>2014</v>
      </c>
      <c r="N471" t="s">
        <v>36</v>
      </c>
      <c r="P471" t="s">
        <v>60</v>
      </c>
      <c r="Q471" t="s">
        <v>900</v>
      </c>
      <c r="R471" t="s">
        <v>946</v>
      </c>
      <c r="S471" t="s">
        <v>956</v>
      </c>
      <c r="V471" t="s">
        <v>905</v>
      </c>
      <c r="Z471">
        <v>9</v>
      </c>
      <c r="AA471">
        <v>9</v>
      </c>
      <c r="AC471">
        <v>291</v>
      </c>
      <c r="AD471">
        <v>20</v>
      </c>
      <c r="AE471">
        <v>768</v>
      </c>
      <c r="AF471">
        <v>20</v>
      </c>
      <c r="AG471" t="s">
        <v>3354</v>
      </c>
      <c r="AH471">
        <v>2.8853612200315122</v>
      </c>
      <c r="AI471">
        <v>20</v>
      </c>
      <c r="AJ471" t="s">
        <v>1790</v>
      </c>
      <c r="AK471" t="s">
        <v>770</v>
      </c>
      <c r="AM471"/>
      <c r="AN471">
        <v>88.6</v>
      </c>
      <c r="AO471">
        <v>6.8999999999999995</v>
      </c>
      <c r="AP471">
        <v>85.69</v>
      </c>
      <c r="AQ471">
        <v>6.18</v>
      </c>
      <c r="AS471">
        <v>-3.3000000000000002E-2</v>
      </c>
      <c r="AT471">
        <v>1.2999999999999999E-3</v>
      </c>
      <c r="AW471" s="28">
        <f t="shared" si="35"/>
        <v>-0.44428154035752854</v>
      </c>
      <c r="AX471">
        <f t="shared" si="36"/>
        <v>0.95238095238095233</v>
      </c>
      <c r="AY471" s="62">
        <f t="shared" si="37"/>
        <v>-0.42312527653097953</v>
      </c>
      <c r="AZ471" s="68" t="str">
        <f t="shared" si="38"/>
        <v>No</v>
      </c>
      <c r="BA471" s="68" t="str">
        <f t="shared" si="39"/>
        <v>No</v>
      </c>
    </row>
    <row r="472" spans="1:53" hidden="1">
      <c r="A472" t="s">
        <v>1815</v>
      </c>
      <c r="B472" t="s">
        <v>2660</v>
      </c>
      <c r="C472">
        <v>69</v>
      </c>
      <c r="F472" t="s">
        <v>1241</v>
      </c>
      <c r="G472" t="s">
        <v>1706</v>
      </c>
      <c r="I472">
        <v>2014</v>
      </c>
      <c r="N472" t="s">
        <v>36</v>
      </c>
      <c r="P472" t="s">
        <v>60</v>
      </c>
      <c r="Q472" t="s">
        <v>900</v>
      </c>
      <c r="R472" t="s">
        <v>946</v>
      </c>
      <c r="S472" t="s">
        <v>956</v>
      </c>
      <c r="V472" t="s">
        <v>907</v>
      </c>
      <c r="Z472">
        <v>9</v>
      </c>
      <c r="AA472">
        <v>9</v>
      </c>
      <c r="AC472">
        <v>291</v>
      </c>
      <c r="AD472">
        <v>20</v>
      </c>
      <c r="AE472">
        <v>260</v>
      </c>
      <c r="AF472">
        <v>26</v>
      </c>
      <c r="AG472" t="s">
        <v>3354</v>
      </c>
      <c r="AH472">
        <v>2.4149733479708178</v>
      </c>
      <c r="AI472">
        <v>20</v>
      </c>
      <c r="AJ472" t="s">
        <v>1790</v>
      </c>
      <c r="AK472" t="s">
        <v>770</v>
      </c>
      <c r="AM472"/>
      <c r="AN472">
        <v>88.6</v>
      </c>
      <c r="AO472">
        <v>6.8999999999999995</v>
      </c>
      <c r="AP472">
        <v>45.09</v>
      </c>
      <c r="AQ472">
        <v>11.61</v>
      </c>
      <c r="AS472">
        <v>-0.67500000000000004</v>
      </c>
      <c r="AT472">
        <v>8.0000000000000002E-3</v>
      </c>
      <c r="AW472" s="28">
        <f t="shared" si="35"/>
        <v>-4.5560571602156754</v>
      </c>
      <c r="AX472">
        <f t="shared" si="36"/>
        <v>0.95238095238095233</v>
      </c>
      <c r="AY472" s="62">
        <f t="shared" si="37"/>
        <v>-4.3391020573482617</v>
      </c>
      <c r="AZ472" s="68" t="str">
        <f t="shared" si="38"/>
        <v>No</v>
      </c>
      <c r="BA472" s="68" t="str">
        <f t="shared" si="39"/>
        <v>No</v>
      </c>
    </row>
    <row r="473" spans="1:53" hidden="1">
      <c r="A473" t="s">
        <v>1815</v>
      </c>
      <c r="B473" t="s">
        <v>2672</v>
      </c>
      <c r="C473">
        <v>69</v>
      </c>
      <c r="F473" t="s">
        <v>1241</v>
      </c>
      <c r="G473" t="s">
        <v>1706</v>
      </c>
      <c r="I473">
        <v>2014</v>
      </c>
      <c r="N473" t="s">
        <v>36</v>
      </c>
      <c r="P473" t="s">
        <v>60</v>
      </c>
      <c r="Q473" t="s">
        <v>900</v>
      </c>
      <c r="R473" t="s">
        <v>946</v>
      </c>
      <c r="S473" t="s">
        <v>956</v>
      </c>
      <c r="V473" t="s">
        <v>907</v>
      </c>
      <c r="Z473">
        <v>9</v>
      </c>
      <c r="AA473">
        <v>9</v>
      </c>
      <c r="AC473">
        <v>291</v>
      </c>
      <c r="AD473">
        <v>20</v>
      </c>
      <c r="AE473">
        <v>267</v>
      </c>
      <c r="AF473">
        <v>24</v>
      </c>
      <c r="AG473" t="s">
        <v>3354</v>
      </c>
      <c r="AH473">
        <v>2.4265112613645754</v>
      </c>
      <c r="AI473">
        <v>20</v>
      </c>
      <c r="AJ473" t="s">
        <v>1790</v>
      </c>
      <c r="AK473" t="s">
        <v>770</v>
      </c>
      <c r="AM473"/>
      <c r="AN473">
        <v>88.6</v>
      </c>
      <c r="AO473">
        <v>6.8999999999999995</v>
      </c>
      <c r="AP473">
        <v>78.180000000000007</v>
      </c>
      <c r="AQ473">
        <v>12.36</v>
      </c>
      <c r="AS473">
        <v>-0.125</v>
      </c>
      <c r="AT473">
        <v>3.5000000000000001E-3</v>
      </c>
      <c r="AW473" s="28">
        <f t="shared" si="35"/>
        <v>-1.0410125474166367</v>
      </c>
      <c r="AX473">
        <f t="shared" si="36"/>
        <v>0.95238095238095233</v>
      </c>
      <c r="AY473" s="62">
        <f t="shared" si="37"/>
        <v>-0.99144052134917782</v>
      </c>
      <c r="AZ473" s="68" t="str">
        <f t="shared" si="38"/>
        <v>No</v>
      </c>
      <c r="BA473" s="68" t="str">
        <f t="shared" si="39"/>
        <v>No</v>
      </c>
    </row>
    <row r="474" spans="1:53" hidden="1">
      <c r="A474" t="s">
        <v>1815</v>
      </c>
      <c r="B474" t="s">
        <v>2676</v>
      </c>
      <c r="C474">
        <v>69</v>
      </c>
      <c r="F474" t="s">
        <v>1241</v>
      </c>
      <c r="G474" t="s">
        <v>1706</v>
      </c>
      <c r="I474">
        <v>2014</v>
      </c>
      <c r="N474" t="s">
        <v>36</v>
      </c>
      <c r="P474" t="s">
        <v>60</v>
      </c>
      <c r="Q474" t="s">
        <v>900</v>
      </c>
      <c r="R474" t="s">
        <v>946</v>
      </c>
      <c r="S474" t="s">
        <v>1756</v>
      </c>
      <c r="V474" t="s">
        <v>907</v>
      </c>
      <c r="Z474">
        <v>9</v>
      </c>
      <c r="AA474">
        <v>9</v>
      </c>
      <c r="AC474">
        <v>291</v>
      </c>
      <c r="AD474">
        <v>20</v>
      </c>
      <c r="AE474">
        <v>260</v>
      </c>
      <c r="AF474">
        <v>26</v>
      </c>
      <c r="AG474" t="s">
        <v>3355</v>
      </c>
      <c r="AH474">
        <v>2.4149733479708178</v>
      </c>
      <c r="AI474">
        <v>20</v>
      </c>
      <c r="AJ474" t="s">
        <v>1790</v>
      </c>
      <c r="AK474" t="s">
        <v>770</v>
      </c>
      <c r="AM474"/>
      <c r="AN474">
        <v>96.15</v>
      </c>
      <c r="AO474">
        <v>3.99</v>
      </c>
      <c r="AP474">
        <v>87.3</v>
      </c>
      <c r="AQ474">
        <v>10.199999999999999</v>
      </c>
      <c r="AS474">
        <v>-9.7000000000000003E-2</v>
      </c>
      <c r="AT474">
        <v>1.6999999999999999E-3</v>
      </c>
      <c r="AW474" s="28">
        <f t="shared" si="35"/>
        <v>-1.1427200801389941</v>
      </c>
      <c r="AX474">
        <f t="shared" si="36"/>
        <v>0.95238095238095233</v>
      </c>
      <c r="AY474" s="62">
        <f t="shared" si="37"/>
        <v>-1.0883048382276133</v>
      </c>
      <c r="AZ474" s="68" t="str">
        <f t="shared" si="38"/>
        <v>No</v>
      </c>
      <c r="BA474" s="68" t="str">
        <f t="shared" si="39"/>
        <v>No</v>
      </c>
    </row>
    <row r="475" spans="1:53" hidden="1">
      <c r="A475" t="s">
        <v>1815</v>
      </c>
      <c r="B475" t="s">
        <v>2680</v>
      </c>
      <c r="C475">
        <v>69</v>
      </c>
      <c r="F475" t="s">
        <v>1241</v>
      </c>
      <c r="G475" t="s">
        <v>1706</v>
      </c>
      <c r="I475">
        <v>2014</v>
      </c>
      <c r="N475" t="s">
        <v>36</v>
      </c>
      <c r="P475" t="s">
        <v>60</v>
      </c>
      <c r="Q475" t="s">
        <v>900</v>
      </c>
      <c r="R475" t="s">
        <v>946</v>
      </c>
      <c r="S475" t="s">
        <v>1756</v>
      </c>
      <c r="V475" t="s">
        <v>907</v>
      </c>
      <c r="Z475">
        <v>9</v>
      </c>
      <c r="AA475">
        <v>9</v>
      </c>
      <c r="AC475">
        <v>291</v>
      </c>
      <c r="AD475">
        <v>20</v>
      </c>
      <c r="AE475">
        <v>267</v>
      </c>
      <c r="AF475">
        <v>24</v>
      </c>
      <c r="AG475" t="s">
        <v>3355</v>
      </c>
      <c r="AH475">
        <v>2.4265112613645754</v>
      </c>
      <c r="AI475">
        <v>20</v>
      </c>
      <c r="AJ475" t="s">
        <v>1790</v>
      </c>
      <c r="AK475" t="s">
        <v>770</v>
      </c>
      <c r="AM475"/>
      <c r="AN475">
        <v>96.15</v>
      </c>
      <c r="AO475">
        <v>3.99</v>
      </c>
      <c r="AP475">
        <v>91.44</v>
      </c>
      <c r="AQ475">
        <v>9.09</v>
      </c>
      <c r="AS475">
        <v>-0.05</v>
      </c>
      <c r="AT475">
        <v>1.2999999999999999E-3</v>
      </c>
      <c r="AW475" s="28">
        <f t="shared" si="35"/>
        <v>-0.67098306150515408</v>
      </c>
      <c r="AX475">
        <f t="shared" si="36"/>
        <v>0.95238095238095233</v>
      </c>
      <c r="AY475" s="62">
        <f t="shared" si="37"/>
        <v>-0.6390314871477657</v>
      </c>
      <c r="AZ475" s="68" t="str">
        <f t="shared" si="38"/>
        <v>No</v>
      </c>
      <c r="BA475" s="68" t="str">
        <f t="shared" si="39"/>
        <v>No</v>
      </c>
    </row>
    <row r="476" spans="1:53" hidden="1">
      <c r="A476" t="s">
        <v>1815</v>
      </c>
      <c r="B476" t="s">
        <v>2661</v>
      </c>
      <c r="C476">
        <v>69</v>
      </c>
      <c r="F476" t="s">
        <v>1241</v>
      </c>
      <c r="G476" t="s">
        <v>1706</v>
      </c>
      <c r="I476">
        <v>2014</v>
      </c>
      <c r="N476" t="s">
        <v>36</v>
      </c>
      <c r="P476" t="s">
        <v>60</v>
      </c>
      <c r="Q476" t="s">
        <v>900</v>
      </c>
      <c r="R476" t="s">
        <v>946</v>
      </c>
      <c r="S476" t="s">
        <v>956</v>
      </c>
      <c r="V476" t="s">
        <v>1015</v>
      </c>
      <c r="Z476">
        <v>9</v>
      </c>
      <c r="AA476">
        <v>9</v>
      </c>
      <c r="AC476">
        <v>291</v>
      </c>
      <c r="AD476">
        <v>20</v>
      </c>
      <c r="AE476">
        <v>758</v>
      </c>
      <c r="AF476">
        <v>26</v>
      </c>
      <c r="AG476" t="s">
        <v>3354</v>
      </c>
      <c r="AH476">
        <v>2.8796692056320534</v>
      </c>
      <c r="AI476">
        <v>20</v>
      </c>
      <c r="AJ476" t="s">
        <v>1790</v>
      </c>
      <c r="AK476" t="s">
        <v>770</v>
      </c>
      <c r="AM476"/>
      <c r="AN476">
        <v>88.6</v>
      </c>
      <c r="AO476">
        <v>6.8999999999999995</v>
      </c>
      <c r="AP476">
        <v>48.48</v>
      </c>
      <c r="AQ476">
        <v>10.17</v>
      </c>
      <c r="AS476">
        <v>-0.60299999999999998</v>
      </c>
      <c r="AT476">
        <v>5.5999999999999999E-3</v>
      </c>
      <c r="AW476" s="28">
        <f t="shared" si="35"/>
        <v>-4.6166985201266781</v>
      </c>
      <c r="AX476">
        <f t="shared" si="36"/>
        <v>0.95238095238095233</v>
      </c>
      <c r="AY476" s="62">
        <f t="shared" si="37"/>
        <v>-4.3968557334539788</v>
      </c>
      <c r="AZ476" s="68" t="str">
        <f t="shared" si="38"/>
        <v>No</v>
      </c>
      <c r="BA476" s="68" t="str">
        <f t="shared" si="39"/>
        <v>No</v>
      </c>
    </row>
    <row r="477" spans="1:53" hidden="1">
      <c r="A477" t="s">
        <v>1815</v>
      </c>
      <c r="B477" t="s">
        <v>2662</v>
      </c>
      <c r="C477">
        <v>69</v>
      </c>
      <c r="F477" t="s">
        <v>1241</v>
      </c>
      <c r="G477" t="s">
        <v>1706</v>
      </c>
      <c r="I477">
        <v>2014</v>
      </c>
      <c r="N477" t="s">
        <v>36</v>
      </c>
      <c r="P477" t="s">
        <v>60</v>
      </c>
      <c r="Q477" t="s">
        <v>900</v>
      </c>
      <c r="R477" t="s">
        <v>946</v>
      </c>
      <c r="S477" t="s">
        <v>956</v>
      </c>
      <c r="V477" t="s">
        <v>1015</v>
      </c>
      <c r="Z477">
        <v>9</v>
      </c>
      <c r="AA477">
        <v>9</v>
      </c>
      <c r="AC477">
        <v>291</v>
      </c>
      <c r="AD477">
        <v>20</v>
      </c>
      <c r="AE477">
        <v>1274</v>
      </c>
      <c r="AF477">
        <v>26</v>
      </c>
      <c r="AG477" t="s">
        <v>3354</v>
      </c>
      <c r="AH477">
        <v>3.1051694279993316</v>
      </c>
      <c r="AI477">
        <v>20</v>
      </c>
      <c r="AJ477" t="s">
        <v>1790</v>
      </c>
      <c r="AK477" t="s">
        <v>770</v>
      </c>
      <c r="AM477"/>
      <c r="AN477">
        <v>88.6</v>
      </c>
      <c r="AO477">
        <v>6.8999999999999995</v>
      </c>
      <c r="AP477">
        <v>50.9</v>
      </c>
      <c r="AQ477">
        <v>10.199999999999999</v>
      </c>
      <c r="AS477">
        <v>-0.55400000000000005</v>
      </c>
      <c r="AT477">
        <v>5.1000000000000004E-3</v>
      </c>
      <c r="AW477" s="28">
        <f t="shared" si="35"/>
        <v>-4.3294740480197005</v>
      </c>
      <c r="AX477">
        <f t="shared" si="36"/>
        <v>0.95238095238095233</v>
      </c>
      <c r="AY477" s="62">
        <f t="shared" si="37"/>
        <v>-4.1233086171616193</v>
      </c>
      <c r="AZ477" s="68" t="str">
        <f t="shared" si="38"/>
        <v>No</v>
      </c>
      <c r="BA477" s="68" t="str">
        <f t="shared" si="39"/>
        <v>No</v>
      </c>
    </row>
    <row r="478" spans="1:53" hidden="1">
      <c r="A478" t="s">
        <v>1815</v>
      </c>
      <c r="B478" t="s">
        <v>2663</v>
      </c>
      <c r="C478">
        <v>69</v>
      </c>
      <c r="F478" t="s">
        <v>1241</v>
      </c>
      <c r="G478" t="s">
        <v>1706</v>
      </c>
      <c r="I478">
        <v>2014</v>
      </c>
      <c r="N478" t="s">
        <v>36</v>
      </c>
      <c r="P478" t="s">
        <v>60</v>
      </c>
      <c r="Q478" t="s">
        <v>900</v>
      </c>
      <c r="R478" t="s">
        <v>946</v>
      </c>
      <c r="S478" t="s">
        <v>956</v>
      </c>
      <c r="V478" t="s">
        <v>1015</v>
      </c>
      <c r="Z478">
        <v>9</v>
      </c>
      <c r="AA478">
        <v>9</v>
      </c>
      <c r="AC478">
        <v>291</v>
      </c>
      <c r="AD478">
        <v>20</v>
      </c>
      <c r="AE478">
        <v>2108</v>
      </c>
      <c r="AF478">
        <v>26</v>
      </c>
      <c r="AG478" t="s">
        <v>3354</v>
      </c>
      <c r="AH478">
        <v>3.3238706065405088</v>
      </c>
      <c r="AI478">
        <v>20</v>
      </c>
      <c r="AJ478" t="s">
        <v>1790</v>
      </c>
      <c r="AK478" t="s">
        <v>770</v>
      </c>
      <c r="AM478"/>
      <c r="AN478">
        <v>88.6</v>
      </c>
      <c r="AO478">
        <v>6.8999999999999995</v>
      </c>
      <c r="AP478">
        <v>51.15</v>
      </c>
      <c r="AQ478">
        <v>14.549999999999999</v>
      </c>
      <c r="AS478">
        <v>-0.54900000000000004</v>
      </c>
      <c r="AT478">
        <v>9.7000000000000003E-3</v>
      </c>
      <c r="AW478" s="28">
        <f t="shared" si="35"/>
        <v>-3.2889335102143291</v>
      </c>
      <c r="AX478">
        <f t="shared" si="36"/>
        <v>0.95238095238095233</v>
      </c>
      <c r="AY478" s="62">
        <f t="shared" si="37"/>
        <v>-3.1323176287755512</v>
      </c>
      <c r="AZ478" s="68" t="str">
        <f t="shared" si="38"/>
        <v>No</v>
      </c>
      <c r="BA478" s="68" t="str">
        <f t="shared" si="39"/>
        <v>No</v>
      </c>
    </row>
    <row r="479" spans="1:53" hidden="1">
      <c r="A479" t="s">
        <v>1815</v>
      </c>
      <c r="B479" t="s">
        <v>2664</v>
      </c>
      <c r="C479">
        <v>69</v>
      </c>
      <c r="F479" t="s">
        <v>1241</v>
      </c>
      <c r="G479" t="s">
        <v>1706</v>
      </c>
      <c r="I479">
        <v>2014</v>
      </c>
      <c r="N479" t="s">
        <v>36</v>
      </c>
      <c r="P479" t="s">
        <v>60</v>
      </c>
      <c r="Q479" t="s">
        <v>900</v>
      </c>
      <c r="R479" t="s">
        <v>946</v>
      </c>
      <c r="S479" t="s">
        <v>956</v>
      </c>
      <c r="V479" t="s">
        <v>1015</v>
      </c>
      <c r="Z479">
        <v>9</v>
      </c>
      <c r="AA479">
        <v>9</v>
      </c>
      <c r="AC479">
        <v>291</v>
      </c>
      <c r="AD479">
        <v>20</v>
      </c>
      <c r="AE479">
        <v>1261</v>
      </c>
      <c r="AF479">
        <v>24</v>
      </c>
      <c r="AG479" t="s">
        <v>3354</v>
      </c>
      <c r="AH479">
        <v>3.1007150865730817</v>
      </c>
      <c r="AI479">
        <v>20</v>
      </c>
      <c r="AJ479" t="s">
        <v>1790</v>
      </c>
      <c r="AK479" t="s">
        <v>770</v>
      </c>
      <c r="AM479"/>
      <c r="AN479">
        <v>88.6</v>
      </c>
      <c r="AO479">
        <v>6.8999999999999995</v>
      </c>
      <c r="AP479">
        <v>67.63</v>
      </c>
      <c r="AQ479">
        <v>15.99</v>
      </c>
      <c r="AS479">
        <v>-0.27</v>
      </c>
      <c r="AT479">
        <v>6.8999999999999999E-3</v>
      </c>
      <c r="AW479" s="28">
        <f t="shared" si="35"/>
        <v>-1.7028810443375901</v>
      </c>
      <c r="AX479">
        <f t="shared" si="36"/>
        <v>0.95238095238095233</v>
      </c>
      <c r="AY479" s="62">
        <f t="shared" si="37"/>
        <v>-1.6217914707977048</v>
      </c>
      <c r="AZ479" s="68" t="str">
        <f t="shared" si="38"/>
        <v>No</v>
      </c>
      <c r="BA479" s="68" t="str">
        <f t="shared" si="39"/>
        <v>No</v>
      </c>
    </row>
    <row r="480" spans="1:53" hidden="1">
      <c r="A480" t="s">
        <v>1815</v>
      </c>
      <c r="B480" t="s">
        <v>2665</v>
      </c>
      <c r="C480">
        <v>69</v>
      </c>
      <c r="F480" t="s">
        <v>1241</v>
      </c>
      <c r="G480" t="s">
        <v>1706</v>
      </c>
      <c r="I480">
        <v>2014</v>
      </c>
      <c r="N480" t="s">
        <v>36</v>
      </c>
      <c r="P480" t="s">
        <v>60</v>
      </c>
      <c r="Q480" t="s">
        <v>900</v>
      </c>
      <c r="R480" t="s">
        <v>946</v>
      </c>
      <c r="S480" t="s">
        <v>956</v>
      </c>
      <c r="V480" t="s">
        <v>1015</v>
      </c>
      <c r="Z480">
        <v>9</v>
      </c>
      <c r="AA480">
        <v>9</v>
      </c>
      <c r="AC480">
        <v>291</v>
      </c>
      <c r="AD480">
        <v>20</v>
      </c>
      <c r="AE480">
        <v>2094</v>
      </c>
      <c r="AF480">
        <v>24</v>
      </c>
      <c r="AG480" t="s">
        <v>3354</v>
      </c>
      <c r="AH480">
        <v>3.3209766773428235</v>
      </c>
      <c r="AI480">
        <v>20</v>
      </c>
      <c r="AJ480" t="s">
        <v>1790</v>
      </c>
      <c r="AK480" t="s">
        <v>770</v>
      </c>
      <c r="AM480"/>
      <c r="AN480">
        <v>88.6</v>
      </c>
      <c r="AO480">
        <v>6.8999999999999995</v>
      </c>
      <c r="AP480">
        <v>70.180000000000007</v>
      </c>
      <c r="AQ480">
        <v>11.55</v>
      </c>
      <c r="AS480">
        <v>-0.23300000000000001</v>
      </c>
      <c r="AT480">
        <v>3.7000000000000002E-3</v>
      </c>
      <c r="AW480" s="28">
        <f t="shared" si="35"/>
        <v>-1.9362005556428914</v>
      </c>
      <c r="AX480">
        <f t="shared" si="36"/>
        <v>0.95238095238095233</v>
      </c>
      <c r="AY480" s="62">
        <f t="shared" si="37"/>
        <v>-1.844000529183706</v>
      </c>
      <c r="AZ480" s="68" t="str">
        <f t="shared" si="38"/>
        <v>No</v>
      </c>
      <c r="BA480" s="68" t="str">
        <f t="shared" si="39"/>
        <v>No</v>
      </c>
    </row>
    <row r="481" spans="1:53" hidden="1">
      <c r="A481" t="s">
        <v>1815</v>
      </c>
      <c r="B481" t="s">
        <v>2666</v>
      </c>
      <c r="C481">
        <v>69</v>
      </c>
      <c r="F481" t="s">
        <v>1241</v>
      </c>
      <c r="G481" t="s">
        <v>1706</v>
      </c>
      <c r="I481">
        <v>2014</v>
      </c>
      <c r="N481" t="s">
        <v>36</v>
      </c>
      <c r="P481" t="s">
        <v>60</v>
      </c>
      <c r="Q481" t="s">
        <v>900</v>
      </c>
      <c r="R481" t="s">
        <v>946</v>
      </c>
      <c r="S481" t="s">
        <v>1756</v>
      </c>
      <c r="V481" t="s">
        <v>1015</v>
      </c>
      <c r="Z481">
        <v>9</v>
      </c>
      <c r="AA481">
        <v>9</v>
      </c>
      <c r="AC481">
        <v>291</v>
      </c>
      <c r="AD481">
        <v>20</v>
      </c>
      <c r="AE481">
        <v>1274</v>
      </c>
      <c r="AF481">
        <v>26</v>
      </c>
      <c r="AG481" t="s">
        <v>3355</v>
      </c>
      <c r="AH481">
        <v>3.1051694279993316</v>
      </c>
      <c r="AI481">
        <v>20</v>
      </c>
      <c r="AJ481" t="s">
        <v>1790</v>
      </c>
      <c r="AK481" t="s">
        <v>770</v>
      </c>
      <c r="AM481"/>
      <c r="AN481">
        <v>96.15</v>
      </c>
      <c r="AO481">
        <v>3.99</v>
      </c>
      <c r="AP481">
        <v>78.03</v>
      </c>
      <c r="AQ481">
        <v>13.620000000000001</v>
      </c>
      <c r="AS481">
        <v>-0.20899999999999999</v>
      </c>
      <c r="AT481">
        <v>3.5999999999999999E-3</v>
      </c>
      <c r="AW481" s="28">
        <f t="shared" si="35"/>
        <v>-1.805581282706251</v>
      </c>
      <c r="AX481">
        <f t="shared" si="36"/>
        <v>0.95238095238095233</v>
      </c>
      <c r="AY481" s="62">
        <f t="shared" si="37"/>
        <v>-1.7196012216250007</v>
      </c>
      <c r="AZ481" s="68" t="str">
        <f t="shared" si="38"/>
        <v>No</v>
      </c>
      <c r="BA481" s="68" t="str">
        <f t="shared" si="39"/>
        <v>No</v>
      </c>
    </row>
    <row r="482" spans="1:53" hidden="1">
      <c r="A482" t="s">
        <v>1815</v>
      </c>
      <c r="B482" t="s">
        <v>2668</v>
      </c>
      <c r="C482">
        <v>69</v>
      </c>
      <c r="F482" t="s">
        <v>1241</v>
      </c>
      <c r="G482" t="s">
        <v>1706</v>
      </c>
      <c r="I482">
        <v>2014</v>
      </c>
      <c r="N482" t="s">
        <v>36</v>
      </c>
      <c r="P482" t="s">
        <v>60</v>
      </c>
      <c r="Q482" t="s">
        <v>900</v>
      </c>
      <c r="R482" t="s">
        <v>946</v>
      </c>
      <c r="S482" t="s">
        <v>1756</v>
      </c>
      <c r="V482" t="s">
        <v>1015</v>
      </c>
      <c r="Z482">
        <v>9</v>
      </c>
      <c r="AA482">
        <v>9</v>
      </c>
      <c r="AC482">
        <v>291</v>
      </c>
      <c r="AD482">
        <v>20</v>
      </c>
      <c r="AE482">
        <v>2094</v>
      </c>
      <c r="AF482">
        <v>24</v>
      </c>
      <c r="AG482" t="s">
        <v>3355</v>
      </c>
      <c r="AH482">
        <v>3.3209766773428235</v>
      </c>
      <c r="AI482">
        <v>20</v>
      </c>
      <c r="AJ482" t="s">
        <v>1790</v>
      </c>
      <c r="AK482" t="s">
        <v>770</v>
      </c>
      <c r="AM482"/>
      <c r="AN482">
        <v>96.15</v>
      </c>
      <c r="AO482">
        <v>3.99</v>
      </c>
      <c r="AP482">
        <v>79.34</v>
      </c>
      <c r="AQ482">
        <v>9.66</v>
      </c>
      <c r="AS482">
        <v>-0.192</v>
      </c>
      <c r="AT482">
        <v>1.8E-3</v>
      </c>
      <c r="AW482" s="28">
        <f t="shared" si="35"/>
        <v>-2.2745757948643428</v>
      </c>
      <c r="AX482">
        <f t="shared" si="36"/>
        <v>0.95238095238095233</v>
      </c>
      <c r="AY482" s="62">
        <f t="shared" si="37"/>
        <v>-2.1662626617755643</v>
      </c>
      <c r="AZ482" s="68" t="str">
        <f t="shared" si="38"/>
        <v>No</v>
      </c>
      <c r="BA482" s="68" t="str">
        <f t="shared" si="39"/>
        <v>No</v>
      </c>
    </row>
    <row r="483" spans="1:53" hidden="1">
      <c r="A483" t="s">
        <v>1815</v>
      </c>
      <c r="B483" t="s">
        <v>2669</v>
      </c>
      <c r="C483">
        <v>69</v>
      </c>
      <c r="F483" t="s">
        <v>1241</v>
      </c>
      <c r="G483" t="s">
        <v>1706</v>
      </c>
      <c r="I483">
        <v>2014</v>
      </c>
      <c r="N483" t="s">
        <v>36</v>
      </c>
      <c r="P483" t="s">
        <v>60</v>
      </c>
      <c r="Q483" t="s">
        <v>900</v>
      </c>
      <c r="R483" t="s">
        <v>946</v>
      </c>
      <c r="S483" t="s">
        <v>1756</v>
      </c>
      <c r="V483" t="s">
        <v>1015</v>
      </c>
      <c r="Z483">
        <v>9</v>
      </c>
      <c r="AA483">
        <v>9</v>
      </c>
      <c r="AC483">
        <v>291</v>
      </c>
      <c r="AD483">
        <v>20</v>
      </c>
      <c r="AE483">
        <v>2108</v>
      </c>
      <c r="AF483">
        <v>26</v>
      </c>
      <c r="AG483" t="s">
        <v>3355</v>
      </c>
      <c r="AH483">
        <v>3.3238706065405088</v>
      </c>
      <c r="AI483">
        <v>20</v>
      </c>
      <c r="AJ483" t="s">
        <v>1790</v>
      </c>
      <c r="AK483" t="s">
        <v>770</v>
      </c>
      <c r="AM483"/>
      <c r="AN483">
        <v>96.15</v>
      </c>
      <c r="AO483">
        <v>3.99</v>
      </c>
      <c r="AP483">
        <v>79.739999999999995</v>
      </c>
      <c r="AQ483">
        <v>8.52</v>
      </c>
      <c r="AS483">
        <v>-0.187</v>
      </c>
      <c r="AT483">
        <v>1.5E-3</v>
      </c>
      <c r="AW483" s="28">
        <f t="shared" si="35"/>
        <v>-2.4667559352662027</v>
      </c>
      <c r="AX483">
        <f t="shared" si="36"/>
        <v>0.95238095238095233</v>
      </c>
      <c r="AY483" s="62">
        <f t="shared" si="37"/>
        <v>-2.3492913669201929</v>
      </c>
      <c r="AZ483" s="68" t="str">
        <f t="shared" si="38"/>
        <v>No</v>
      </c>
      <c r="BA483" s="68" t="str">
        <f t="shared" si="39"/>
        <v>No</v>
      </c>
    </row>
    <row r="484" spans="1:53" hidden="1">
      <c r="A484" t="s">
        <v>1815</v>
      </c>
      <c r="B484" t="s">
        <v>2670</v>
      </c>
      <c r="C484">
        <v>69</v>
      </c>
      <c r="F484" t="s">
        <v>1241</v>
      </c>
      <c r="G484" t="s">
        <v>1706</v>
      </c>
      <c r="I484">
        <v>2014</v>
      </c>
      <c r="N484" t="s">
        <v>36</v>
      </c>
      <c r="P484" t="s">
        <v>60</v>
      </c>
      <c r="Q484" t="s">
        <v>900</v>
      </c>
      <c r="R484" t="s">
        <v>946</v>
      </c>
      <c r="S484" t="s">
        <v>1756</v>
      </c>
      <c r="V484" t="s">
        <v>1015</v>
      </c>
      <c r="Z484">
        <v>9</v>
      </c>
      <c r="AA484">
        <v>9</v>
      </c>
      <c r="AC484">
        <v>291</v>
      </c>
      <c r="AD484">
        <v>20</v>
      </c>
      <c r="AE484">
        <v>758</v>
      </c>
      <c r="AF484">
        <v>26</v>
      </c>
      <c r="AG484" t="s">
        <v>3355</v>
      </c>
      <c r="AH484">
        <v>2.8796692056320534</v>
      </c>
      <c r="AI484">
        <v>20</v>
      </c>
      <c r="AJ484" t="s">
        <v>1790</v>
      </c>
      <c r="AK484" t="s">
        <v>770</v>
      </c>
      <c r="AM484"/>
      <c r="AN484">
        <v>96.15</v>
      </c>
      <c r="AO484">
        <v>3.99</v>
      </c>
      <c r="AP484">
        <v>80.3</v>
      </c>
      <c r="AQ484">
        <v>10.199999999999999</v>
      </c>
      <c r="AS484">
        <v>-0.18</v>
      </c>
      <c r="AT484">
        <v>2E-3</v>
      </c>
      <c r="AW484" s="28">
        <f t="shared" si="35"/>
        <v>-2.0465664712093838</v>
      </c>
      <c r="AX484">
        <f t="shared" si="36"/>
        <v>0.95238095238095233</v>
      </c>
      <c r="AY484" s="62">
        <f t="shared" si="37"/>
        <v>-1.9491109249613179</v>
      </c>
      <c r="AZ484" s="68" t="str">
        <f t="shared" si="38"/>
        <v>No</v>
      </c>
      <c r="BA484" s="68" t="str">
        <f t="shared" si="39"/>
        <v>No</v>
      </c>
    </row>
    <row r="485" spans="1:53" hidden="1">
      <c r="A485" t="s">
        <v>1815</v>
      </c>
      <c r="B485" t="s">
        <v>2671</v>
      </c>
      <c r="C485">
        <v>69</v>
      </c>
      <c r="F485" t="s">
        <v>1241</v>
      </c>
      <c r="G485" t="s">
        <v>1706</v>
      </c>
      <c r="I485">
        <v>2014</v>
      </c>
      <c r="N485" t="s">
        <v>36</v>
      </c>
      <c r="P485" t="s">
        <v>60</v>
      </c>
      <c r="Q485" t="s">
        <v>900</v>
      </c>
      <c r="R485" t="s">
        <v>946</v>
      </c>
      <c r="S485" t="s">
        <v>956</v>
      </c>
      <c r="V485" t="s">
        <v>1015</v>
      </c>
      <c r="Z485">
        <v>9</v>
      </c>
      <c r="AA485">
        <v>9</v>
      </c>
      <c r="AC485">
        <v>291</v>
      </c>
      <c r="AD485">
        <v>20</v>
      </c>
      <c r="AE485">
        <v>752</v>
      </c>
      <c r="AF485">
        <v>24</v>
      </c>
      <c r="AG485" t="s">
        <v>3354</v>
      </c>
      <c r="AH485">
        <v>2.8762178405916421</v>
      </c>
      <c r="AI485">
        <v>20</v>
      </c>
      <c r="AJ485" t="s">
        <v>1790</v>
      </c>
      <c r="AK485" t="s">
        <v>770</v>
      </c>
      <c r="AM485"/>
      <c r="AN485">
        <v>88.6</v>
      </c>
      <c r="AO485">
        <v>6.8999999999999995</v>
      </c>
      <c r="AP485">
        <v>76.84</v>
      </c>
      <c r="AQ485">
        <v>10.56</v>
      </c>
      <c r="AS485">
        <v>-0.14199999999999999</v>
      </c>
      <c r="AT485">
        <v>2.8E-3</v>
      </c>
      <c r="AW485" s="28">
        <f t="shared" si="35"/>
        <v>-1.3184237620211767</v>
      </c>
      <c r="AX485">
        <f t="shared" si="36"/>
        <v>0.95238095238095233</v>
      </c>
      <c r="AY485" s="62">
        <f t="shared" si="37"/>
        <v>-1.2556416781154063</v>
      </c>
      <c r="AZ485" s="68" t="str">
        <f t="shared" si="38"/>
        <v>No</v>
      </c>
      <c r="BA485" s="68" t="str">
        <f t="shared" si="39"/>
        <v>No</v>
      </c>
    </row>
    <row r="486" spans="1:53" hidden="1">
      <c r="A486" t="s">
        <v>1815</v>
      </c>
      <c r="B486" t="s">
        <v>2675</v>
      </c>
      <c r="C486">
        <v>69</v>
      </c>
      <c r="F486" t="s">
        <v>1241</v>
      </c>
      <c r="G486" t="s">
        <v>1706</v>
      </c>
      <c r="I486">
        <v>2014</v>
      </c>
      <c r="N486" t="s">
        <v>36</v>
      </c>
      <c r="P486" t="s">
        <v>60</v>
      </c>
      <c r="Q486" t="s">
        <v>900</v>
      </c>
      <c r="R486" t="s">
        <v>946</v>
      </c>
      <c r="S486" t="s">
        <v>1756</v>
      </c>
      <c r="V486" t="s">
        <v>1015</v>
      </c>
      <c r="Z486">
        <v>9</v>
      </c>
      <c r="AA486">
        <v>9</v>
      </c>
      <c r="AC486">
        <v>291</v>
      </c>
      <c r="AD486">
        <v>20</v>
      </c>
      <c r="AE486">
        <v>1261</v>
      </c>
      <c r="AF486">
        <v>24</v>
      </c>
      <c r="AG486" t="s">
        <v>3355</v>
      </c>
      <c r="AH486">
        <v>3.1007150865730817</v>
      </c>
      <c r="AI486">
        <v>20</v>
      </c>
      <c r="AJ486" t="s">
        <v>1790</v>
      </c>
      <c r="AK486" t="s">
        <v>770</v>
      </c>
      <c r="AM486"/>
      <c r="AN486">
        <v>96.15</v>
      </c>
      <c r="AO486">
        <v>3.99</v>
      </c>
      <c r="AP486">
        <v>86.15</v>
      </c>
      <c r="AQ486">
        <v>6.24</v>
      </c>
      <c r="AS486">
        <v>-0.11</v>
      </c>
      <c r="AT486">
        <v>8.0000000000000004E-4</v>
      </c>
      <c r="AW486" s="28">
        <f t="shared" si="35"/>
        <v>-1.9093968434337065</v>
      </c>
      <c r="AX486">
        <f t="shared" si="36"/>
        <v>0.95238095238095233</v>
      </c>
      <c r="AY486" s="62">
        <f t="shared" si="37"/>
        <v>-1.8184731842225776</v>
      </c>
      <c r="AZ486" s="68" t="str">
        <f t="shared" si="38"/>
        <v>No</v>
      </c>
      <c r="BA486" s="68" t="str">
        <f t="shared" si="39"/>
        <v>No</v>
      </c>
    </row>
    <row r="487" spans="1:53" hidden="1">
      <c r="A487" t="s">
        <v>1815</v>
      </c>
      <c r="B487" t="s">
        <v>2678</v>
      </c>
      <c r="C487">
        <v>69</v>
      </c>
      <c r="F487" t="s">
        <v>1241</v>
      </c>
      <c r="G487" t="s">
        <v>1706</v>
      </c>
      <c r="I487">
        <v>2014</v>
      </c>
      <c r="N487" t="s">
        <v>36</v>
      </c>
      <c r="P487" t="s">
        <v>60</v>
      </c>
      <c r="Q487" t="s">
        <v>900</v>
      </c>
      <c r="R487" t="s">
        <v>946</v>
      </c>
      <c r="S487" t="s">
        <v>1756</v>
      </c>
      <c r="V487" t="s">
        <v>1015</v>
      </c>
      <c r="Z487">
        <v>9</v>
      </c>
      <c r="AA487">
        <v>9</v>
      </c>
      <c r="AC487">
        <v>291</v>
      </c>
      <c r="AD487">
        <v>20</v>
      </c>
      <c r="AE487">
        <v>752</v>
      </c>
      <c r="AF487">
        <v>24</v>
      </c>
      <c r="AG487" t="s">
        <v>3355</v>
      </c>
      <c r="AH487">
        <v>2.8762178405916421</v>
      </c>
      <c r="AI487">
        <v>20</v>
      </c>
      <c r="AJ487" t="s">
        <v>1790</v>
      </c>
      <c r="AK487" t="s">
        <v>770</v>
      </c>
      <c r="AM487"/>
      <c r="AN487">
        <v>96.15</v>
      </c>
      <c r="AO487">
        <v>3.99</v>
      </c>
      <c r="AP487">
        <v>90.88</v>
      </c>
      <c r="AQ487">
        <v>7.9499999999999993</v>
      </c>
      <c r="AS487">
        <v>-5.6000000000000001E-2</v>
      </c>
      <c r="AT487">
        <v>1E-3</v>
      </c>
      <c r="AW487" s="28">
        <f t="shared" si="35"/>
        <v>-0.83786748681851131</v>
      </c>
      <c r="AX487">
        <f t="shared" si="36"/>
        <v>0.95238095238095233</v>
      </c>
      <c r="AY487" s="62">
        <f t="shared" si="37"/>
        <v>-0.79796903506524886</v>
      </c>
      <c r="AZ487" s="68" t="str">
        <f t="shared" si="38"/>
        <v>No</v>
      </c>
      <c r="BA487" s="68" t="str">
        <f t="shared" si="39"/>
        <v>No</v>
      </c>
    </row>
    <row r="488" spans="1:53" hidden="1">
      <c r="A488" t="s">
        <v>1815</v>
      </c>
      <c r="B488" t="s">
        <v>2804</v>
      </c>
      <c r="C488">
        <v>186</v>
      </c>
      <c r="F488" t="s">
        <v>1241</v>
      </c>
      <c r="G488" t="s">
        <v>1719</v>
      </c>
      <c r="I488">
        <v>2021</v>
      </c>
      <c r="N488" t="s">
        <v>36</v>
      </c>
      <c r="P488" t="s">
        <v>60</v>
      </c>
      <c r="Q488" t="s">
        <v>900</v>
      </c>
      <c r="R488" t="s">
        <v>911</v>
      </c>
      <c r="S488" t="s">
        <v>1749</v>
      </c>
      <c r="V488" t="s">
        <v>905</v>
      </c>
      <c r="Z488">
        <v>4</v>
      </c>
      <c r="AA488">
        <v>4</v>
      </c>
      <c r="AC488">
        <v>516</v>
      </c>
      <c r="AD488">
        <v>28.7</v>
      </c>
      <c r="AE488">
        <v>1044</v>
      </c>
      <c r="AF488">
        <v>28.7</v>
      </c>
      <c r="AG488" t="s">
        <v>3371</v>
      </c>
      <c r="AH488">
        <v>3.0187004986662433</v>
      </c>
      <c r="AI488">
        <v>28.7</v>
      </c>
      <c r="AJ488" t="s">
        <v>1810</v>
      </c>
      <c r="AK488" t="s">
        <v>904</v>
      </c>
      <c r="AM488"/>
      <c r="AN488">
        <v>25.51</v>
      </c>
      <c r="AO488">
        <v>8.56</v>
      </c>
      <c r="AP488">
        <v>34.9</v>
      </c>
      <c r="AQ488">
        <v>2.84</v>
      </c>
      <c r="AS488">
        <v>-0.313</v>
      </c>
      <c r="AT488">
        <v>2.98E-2</v>
      </c>
      <c r="AW488" s="28">
        <f t="shared" si="35"/>
        <v>1.4724163855352015</v>
      </c>
      <c r="AX488">
        <f t="shared" si="36"/>
        <v>0.86956521739130432</v>
      </c>
      <c r="AY488" s="62">
        <f t="shared" si="37"/>
        <v>1.2803620743784361</v>
      </c>
      <c r="AZ488" s="68" t="str">
        <f t="shared" si="38"/>
        <v>No</v>
      </c>
      <c r="BA488" s="68" t="str">
        <f t="shared" si="39"/>
        <v>No</v>
      </c>
    </row>
    <row r="489" spans="1:53" hidden="1">
      <c r="A489" t="s">
        <v>1815</v>
      </c>
      <c r="B489" t="s">
        <v>2809</v>
      </c>
      <c r="C489">
        <v>186</v>
      </c>
      <c r="F489" t="s">
        <v>1241</v>
      </c>
      <c r="G489" t="s">
        <v>1719</v>
      </c>
      <c r="I489">
        <v>2021</v>
      </c>
      <c r="N489" t="s">
        <v>36</v>
      </c>
      <c r="P489" t="s">
        <v>60</v>
      </c>
      <c r="Q489" t="s">
        <v>900</v>
      </c>
      <c r="R489" t="s">
        <v>911</v>
      </c>
      <c r="S489" t="s">
        <v>1749</v>
      </c>
      <c r="V489" t="s">
        <v>905</v>
      </c>
      <c r="Z489">
        <v>4</v>
      </c>
      <c r="AA489">
        <v>4</v>
      </c>
      <c r="AC489">
        <v>516</v>
      </c>
      <c r="AD489">
        <v>28.7</v>
      </c>
      <c r="AE489">
        <v>1044</v>
      </c>
      <c r="AF489">
        <v>28.7</v>
      </c>
      <c r="AG489" t="s">
        <v>3371</v>
      </c>
      <c r="AH489">
        <v>3.0187004986662433</v>
      </c>
      <c r="AI489">
        <v>28.7</v>
      </c>
      <c r="AJ489" t="s">
        <v>69</v>
      </c>
      <c r="AK489" t="s">
        <v>69</v>
      </c>
      <c r="AM489"/>
      <c r="AN489">
        <v>97.53</v>
      </c>
      <c r="AO489">
        <v>3.18</v>
      </c>
      <c r="AP489">
        <v>94.22</v>
      </c>
      <c r="AQ489">
        <v>4.24</v>
      </c>
      <c r="AS489">
        <v>-3.4500000000000003E-2</v>
      </c>
      <c r="AT489">
        <v>8.0000000000000004E-4</v>
      </c>
      <c r="AW489" s="28">
        <f t="shared" si="35"/>
        <v>-0.88321639461414103</v>
      </c>
      <c r="AX489">
        <f t="shared" si="36"/>
        <v>0.86956521739130432</v>
      </c>
      <c r="AY489" s="62">
        <f t="shared" si="37"/>
        <v>-0.76801425618620955</v>
      </c>
      <c r="AZ489" s="68" t="str">
        <f t="shared" si="38"/>
        <v>No</v>
      </c>
      <c r="BA489" s="68" t="str">
        <f t="shared" si="39"/>
        <v>No</v>
      </c>
    </row>
    <row r="490" spans="1:53" hidden="1">
      <c r="A490" t="s">
        <v>1815</v>
      </c>
      <c r="B490" t="s">
        <v>2803</v>
      </c>
      <c r="C490">
        <v>186</v>
      </c>
      <c r="F490" t="s">
        <v>1241</v>
      </c>
      <c r="G490" t="s">
        <v>1719</v>
      </c>
      <c r="I490">
        <v>2021</v>
      </c>
      <c r="N490" t="s">
        <v>36</v>
      </c>
      <c r="P490" t="s">
        <v>60</v>
      </c>
      <c r="Q490" t="s">
        <v>900</v>
      </c>
      <c r="R490" t="s">
        <v>911</v>
      </c>
      <c r="S490" t="s">
        <v>1749</v>
      </c>
      <c r="V490" t="s">
        <v>907</v>
      </c>
      <c r="Z490">
        <v>4</v>
      </c>
      <c r="AA490">
        <v>4</v>
      </c>
      <c r="AC490">
        <v>516</v>
      </c>
      <c r="AD490">
        <v>28.7</v>
      </c>
      <c r="AE490">
        <v>518</v>
      </c>
      <c r="AF490">
        <v>31.2</v>
      </c>
      <c r="AG490" t="s">
        <v>3371</v>
      </c>
      <c r="AH490">
        <v>2.7143297597452332</v>
      </c>
      <c r="AI490">
        <v>28.7</v>
      </c>
      <c r="AJ490" t="s">
        <v>1810</v>
      </c>
      <c r="AK490" t="s">
        <v>904</v>
      </c>
      <c r="AM490"/>
      <c r="AN490">
        <v>25.51</v>
      </c>
      <c r="AO490">
        <v>8.56</v>
      </c>
      <c r="AP490">
        <v>37.14</v>
      </c>
      <c r="AQ490">
        <v>14.28</v>
      </c>
      <c r="AS490">
        <v>-0.376</v>
      </c>
      <c r="AT490">
        <v>6.5100000000000005E-2</v>
      </c>
      <c r="AW490" s="28">
        <f t="shared" si="35"/>
        <v>0.98788039463446609</v>
      </c>
      <c r="AX490">
        <f t="shared" si="36"/>
        <v>0.86956521739130432</v>
      </c>
      <c r="AY490" s="62">
        <f t="shared" si="37"/>
        <v>0.85902643011692703</v>
      </c>
      <c r="AZ490" s="68" t="str">
        <f t="shared" si="38"/>
        <v>No</v>
      </c>
      <c r="BA490" s="68" t="str">
        <f t="shared" si="39"/>
        <v>No</v>
      </c>
    </row>
    <row r="491" spans="1:53" hidden="1">
      <c r="A491" t="s">
        <v>1815</v>
      </c>
      <c r="B491" t="s">
        <v>2805</v>
      </c>
      <c r="C491">
        <v>186</v>
      </c>
      <c r="F491" t="s">
        <v>1241</v>
      </c>
      <c r="G491" t="s">
        <v>1719</v>
      </c>
      <c r="I491">
        <v>2021</v>
      </c>
      <c r="N491" t="s">
        <v>36</v>
      </c>
      <c r="P491" t="s">
        <v>60</v>
      </c>
      <c r="Q491" t="s">
        <v>900</v>
      </c>
      <c r="R491" t="s">
        <v>911</v>
      </c>
      <c r="S491" t="s">
        <v>1749</v>
      </c>
      <c r="V491" t="s">
        <v>907</v>
      </c>
      <c r="Z491">
        <v>4</v>
      </c>
      <c r="AA491">
        <v>4</v>
      </c>
      <c r="AC491">
        <v>516</v>
      </c>
      <c r="AD491">
        <v>28.7</v>
      </c>
      <c r="AE491">
        <v>553</v>
      </c>
      <c r="AF491">
        <v>32.799999999999997</v>
      </c>
      <c r="AG491" t="s">
        <v>3371</v>
      </c>
      <c r="AH491">
        <v>2.7427251313046983</v>
      </c>
      <c r="AI491">
        <v>28.7</v>
      </c>
      <c r="AJ491" t="s">
        <v>1810</v>
      </c>
      <c r="AK491" t="s">
        <v>904</v>
      </c>
      <c r="AM491"/>
      <c r="AN491">
        <v>25.51</v>
      </c>
      <c r="AO491">
        <v>8.56</v>
      </c>
      <c r="AP491">
        <v>33.869999999999997</v>
      </c>
      <c r="AQ491">
        <v>3.68</v>
      </c>
      <c r="AS491">
        <v>-0.28299999999999997</v>
      </c>
      <c r="AT491">
        <v>3.1099999999999999E-2</v>
      </c>
      <c r="AW491" s="28">
        <f t="shared" si="35"/>
        <v>1.268882445800475</v>
      </c>
      <c r="AX491">
        <f t="shared" si="36"/>
        <v>0.86956521739130432</v>
      </c>
      <c r="AY491" s="62">
        <f t="shared" si="37"/>
        <v>1.1033760398265</v>
      </c>
      <c r="AZ491" s="68" t="str">
        <f t="shared" si="38"/>
        <v>No</v>
      </c>
      <c r="BA491" s="68" t="str">
        <f t="shared" si="39"/>
        <v>No</v>
      </c>
    </row>
    <row r="492" spans="1:53" hidden="1">
      <c r="A492" t="s">
        <v>1815</v>
      </c>
      <c r="B492" t="s">
        <v>2806</v>
      </c>
      <c r="C492">
        <v>186</v>
      </c>
      <c r="F492" t="s">
        <v>1241</v>
      </c>
      <c r="G492" t="s">
        <v>1719</v>
      </c>
      <c r="I492">
        <v>2021</v>
      </c>
      <c r="N492" t="s">
        <v>36</v>
      </c>
      <c r="P492" t="s">
        <v>60</v>
      </c>
      <c r="Q492" t="s">
        <v>900</v>
      </c>
      <c r="R492" t="s">
        <v>911</v>
      </c>
      <c r="S492" t="s">
        <v>1749</v>
      </c>
      <c r="V492" t="s">
        <v>907</v>
      </c>
      <c r="Z492">
        <v>4</v>
      </c>
      <c r="AA492">
        <v>4</v>
      </c>
      <c r="AC492">
        <v>516</v>
      </c>
      <c r="AD492">
        <v>28.7</v>
      </c>
      <c r="AE492">
        <v>524</v>
      </c>
      <c r="AF492">
        <v>31.8</v>
      </c>
      <c r="AG492" t="s">
        <v>3371</v>
      </c>
      <c r="AH492">
        <v>2.7193312869837265</v>
      </c>
      <c r="AI492">
        <v>28.7</v>
      </c>
      <c r="AJ492" t="s">
        <v>1810</v>
      </c>
      <c r="AK492" t="s">
        <v>904</v>
      </c>
      <c r="AM492"/>
      <c r="AN492">
        <v>25.51</v>
      </c>
      <c r="AO492">
        <v>8.56</v>
      </c>
      <c r="AP492">
        <v>32.85</v>
      </c>
      <c r="AQ492">
        <v>6.94</v>
      </c>
      <c r="AS492">
        <v>-0.253</v>
      </c>
      <c r="AT492">
        <v>3.9300000000000002E-2</v>
      </c>
      <c r="AW492" s="28">
        <f t="shared" si="35"/>
        <v>0.94196590864607233</v>
      </c>
      <c r="AX492">
        <f t="shared" si="36"/>
        <v>0.86956521739130432</v>
      </c>
      <c r="AY492" s="62">
        <f t="shared" si="37"/>
        <v>0.81910079012701942</v>
      </c>
      <c r="AZ492" s="68" t="str">
        <f t="shared" si="38"/>
        <v>No</v>
      </c>
      <c r="BA492" s="68" t="str">
        <f t="shared" si="39"/>
        <v>No</v>
      </c>
    </row>
    <row r="493" spans="1:53" hidden="1">
      <c r="A493" t="s">
        <v>1815</v>
      </c>
      <c r="B493" t="s">
        <v>2810</v>
      </c>
      <c r="C493">
        <v>186</v>
      </c>
      <c r="F493" t="s">
        <v>1241</v>
      </c>
      <c r="G493" t="s">
        <v>1719</v>
      </c>
      <c r="I493">
        <v>2021</v>
      </c>
      <c r="N493" t="s">
        <v>36</v>
      </c>
      <c r="P493" t="s">
        <v>60</v>
      </c>
      <c r="Q493" t="s">
        <v>900</v>
      </c>
      <c r="R493" t="s">
        <v>911</v>
      </c>
      <c r="S493" t="s">
        <v>1749</v>
      </c>
      <c r="V493" t="s">
        <v>907</v>
      </c>
      <c r="Z493">
        <v>4</v>
      </c>
      <c r="AA493">
        <v>4</v>
      </c>
      <c r="AC493">
        <v>516</v>
      </c>
      <c r="AD493">
        <v>28.7</v>
      </c>
      <c r="AE493">
        <v>553</v>
      </c>
      <c r="AF493">
        <v>32.799999999999997</v>
      </c>
      <c r="AG493" t="s">
        <v>3371</v>
      </c>
      <c r="AH493">
        <v>2.7427251313046983</v>
      </c>
      <c r="AI493">
        <v>28.7</v>
      </c>
      <c r="AJ493" t="s">
        <v>69</v>
      </c>
      <c r="AK493" t="s">
        <v>69</v>
      </c>
      <c r="AM493"/>
      <c r="AN493">
        <v>97.53</v>
      </c>
      <c r="AO493">
        <v>3.18</v>
      </c>
      <c r="AP493">
        <v>94.31</v>
      </c>
      <c r="AQ493">
        <v>7.42</v>
      </c>
      <c r="AS493">
        <v>-3.3599999999999998E-2</v>
      </c>
      <c r="AT493">
        <v>1.8E-3</v>
      </c>
      <c r="AW493" s="28">
        <f t="shared" si="35"/>
        <v>-0.56409338578311963</v>
      </c>
      <c r="AX493">
        <f t="shared" si="36"/>
        <v>0.86956521739130432</v>
      </c>
      <c r="AY493" s="62">
        <f t="shared" si="37"/>
        <v>-0.49051598763749532</v>
      </c>
      <c r="AZ493" s="68" t="str">
        <f t="shared" si="38"/>
        <v>No</v>
      </c>
      <c r="BA493" s="68" t="str">
        <f t="shared" si="39"/>
        <v>No</v>
      </c>
    </row>
    <row r="494" spans="1:53" hidden="1">
      <c r="A494" t="s">
        <v>1815</v>
      </c>
      <c r="B494" t="s">
        <v>2813</v>
      </c>
      <c r="C494">
        <v>186</v>
      </c>
      <c r="F494" t="s">
        <v>1241</v>
      </c>
      <c r="G494" t="s">
        <v>1719</v>
      </c>
      <c r="I494">
        <v>2013</v>
      </c>
      <c r="N494" t="s">
        <v>36</v>
      </c>
      <c r="P494" t="s">
        <v>60</v>
      </c>
      <c r="Q494" t="s">
        <v>900</v>
      </c>
      <c r="R494" t="s">
        <v>911</v>
      </c>
      <c r="S494" t="s">
        <v>1749</v>
      </c>
      <c r="V494" t="s">
        <v>907</v>
      </c>
      <c r="Z494">
        <v>4</v>
      </c>
      <c r="AA494">
        <v>4</v>
      </c>
      <c r="AC494">
        <v>516</v>
      </c>
      <c r="AD494">
        <v>28.7</v>
      </c>
      <c r="AE494">
        <v>524</v>
      </c>
      <c r="AF494">
        <v>31.8</v>
      </c>
      <c r="AG494" t="s">
        <v>3371</v>
      </c>
      <c r="AH494">
        <v>2.7193312869837265</v>
      </c>
      <c r="AI494">
        <v>28.7</v>
      </c>
      <c r="AJ494" t="s">
        <v>69</v>
      </c>
      <c r="AK494" t="s">
        <v>69</v>
      </c>
      <c r="AM494"/>
      <c r="AN494">
        <v>97.53</v>
      </c>
      <c r="AO494">
        <v>3.18</v>
      </c>
      <c r="AP494">
        <v>96.41</v>
      </c>
      <c r="AQ494">
        <v>0</v>
      </c>
      <c r="AS494">
        <v>-1.1599999999999999E-2</v>
      </c>
      <c r="AT494">
        <v>2.9999999999999997E-4</v>
      </c>
      <c r="AW494" s="28">
        <f t="shared" si="35"/>
        <v>-0.49808779555279026</v>
      </c>
      <c r="AX494">
        <f t="shared" si="36"/>
        <v>0.86956521739130432</v>
      </c>
      <c r="AY494" s="62">
        <f t="shared" si="37"/>
        <v>-0.4331198222198176</v>
      </c>
      <c r="AZ494" s="68" t="str">
        <f t="shared" si="38"/>
        <v>No</v>
      </c>
      <c r="BA494" s="68" t="str">
        <f t="shared" si="39"/>
        <v>No</v>
      </c>
    </row>
    <row r="495" spans="1:53" hidden="1">
      <c r="A495" t="s">
        <v>1815</v>
      </c>
      <c r="B495" t="s">
        <v>2815</v>
      </c>
      <c r="C495">
        <v>186</v>
      </c>
      <c r="F495" t="s">
        <v>1241</v>
      </c>
      <c r="G495" t="s">
        <v>1719</v>
      </c>
      <c r="I495">
        <v>2013</v>
      </c>
      <c r="N495" t="s">
        <v>36</v>
      </c>
      <c r="P495" t="s">
        <v>60</v>
      </c>
      <c r="Q495" t="s">
        <v>900</v>
      </c>
      <c r="R495" t="s">
        <v>911</v>
      </c>
      <c r="S495" t="s">
        <v>1749</v>
      </c>
      <c r="V495" t="s">
        <v>907</v>
      </c>
      <c r="Z495">
        <v>4</v>
      </c>
      <c r="AA495">
        <v>4</v>
      </c>
      <c r="AC495">
        <v>516</v>
      </c>
      <c r="AD495">
        <v>28.7</v>
      </c>
      <c r="AE495">
        <v>518</v>
      </c>
      <c r="AF495">
        <v>31.2</v>
      </c>
      <c r="AG495" t="s">
        <v>3371</v>
      </c>
      <c r="AH495">
        <v>2.7143297597452332</v>
      </c>
      <c r="AI495">
        <v>28.7</v>
      </c>
      <c r="AJ495" t="s">
        <v>69</v>
      </c>
      <c r="AK495" t="s">
        <v>69</v>
      </c>
      <c r="AM495"/>
      <c r="AN495">
        <v>97.53</v>
      </c>
      <c r="AO495">
        <v>3.18</v>
      </c>
      <c r="AP495">
        <v>98.51</v>
      </c>
      <c r="AQ495">
        <v>1.86</v>
      </c>
      <c r="AS495">
        <v>0.01</v>
      </c>
      <c r="AT495">
        <v>4.0000000000000002E-4</v>
      </c>
      <c r="AW495" s="28">
        <f t="shared" si="35"/>
        <v>0.37620030909231911</v>
      </c>
      <c r="AX495">
        <f t="shared" si="36"/>
        <v>0.86956521739130432</v>
      </c>
      <c r="AY495" s="62">
        <f t="shared" si="37"/>
        <v>0.32713070355853835</v>
      </c>
      <c r="AZ495" s="68" t="str">
        <f t="shared" si="38"/>
        <v>No</v>
      </c>
      <c r="BA495" s="68" t="str">
        <f t="shared" si="39"/>
        <v>No</v>
      </c>
    </row>
    <row r="496" spans="1:53" hidden="1">
      <c r="A496" t="s">
        <v>1815</v>
      </c>
      <c r="B496" t="s">
        <v>2802</v>
      </c>
      <c r="C496">
        <v>186</v>
      </c>
      <c r="F496" t="s">
        <v>1241</v>
      </c>
      <c r="G496" t="s">
        <v>1719</v>
      </c>
      <c r="I496">
        <v>2021</v>
      </c>
      <c r="N496" t="s">
        <v>36</v>
      </c>
      <c r="P496" t="s">
        <v>60</v>
      </c>
      <c r="Q496" t="s">
        <v>900</v>
      </c>
      <c r="R496" t="s">
        <v>911</v>
      </c>
      <c r="S496" t="s">
        <v>1749</v>
      </c>
      <c r="V496" t="s">
        <v>1015</v>
      </c>
      <c r="Z496">
        <v>4</v>
      </c>
      <c r="AA496">
        <v>4</v>
      </c>
      <c r="AC496">
        <v>516</v>
      </c>
      <c r="AD496">
        <v>28.7</v>
      </c>
      <c r="AE496">
        <v>1014</v>
      </c>
      <c r="AF496">
        <v>31.8</v>
      </c>
      <c r="AG496" t="s">
        <v>3371</v>
      </c>
      <c r="AH496">
        <v>3.0060379549973173</v>
      </c>
      <c r="AI496">
        <v>28.7</v>
      </c>
      <c r="AJ496" t="s">
        <v>1810</v>
      </c>
      <c r="AK496" t="s">
        <v>904</v>
      </c>
      <c r="AM496"/>
      <c r="AN496">
        <v>25.51</v>
      </c>
      <c r="AO496">
        <v>8.56</v>
      </c>
      <c r="AP496">
        <v>37.549999999999997</v>
      </c>
      <c r="AQ496">
        <v>4.08</v>
      </c>
      <c r="AS496">
        <v>-0.38700000000000001</v>
      </c>
      <c r="AT496">
        <v>3.1099999999999999E-2</v>
      </c>
      <c r="AW496" s="28">
        <f t="shared" si="35"/>
        <v>1.7956154586783992</v>
      </c>
      <c r="AX496">
        <f t="shared" si="36"/>
        <v>0.86956521739130432</v>
      </c>
      <c r="AY496" s="62">
        <f t="shared" si="37"/>
        <v>1.5614047466768688</v>
      </c>
      <c r="AZ496" s="68" t="str">
        <f t="shared" si="38"/>
        <v>No</v>
      </c>
      <c r="BA496" s="68" t="str">
        <f t="shared" si="39"/>
        <v>No</v>
      </c>
    </row>
    <row r="497" spans="1:53" hidden="1">
      <c r="A497" t="s">
        <v>1815</v>
      </c>
      <c r="B497" t="s">
        <v>2807</v>
      </c>
      <c r="C497">
        <v>186</v>
      </c>
      <c r="F497" t="s">
        <v>1241</v>
      </c>
      <c r="G497" t="s">
        <v>1719</v>
      </c>
      <c r="I497">
        <v>2021</v>
      </c>
      <c r="N497" t="s">
        <v>36</v>
      </c>
      <c r="P497" t="s">
        <v>60</v>
      </c>
      <c r="Q497" t="s">
        <v>900</v>
      </c>
      <c r="R497" t="s">
        <v>911</v>
      </c>
      <c r="S497" t="s">
        <v>1749</v>
      </c>
      <c r="V497" t="s">
        <v>1015</v>
      </c>
      <c r="Z497">
        <v>4</v>
      </c>
      <c r="AA497">
        <v>4</v>
      </c>
      <c r="AC497">
        <v>516</v>
      </c>
      <c r="AD497">
        <v>28.7</v>
      </c>
      <c r="AE497">
        <v>1010</v>
      </c>
      <c r="AF497">
        <v>32.9</v>
      </c>
      <c r="AG497" t="s">
        <v>3371</v>
      </c>
      <c r="AH497">
        <v>3.0043213737826426</v>
      </c>
      <c r="AI497">
        <v>28.7</v>
      </c>
      <c r="AJ497" t="s">
        <v>1810</v>
      </c>
      <c r="AK497" t="s">
        <v>904</v>
      </c>
      <c r="AM497"/>
      <c r="AN497">
        <v>25.51</v>
      </c>
      <c r="AO497">
        <v>8.56</v>
      </c>
      <c r="AP497">
        <v>29.18</v>
      </c>
      <c r="AQ497">
        <v>4.9000000000000004</v>
      </c>
      <c r="AS497">
        <v>-0.13400000000000001</v>
      </c>
      <c r="AT497">
        <v>3.5200000000000002E-2</v>
      </c>
      <c r="AW497" s="28">
        <f t="shared" si="35"/>
        <v>0.52621260299156136</v>
      </c>
      <c r="AX497">
        <f t="shared" si="36"/>
        <v>0.86956521739130432</v>
      </c>
      <c r="AY497" s="62">
        <f t="shared" si="37"/>
        <v>0.45757617651440119</v>
      </c>
      <c r="AZ497" s="68" t="str">
        <f t="shared" si="38"/>
        <v>No</v>
      </c>
      <c r="BA497" s="68" t="str">
        <f t="shared" si="39"/>
        <v>No</v>
      </c>
    </row>
    <row r="498" spans="1:53" hidden="1">
      <c r="A498" t="s">
        <v>1815</v>
      </c>
      <c r="B498" t="s">
        <v>2808</v>
      </c>
      <c r="C498">
        <v>186</v>
      </c>
      <c r="F498" t="s">
        <v>1241</v>
      </c>
      <c r="G498" t="s">
        <v>1719</v>
      </c>
      <c r="I498">
        <v>2021</v>
      </c>
      <c r="N498" t="s">
        <v>36</v>
      </c>
      <c r="P498" t="s">
        <v>60</v>
      </c>
      <c r="Q498" t="s">
        <v>900</v>
      </c>
      <c r="R498" t="s">
        <v>911</v>
      </c>
      <c r="S498" t="s">
        <v>1749</v>
      </c>
      <c r="V498" t="s">
        <v>1015</v>
      </c>
      <c r="Z498">
        <v>4</v>
      </c>
      <c r="AA498">
        <v>4</v>
      </c>
      <c r="AC498">
        <v>516</v>
      </c>
      <c r="AD498">
        <v>28.7</v>
      </c>
      <c r="AE498">
        <v>1012</v>
      </c>
      <c r="AF498">
        <v>31.1</v>
      </c>
      <c r="AG498" t="s">
        <v>3371</v>
      </c>
      <c r="AH498">
        <v>3.0051805125037805</v>
      </c>
      <c r="AI498">
        <v>28.7</v>
      </c>
      <c r="AJ498" t="s">
        <v>1810</v>
      </c>
      <c r="AK498" t="s">
        <v>904</v>
      </c>
      <c r="AM498"/>
      <c r="AN498">
        <v>25.51</v>
      </c>
      <c r="AO498">
        <v>8.56</v>
      </c>
      <c r="AP498">
        <v>28.57</v>
      </c>
      <c r="AQ498">
        <v>6.12</v>
      </c>
      <c r="AS498">
        <v>-0.113</v>
      </c>
      <c r="AT498">
        <v>3.9600000000000003E-2</v>
      </c>
      <c r="AW498" s="28">
        <f t="shared" si="35"/>
        <v>0.41125169079600554</v>
      </c>
      <c r="AX498">
        <f t="shared" si="36"/>
        <v>0.86956521739130432</v>
      </c>
      <c r="AY498" s="62">
        <f t="shared" si="37"/>
        <v>0.35761016590957001</v>
      </c>
      <c r="AZ498" s="68" t="str">
        <f t="shared" si="38"/>
        <v>No</v>
      </c>
      <c r="BA498" s="68" t="str">
        <f t="shared" si="39"/>
        <v>No</v>
      </c>
    </row>
    <row r="499" spans="1:53" hidden="1">
      <c r="A499" t="s">
        <v>1815</v>
      </c>
      <c r="B499" t="s">
        <v>2811</v>
      </c>
      <c r="C499">
        <v>186</v>
      </c>
      <c r="F499" t="s">
        <v>1241</v>
      </c>
      <c r="G499" t="s">
        <v>1719</v>
      </c>
      <c r="I499">
        <v>2013</v>
      </c>
      <c r="N499" t="s">
        <v>36</v>
      </c>
      <c r="P499" t="s">
        <v>60</v>
      </c>
      <c r="Q499" t="s">
        <v>900</v>
      </c>
      <c r="R499" t="s">
        <v>911</v>
      </c>
      <c r="S499" t="s">
        <v>1749</v>
      </c>
      <c r="V499" t="s">
        <v>1015</v>
      </c>
      <c r="Z499">
        <v>4</v>
      </c>
      <c r="AA499">
        <v>4</v>
      </c>
      <c r="AC499">
        <v>516</v>
      </c>
      <c r="AD499">
        <v>28.7</v>
      </c>
      <c r="AE499">
        <v>1014</v>
      </c>
      <c r="AF499">
        <v>31.8</v>
      </c>
      <c r="AG499" t="s">
        <v>3371</v>
      </c>
      <c r="AH499">
        <v>3.0060379549973173</v>
      </c>
      <c r="AI499">
        <v>28.7</v>
      </c>
      <c r="AJ499" t="s">
        <v>69</v>
      </c>
      <c r="AK499" t="s">
        <v>69</v>
      </c>
      <c r="AM499"/>
      <c r="AN499">
        <v>97.53</v>
      </c>
      <c r="AO499">
        <v>3.18</v>
      </c>
      <c r="AP499">
        <v>94.95</v>
      </c>
      <c r="AQ499">
        <v>5.56</v>
      </c>
      <c r="AS499">
        <v>-2.6800000000000001E-2</v>
      </c>
      <c r="AT499">
        <v>1.1000000000000001E-3</v>
      </c>
      <c r="AW499" s="28">
        <f t="shared" si="35"/>
        <v>-0.56964608368198133</v>
      </c>
      <c r="AX499">
        <f t="shared" si="36"/>
        <v>0.86956521739130432</v>
      </c>
      <c r="AY499" s="62">
        <f t="shared" si="37"/>
        <v>-0.49534442059302725</v>
      </c>
      <c r="AZ499" s="68" t="str">
        <f t="shared" si="38"/>
        <v>No</v>
      </c>
      <c r="BA499" s="68" t="str">
        <f t="shared" si="39"/>
        <v>No</v>
      </c>
    </row>
    <row r="500" spans="1:53" hidden="1">
      <c r="A500" t="s">
        <v>1815</v>
      </c>
      <c r="B500" t="s">
        <v>2812</v>
      </c>
      <c r="C500">
        <v>186</v>
      </c>
      <c r="F500" t="s">
        <v>1241</v>
      </c>
      <c r="G500" t="s">
        <v>1719</v>
      </c>
      <c r="I500">
        <v>2013</v>
      </c>
      <c r="N500" t="s">
        <v>36</v>
      </c>
      <c r="P500" t="s">
        <v>60</v>
      </c>
      <c r="Q500" t="s">
        <v>900</v>
      </c>
      <c r="R500" t="s">
        <v>911</v>
      </c>
      <c r="S500" t="s">
        <v>1749</v>
      </c>
      <c r="V500" t="s">
        <v>1015</v>
      </c>
      <c r="Z500">
        <v>4</v>
      </c>
      <c r="AA500">
        <v>4</v>
      </c>
      <c r="AC500">
        <v>516</v>
      </c>
      <c r="AD500">
        <v>28.7</v>
      </c>
      <c r="AE500">
        <v>1010</v>
      </c>
      <c r="AF500">
        <v>32.9</v>
      </c>
      <c r="AG500" t="s">
        <v>3371</v>
      </c>
      <c r="AH500">
        <v>3.0043213737826426</v>
      </c>
      <c r="AI500">
        <v>28.7</v>
      </c>
      <c r="AJ500" t="s">
        <v>69</v>
      </c>
      <c r="AK500" t="s">
        <v>69</v>
      </c>
      <c r="AM500"/>
      <c r="AN500">
        <v>97.53</v>
      </c>
      <c r="AO500">
        <v>3.18</v>
      </c>
      <c r="AP500">
        <v>95.9</v>
      </c>
      <c r="AQ500">
        <v>4.5</v>
      </c>
      <c r="AS500">
        <v>-1.6899999999999998E-2</v>
      </c>
      <c r="AT500">
        <v>8.0000000000000004E-4</v>
      </c>
      <c r="AW500" s="28">
        <f t="shared" si="35"/>
        <v>-0.41834497185895669</v>
      </c>
      <c r="AX500">
        <f t="shared" si="36"/>
        <v>0.86956521739130432</v>
      </c>
      <c r="AY500" s="62">
        <f t="shared" si="37"/>
        <v>-0.36377823639909279</v>
      </c>
      <c r="AZ500" s="68" t="str">
        <f t="shared" si="38"/>
        <v>No</v>
      </c>
      <c r="BA500" s="68" t="str">
        <f t="shared" si="39"/>
        <v>No</v>
      </c>
    </row>
    <row r="501" spans="1:53" hidden="1">
      <c r="A501" t="s">
        <v>1815</v>
      </c>
      <c r="B501" t="s">
        <v>2814</v>
      </c>
      <c r="C501">
        <v>186</v>
      </c>
      <c r="F501" t="s">
        <v>1241</v>
      </c>
      <c r="G501" t="s">
        <v>1719</v>
      </c>
      <c r="I501">
        <v>2013</v>
      </c>
      <c r="N501" t="s">
        <v>36</v>
      </c>
      <c r="P501" t="s">
        <v>60</v>
      </c>
      <c r="Q501" t="s">
        <v>900</v>
      </c>
      <c r="R501" t="s">
        <v>911</v>
      </c>
      <c r="S501" t="s">
        <v>1749</v>
      </c>
      <c r="V501" t="s">
        <v>1015</v>
      </c>
      <c r="Z501">
        <v>4</v>
      </c>
      <c r="AA501">
        <v>4</v>
      </c>
      <c r="AC501">
        <v>516</v>
      </c>
      <c r="AD501">
        <v>28.7</v>
      </c>
      <c r="AE501">
        <v>1012</v>
      </c>
      <c r="AF501">
        <v>31.1</v>
      </c>
      <c r="AG501" t="s">
        <v>3371</v>
      </c>
      <c r="AH501">
        <v>3.0051805125037805</v>
      </c>
      <c r="AI501">
        <v>28.7</v>
      </c>
      <c r="AJ501" t="s">
        <v>69</v>
      </c>
      <c r="AK501" t="s">
        <v>69</v>
      </c>
      <c r="AM501"/>
      <c r="AN501">
        <v>97.53</v>
      </c>
      <c r="AO501">
        <v>3.18</v>
      </c>
      <c r="AP501">
        <v>96.79</v>
      </c>
      <c r="AQ501">
        <v>2.92</v>
      </c>
      <c r="AS501">
        <v>-7.6E-3</v>
      </c>
      <c r="AT501">
        <v>5.0000000000000001E-4</v>
      </c>
      <c r="AW501" s="28">
        <f t="shared" si="35"/>
        <v>-0.24240286216257356</v>
      </c>
      <c r="AX501">
        <f t="shared" si="36"/>
        <v>0.86956521739130432</v>
      </c>
      <c r="AY501" s="62">
        <f t="shared" si="37"/>
        <v>-0.21078509753267266</v>
      </c>
      <c r="AZ501" s="68" t="str">
        <f t="shared" si="38"/>
        <v>No</v>
      </c>
      <c r="BA501" s="68" t="str">
        <f t="shared" si="39"/>
        <v>No</v>
      </c>
    </row>
    <row r="502" spans="1:53" hidden="1">
      <c r="A502" t="s">
        <v>1815</v>
      </c>
      <c r="B502" t="s">
        <v>2846</v>
      </c>
      <c r="C502">
        <v>198</v>
      </c>
      <c r="F502" t="s">
        <v>1241</v>
      </c>
      <c r="G502" t="s">
        <v>1722</v>
      </c>
      <c r="I502">
        <v>2014</v>
      </c>
      <c r="N502" t="s">
        <v>36</v>
      </c>
      <c r="P502" t="s">
        <v>60</v>
      </c>
      <c r="Q502" t="s">
        <v>900</v>
      </c>
      <c r="R502" t="s">
        <v>946</v>
      </c>
      <c r="S502" t="s">
        <v>1771</v>
      </c>
      <c r="V502" t="s">
        <v>905</v>
      </c>
      <c r="Z502">
        <v>5</v>
      </c>
      <c r="AA502">
        <v>5</v>
      </c>
      <c r="AC502">
        <v>477</v>
      </c>
      <c r="AD502">
        <v>26.3</v>
      </c>
      <c r="AE502">
        <v>1895</v>
      </c>
      <c r="AF502">
        <v>26.3</v>
      </c>
      <c r="AG502" t="s">
        <v>3374</v>
      </c>
      <c r="AH502">
        <v>3.2776092143040914</v>
      </c>
      <c r="AI502">
        <v>26.3</v>
      </c>
      <c r="AJ502" t="s">
        <v>1790</v>
      </c>
      <c r="AK502" t="s">
        <v>770</v>
      </c>
      <c r="AM502"/>
      <c r="AN502">
        <v>70.260000000000005</v>
      </c>
      <c r="AO502">
        <v>5.4336451853244894</v>
      </c>
      <c r="AP502">
        <v>45.56</v>
      </c>
      <c r="AQ502">
        <v>13.997785539148683</v>
      </c>
      <c r="AS502">
        <v>-0.433</v>
      </c>
      <c r="AT502">
        <v>2.01E-2</v>
      </c>
      <c r="AW502" s="28">
        <f t="shared" si="35"/>
        <v>-2.3263485907541526</v>
      </c>
      <c r="AX502">
        <f t="shared" si="36"/>
        <v>0.90322580645161288</v>
      </c>
      <c r="AY502" s="62">
        <f t="shared" si="37"/>
        <v>-2.1012180819714925</v>
      </c>
      <c r="AZ502" s="68" t="str">
        <f t="shared" si="38"/>
        <v>No</v>
      </c>
      <c r="BA502" s="68" t="str">
        <f t="shared" si="39"/>
        <v>No</v>
      </c>
    </row>
    <row r="503" spans="1:53" hidden="1">
      <c r="A503" t="s">
        <v>1815</v>
      </c>
      <c r="B503" t="s">
        <v>2848</v>
      </c>
      <c r="C503">
        <v>198</v>
      </c>
      <c r="F503" t="s">
        <v>1241</v>
      </c>
      <c r="G503" t="s">
        <v>1722</v>
      </c>
      <c r="I503">
        <v>2014</v>
      </c>
      <c r="N503" t="s">
        <v>36</v>
      </c>
      <c r="P503" t="s">
        <v>60</v>
      </c>
      <c r="Q503" t="s">
        <v>900</v>
      </c>
      <c r="R503" t="s">
        <v>946</v>
      </c>
      <c r="S503" t="s">
        <v>1771</v>
      </c>
      <c r="V503" t="s">
        <v>905</v>
      </c>
      <c r="Z503">
        <v>5</v>
      </c>
      <c r="AA503">
        <v>5</v>
      </c>
      <c r="AC503">
        <v>477</v>
      </c>
      <c r="AD503">
        <v>26.3</v>
      </c>
      <c r="AE503">
        <v>1060</v>
      </c>
      <c r="AF503">
        <v>26.3</v>
      </c>
      <c r="AG503" t="s">
        <v>3374</v>
      </c>
      <c r="AH503">
        <v>3.0253058652647704</v>
      </c>
      <c r="AI503">
        <v>26.3</v>
      </c>
      <c r="AJ503" t="s">
        <v>1790</v>
      </c>
      <c r="AK503" t="s">
        <v>770</v>
      </c>
      <c r="AM503"/>
      <c r="AN503">
        <v>70.260000000000005</v>
      </c>
      <c r="AO503">
        <v>5.4336451853244894</v>
      </c>
      <c r="AP503">
        <v>57.39</v>
      </c>
      <c r="AQ503">
        <v>4.6510213931995628</v>
      </c>
      <c r="AS503">
        <v>-0.20200000000000001</v>
      </c>
      <c r="AT503">
        <v>2.5000000000000001E-3</v>
      </c>
      <c r="AW503" s="28">
        <f t="shared" si="35"/>
        <v>-2.544738339381059</v>
      </c>
      <c r="AX503">
        <f t="shared" si="36"/>
        <v>0.90322580645161288</v>
      </c>
      <c r="AY503" s="62">
        <f t="shared" si="37"/>
        <v>-2.298473338795795</v>
      </c>
      <c r="AZ503" s="68" t="str">
        <f t="shared" si="38"/>
        <v>No</v>
      </c>
      <c r="BA503" s="68" t="str">
        <f t="shared" si="39"/>
        <v>No</v>
      </c>
    </row>
    <row r="504" spans="1:53" hidden="1">
      <c r="A504" t="s">
        <v>1815</v>
      </c>
      <c r="B504" t="s">
        <v>2850</v>
      </c>
      <c r="C504">
        <v>198</v>
      </c>
      <c r="F504" t="s">
        <v>1241</v>
      </c>
      <c r="G504" t="s">
        <v>1722</v>
      </c>
      <c r="I504">
        <v>2014</v>
      </c>
      <c r="N504" t="s">
        <v>36</v>
      </c>
      <c r="P504" t="s">
        <v>60</v>
      </c>
      <c r="Q504" t="s">
        <v>900</v>
      </c>
      <c r="R504" t="s">
        <v>946</v>
      </c>
      <c r="S504" t="s">
        <v>1771</v>
      </c>
      <c r="V504" t="s">
        <v>905</v>
      </c>
      <c r="Z504">
        <v>5</v>
      </c>
      <c r="AA504">
        <v>5</v>
      </c>
      <c r="AC504">
        <v>477</v>
      </c>
      <c r="AD504">
        <v>26.3</v>
      </c>
      <c r="AE504">
        <v>1895</v>
      </c>
      <c r="AF504">
        <v>26.3</v>
      </c>
      <c r="AG504" t="s">
        <v>3374</v>
      </c>
      <c r="AH504">
        <v>3.2776092143040914</v>
      </c>
      <c r="AI504">
        <v>26.3</v>
      </c>
      <c r="AJ504" t="s">
        <v>1205</v>
      </c>
      <c r="AK504" t="s">
        <v>40</v>
      </c>
      <c r="AM504"/>
      <c r="AN504">
        <v>1.5</v>
      </c>
      <c r="AO504">
        <v>4.4721359549995794E-2</v>
      </c>
      <c r="AP504">
        <v>1.31</v>
      </c>
      <c r="AQ504">
        <v>4.4721359549995794E-2</v>
      </c>
      <c r="AS504">
        <v>-0.13500000000000001</v>
      </c>
      <c r="AT504">
        <v>4.0000000000000002E-4</v>
      </c>
      <c r="AW504" s="28">
        <f t="shared" si="35"/>
        <v>-4.2485291572495996</v>
      </c>
      <c r="AX504">
        <f t="shared" si="36"/>
        <v>0.90322580645161288</v>
      </c>
      <c r="AY504" s="62">
        <f t="shared" si="37"/>
        <v>-3.8373811742899608</v>
      </c>
      <c r="AZ504" s="68" t="str">
        <f t="shared" si="38"/>
        <v>No</v>
      </c>
      <c r="BA504" s="68" t="str">
        <f t="shared" si="39"/>
        <v>No</v>
      </c>
    </row>
    <row r="505" spans="1:53" hidden="1">
      <c r="A505" t="s">
        <v>1815</v>
      </c>
      <c r="B505" t="s">
        <v>2853</v>
      </c>
      <c r="C505">
        <v>198</v>
      </c>
      <c r="F505" t="s">
        <v>1241</v>
      </c>
      <c r="G505" t="s">
        <v>1722</v>
      </c>
      <c r="I505">
        <v>2015</v>
      </c>
      <c r="N505" t="s">
        <v>36</v>
      </c>
      <c r="P505" t="s">
        <v>60</v>
      </c>
      <c r="Q505" t="s">
        <v>900</v>
      </c>
      <c r="R505" t="s">
        <v>946</v>
      </c>
      <c r="S505" t="s">
        <v>1771</v>
      </c>
      <c r="V505" t="s">
        <v>905</v>
      </c>
      <c r="Z505">
        <v>5</v>
      </c>
      <c r="AA505">
        <v>5</v>
      </c>
      <c r="AC505">
        <v>477</v>
      </c>
      <c r="AD505">
        <v>26.3</v>
      </c>
      <c r="AE505">
        <v>1060</v>
      </c>
      <c r="AF505">
        <v>26.3</v>
      </c>
      <c r="AG505" t="s">
        <v>3374</v>
      </c>
      <c r="AH505">
        <v>3.0253058652647704</v>
      </c>
      <c r="AI505">
        <v>26.3</v>
      </c>
      <c r="AJ505" t="s">
        <v>1205</v>
      </c>
      <c r="AK505" t="s">
        <v>40</v>
      </c>
      <c r="AM505"/>
      <c r="AN505">
        <v>1.5</v>
      </c>
      <c r="AO505">
        <v>4.4721359549995794E-2</v>
      </c>
      <c r="AP505">
        <v>1.45</v>
      </c>
      <c r="AQ505">
        <v>8.9442719099991588E-2</v>
      </c>
      <c r="AS505">
        <v>-3.4000000000000002E-2</v>
      </c>
      <c r="AT505">
        <v>8.9999999999999998E-4</v>
      </c>
      <c r="AW505" s="28">
        <f t="shared" si="35"/>
        <v>-0.70710678118654813</v>
      </c>
      <c r="AX505">
        <f t="shared" si="36"/>
        <v>0.90322580645161288</v>
      </c>
      <c r="AY505" s="62">
        <f t="shared" si="37"/>
        <v>-0.63867709268462414</v>
      </c>
      <c r="AZ505" s="68" t="str">
        <f t="shared" si="38"/>
        <v>No</v>
      </c>
      <c r="BA505" s="68" t="str">
        <f t="shared" si="39"/>
        <v>No</v>
      </c>
    </row>
    <row r="506" spans="1:53" hidden="1">
      <c r="A506" t="s">
        <v>1815</v>
      </c>
      <c r="B506" t="s">
        <v>2854</v>
      </c>
      <c r="C506">
        <v>198</v>
      </c>
      <c r="F506" t="s">
        <v>1241</v>
      </c>
      <c r="G506" t="s">
        <v>1722</v>
      </c>
      <c r="I506">
        <v>2015</v>
      </c>
      <c r="N506" t="s">
        <v>36</v>
      </c>
      <c r="P506" t="s">
        <v>60</v>
      </c>
      <c r="Q506" t="s">
        <v>900</v>
      </c>
      <c r="R506" t="s">
        <v>946</v>
      </c>
      <c r="S506" t="s">
        <v>1771</v>
      </c>
      <c r="V506" t="s">
        <v>907</v>
      </c>
      <c r="Z506">
        <v>5</v>
      </c>
      <c r="AA506">
        <v>5</v>
      </c>
      <c r="AC506">
        <v>477</v>
      </c>
      <c r="AD506">
        <v>26.3</v>
      </c>
      <c r="AE506">
        <v>480</v>
      </c>
      <c r="AF506">
        <v>27.8</v>
      </c>
      <c r="AG506" t="s">
        <v>3374</v>
      </c>
      <c r="AH506">
        <v>2.6812412373755872</v>
      </c>
      <c r="AI506">
        <v>26.3</v>
      </c>
      <c r="AJ506" t="s">
        <v>1205</v>
      </c>
      <c r="AK506" t="s">
        <v>40</v>
      </c>
      <c r="AM506"/>
      <c r="AN506">
        <v>1.5</v>
      </c>
      <c r="AO506">
        <v>4.4721359549995794E-2</v>
      </c>
      <c r="AP506">
        <v>1.54</v>
      </c>
      <c r="AQ506">
        <v>4.4721359549995794E-2</v>
      </c>
      <c r="AS506">
        <v>2.5999999999999999E-2</v>
      </c>
      <c r="AT506">
        <v>2.9999999999999997E-4</v>
      </c>
      <c r="AW506" s="28">
        <f t="shared" si="35"/>
        <v>0.89442719099991663</v>
      </c>
      <c r="AX506">
        <f t="shared" si="36"/>
        <v>0.90322580645161288</v>
      </c>
      <c r="AY506" s="62">
        <f t="shared" si="37"/>
        <v>0.80786972090315046</v>
      </c>
      <c r="AZ506" s="68" t="str">
        <f t="shared" si="38"/>
        <v>No</v>
      </c>
      <c r="BA506" s="68" t="str">
        <f t="shared" si="39"/>
        <v>No</v>
      </c>
    </row>
    <row r="507" spans="1:53" hidden="1">
      <c r="A507" t="s">
        <v>1815</v>
      </c>
      <c r="B507" t="s">
        <v>2855</v>
      </c>
      <c r="C507">
        <v>198</v>
      </c>
      <c r="F507" t="s">
        <v>1241</v>
      </c>
      <c r="G507" t="s">
        <v>1722</v>
      </c>
      <c r="I507">
        <v>2015</v>
      </c>
      <c r="N507" t="s">
        <v>36</v>
      </c>
      <c r="P507" t="s">
        <v>60</v>
      </c>
      <c r="Q507" t="s">
        <v>900</v>
      </c>
      <c r="R507" t="s">
        <v>946</v>
      </c>
      <c r="S507" t="s">
        <v>1771</v>
      </c>
      <c r="V507" t="s">
        <v>907</v>
      </c>
      <c r="Z507">
        <v>5</v>
      </c>
      <c r="AA507">
        <v>5</v>
      </c>
      <c r="AC507">
        <v>477</v>
      </c>
      <c r="AD507">
        <v>26.3</v>
      </c>
      <c r="AE507">
        <v>480</v>
      </c>
      <c r="AF507">
        <v>27.8</v>
      </c>
      <c r="AG507" t="s">
        <v>3374</v>
      </c>
      <c r="AH507">
        <v>2.6812412373755872</v>
      </c>
      <c r="AI507">
        <v>26.3</v>
      </c>
      <c r="AJ507" t="s">
        <v>1790</v>
      </c>
      <c r="AK507" t="s">
        <v>770</v>
      </c>
      <c r="AM507"/>
      <c r="AN507">
        <v>70.260000000000005</v>
      </c>
      <c r="AO507">
        <v>5.4336451853244894</v>
      </c>
      <c r="AP507">
        <v>74.430000000000007</v>
      </c>
      <c r="AQ507">
        <v>3.1081344887247075</v>
      </c>
      <c r="AS507">
        <v>5.8000000000000003E-2</v>
      </c>
      <c r="AT507">
        <v>1.5E-3</v>
      </c>
      <c r="AW507" s="28">
        <f t="shared" si="35"/>
        <v>0.9420872523104914</v>
      </c>
      <c r="AX507">
        <f t="shared" si="36"/>
        <v>0.90322580645161288</v>
      </c>
      <c r="AY507" s="62">
        <f t="shared" si="37"/>
        <v>0.85091751821592765</v>
      </c>
      <c r="AZ507" s="68" t="str">
        <f t="shared" si="38"/>
        <v>No</v>
      </c>
      <c r="BA507" s="68" t="str">
        <f t="shared" si="39"/>
        <v>No</v>
      </c>
    </row>
    <row r="508" spans="1:53" hidden="1">
      <c r="A508" t="s">
        <v>1815</v>
      </c>
      <c r="B508" t="s">
        <v>2847</v>
      </c>
      <c r="C508">
        <v>198</v>
      </c>
      <c r="F508" t="s">
        <v>1241</v>
      </c>
      <c r="G508" t="s">
        <v>1722</v>
      </c>
      <c r="I508">
        <v>2014</v>
      </c>
      <c r="N508" t="s">
        <v>36</v>
      </c>
      <c r="P508" t="s">
        <v>60</v>
      </c>
      <c r="Q508" t="s">
        <v>900</v>
      </c>
      <c r="R508" t="s">
        <v>946</v>
      </c>
      <c r="S508" t="s">
        <v>1771</v>
      </c>
      <c r="V508" t="s">
        <v>1015</v>
      </c>
      <c r="Z508">
        <v>5</v>
      </c>
      <c r="AA508">
        <v>5</v>
      </c>
      <c r="AC508">
        <v>477</v>
      </c>
      <c r="AD508">
        <v>26.3</v>
      </c>
      <c r="AE508">
        <v>1919</v>
      </c>
      <c r="AF508">
        <v>27.8</v>
      </c>
      <c r="AG508" t="s">
        <v>3374</v>
      </c>
      <c r="AH508">
        <v>3.2830749747354715</v>
      </c>
      <c r="AI508">
        <v>26.3</v>
      </c>
      <c r="AJ508" t="s">
        <v>1790</v>
      </c>
      <c r="AK508" t="s">
        <v>770</v>
      </c>
      <c r="AM508"/>
      <c r="AN508">
        <v>70.260000000000005</v>
      </c>
      <c r="AO508">
        <v>5.4336451853244894</v>
      </c>
      <c r="AP508">
        <v>51.82</v>
      </c>
      <c r="AQ508">
        <v>7.7815165616992683</v>
      </c>
      <c r="AS508">
        <v>-0.30399999999999999</v>
      </c>
      <c r="AT508">
        <v>5.7000000000000002E-3</v>
      </c>
      <c r="AW508" s="28">
        <f t="shared" si="35"/>
        <v>-2.7477053736026935</v>
      </c>
      <c r="AX508">
        <f t="shared" si="36"/>
        <v>0.90322580645161288</v>
      </c>
      <c r="AY508" s="62">
        <f t="shared" si="37"/>
        <v>-2.4817984019637231</v>
      </c>
      <c r="AZ508" s="68" t="str">
        <f t="shared" si="38"/>
        <v>No</v>
      </c>
      <c r="BA508" s="68" t="str">
        <f t="shared" si="39"/>
        <v>No</v>
      </c>
    </row>
    <row r="509" spans="1:53" hidden="1">
      <c r="A509" t="s">
        <v>1815</v>
      </c>
      <c r="B509" t="s">
        <v>2849</v>
      </c>
      <c r="C509">
        <v>198</v>
      </c>
      <c r="F509" t="s">
        <v>1241</v>
      </c>
      <c r="G509" t="s">
        <v>1722</v>
      </c>
      <c r="I509">
        <v>2014</v>
      </c>
      <c r="N509" t="s">
        <v>36</v>
      </c>
      <c r="P509" t="s">
        <v>60</v>
      </c>
      <c r="Q509" t="s">
        <v>900</v>
      </c>
      <c r="R509" t="s">
        <v>946</v>
      </c>
      <c r="S509" t="s">
        <v>1771</v>
      </c>
      <c r="V509" t="s">
        <v>1015</v>
      </c>
      <c r="Z509">
        <v>5</v>
      </c>
      <c r="AA509">
        <v>5</v>
      </c>
      <c r="AC509">
        <v>477</v>
      </c>
      <c r="AD509">
        <v>26.3</v>
      </c>
      <c r="AE509">
        <v>1919</v>
      </c>
      <c r="AF509">
        <v>27.8</v>
      </c>
      <c r="AG509" t="s">
        <v>3374</v>
      </c>
      <c r="AH509">
        <v>3.2830749747354715</v>
      </c>
      <c r="AI509">
        <v>26.3</v>
      </c>
      <c r="AJ509" t="s">
        <v>1205</v>
      </c>
      <c r="AK509" t="s">
        <v>40</v>
      </c>
      <c r="AM509"/>
      <c r="AN509">
        <v>1.5</v>
      </c>
      <c r="AO509">
        <v>4.4721359549995794E-2</v>
      </c>
      <c r="AP509">
        <v>1.25</v>
      </c>
      <c r="AQ509">
        <v>4.4721359549995794E-2</v>
      </c>
      <c r="AS509">
        <v>-0.182</v>
      </c>
      <c r="AT509">
        <v>4.0000000000000002E-4</v>
      </c>
      <c r="AW509" s="28">
        <f t="shared" si="35"/>
        <v>-5.5901699437494745</v>
      </c>
      <c r="AX509">
        <f t="shared" si="36"/>
        <v>0.90322580645161288</v>
      </c>
      <c r="AY509" s="62">
        <f t="shared" si="37"/>
        <v>-5.0491857556446869</v>
      </c>
      <c r="AZ509" s="68" t="str">
        <f t="shared" si="38"/>
        <v>No</v>
      </c>
      <c r="BA509" s="68" t="str">
        <f t="shared" si="39"/>
        <v>No</v>
      </c>
    </row>
    <row r="510" spans="1:53" hidden="1">
      <c r="A510" t="s">
        <v>1815</v>
      </c>
      <c r="B510" t="s">
        <v>2851</v>
      </c>
      <c r="C510">
        <v>198</v>
      </c>
      <c r="F510" t="s">
        <v>1241</v>
      </c>
      <c r="G510" t="s">
        <v>1722</v>
      </c>
      <c r="I510">
        <v>2015</v>
      </c>
      <c r="N510" t="s">
        <v>36</v>
      </c>
      <c r="P510" t="s">
        <v>60</v>
      </c>
      <c r="Q510" t="s">
        <v>900</v>
      </c>
      <c r="R510" t="s">
        <v>946</v>
      </c>
      <c r="S510" t="s">
        <v>1771</v>
      </c>
      <c r="V510" t="s">
        <v>1015</v>
      </c>
      <c r="Z510">
        <v>5</v>
      </c>
      <c r="AA510">
        <v>5</v>
      </c>
      <c r="AC510">
        <v>477</v>
      </c>
      <c r="AD510">
        <v>26.3</v>
      </c>
      <c r="AE510">
        <v>1072</v>
      </c>
      <c r="AF510">
        <v>27.8</v>
      </c>
      <c r="AG510" t="s">
        <v>3374</v>
      </c>
      <c r="AH510">
        <v>3.030194785356751</v>
      </c>
      <c r="AI510">
        <v>26.3</v>
      </c>
      <c r="AJ510" t="s">
        <v>1205</v>
      </c>
      <c r="AK510" t="s">
        <v>40</v>
      </c>
      <c r="AM510"/>
      <c r="AN510">
        <v>1.5</v>
      </c>
      <c r="AO510">
        <v>4.4721359549995794E-2</v>
      </c>
      <c r="AP510">
        <v>1.35</v>
      </c>
      <c r="AQ510">
        <v>6.7082039324993695E-2</v>
      </c>
      <c r="AS510">
        <v>-0.105</v>
      </c>
      <c r="AT510">
        <v>6.9999999999999999E-4</v>
      </c>
      <c r="AW510" s="28">
        <f t="shared" si="35"/>
        <v>-2.6311740579210858</v>
      </c>
      <c r="AX510">
        <f t="shared" si="36"/>
        <v>0.90322580645161288</v>
      </c>
      <c r="AY510" s="62">
        <f t="shared" si="37"/>
        <v>-2.3765443103803356</v>
      </c>
      <c r="AZ510" s="68" t="str">
        <f t="shared" si="38"/>
        <v>No</v>
      </c>
      <c r="BA510" s="68" t="str">
        <f t="shared" si="39"/>
        <v>No</v>
      </c>
    </row>
    <row r="511" spans="1:53" hidden="1">
      <c r="A511" t="s">
        <v>1815</v>
      </c>
      <c r="B511" t="s">
        <v>2852</v>
      </c>
      <c r="C511">
        <v>198</v>
      </c>
      <c r="F511" t="s">
        <v>1241</v>
      </c>
      <c r="G511" t="s">
        <v>1722</v>
      </c>
      <c r="I511">
        <v>2015</v>
      </c>
      <c r="N511" t="s">
        <v>36</v>
      </c>
      <c r="P511" t="s">
        <v>60</v>
      </c>
      <c r="Q511" t="s">
        <v>900</v>
      </c>
      <c r="R511" t="s">
        <v>946</v>
      </c>
      <c r="S511" t="s">
        <v>1771</v>
      </c>
      <c r="V511" t="s">
        <v>1015</v>
      </c>
      <c r="Z511">
        <v>5</v>
      </c>
      <c r="AA511">
        <v>5</v>
      </c>
      <c r="AC511">
        <v>477</v>
      </c>
      <c r="AD511">
        <v>26.3</v>
      </c>
      <c r="AE511">
        <v>1072</v>
      </c>
      <c r="AF511">
        <v>27.8</v>
      </c>
      <c r="AG511" t="s">
        <v>3374</v>
      </c>
      <c r="AH511">
        <v>3.030194785356751</v>
      </c>
      <c r="AI511">
        <v>26.3</v>
      </c>
      <c r="AJ511" t="s">
        <v>1790</v>
      </c>
      <c r="AK511" t="s">
        <v>770</v>
      </c>
      <c r="AM511"/>
      <c r="AN511">
        <v>70.260000000000005</v>
      </c>
      <c r="AO511">
        <v>5.4336451853244894</v>
      </c>
      <c r="AP511">
        <v>66.08</v>
      </c>
      <c r="AQ511">
        <v>6.2162689774494151</v>
      </c>
      <c r="AS511">
        <v>-6.0999999999999999E-2</v>
      </c>
      <c r="AT511">
        <v>3.0000000000000001E-3</v>
      </c>
      <c r="AW511" s="28">
        <f t="shared" si="35"/>
        <v>-0.71598806289462424</v>
      </c>
      <c r="AX511">
        <f t="shared" si="36"/>
        <v>0.90322580645161288</v>
      </c>
      <c r="AY511" s="62">
        <f t="shared" si="37"/>
        <v>-0.64669889551772508</v>
      </c>
      <c r="AZ511" s="68" t="str">
        <f t="shared" si="38"/>
        <v>No</v>
      </c>
      <c r="BA511" s="68" t="str">
        <f t="shared" si="39"/>
        <v>No</v>
      </c>
    </row>
    <row r="512" spans="1:53" hidden="1">
      <c r="A512" t="s">
        <v>1815</v>
      </c>
      <c r="B512" t="s">
        <v>3158</v>
      </c>
      <c r="C512">
        <v>104</v>
      </c>
      <c r="F512" t="s">
        <v>1241</v>
      </c>
      <c r="G512" t="s">
        <v>1735</v>
      </c>
      <c r="I512">
        <v>2017</v>
      </c>
      <c r="N512" t="s">
        <v>36</v>
      </c>
      <c r="P512" t="s">
        <v>60</v>
      </c>
      <c r="Q512" t="s">
        <v>900</v>
      </c>
      <c r="R512" t="s">
        <v>946</v>
      </c>
      <c r="S512" t="s">
        <v>1783</v>
      </c>
      <c r="V512" t="s">
        <v>905</v>
      </c>
      <c r="Z512">
        <v>4</v>
      </c>
      <c r="AA512">
        <v>4</v>
      </c>
      <c r="AC512">
        <v>413</v>
      </c>
      <c r="AD512" s="37">
        <v>-0.5</v>
      </c>
      <c r="AE512">
        <v>823</v>
      </c>
      <c r="AF512" s="37">
        <v>-0.5</v>
      </c>
      <c r="AG512" t="s">
        <v>3406</v>
      </c>
      <c r="AH512">
        <v>2.9153998352122699</v>
      </c>
      <c r="AI512" s="37">
        <v>-0.5</v>
      </c>
      <c r="AJ512" t="s">
        <v>1813</v>
      </c>
      <c r="AK512" t="s">
        <v>59</v>
      </c>
      <c r="AM512"/>
      <c r="AN512">
        <v>74.81</v>
      </c>
      <c r="AO512">
        <v>2.96</v>
      </c>
      <c r="AP512">
        <v>71.11</v>
      </c>
      <c r="AQ512">
        <v>5.92</v>
      </c>
      <c r="AS512">
        <v>-5.0999999999999997E-2</v>
      </c>
      <c r="AT512">
        <v>2.0999999999999999E-3</v>
      </c>
      <c r="AW512" s="28">
        <f t="shared" si="35"/>
        <v>-0.79056941504209544</v>
      </c>
      <c r="AX512">
        <f t="shared" si="36"/>
        <v>0.86956521739130432</v>
      </c>
      <c r="AY512" s="62">
        <f t="shared" si="37"/>
        <v>-0.68745166525399604</v>
      </c>
      <c r="AZ512" s="68" t="str">
        <f t="shared" si="38"/>
        <v>No</v>
      </c>
      <c r="BA512" s="68" t="str">
        <f t="shared" si="39"/>
        <v>No</v>
      </c>
    </row>
    <row r="513" spans="1:53" hidden="1">
      <c r="A513" t="s">
        <v>1815</v>
      </c>
      <c r="B513" t="s">
        <v>3159</v>
      </c>
      <c r="C513">
        <v>104</v>
      </c>
      <c r="F513" t="s">
        <v>1241</v>
      </c>
      <c r="G513" t="s">
        <v>1735</v>
      </c>
      <c r="I513">
        <v>2017</v>
      </c>
      <c r="N513" t="s">
        <v>36</v>
      </c>
      <c r="P513" t="s">
        <v>60</v>
      </c>
      <c r="Q513" t="s">
        <v>900</v>
      </c>
      <c r="R513" t="s">
        <v>946</v>
      </c>
      <c r="S513" t="s">
        <v>1784</v>
      </c>
      <c r="V513" t="s">
        <v>905</v>
      </c>
      <c r="Z513">
        <v>4</v>
      </c>
      <c r="AA513">
        <v>4</v>
      </c>
      <c r="AC513">
        <v>441</v>
      </c>
      <c r="AD513" s="37">
        <v>17.5</v>
      </c>
      <c r="AE513">
        <v>912</v>
      </c>
      <c r="AF513" s="37">
        <v>17.5</v>
      </c>
      <c r="AG513" t="s">
        <v>3407</v>
      </c>
      <c r="AH513">
        <v>2.959994838328416</v>
      </c>
      <c r="AI513" s="37">
        <v>17.5</v>
      </c>
      <c r="AJ513" t="s">
        <v>1813</v>
      </c>
      <c r="AK513" t="s">
        <v>59</v>
      </c>
      <c r="AM513"/>
      <c r="AN513">
        <v>82.84</v>
      </c>
      <c r="AO513">
        <v>10.44</v>
      </c>
      <c r="AP513">
        <v>79.099999999999994</v>
      </c>
      <c r="AQ513">
        <v>4.4800000000000004</v>
      </c>
      <c r="AS513">
        <v>-4.5999999999999999E-2</v>
      </c>
      <c r="AT513">
        <v>4.7999999999999996E-3</v>
      </c>
      <c r="AW513" s="28">
        <f t="shared" si="35"/>
        <v>-0.4655689835011726</v>
      </c>
      <c r="AX513">
        <f t="shared" si="36"/>
        <v>0.86956521739130432</v>
      </c>
      <c r="AY513" s="62">
        <f t="shared" si="37"/>
        <v>-0.40484259434884573</v>
      </c>
      <c r="AZ513" s="68" t="str">
        <f t="shared" si="38"/>
        <v>No</v>
      </c>
      <c r="BA513" s="68" t="str">
        <f t="shared" si="39"/>
        <v>No</v>
      </c>
    </row>
    <row r="514" spans="1:53" hidden="1">
      <c r="A514" t="s">
        <v>1815</v>
      </c>
      <c r="B514" t="s">
        <v>3160</v>
      </c>
      <c r="C514">
        <v>104</v>
      </c>
      <c r="F514" t="s">
        <v>1241</v>
      </c>
      <c r="G514" t="s">
        <v>1735</v>
      </c>
      <c r="I514">
        <v>2017</v>
      </c>
      <c r="N514" t="s">
        <v>36</v>
      </c>
      <c r="P514" t="s">
        <v>60</v>
      </c>
      <c r="Q514" t="s">
        <v>900</v>
      </c>
      <c r="R514" t="s">
        <v>946</v>
      </c>
      <c r="S514" t="s">
        <v>1783</v>
      </c>
      <c r="V514" t="s">
        <v>905</v>
      </c>
      <c r="Z514">
        <v>4</v>
      </c>
      <c r="AA514">
        <v>4</v>
      </c>
      <c r="AC514">
        <v>413</v>
      </c>
      <c r="AD514" s="37">
        <v>-0.5</v>
      </c>
      <c r="AE514">
        <v>823</v>
      </c>
      <c r="AF514" s="37">
        <v>-0.5</v>
      </c>
      <c r="AG514" t="s">
        <v>3406</v>
      </c>
      <c r="AH514">
        <v>2.9153998352122699</v>
      </c>
      <c r="AI514" s="37">
        <v>-0.5</v>
      </c>
      <c r="AJ514" t="s">
        <v>1790</v>
      </c>
      <c r="AK514" t="s">
        <v>59</v>
      </c>
      <c r="AM514"/>
      <c r="AN514">
        <v>96</v>
      </c>
      <c r="AO514">
        <v>1.34</v>
      </c>
      <c r="AP514">
        <v>92</v>
      </c>
      <c r="AQ514">
        <v>5.34</v>
      </c>
      <c r="AS514">
        <v>-4.2999999999999997E-2</v>
      </c>
      <c r="AT514">
        <v>8.9999999999999998E-4</v>
      </c>
      <c r="AW514" s="28">
        <f t="shared" ref="AW514:AW577" si="40">(AP514-$AN514)/SQRT(((AA514-1)*AQ514*AQ514+($Z514-1)*$AO514*$AO514)/(AA514+$Z514-2))</f>
        <v>-1.0274801113081391</v>
      </c>
      <c r="AX514">
        <f t="shared" ref="AX514:AX577" si="41">1-(3/(4*(AA514+$Z514-2)-1))</f>
        <v>0.86956521739130432</v>
      </c>
      <c r="AY514" s="62">
        <f t="shared" ref="AY514:AY577" si="42">AX514*AW514</f>
        <v>-0.89346096635490357</v>
      </c>
      <c r="AZ514" s="68" t="str">
        <f t="shared" ref="AZ514:AZ577" si="43">IF(AY514&gt;10,"Yes","No")</f>
        <v>No</v>
      </c>
      <c r="BA514" s="68" t="str">
        <f t="shared" ref="BA514:BA577" si="44">IF(AY514&lt;-10,"Yes","No")</f>
        <v>No</v>
      </c>
    </row>
    <row r="515" spans="1:53" hidden="1">
      <c r="A515" t="s">
        <v>1815</v>
      </c>
      <c r="B515" t="s">
        <v>3162</v>
      </c>
      <c r="C515">
        <v>104</v>
      </c>
      <c r="F515" t="s">
        <v>1241</v>
      </c>
      <c r="G515" t="s">
        <v>1735</v>
      </c>
      <c r="I515">
        <v>2017</v>
      </c>
      <c r="N515" t="s">
        <v>36</v>
      </c>
      <c r="P515" t="s">
        <v>60</v>
      </c>
      <c r="Q515" t="s">
        <v>900</v>
      </c>
      <c r="R515" t="s">
        <v>946</v>
      </c>
      <c r="S515" t="s">
        <v>1785</v>
      </c>
      <c r="V515" t="s">
        <v>905</v>
      </c>
      <c r="Z515">
        <v>4</v>
      </c>
      <c r="AA515">
        <v>4</v>
      </c>
      <c r="AC515">
        <v>565</v>
      </c>
      <c r="AD515" s="37">
        <v>25.9</v>
      </c>
      <c r="AE515">
        <v>963</v>
      </c>
      <c r="AF515" s="37">
        <v>25.9</v>
      </c>
      <c r="AG515" t="s">
        <v>3408</v>
      </c>
      <c r="AH515">
        <v>2.9836262871245345</v>
      </c>
      <c r="AI515" s="37">
        <v>25.9</v>
      </c>
      <c r="AJ515" t="s">
        <v>1790</v>
      </c>
      <c r="AK515" t="s">
        <v>59</v>
      </c>
      <c r="AM515"/>
      <c r="AN515">
        <v>97.68</v>
      </c>
      <c r="AO515">
        <v>3.08</v>
      </c>
      <c r="AP515">
        <v>94.59</v>
      </c>
      <c r="AQ515">
        <v>6.94</v>
      </c>
      <c r="AS515">
        <v>-3.2000000000000001E-2</v>
      </c>
      <c r="AT515">
        <v>1.6000000000000001E-3</v>
      </c>
      <c r="AW515" s="28">
        <f t="shared" si="40"/>
        <v>-0.5755377590180405</v>
      </c>
      <c r="AX515">
        <f t="shared" si="41"/>
        <v>0.86956521739130432</v>
      </c>
      <c r="AY515" s="62">
        <f t="shared" si="42"/>
        <v>-0.50046761653742655</v>
      </c>
      <c r="AZ515" s="68" t="str">
        <f t="shared" si="43"/>
        <v>No</v>
      </c>
      <c r="BA515" s="68" t="str">
        <f t="shared" si="44"/>
        <v>No</v>
      </c>
    </row>
    <row r="516" spans="1:53" hidden="1">
      <c r="A516" t="s">
        <v>1815</v>
      </c>
      <c r="B516" t="s">
        <v>3163</v>
      </c>
      <c r="C516">
        <v>104</v>
      </c>
      <c r="F516" t="s">
        <v>1241</v>
      </c>
      <c r="G516" t="s">
        <v>1735</v>
      </c>
      <c r="I516">
        <v>2017</v>
      </c>
      <c r="N516" t="s">
        <v>36</v>
      </c>
      <c r="P516" t="s">
        <v>60</v>
      </c>
      <c r="Q516" t="s">
        <v>900</v>
      </c>
      <c r="R516" t="s">
        <v>946</v>
      </c>
      <c r="S516" t="s">
        <v>948</v>
      </c>
      <c r="V516" t="s">
        <v>905</v>
      </c>
      <c r="Z516">
        <v>4</v>
      </c>
      <c r="AA516">
        <v>4</v>
      </c>
      <c r="AC516">
        <v>454</v>
      </c>
      <c r="AD516" s="37">
        <v>-1.1000000000000001</v>
      </c>
      <c r="AE516">
        <v>946</v>
      </c>
      <c r="AF516" s="37">
        <v>-1.1000000000000001</v>
      </c>
      <c r="AG516" t="s">
        <v>3404</v>
      </c>
      <c r="AH516">
        <v>2.9758911364017928</v>
      </c>
      <c r="AI516" s="37">
        <v>-1.1000000000000001</v>
      </c>
      <c r="AJ516" t="s">
        <v>1813</v>
      </c>
      <c r="AK516" t="s">
        <v>59</v>
      </c>
      <c r="AM516"/>
      <c r="AN516">
        <v>90.48</v>
      </c>
      <c r="AO516">
        <v>3.18</v>
      </c>
      <c r="AP516">
        <v>88.1</v>
      </c>
      <c r="AQ516">
        <v>4.76</v>
      </c>
      <c r="AS516">
        <v>-2.7E-2</v>
      </c>
      <c r="AT516">
        <v>1E-3</v>
      </c>
      <c r="AW516" s="28">
        <f t="shared" si="40"/>
        <v>-0.58796805935015983</v>
      </c>
      <c r="AX516">
        <f t="shared" si="41"/>
        <v>0.86956521739130432</v>
      </c>
      <c r="AY516" s="62">
        <f t="shared" si="42"/>
        <v>-0.51127657334796506</v>
      </c>
      <c r="AZ516" s="68" t="str">
        <f t="shared" si="43"/>
        <v>No</v>
      </c>
      <c r="BA516" s="68" t="str">
        <f t="shared" si="44"/>
        <v>No</v>
      </c>
    </row>
    <row r="517" spans="1:53" hidden="1">
      <c r="A517" t="s">
        <v>1815</v>
      </c>
      <c r="B517" t="s">
        <v>3164</v>
      </c>
      <c r="C517">
        <v>104</v>
      </c>
      <c r="F517" t="s">
        <v>1241</v>
      </c>
      <c r="G517" t="s">
        <v>1735</v>
      </c>
      <c r="I517">
        <v>2017</v>
      </c>
      <c r="N517" t="s">
        <v>36</v>
      </c>
      <c r="P517" t="s">
        <v>60</v>
      </c>
      <c r="Q517" t="s">
        <v>900</v>
      </c>
      <c r="R517" t="s">
        <v>946</v>
      </c>
      <c r="S517" t="s">
        <v>1755</v>
      </c>
      <c r="V517" t="s">
        <v>905</v>
      </c>
      <c r="Z517">
        <v>4</v>
      </c>
      <c r="AA517">
        <v>4</v>
      </c>
      <c r="AC517">
        <v>487</v>
      </c>
      <c r="AD517" s="37">
        <v>16</v>
      </c>
      <c r="AE517">
        <v>950</v>
      </c>
      <c r="AF517" s="37">
        <v>16</v>
      </c>
      <c r="AG517" t="s">
        <v>3405</v>
      </c>
      <c r="AH517">
        <v>2.9777236052888476</v>
      </c>
      <c r="AI517" s="37">
        <v>16</v>
      </c>
      <c r="AJ517" t="s">
        <v>1813</v>
      </c>
      <c r="AK517" t="s">
        <v>770</v>
      </c>
      <c r="AM517"/>
      <c r="AN517">
        <v>72.59</v>
      </c>
      <c r="AO517">
        <v>2.96</v>
      </c>
      <c r="AP517">
        <v>71.11</v>
      </c>
      <c r="AQ517">
        <v>1.48</v>
      </c>
      <c r="AS517">
        <v>-2.1000000000000001E-2</v>
      </c>
      <c r="AT517">
        <v>5.0000000000000001E-4</v>
      </c>
      <c r="AW517" s="28">
        <f t="shared" si="40"/>
        <v>-0.63245553203367755</v>
      </c>
      <c r="AX517">
        <f t="shared" si="41"/>
        <v>0.86956521739130432</v>
      </c>
      <c r="AY517" s="62">
        <f t="shared" si="42"/>
        <v>-0.54996133220319787</v>
      </c>
      <c r="AZ517" s="68" t="str">
        <f t="shared" si="43"/>
        <v>No</v>
      </c>
      <c r="BA517" s="68" t="str">
        <f t="shared" si="44"/>
        <v>No</v>
      </c>
    </row>
    <row r="518" spans="1:53" hidden="1">
      <c r="A518" t="s">
        <v>1815</v>
      </c>
      <c r="B518" t="s">
        <v>3165</v>
      </c>
      <c r="C518">
        <v>104</v>
      </c>
      <c r="F518" t="s">
        <v>1241</v>
      </c>
      <c r="G518" t="s">
        <v>1735</v>
      </c>
      <c r="I518">
        <v>2017</v>
      </c>
      <c r="N518" t="s">
        <v>36</v>
      </c>
      <c r="P518" t="s">
        <v>60</v>
      </c>
      <c r="Q518" t="s">
        <v>900</v>
      </c>
      <c r="R518" t="s">
        <v>946</v>
      </c>
      <c r="S518" t="s">
        <v>1785</v>
      </c>
      <c r="V518" t="s">
        <v>905</v>
      </c>
      <c r="Z518">
        <v>4</v>
      </c>
      <c r="AA518">
        <v>4</v>
      </c>
      <c r="AC518">
        <v>565</v>
      </c>
      <c r="AD518" s="37">
        <v>25.9</v>
      </c>
      <c r="AE518">
        <v>963</v>
      </c>
      <c r="AF518" s="37">
        <v>25.9</v>
      </c>
      <c r="AG518" t="s">
        <v>3408</v>
      </c>
      <c r="AH518">
        <v>2.9836262871245345</v>
      </c>
      <c r="AI518" s="37">
        <v>25.9</v>
      </c>
      <c r="AJ518" t="s">
        <v>1813</v>
      </c>
      <c r="AK518" t="s">
        <v>770</v>
      </c>
      <c r="AM518"/>
      <c r="AN518">
        <v>91.11</v>
      </c>
      <c r="AO518">
        <v>4.4400000000000004</v>
      </c>
      <c r="AP518">
        <v>89.63</v>
      </c>
      <c r="AQ518">
        <v>4.4400000000000004</v>
      </c>
      <c r="AS518">
        <v>-1.6E-2</v>
      </c>
      <c r="AT518">
        <v>1.1999999999999999E-3</v>
      </c>
      <c r="AW518" s="28">
        <f t="shared" si="40"/>
        <v>-0.3333333333333342</v>
      </c>
      <c r="AX518">
        <f t="shared" si="41"/>
        <v>0.86956521739130432</v>
      </c>
      <c r="AY518" s="62">
        <f t="shared" si="42"/>
        <v>-0.28985507246376885</v>
      </c>
      <c r="AZ518" s="68" t="str">
        <f t="shared" si="43"/>
        <v>No</v>
      </c>
      <c r="BA518" s="68" t="str">
        <f t="shared" si="44"/>
        <v>No</v>
      </c>
    </row>
    <row r="519" spans="1:53" hidden="1">
      <c r="A519" t="s">
        <v>1815</v>
      </c>
      <c r="B519" t="s">
        <v>3166</v>
      </c>
      <c r="C519">
        <v>104</v>
      </c>
      <c r="F519" t="s">
        <v>1241</v>
      </c>
      <c r="G519" t="s">
        <v>1735</v>
      </c>
      <c r="I519">
        <v>2017</v>
      </c>
      <c r="N519" t="s">
        <v>36</v>
      </c>
      <c r="P519" t="s">
        <v>60</v>
      </c>
      <c r="Q519" t="s">
        <v>900</v>
      </c>
      <c r="R519" t="s">
        <v>946</v>
      </c>
      <c r="S519" t="s">
        <v>948</v>
      </c>
      <c r="V519" t="s">
        <v>905</v>
      </c>
      <c r="Z519">
        <v>4</v>
      </c>
      <c r="AA519">
        <v>4</v>
      </c>
      <c r="AC519">
        <v>454</v>
      </c>
      <c r="AD519" s="37">
        <v>-1.1000000000000001</v>
      </c>
      <c r="AE519">
        <v>946</v>
      </c>
      <c r="AF519" s="37">
        <v>-1.1000000000000001</v>
      </c>
      <c r="AG519" t="s">
        <v>3404</v>
      </c>
      <c r="AH519">
        <v>2.9758911364017928</v>
      </c>
      <c r="AI519" s="37">
        <v>-1.1000000000000001</v>
      </c>
      <c r="AJ519" t="s">
        <v>1790</v>
      </c>
      <c r="AK519" t="s">
        <v>770</v>
      </c>
      <c r="AM519"/>
      <c r="AN519">
        <v>88.74</v>
      </c>
      <c r="AO519">
        <v>5.3</v>
      </c>
      <c r="AP519">
        <v>88.74</v>
      </c>
      <c r="AQ519">
        <v>3.98</v>
      </c>
      <c r="AS519">
        <v>0</v>
      </c>
      <c r="AT519">
        <v>1.4E-3</v>
      </c>
      <c r="AW519" s="28">
        <f t="shared" si="40"/>
        <v>0</v>
      </c>
      <c r="AX519">
        <f t="shared" si="41"/>
        <v>0.86956521739130432</v>
      </c>
      <c r="AY519" s="62">
        <f t="shared" si="42"/>
        <v>0</v>
      </c>
      <c r="AZ519" s="68" t="str">
        <f t="shared" si="43"/>
        <v>No</v>
      </c>
      <c r="BA519" s="68" t="str">
        <f t="shared" si="44"/>
        <v>No</v>
      </c>
    </row>
    <row r="520" spans="1:53" hidden="1">
      <c r="A520" t="s">
        <v>1815</v>
      </c>
      <c r="B520" t="s">
        <v>3167</v>
      </c>
      <c r="C520">
        <v>104</v>
      </c>
      <c r="F520" t="s">
        <v>1241</v>
      </c>
      <c r="G520" t="s">
        <v>1735</v>
      </c>
      <c r="I520">
        <v>2017</v>
      </c>
      <c r="N520" t="s">
        <v>36</v>
      </c>
      <c r="P520" t="s">
        <v>60</v>
      </c>
      <c r="Q520" t="s">
        <v>900</v>
      </c>
      <c r="R520" t="s">
        <v>946</v>
      </c>
      <c r="S520" t="s">
        <v>1755</v>
      </c>
      <c r="V520" t="s">
        <v>905</v>
      </c>
      <c r="Z520">
        <v>4</v>
      </c>
      <c r="AA520">
        <v>4</v>
      </c>
      <c r="AC520">
        <v>487</v>
      </c>
      <c r="AD520" s="37">
        <v>16</v>
      </c>
      <c r="AE520">
        <v>950</v>
      </c>
      <c r="AF520" s="37">
        <v>16</v>
      </c>
      <c r="AG520" t="s">
        <v>3405</v>
      </c>
      <c r="AH520">
        <v>2.9777236052888476</v>
      </c>
      <c r="AI520" s="37">
        <v>16</v>
      </c>
      <c r="AJ520" t="s">
        <v>1790</v>
      </c>
      <c r="AK520" t="s">
        <v>59</v>
      </c>
      <c r="AM520"/>
      <c r="AN520">
        <v>80.67</v>
      </c>
      <c r="AO520">
        <v>10.66</v>
      </c>
      <c r="AP520">
        <v>81.33</v>
      </c>
      <c r="AQ520">
        <v>5.34</v>
      </c>
      <c r="AS520">
        <v>8.0000000000000002E-3</v>
      </c>
      <c r="AT520">
        <v>5.4000000000000003E-3</v>
      </c>
      <c r="AW520" s="28">
        <f t="shared" si="40"/>
        <v>7.8285921546135326E-2</v>
      </c>
      <c r="AX520">
        <f t="shared" si="41"/>
        <v>0.86956521739130432</v>
      </c>
      <c r="AY520" s="62">
        <f t="shared" si="42"/>
        <v>6.8074714387943755E-2</v>
      </c>
      <c r="AZ520" s="68" t="str">
        <f t="shared" si="43"/>
        <v>No</v>
      </c>
      <c r="BA520" s="68" t="str">
        <f t="shared" si="44"/>
        <v>No</v>
      </c>
    </row>
    <row r="521" spans="1:53" hidden="1">
      <c r="A521" t="s">
        <v>1815</v>
      </c>
      <c r="B521" t="s">
        <v>3170</v>
      </c>
      <c r="C521">
        <v>104</v>
      </c>
      <c r="F521" t="s">
        <v>1241</v>
      </c>
      <c r="G521" t="s">
        <v>1735</v>
      </c>
      <c r="I521">
        <v>2014</v>
      </c>
      <c r="N521" t="s">
        <v>36</v>
      </c>
      <c r="P521" t="s">
        <v>60</v>
      </c>
      <c r="Q521" t="s">
        <v>900</v>
      </c>
      <c r="R521" t="s">
        <v>946</v>
      </c>
      <c r="S521" t="s">
        <v>1784</v>
      </c>
      <c r="V521" t="s">
        <v>905</v>
      </c>
      <c r="Z521">
        <v>4</v>
      </c>
      <c r="AA521">
        <v>4</v>
      </c>
      <c r="AC521">
        <v>441</v>
      </c>
      <c r="AD521" s="37">
        <v>17.5</v>
      </c>
      <c r="AE521">
        <v>912</v>
      </c>
      <c r="AF521" s="37">
        <v>17.5</v>
      </c>
      <c r="AG521" t="s">
        <v>3407</v>
      </c>
      <c r="AH521">
        <v>2.959994838328416</v>
      </c>
      <c r="AI521" s="37">
        <v>17.5</v>
      </c>
      <c r="AJ521" t="s">
        <v>1790</v>
      </c>
      <c r="AK521" t="s">
        <v>770</v>
      </c>
      <c r="AM521"/>
      <c r="AN521">
        <v>86.75</v>
      </c>
      <c r="AO521">
        <v>5.3</v>
      </c>
      <c r="AP521">
        <v>90.07</v>
      </c>
      <c r="AQ521">
        <v>1.32</v>
      </c>
      <c r="AS521">
        <v>3.6999999999999998E-2</v>
      </c>
      <c r="AT521">
        <v>1E-3</v>
      </c>
      <c r="AW521" s="28">
        <f t="shared" si="40"/>
        <v>0.85962489593977542</v>
      </c>
      <c r="AX521">
        <f t="shared" si="41"/>
        <v>0.86956521739130432</v>
      </c>
      <c r="AY521" s="62">
        <f t="shared" si="42"/>
        <v>0.74749990951284817</v>
      </c>
      <c r="AZ521" s="68" t="str">
        <f t="shared" si="43"/>
        <v>No</v>
      </c>
      <c r="BA521" s="68" t="str">
        <f t="shared" si="44"/>
        <v>No</v>
      </c>
    </row>
    <row r="522" spans="1:53" hidden="1">
      <c r="A522" t="s">
        <v>1815</v>
      </c>
      <c r="B522" t="s">
        <v>3146</v>
      </c>
      <c r="C522">
        <v>104</v>
      </c>
      <c r="F522" t="s">
        <v>1241</v>
      </c>
      <c r="G522" t="s">
        <v>1735</v>
      </c>
      <c r="I522">
        <v>2017</v>
      </c>
      <c r="N522" t="s">
        <v>36</v>
      </c>
      <c r="P522" t="s">
        <v>60</v>
      </c>
      <c r="Q522" t="s">
        <v>900</v>
      </c>
      <c r="R522" t="s">
        <v>946</v>
      </c>
      <c r="S522" t="s">
        <v>948</v>
      </c>
      <c r="V522" t="s">
        <v>907</v>
      </c>
      <c r="Z522">
        <v>4</v>
      </c>
      <c r="AA522">
        <v>4</v>
      </c>
      <c r="AC522">
        <v>454</v>
      </c>
      <c r="AD522" s="37">
        <v>-1.1000000000000001</v>
      </c>
      <c r="AE522">
        <v>454</v>
      </c>
      <c r="AF522" s="37">
        <v>3.3</v>
      </c>
      <c r="AG522" t="s">
        <v>3404</v>
      </c>
      <c r="AH522">
        <v>2.6570558528571038</v>
      </c>
      <c r="AI522" s="37">
        <v>-1.1000000000000001</v>
      </c>
      <c r="AJ522" t="s">
        <v>1790</v>
      </c>
      <c r="AK522" t="s">
        <v>904</v>
      </c>
      <c r="AM522"/>
      <c r="AN522">
        <v>88.74</v>
      </c>
      <c r="AO522">
        <v>5.3</v>
      </c>
      <c r="AP522">
        <v>9.93</v>
      </c>
      <c r="AQ522">
        <v>3.98</v>
      </c>
      <c r="AS522">
        <v>-2.19</v>
      </c>
      <c r="AT522">
        <v>4.0899999999999999E-2</v>
      </c>
      <c r="AW522" s="28">
        <f t="shared" si="40"/>
        <v>-16.815653372679797</v>
      </c>
      <c r="AX522">
        <f t="shared" si="41"/>
        <v>0.86956521739130432</v>
      </c>
      <c r="AY522" s="62">
        <f t="shared" si="42"/>
        <v>-14.622307280591128</v>
      </c>
      <c r="AZ522" s="68" t="str">
        <f t="shared" si="43"/>
        <v>No</v>
      </c>
      <c r="BA522" s="68" t="str">
        <f t="shared" si="44"/>
        <v>Yes</v>
      </c>
    </row>
    <row r="523" spans="1:53" hidden="1">
      <c r="A523" t="s">
        <v>1815</v>
      </c>
      <c r="B523" t="s">
        <v>3147</v>
      </c>
      <c r="C523">
        <v>104</v>
      </c>
      <c r="F523" t="s">
        <v>1241</v>
      </c>
      <c r="G523" t="s">
        <v>1735</v>
      </c>
      <c r="I523">
        <v>2017</v>
      </c>
      <c r="N523" t="s">
        <v>36</v>
      </c>
      <c r="P523" t="s">
        <v>60</v>
      </c>
      <c r="Q523" t="s">
        <v>900</v>
      </c>
      <c r="R523" t="s">
        <v>946</v>
      </c>
      <c r="S523" t="s">
        <v>1755</v>
      </c>
      <c r="V523" t="s">
        <v>907</v>
      </c>
      <c r="Z523">
        <v>4</v>
      </c>
      <c r="AA523">
        <v>4</v>
      </c>
      <c r="AC523">
        <v>487</v>
      </c>
      <c r="AD523" s="37">
        <v>16</v>
      </c>
      <c r="AE523">
        <v>487</v>
      </c>
      <c r="AF523" s="37">
        <v>27.1</v>
      </c>
      <c r="AG523" t="s">
        <v>3405</v>
      </c>
      <c r="AH523">
        <v>2.6875289612146345</v>
      </c>
      <c r="AI523" s="37">
        <v>16</v>
      </c>
      <c r="AJ523" t="s">
        <v>1813</v>
      </c>
      <c r="AK523" t="s">
        <v>40</v>
      </c>
      <c r="AM523"/>
      <c r="AN523">
        <v>72.59</v>
      </c>
      <c r="AO523">
        <v>2.96</v>
      </c>
      <c r="AP523">
        <v>22.96</v>
      </c>
      <c r="AQ523">
        <v>5.92</v>
      </c>
      <c r="AS523">
        <v>-1.151</v>
      </c>
      <c r="AT523">
        <v>1.7100000000000001E-2</v>
      </c>
      <c r="AW523" s="28">
        <f t="shared" si="40"/>
        <v>-10.604313532037613</v>
      </c>
      <c r="AX523">
        <f t="shared" si="41"/>
        <v>0.86956521739130432</v>
      </c>
      <c r="AY523" s="62">
        <f t="shared" si="42"/>
        <v>-9.221142201771837</v>
      </c>
      <c r="AZ523" s="68" t="str">
        <f t="shared" si="43"/>
        <v>No</v>
      </c>
      <c r="BA523" s="68" t="str">
        <f t="shared" si="44"/>
        <v>No</v>
      </c>
    </row>
    <row r="524" spans="1:53" hidden="1">
      <c r="A524" t="s">
        <v>1815</v>
      </c>
      <c r="B524" t="s">
        <v>3148</v>
      </c>
      <c r="C524">
        <v>104</v>
      </c>
      <c r="F524" t="s">
        <v>1241</v>
      </c>
      <c r="G524" t="s">
        <v>1735</v>
      </c>
      <c r="I524">
        <v>2017</v>
      </c>
      <c r="N524" t="s">
        <v>36</v>
      </c>
      <c r="P524" t="s">
        <v>60</v>
      </c>
      <c r="Q524" t="s">
        <v>900</v>
      </c>
      <c r="R524" t="s">
        <v>946</v>
      </c>
      <c r="S524" t="s">
        <v>1783</v>
      </c>
      <c r="V524" t="s">
        <v>907</v>
      </c>
      <c r="Z524">
        <v>4</v>
      </c>
      <c r="AA524">
        <v>4</v>
      </c>
      <c r="AC524">
        <v>413</v>
      </c>
      <c r="AD524" s="37">
        <v>-0.5</v>
      </c>
      <c r="AE524">
        <v>413</v>
      </c>
      <c r="AF524" s="37">
        <v>7</v>
      </c>
      <c r="AG524" t="s">
        <v>3406</v>
      </c>
      <c r="AH524">
        <v>2.6159500516564012</v>
      </c>
      <c r="AI524" s="37">
        <v>-0.5</v>
      </c>
      <c r="AJ524" t="s">
        <v>1790</v>
      </c>
      <c r="AK524" t="s">
        <v>770</v>
      </c>
      <c r="AM524"/>
      <c r="AN524">
        <v>96</v>
      </c>
      <c r="AO524">
        <v>1.34</v>
      </c>
      <c r="AP524">
        <v>36.67</v>
      </c>
      <c r="AQ524">
        <v>4</v>
      </c>
      <c r="AS524">
        <v>-0.96199999999999997</v>
      </c>
      <c r="AT524">
        <v>3.0000000000000001E-3</v>
      </c>
      <c r="AW524" s="28">
        <f t="shared" si="40"/>
        <v>-19.889919640974352</v>
      </c>
      <c r="AX524">
        <f t="shared" si="41"/>
        <v>0.86956521739130432</v>
      </c>
      <c r="AY524" s="62">
        <f t="shared" si="42"/>
        <v>-17.295582296499436</v>
      </c>
      <c r="AZ524" s="68" t="str">
        <f t="shared" si="43"/>
        <v>No</v>
      </c>
      <c r="BA524" s="68" t="str">
        <f t="shared" si="44"/>
        <v>Yes</v>
      </c>
    </row>
    <row r="525" spans="1:53" hidden="1">
      <c r="A525" t="s">
        <v>1815</v>
      </c>
      <c r="B525" t="s">
        <v>3152</v>
      </c>
      <c r="C525">
        <v>104</v>
      </c>
      <c r="F525" t="s">
        <v>1241</v>
      </c>
      <c r="G525" t="s">
        <v>1735</v>
      </c>
      <c r="I525">
        <v>2017</v>
      </c>
      <c r="N525" t="s">
        <v>36</v>
      </c>
      <c r="P525" t="s">
        <v>60</v>
      </c>
      <c r="Q525" t="s">
        <v>900</v>
      </c>
      <c r="R525" t="s">
        <v>946</v>
      </c>
      <c r="S525" t="s">
        <v>948</v>
      </c>
      <c r="V525" t="s">
        <v>907</v>
      </c>
      <c r="Z525">
        <v>4</v>
      </c>
      <c r="AA525">
        <v>4</v>
      </c>
      <c r="AC525">
        <v>454</v>
      </c>
      <c r="AD525" s="37">
        <v>-1.1000000000000001</v>
      </c>
      <c r="AE525">
        <v>454</v>
      </c>
      <c r="AF525" s="37">
        <v>5.7</v>
      </c>
      <c r="AG525" t="s">
        <v>3404</v>
      </c>
      <c r="AH525">
        <v>2.6570558528571038</v>
      </c>
      <c r="AI525" s="37">
        <v>-1.1000000000000001</v>
      </c>
      <c r="AJ525" t="s">
        <v>1813</v>
      </c>
      <c r="AK525" t="s">
        <v>904</v>
      </c>
      <c r="AM525"/>
      <c r="AN525">
        <v>90.48</v>
      </c>
      <c r="AO525">
        <v>3.18</v>
      </c>
      <c r="AP525">
        <v>57.14</v>
      </c>
      <c r="AQ525">
        <v>11.12</v>
      </c>
      <c r="AS525">
        <v>-0.46</v>
      </c>
      <c r="AT525">
        <v>9.7999999999999997E-3</v>
      </c>
      <c r="AW525" s="28">
        <f t="shared" si="40"/>
        <v>-4.0766781379713279</v>
      </c>
      <c r="AX525">
        <f t="shared" si="41"/>
        <v>0.86956521739130432</v>
      </c>
      <c r="AY525" s="62">
        <f t="shared" si="42"/>
        <v>-3.5449375112794157</v>
      </c>
      <c r="AZ525" s="68" t="str">
        <f t="shared" si="43"/>
        <v>No</v>
      </c>
      <c r="BA525" s="68" t="str">
        <f t="shared" si="44"/>
        <v>No</v>
      </c>
    </row>
    <row r="526" spans="1:53" hidden="1">
      <c r="A526" t="s">
        <v>1815</v>
      </c>
      <c r="B526" t="s">
        <v>3155</v>
      </c>
      <c r="C526">
        <v>104</v>
      </c>
      <c r="F526" t="s">
        <v>1241</v>
      </c>
      <c r="G526" t="s">
        <v>1735</v>
      </c>
      <c r="I526">
        <v>2017</v>
      </c>
      <c r="N526" t="s">
        <v>36</v>
      </c>
      <c r="P526" t="s">
        <v>60</v>
      </c>
      <c r="Q526" t="s">
        <v>900</v>
      </c>
      <c r="R526" t="s">
        <v>946</v>
      </c>
      <c r="S526" t="s">
        <v>1784</v>
      </c>
      <c r="V526" t="s">
        <v>907</v>
      </c>
      <c r="Z526">
        <v>4</v>
      </c>
      <c r="AA526">
        <v>4</v>
      </c>
      <c r="AC526">
        <v>441</v>
      </c>
      <c r="AD526" s="37">
        <v>17.5</v>
      </c>
      <c r="AE526">
        <v>441</v>
      </c>
      <c r="AF526" s="37">
        <v>27</v>
      </c>
      <c r="AG526" t="s">
        <v>3407</v>
      </c>
      <c r="AH526">
        <v>2.6444385894678386</v>
      </c>
      <c r="AI526" s="37">
        <v>17.5</v>
      </c>
      <c r="AJ526" t="s">
        <v>1813</v>
      </c>
      <c r="AK526" t="s">
        <v>770</v>
      </c>
      <c r="AM526"/>
      <c r="AN526">
        <v>82.84</v>
      </c>
      <c r="AO526">
        <v>10.44</v>
      </c>
      <c r="AP526">
        <v>66.42</v>
      </c>
      <c r="AQ526">
        <v>8.9600000000000009</v>
      </c>
      <c r="AS526">
        <v>-0.221</v>
      </c>
      <c r="AT526">
        <v>8.5000000000000006E-3</v>
      </c>
      <c r="AW526" s="28">
        <f t="shared" si="40"/>
        <v>-1.6878789372751375</v>
      </c>
      <c r="AX526">
        <f t="shared" si="41"/>
        <v>0.86956521739130432</v>
      </c>
      <c r="AY526" s="62">
        <f t="shared" si="42"/>
        <v>-1.4677208150218586</v>
      </c>
      <c r="AZ526" s="68" t="str">
        <f t="shared" si="43"/>
        <v>No</v>
      </c>
      <c r="BA526" s="68" t="str">
        <f t="shared" si="44"/>
        <v>No</v>
      </c>
    </row>
    <row r="527" spans="1:53" hidden="1">
      <c r="A527" t="s">
        <v>1815</v>
      </c>
      <c r="B527" t="s">
        <v>3156</v>
      </c>
      <c r="C527">
        <v>104</v>
      </c>
      <c r="F527" t="s">
        <v>1241</v>
      </c>
      <c r="G527" t="s">
        <v>1735</v>
      </c>
      <c r="I527">
        <v>2017</v>
      </c>
      <c r="N527" t="s">
        <v>36</v>
      </c>
      <c r="P527" t="s">
        <v>60</v>
      </c>
      <c r="Q527" t="s">
        <v>900</v>
      </c>
      <c r="R527" t="s">
        <v>946</v>
      </c>
      <c r="S527" t="s">
        <v>1785</v>
      </c>
      <c r="V527" t="s">
        <v>907</v>
      </c>
      <c r="Z527">
        <v>4</v>
      </c>
      <c r="AA527">
        <v>4</v>
      </c>
      <c r="AC527">
        <v>565</v>
      </c>
      <c r="AD527" s="37">
        <v>25.9</v>
      </c>
      <c r="AE527">
        <v>565</v>
      </c>
      <c r="AF527" s="37">
        <v>34.799999999999997</v>
      </c>
      <c r="AG527" t="s">
        <v>3408</v>
      </c>
      <c r="AH527">
        <v>2.7520484478194387</v>
      </c>
      <c r="AI527" s="37">
        <v>25.9</v>
      </c>
      <c r="AJ527" t="s">
        <v>1813</v>
      </c>
      <c r="AK527" t="s">
        <v>770</v>
      </c>
      <c r="AM527"/>
      <c r="AN527">
        <v>91.11</v>
      </c>
      <c r="AO527">
        <v>4.4400000000000004</v>
      </c>
      <c r="AP527">
        <v>74.069999999999993</v>
      </c>
      <c r="AQ527">
        <v>2.96</v>
      </c>
      <c r="AS527">
        <v>-0.20699999999999999</v>
      </c>
      <c r="AT527">
        <v>1E-3</v>
      </c>
      <c r="AW527" s="28">
        <f t="shared" si="40"/>
        <v>-4.5159715442630501</v>
      </c>
      <c r="AX527">
        <f t="shared" si="41"/>
        <v>0.86956521739130432</v>
      </c>
      <c r="AY527" s="62">
        <f t="shared" si="42"/>
        <v>-3.9269317776200436</v>
      </c>
      <c r="AZ527" s="68" t="str">
        <f t="shared" si="43"/>
        <v>No</v>
      </c>
      <c r="BA527" s="68" t="str">
        <f t="shared" si="44"/>
        <v>No</v>
      </c>
    </row>
    <row r="528" spans="1:53" hidden="1">
      <c r="A528" t="s">
        <v>1815</v>
      </c>
      <c r="B528" t="s">
        <v>3161</v>
      </c>
      <c r="C528">
        <v>104</v>
      </c>
      <c r="F528" t="s">
        <v>1241</v>
      </c>
      <c r="G528" t="s">
        <v>1735</v>
      </c>
      <c r="I528">
        <v>2017</v>
      </c>
      <c r="N528" t="s">
        <v>36</v>
      </c>
      <c r="P528" t="s">
        <v>60</v>
      </c>
      <c r="Q528" t="s">
        <v>900</v>
      </c>
      <c r="R528" t="s">
        <v>946</v>
      </c>
      <c r="S528" t="s">
        <v>948</v>
      </c>
      <c r="V528" t="s">
        <v>907</v>
      </c>
      <c r="Z528">
        <v>4</v>
      </c>
      <c r="AA528">
        <v>4</v>
      </c>
      <c r="AC528">
        <v>454</v>
      </c>
      <c r="AD528" s="37">
        <v>-1.1000000000000001</v>
      </c>
      <c r="AE528">
        <v>454</v>
      </c>
      <c r="AF528" s="37">
        <v>3.3</v>
      </c>
      <c r="AG528" t="s">
        <v>3404</v>
      </c>
      <c r="AH528">
        <v>2.6570558528571038</v>
      </c>
      <c r="AI528" s="37">
        <v>-1.1000000000000001</v>
      </c>
      <c r="AJ528" t="s">
        <v>1813</v>
      </c>
      <c r="AK528" t="s">
        <v>59</v>
      </c>
      <c r="AM528"/>
      <c r="AN528">
        <v>90.48</v>
      </c>
      <c r="AO528">
        <v>3.18</v>
      </c>
      <c r="AP528">
        <v>87.3</v>
      </c>
      <c r="AQ528">
        <v>11.12</v>
      </c>
      <c r="AS528">
        <v>-3.5999999999999997E-2</v>
      </c>
      <c r="AT528">
        <v>4.4000000000000003E-3</v>
      </c>
      <c r="AW528" s="28">
        <f t="shared" si="40"/>
        <v>-0.388837326897086</v>
      </c>
      <c r="AX528">
        <f t="shared" si="41"/>
        <v>0.86956521739130432</v>
      </c>
      <c r="AY528" s="62">
        <f t="shared" si="42"/>
        <v>-0.33811941469311824</v>
      </c>
      <c r="AZ528" s="68" t="str">
        <f t="shared" si="43"/>
        <v>No</v>
      </c>
      <c r="BA528" s="68" t="str">
        <f t="shared" si="44"/>
        <v>No</v>
      </c>
    </row>
    <row r="529" spans="1:53" hidden="1">
      <c r="A529" t="s">
        <v>1815</v>
      </c>
      <c r="B529" t="s">
        <v>3171</v>
      </c>
      <c r="C529">
        <v>104</v>
      </c>
      <c r="F529" t="s">
        <v>1241</v>
      </c>
      <c r="G529" t="s">
        <v>1735</v>
      </c>
      <c r="I529">
        <v>2014</v>
      </c>
      <c r="N529" t="s">
        <v>36</v>
      </c>
      <c r="P529" t="s">
        <v>60</v>
      </c>
      <c r="Q529" t="s">
        <v>900</v>
      </c>
      <c r="R529" t="s">
        <v>946</v>
      </c>
      <c r="S529" t="s">
        <v>1783</v>
      </c>
      <c r="V529" t="s">
        <v>907</v>
      </c>
      <c r="Z529">
        <v>4</v>
      </c>
      <c r="AA529">
        <v>4</v>
      </c>
      <c r="AC529">
        <v>413</v>
      </c>
      <c r="AD529" s="37">
        <v>-0.5</v>
      </c>
      <c r="AE529">
        <v>413</v>
      </c>
      <c r="AF529" s="37">
        <v>10.1</v>
      </c>
      <c r="AG529" t="s">
        <v>3406</v>
      </c>
      <c r="AH529">
        <v>2.6159500516564012</v>
      </c>
      <c r="AI529" s="37">
        <v>-0.5</v>
      </c>
      <c r="AJ529" t="s">
        <v>1813</v>
      </c>
      <c r="AK529" t="s">
        <v>770</v>
      </c>
      <c r="AM529"/>
      <c r="AN529">
        <v>74.81</v>
      </c>
      <c r="AO529">
        <v>2.96</v>
      </c>
      <c r="AP529">
        <v>80</v>
      </c>
      <c r="AQ529">
        <v>5.92</v>
      </c>
      <c r="AS529">
        <v>6.7000000000000004E-2</v>
      </c>
      <c r="AT529">
        <v>1.8E-3</v>
      </c>
      <c r="AW529" s="28">
        <f t="shared" si="40"/>
        <v>1.1089338551536407</v>
      </c>
      <c r="AX529">
        <f t="shared" si="41"/>
        <v>0.86956521739130432</v>
      </c>
      <c r="AY529" s="62">
        <f t="shared" si="42"/>
        <v>0.96429030882925282</v>
      </c>
      <c r="AZ529" s="68" t="str">
        <f t="shared" si="43"/>
        <v>No</v>
      </c>
      <c r="BA529" s="68" t="str">
        <f t="shared" si="44"/>
        <v>No</v>
      </c>
    </row>
    <row r="530" spans="1:53" hidden="1">
      <c r="A530" t="s">
        <v>1815</v>
      </c>
      <c r="B530" t="s">
        <v>3172</v>
      </c>
      <c r="C530">
        <v>104</v>
      </c>
      <c r="F530" t="s">
        <v>1241</v>
      </c>
      <c r="G530" t="s">
        <v>1735</v>
      </c>
      <c r="I530">
        <v>2014</v>
      </c>
      <c r="N530" t="s">
        <v>36</v>
      </c>
      <c r="P530" t="s">
        <v>60</v>
      </c>
      <c r="Q530" t="s">
        <v>900</v>
      </c>
      <c r="R530" t="s">
        <v>946</v>
      </c>
      <c r="S530" t="s">
        <v>1783</v>
      </c>
      <c r="V530" t="s">
        <v>907</v>
      </c>
      <c r="Z530">
        <v>4</v>
      </c>
      <c r="AA530">
        <v>4</v>
      </c>
      <c r="AC530">
        <v>413</v>
      </c>
      <c r="AD530" s="37">
        <v>-0.5</v>
      </c>
      <c r="AE530">
        <v>413</v>
      </c>
      <c r="AF530" s="37">
        <v>7</v>
      </c>
      <c r="AG530" t="s">
        <v>3406</v>
      </c>
      <c r="AH530">
        <v>2.6159500516564012</v>
      </c>
      <c r="AI530" s="37">
        <v>-0.5</v>
      </c>
      <c r="AJ530" t="s">
        <v>1813</v>
      </c>
      <c r="AK530" t="s">
        <v>59</v>
      </c>
      <c r="AM530"/>
      <c r="AN530">
        <v>74.81</v>
      </c>
      <c r="AO530">
        <v>2.96</v>
      </c>
      <c r="AP530">
        <v>80.739999999999995</v>
      </c>
      <c r="AQ530">
        <v>2.96</v>
      </c>
      <c r="AS530">
        <v>7.5999999999999998E-2</v>
      </c>
      <c r="AT530">
        <v>6.9999999999999999E-4</v>
      </c>
      <c r="AW530" s="28">
        <f t="shared" si="40"/>
        <v>2.0033783783783758</v>
      </c>
      <c r="AX530">
        <f t="shared" si="41"/>
        <v>0.86956521739130432</v>
      </c>
      <c r="AY530" s="62">
        <f t="shared" si="42"/>
        <v>1.742068155111631</v>
      </c>
      <c r="AZ530" s="68" t="str">
        <f t="shared" si="43"/>
        <v>No</v>
      </c>
      <c r="BA530" s="68" t="str">
        <f t="shared" si="44"/>
        <v>No</v>
      </c>
    </row>
    <row r="531" spans="1:53" hidden="1">
      <c r="A531" t="s">
        <v>1815</v>
      </c>
      <c r="B531" t="s">
        <v>3145</v>
      </c>
      <c r="C531">
        <v>104</v>
      </c>
      <c r="F531" t="s">
        <v>1241</v>
      </c>
      <c r="G531" t="s">
        <v>1735</v>
      </c>
      <c r="I531">
        <v>2017</v>
      </c>
      <c r="N531" t="s">
        <v>36</v>
      </c>
      <c r="P531" t="s">
        <v>60</v>
      </c>
      <c r="Q531" t="s">
        <v>900</v>
      </c>
      <c r="R531" t="s">
        <v>946</v>
      </c>
      <c r="S531" t="s">
        <v>948</v>
      </c>
      <c r="V531" t="s">
        <v>1015</v>
      </c>
      <c r="Z531">
        <v>4</v>
      </c>
      <c r="AA531">
        <v>4</v>
      </c>
      <c r="AC531">
        <v>454</v>
      </c>
      <c r="AD531" s="37">
        <v>-1.1000000000000001</v>
      </c>
      <c r="AE531">
        <v>946</v>
      </c>
      <c r="AF531" s="37">
        <v>3.3</v>
      </c>
      <c r="AG531" t="s">
        <v>3404</v>
      </c>
      <c r="AH531">
        <v>2.9758911364017928</v>
      </c>
      <c r="AI531" s="37">
        <v>-1.1000000000000001</v>
      </c>
      <c r="AJ531" t="s">
        <v>1790</v>
      </c>
      <c r="AK531" t="s">
        <v>904</v>
      </c>
      <c r="AM531"/>
      <c r="AN531">
        <v>88.74</v>
      </c>
      <c r="AO531">
        <v>5.3</v>
      </c>
      <c r="AP531">
        <v>7.28</v>
      </c>
      <c r="AQ531">
        <v>2.64</v>
      </c>
      <c r="AS531">
        <v>-2.5</v>
      </c>
      <c r="AT531">
        <v>3.39E-2</v>
      </c>
      <c r="AW531" s="28">
        <f t="shared" si="40"/>
        <v>-19.456106064848996</v>
      </c>
      <c r="AX531">
        <f t="shared" si="41"/>
        <v>0.86956521739130432</v>
      </c>
      <c r="AY531" s="62">
        <f t="shared" si="42"/>
        <v>-16.918353099868693</v>
      </c>
      <c r="AZ531" s="68" t="str">
        <f t="shared" si="43"/>
        <v>No</v>
      </c>
      <c r="BA531" s="68" t="str">
        <f t="shared" si="44"/>
        <v>Yes</v>
      </c>
    </row>
    <row r="532" spans="1:53" hidden="1">
      <c r="A532" t="s">
        <v>1815</v>
      </c>
      <c r="B532" t="s">
        <v>3149</v>
      </c>
      <c r="C532">
        <v>104</v>
      </c>
      <c r="F532" t="s">
        <v>1241</v>
      </c>
      <c r="G532" t="s">
        <v>1735</v>
      </c>
      <c r="I532">
        <v>2017</v>
      </c>
      <c r="N532" t="s">
        <v>36</v>
      </c>
      <c r="P532" t="s">
        <v>60</v>
      </c>
      <c r="Q532" t="s">
        <v>900</v>
      </c>
      <c r="R532" t="s">
        <v>946</v>
      </c>
      <c r="S532" t="s">
        <v>1783</v>
      </c>
      <c r="V532" t="s">
        <v>1015</v>
      </c>
      <c r="Z532">
        <v>4</v>
      </c>
      <c r="AA532">
        <v>4</v>
      </c>
      <c r="AC532">
        <v>413</v>
      </c>
      <c r="AD532" s="37">
        <v>-0.5</v>
      </c>
      <c r="AE532">
        <v>823</v>
      </c>
      <c r="AF532" s="37">
        <v>7</v>
      </c>
      <c r="AG532" t="s">
        <v>3406</v>
      </c>
      <c r="AH532">
        <v>2.9153998352122699</v>
      </c>
      <c r="AI532" s="37">
        <v>-0.5</v>
      </c>
      <c r="AJ532" t="s">
        <v>1790</v>
      </c>
      <c r="AK532" t="s">
        <v>904</v>
      </c>
      <c r="AM532"/>
      <c r="AN532">
        <v>96</v>
      </c>
      <c r="AO532">
        <v>1.34</v>
      </c>
      <c r="AP532">
        <v>38</v>
      </c>
      <c r="AQ532">
        <v>1.34</v>
      </c>
      <c r="AS532">
        <v>-0.92700000000000005</v>
      </c>
      <c r="AT532">
        <v>4.0000000000000002E-4</v>
      </c>
      <c r="AW532" s="28">
        <f t="shared" si="40"/>
        <v>-43.283582089552233</v>
      </c>
      <c r="AX532">
        <f t="shared" si="41"/>
        <v>0.86956521739130432</v>
      </c>
      <c r="AY532" s="62">
        <f t="shared" si="42"/>
        <v>-37.637897469175854</v>
      </c>
      <c r="AZ532" s="68" t="str">
        <f t="shared" si="43"/>
        <v>No</v>
      </c>
      <c r="BA532" s="68" t="str">
        <f t="shared" si="44"/>
        <v>Yes</v>
      </c>
    </row>
    <row r="533" spans="1:53" hidden="1">
      <c r="A533" t="s">
        <v>1815</v>
      </c>
      <c r="B533" t="s">
        <v>3150</v>
      </c>
      <c r="C533">
        <v>104</v>
      </c>
      <c r="F533" t="s">
        <v>1241</v>
      </c>
      <c r="G533" t="s">
        <v>1735</v>
      </c>
      <c r="I533">
        <v>2017</v>
      </c>
      <c r="N533" t="s">
        <v>36</v>
      </c>
      <c r="P533" t="s">
        <v>60</v>
      </c>
      <c r="Q533" t="s">
        <v>900</v>
      </c>
      <c r="R533" t="s">
        <v>946</v>
      </c>
      <c r="S533" t="s">
        <v>1755</v>
      </c>
      <c r="V533" t="s">
        <v>1015</v>
      </c>
      <c r="Z533">
        <v>4</v>
      </c>
      <c r="AA533">
        <v>4</v>
      </c>
      <c r="AC533">
        <v>487</v>
      </c>
      <c r="AD533" s="37">
        <v>16</v>
      </c>
      <c r="AE533">
        <v>950</v>
      </c>
      <c r="AF533" s="37">
        <v>27.1</v>
      </c>
      <c r="AG533" t="s">
        <v>3405</v>
      </c>
      <c r="AH533">
        <v>2.9777236052888476</v>
      </c>
      <c r="AI533" s="37">
        <v>16</v>
      </c>
      <c r="AJ533" t="s">
        <v>1813</v>
      </c>
      <c r="AK533" t="s">
        <v>770</v>
      </c>
      <c r="AM533"/>
      <c r="AN533">
        <v>72.59</v>
      </c>
      <c r="AO533">
        <v>2.96</v>
      </c>
      <c r="AP533">
        <v>30.37</v>
      </c>
      <c r="AQ533">
        <v>8.8800000000000008</v>
      </c>
      <c r="AS533">
        <v>-0.871</v>
      </c>
      <c r="AT533">
        <v>2.18E-2</v>
      </c>
      <c r="AW533" s="28">
        <f t="shared" si="40"/>
        <v>-6.3788371628406164</v>
      </c>
      <c r="AX533">
        <f t="shared" si="41"/>
        <v>0.86956521739130432</v>
      </c>
      <c r="AY533" s="62">
        <f t="shared" si="42"/>
        <v>-5.5468149242092313</v>
      </c>
      <c r="AZ533" s="68" t="str">
        <f t="shared" si="43"/>
        <v>No</v>
      </c>
      <c r="BA533" s="68" t="str">
        <f t="shared" si="44"/>
        <v>No</v>
      </c>
    </row>
    <row r="534" spans="1:53" hidden="1">
      <c r="A534" t="s">
        <v>1815</v>
      </c>
      <c r="B534" t="s">
        <v>3151</v>
      </c>
      <c r="C534">
        <v>104</v>
      </c>
      <c r="F534" t="s">
        <v>1241</v>
      </c>
      <c r="G534" t="s">
        <v>1735</v>
      </c>
      <c r="I534">
        <v>2017</v>
      </c>
      <c r="N534" t="s">
        <v>36</v>
      </c>
      <c r="P534" t="s">
        <v>60</v>
      </c>
      <c r="Q534" t="s">
        <v>900</v>
      </c>
      <c r="R534" t="s">
        <v>946</v>
      </c>
      <c r="S534" t="s">
        <v>948</v>
      </c>
      <c r="V534" t="s">
        <v>1015</v>
      </c>
      <c r="Z534">
        <v>4</v>
      </c>
      <c r="AA534">
        <v>4</v>
      </c>
      <c r="AC534">
        <v>454</v>
      </c>
      <c r="AD534" s="37">
        <v>-1.1000000000000001</v>
      </c>
      <c r="AE534">
        <v>946</v>
      </c>
      <c r="AF534" s="37">
        <v>5.7</v>
      </c>
      <c r="AG534" t="s">
        <v>3404</v>
      </c>
      <c r="AH534">
        <v>2.9758911364017928</v>
      </c>
      <c r="AI534" s="37">
        <v>-1.1000000000000001</v>
      </c>
      <c r="AJ534" t="s">
        <v>1813</v>
      </c>
      <c r="AK534" t="s">
        <v>904</v>
      </c>
      <c r="AM534"/>
      <c r="AN534">
        <v>90.48</v>
      </c>
      <c r="AO534">
        <v>3.18</v>
      </c>
      <c r="AP534">
        <v>47.62</v>
      </c>
      <c r="AQ534">
        <v>11.12</v>
      </c>
      <c r="AS534">
        <v>-0.64200000000000002</v>
      </c>
      <c r="AT534">
        <v>1.3899999999999999E-2</v>
      </c>
      <c r="AW534" s="28">
        <f t="shared" si="40"/>
        <v>-5.2407446008833567</v>
      </c>
      <c r="AX534">
        <f t="shared" si="41"/>
        <v>0.86956521739130432</v>
      </c>
      <c r="AY534" s="62">
        <f t="shared" si="42"/>
        <v>-4.5571692181594408</v>
      </c>
      <c r="AZ534" s="68" t="str">
        <f t="shared" si="43"/>
        <v>No</v>
      </c>
      <c r="BA534" s="68" t="str">
        <f t="shared" si="44"/>
        <v>No</v>
      </c>
    </row>
    <row r="535" spans="1:53" hidden="1">
      <c r="A535" t="s">
        <v>1815</v>
      </c>
      <c r="B535" t="s">
        <v>3153</v>
      </c>
      <c r="C535">
        <v>104</v>
      </c>
      <c r="F535" t="s">
        <v>1241</v>
      </c>
      <c r="G535" t="s">
        <v>1735</v>
      </c>
      <c r="I535">
        <v>2017</v>
      </c>
      <c r="N535" t="s">
        <v>36</v>
      </c>
      <c r="P535" t="s">
        <v>60</v>
      </c>
      <c r="Q535" t="s">
        <v>900</v>
      </c>
      <c r="R535" t="s">
        <v>946</v>
      </c>
      <c r="S535" t="s">
        <v>1784</v>
      </c>
      <c r="V535" t="s">
        <v>1015</v>
      </c>
      <c r="Z535">
        <v>4</v>
      </c>
      <c r="AA535">
        <v>4</v>
      </c>
      <c r="AC535">
        <v>441</v>
      </c>
      <c r="AD535" s="37">
        <v>17.5</v>
      </c>
      <c r="AE535">
        <v>912</v>
      </c>
      <c r="AF535" s="37">
        <v>27</v>
      </c>
      <c r="AG535" t="s">
        <v>3407</v>
      </c>
      <c r="AH535">
        <v>2.959994838328416</v>
      </c>
      <c r="AI535" s="37">
        <v>17.5</v>
      </c>
      <c r="AJ535" t="s">
        <v>1813</v>
      </c>
      <c r="AK535" t="s">
        <v>770</v>
      </c>
      <c r="AM535"/>
      <c r="AN535">
        <v>82.84</v>
      </c>
      <c r="AO535">
        <v>10.44</v>
      </c>
      <c r="AP535">
        <v>65.67</v>
      </c>
      <c r="AQ535">
        <v>7.46</v>
      </c>
      <c r="AS535">
        <v>-0.23200000000000001</v>
      </c>
      <c r="AT535">
        <v>7.1999999999999998E-3</v>
      </c>
      <c r="AW535" s="28">
        <f t="shared" si="40"/>
        <v>-1.8923904861530723</v>
      </c>
      <c r="AX535">
        <f t="shared" si="41"/>
        <v>0.86956521739130432</v>
      </c>
      <c r="AY535" s="62">
        <f t="shared" si="42"/>
        <v>-1.6455569444809324</v>
      </c>
      <c r="AZ535" s="68" t="str">
        <f t="shared" si="43"/>
        <v>No</v>
      </c>
      <c r="BA535" s="68" t="str">
        <f t="shared" si="44"/>
        <v>No</v>
      </c>
    </row>
    <row r="536" spans="1:53" hidden="1">
      <c r="A536" t="s">
        <v>1815</v>
      </c>
      <c r="B536" t="s">
        <v>3154</v>
      </c>
      <c r="C536">
        <v>104</v>
      </c>
      <c r="F536" t="s">
        <v>1241</v>
      </c>
      <c r="G536" t="s">
        <v>1735</v>
      </c>
      <c r="I536">
        <v>2017</v>
      </c>
      <c r="N536" t="s">
        <v>36</v>
      </c>
      <c r="P536" t="s">
        <v>60</v>
      </c>
      <c r="Q536" t="s">
        <v>900</v>
      </c>
      <c r="R536" t="s">
        <v>946</v>
      </c>
      <c r="S536" t="s">
        <v>1785</v>
      </c>
      <c r="V536" t="s">
        <v>1015</v>
      </c>
      <c r="Z536">
        <v>4</v>
      </c>
      <c r="AA536">
        <v>4</v>
      </c>
      <c r="AC536">
        <v>565</v>
      </c>
      <c r="AD536" s="37">
        <v>25.9</v>
      </c>
      <c r="AE536">
        <v>963</v>
      </c>
      <c r="AF536" s="37">
        <v>34.799999999999997</v>
      </c>
      <c r="AG536" t="s">
        <v>3408</v>
      </c>
      <c r="AH536">
        <v>2.9836262871245345</v>
      </c>
      <c r="AI536" s="37">
        <v>25.9</v>
      </c>
      <c r="AJ536" t="s">
        <v>1813</v>
      </c>
      <c r="AK536" t="s">
        <v>770</v>
      </c>
      <c r="AM536"/>
      <c r="AN536">
        <v>91.11</v>
      </c>
      <c r="AO536">
        <v>4.4400000000000004</v>
      </c>
      <c r="AP536">
        <v>72.59</v>
      </c>
      <c r="AQ536">
        <v>11.86</v>
      </c>
      <c r="AS536">
        <v>-0.22700000000000001</v>
      </c>
      <c r="AT536">
        <v>7.3000000000000001E-3</v>
      </c>
      <c r="AW536" s="28">
        <f t="shared" si="40"/>
        <v>-2.0681883274018817</v>
      </c>
      <c r="AX536">
        <f t="shared" si="41"/>
        <v>0.86956521739130432</v>
      </c>
      <c r="AY536" s="62">
        <f t="shared" si="42"/>
        <v>-1.7984246325233755</v>
      </c>
      <c r="AZ536" s="68" t="str">
        <f t="shared" si="43"/>
        <v>No</v>
      </c>
      <c r="BA536" s="68" t="str">
        <f t="shared" si="44"/>
        <v>No</v>
      </c>
    </row>
    <row r="537" spans="1:53" hidden="1">
      <c r="A537" t="s">
        <v>1815</v>
      </c>
      <c r="B537" t="s">
        <v>3157</v>
      </c>
      <c r="C537">
        <v>104</v>
      </c>
      <c r="F537" t="s">
        <v>1241</v>
      </c>
      <c r="G537" t="s">
        <v>1735</v>
      </c>
      <c r="I537">
        <v>2017</v>
      </c>
      <c r="N537" t="s">
        <v>36</v>
      </c>
      <c r="P537" t="s">
        <v>60</v>
      </c>
      <c r="Q537" t="s">
        <v>900</v>
      </c>
      <c r="R537" t="s">
        <v>946</v>
      </c>
      <c r="S537" t="s">
        <v>948</v>
      </c>
      <c r="V537" t="s">
        <v>1015</v>
      </c>
      <c r="Z537">
        <v>4</v>
      </c>
      <c r="AA537">
        <v>4</v>
      </c>
      <c r="AC537">
        <v>454</v>
      </c>
      <c r="AD537" s="37">
        <v>-1.1000000000000001</v>
      </c>
      <c r="AE537">
        <v>946</v>
      </c>
      <c r="AF537" s="37">
        <v>3.3</v>
      </c>
      <c r="AG537" t="s">
        <v>3404</v>
      </c>
      <c r="AH537">
        <v>2.9758911364017928</v>
      </c>
      <c r="AI537" s="37">
        <v>-1.1000000000000001</v>
      </c>
      <c r="AJ537" t="s">
        <v>1813</v>
      </c>
      <c r="AK537" t="s">
        <v>770</v>
      </c>
      <c r="AM537"/>
      <c r="AN537">
        <v>90.48</v>
      </c>
      <c r="AO537">
        <v>3.18</v>
      </c>
      <c r="AP537">
        <v>84.92</v>
      </c>
      <c r="AQ537">
        <v>6.34</v>
      </c>
      <c r="AS537">
        <v>-6.3E-2</v>
      </c>
      <c r="AT537">
        <v>1.6999999999999999E-3</v>
      </c>
      <c r="AW537" s="28">
        <f t="shared" si="40"/>
        <v>-1.1085907825242456</v>
      </c>
      <c r="AX537">
        <f t="shared" si="41"/>
        <v>0.86956521739130432</v>
      </c>
      <c r="AY537" s="62">
        <f t="shared" si="42"/>
        <v>-0.96399198480369175</v>
      </c>
      <c r="AZ537" s="68" t="str">
        <f t="shared" si="43"/>
        <v>No</v>
      </c>
      <c r="BA537" s="68" t="str">
        <f t="shared" si="44"/>
        <v>No</v>
      </c>
    </row>
    <row r="538" spans="1:53" hidden="1">
      <c r="A538" t="s">
        <v>1815</v>
      </c>
      <c r="B538" t="s">
        <v>3168</v>
      </c>
      <c r="C538">
        <v>104</v>
      </c>
      <c r="F538" t="s">
        <v>1241</v>
      </c>
      <c r="G538" t="s">
        <v>1735</v>
      </c>
      <c r="I538">
        <v>2014</v>
      </c>
      <c r="N538" t="s">
        <v>36</v>
      </c>
      <c r="P538" t="s">
        <v>60</v>
      </c>
      <c r="Q538" t="s">
        <v>900</v>
      </c>
      <c r="R538" t="s">
        <v>946</v>
      </c>
      <c r="S538" t="s">
        <v>1783</v>
      </c>
      <c r="V538" t="s">
        <v>1015</v>
      </c>
      <c r="Z538">
        <v>4</v>
      </c>
      <c r="AA538">
        <v>4</v>
      </c>
      <c r="AC538">
        <v>413</v>
      </c>
      <c r="AD538" s="37">
        <v>-0.5</v>
      </c>
      <c r="AE538">
        <v>823</v>
      </c>
      <c r="AF538" s="37">
        <v>7</v>
      </c>
      <c r="AG538" t="s">
        <v>3406</v>
      </c>
      <c r="AH538">
        <v>2.9153998352122699</v>
      </c>
      <c r="AI538" s="37">
        <v>-0.5</v>
      </c>
      <c r="AJ538" t="s">
        <v>1813</v>
      </c>
      <c r="AK538" t="s">
        <v>59</v>
      </c>
      <c r="AM538"/>
      <c r="AN538">
        <v>74.81</v>
      </c>
      <c r="AO538">
        <v>2.96</v>
      </c>
      <c r="AP538">
        <v>76.3</v>
      </c>
      <c r="AQ538">
        <v>2.96</v>
      </c>
      <c r="AS538">
        <v>0.02</v>
      </c>
      <c r="AT538">
        <v>8.0000000000000004E-4</v>
      </c>
      <c r="AW538" s="28">
        <f t="shared" si="40"/>
        <v>0.50337837837837662</v>
      </c>
      <c r="AX538">
        <f t="shared" si="41"/>
        <v>0.86956521739130432</v>
      </c>
      <c r="AY538" s="62">
        <f t="shared" si="42"/>
        <v>0.43772032902467534</v>
      </c>
      <c r="AZ538" s="68" t="str">
        <f t="shared" si="43"/>
        <v>No</v>
      </c>
      <c r="BA538" s="68" t="str">
        <f t="shared" si="44"/>
        <v>No</v>
      </c>
    </row>
    <row r="539" spans="1:53" hidden="1">
      <c r="A539" t="s">
        <v>1815</v>
      </c>
      <c r="B539" t="s">
        <v>3169</v>
      </c>
      <c r="C539">
        <v>104</v>
      </c>
      <c r="F539" t="s">
        <v>1241</v>
      </c>
      <c r="G539" t="s">
        <v>1735</v>
      </c>
      <c r="I539">
        <v>2014</v>
      </c>
      <c r="N539" t="s">
        <v>36</v>
      </c>
      <c r="P539" t="s">
        <v>60</v>
      </c>
      <c r="Q539" t="s">
        <v>900</v>
      </c>
      <c r="R539" t="s">
        <v>946</v>
      </c>
      <c r="S539" t="s">
        <v>1783</v>
      </c>
      <c r="V539" t="s">
        <v>1015</v>
      </c>
      <c r="Z539">
        <v>4</v>
      </c>
      <c r="AA539">
        <v>4</v>
      </c>
      <c r="AC539">
        <v>413</v>
      </c>
      <c r="AD539" s="37">
        <v>-0.5</v>
      </c>
      <c r="AE539">
        <v>823</v>
      </c>
      <c r="AF539" s="37">
        <v>10.1</v>
      </c>
      <c r="AG539" t="s">
        <v>3406</v>
      </c>
      <c r="AH539">
        <v>2.9153998352122699</v>
      </c>
      <c r="AI539" s="37">
        <v>-0.5</v>
      </c>
      <c r="AJ539" t="s">
        <v>1813</v>
      </c>
      <c r="AK539" t="s">
        <v>770</v>
      </c>
      <c r="AM539"/>
      <c r="AN539">
        <v>74.81</v>
      </c>
      <c r="AO539">
        <v>2.96</v>
      </c>
      <c r="AP539">
        <v>77.040000000000006</v>
      </c>
      <c r="AQ539">
        <v>2.96</v>
      </c>
      <c r="AS539">
        <v>2.9000000000000001E-2</v>
      </c>
      <c r="AT539">
        <v>8.0000000000000004E-4</v>
      </c>
      <c r="AW539" s="28">
        <f t="shared" si="40"/>
        <v>0.75337837837837973</v>
      </c>
      <c r="AX539">
        <f t="shared" si="41"/>
        <v>0.86956521739130432</v>
      </c>
      <c r="AY539" s="62">
        <f t="shared" si="42"/>
        <v>0.65511163337250411</v>
      </c>
      <c r="AZ539" s="68" t="str">
        <f t="shared" si="43"/>
        <v>No</v>
      </c>
      <c r="BA539" s="68" t="str">
        <f t="shared" si="44"/>
        <v>No</v>
      </c>
    </row>
    <row r="540" spans="1:53" hidden="1">
      <c r="A540" t="s">
        <v>1815</v>
      </c>
      <c r="B540" t="s">
        <v>2683</v>
      </c>
      <c r="C540">
        <v>72</v>
      </c>
      <c r="F540" t="s">
        <v>1241</v>
      </c>
      <c r="G540" t="s">
        <v>1707</v>
      </c>
      <c r="I540">
        <v>2014</v>
      </c>
      <c r="N540" t="s">
        <v>36</v>
      </c>
      <c r="P540" t="s">
        <v>60</v>
      </c>
      <c r="Q540" t="s">
        <v>900</v>
      </c>
      <c r="R540" t="s">
        <v>1741</v>
      </c>
      <c r="S540" t="s">
        <v>1759</v>
      </c>
      <c r="V540" t="s">
        <v>905</v>
      </c>
      <c r="Z540">
        <v>4</v>
      </c>
      <c r="AA540">
        <v>4</v>
      </c>
      <c r="AC540">
        <v>437</v>
      </c>
      <c r="AD540">
        <v>23.9</v>
      </c>
      <c r="AE540">
        <v>1848</v>
      </c>
      <c r="AF540">
        <v>24</v>
      </c>
      <c r="AG540" t="s">
        <v>3356</v>
      </c>
      <c r="AH540">
        <v>3.2667019668840878</v>
      </c>
      <c r="AI540">
        <v>23.9</v>
      </c>
      <c r="AJ540" t="s">
        <v>1202</v>
      </c>
      <c r="AK540" t="s">
        <v>770</v>
      </c>
      <c r="AM540"/>
      <c r="AN540">
        <v>27.5</v>
      </c>
      <c r="AO540">
        <v>3.26</v>
      </c>
      <c r="AP540">
        <v>19.5</v>
      </c>
      <c r="AQ540">
        <v>3.5</v>
      </c>
      <c r="AS540">
        <v>-0.34399999999999997</v>
      </c>
      <c r="AT540">
        <v>1.15E-2</v>
      </c>
      <c r="AW540" s="28">
        <f t="shared" si="40"/>
        <v>-2.36537364526809</v>
      </c>
      <c r="AX540">
        <f t="shared" si="41"/>
        <v>0.86956521739130432</v>
      </c>
      <c r="AY540" s="62">
        <f t="shared" si="42"/>
        <v>-2.0568466480592087</v>
      </c>
      <c r="AZ540" s="68" t="str">
        <f t="shared" si="43"/>
        <v>No</v>
      </c>
      <c r="BA540" s="68" t="str">
        <f t="shared" si="44"/>
        <v>No</v>
      </c>
    </row>
    <row r="541" spans="1:53" hidden="1">
      <c r="A541" t="s">
        <v>1815</v>
      </c>
      <c r="B541" t="s">
        <v>2685</v>
      </c>
      <c r="C541">
        <v>72</v>
      </c>
      <c r="F541" t="s">
        <v>1241</v>
      </c>
      <c r="G541" t="s">
        <v>1707</v>
      </c>
      <c r="I541">
        <v>2014</v>
      </c>
      <c r="N541" t="s">
        <v>36</v>
      </c>
      <c r="P541" t="s">
        <v>60</v>
      </c>
      <c r="Q541" t="s">
        <v>900</v>
      </c>
      <c r="R541" t="s">
        <v>1741</v>
      </c>
      <c r="S541" t="s">
        <v>1759</v>
      </c>
      <c r="V541" t="s">
        <v>905</v>
      </c>
      <c r="Z541">
        <v>4</v>
      </c>
      <c r="AA541">
        <v>4</v>
      </c>
      <c r="AC541">
        <v>519</v>
      </c>
      <c r="AD541">
        <v>23.9</v>
      </c>
      <c r="AE541">
        <v>2166</v>
      </c>
      <c r="AF541">
        <v>22.1</v>
      </c>
      <c r="AG541" t="s">
        <v>3357</v>
      </c>
      <c r="AH541">
        <v>3.3356584522893016</v>
      </c>
      <c r="AI541">
        <v>23.9</v>
      </c>
      <c r="AJ541" t="s">
        <v>1099</v>
      </c>
      <c r="AK541" t="s">
        <v>40</v>
      </c>
      <c r="AM541"/>
      <c r="AN541">
        <v>2.79</v>
      </c>
      <c r="AO541">
        <v>0.16</v>
      </c>
      <c r="AP541">
        <v>2.1</v>
      </c>
      <c r="AQ541">
        <v>0.08</v>
      </c>
      <c r="AS541">
        <v>-0.28399999999999997</v>
      </c>
      <c r="AT541">
        <v>1.1999999999999999E-3</v>
      </c>
      <c r="AW541" s="28">
        <f t="shared" si="40"/>
        <v>-5.4549289637904543</v>
      </c>
      <c r="AX541">
        <f t="shared" si="41"/>
        <v>0.86956521739130432</v>
      </c>
      <c r="AY541" s="62">
        <f t="shared" si="42"/>
        <v>-4.7434164902525691</v>
      </c>
      <c r="AZ541" s="68" t="str">
        <f t="shared" si="43"/>
        <v>No</v>
      </c>
      <c r="BA541" s="68" t="str">
        <f t="shared" si="44"/>
        <v>No</v>
      </c>
    </row>
    <row r="542" spans="1:53" hidden="1">
      <c r="A542" t="s">
        <v>1815</v>
      </c>
      <c r="B542" t="s">
        <v>2686</v>
      </c>
      <c r="C542">
        <v>72</v>
      </c>
      <c r="F542" t="s">
        <v>1241</v>
      </c>
      <c r="G542" t="s">
        <v>1707</v>
      </c>
      <c r="I542">
        <v>2020</v>
      </c>
      <c r="N542" t="s">
        <v>36</v>
      </c>
      <c r="P542" t="s">
        <v>60</v>
      </c>
      <c r="Q542" t="s">
        <v>900</v>
      </c>
      <c r="R542" t="s">
        <v>1741</v>
      </c>
      <c r="S542" t="s">
        <v>1759</v>
      </c>
      <c r="V542" t="s">
        <v>905</v>
      </c>
      <c r="Z542">
        <v>4</v>
      </c>
      <c r="AA542">
        <v>4</v>
      </c>
      <c r="AC542">
        <v>437</v>
      </c>
      <c r="AD542">
        <v>23.9</v>
      </c>
      <c r="AE542">
        <v>1848</v>
      </c>
      <c r="AF542">
        <v>24</v>
      </c>
      <c r="AG542" t="s">
        <v>3356</v>
      </c>
      <c r="AH542">
        <v>3.2667019668840878</v>
      </c>
      <c r="AI542">
        <v>23.9</v>
      </c>
      <c r="AJ542" t="s">
        <v>1804</v>
      </c>
      <c r="AK542" t="s">
        <v>904</v>
      </c>
      <c r="AM542"/>
      <c r="AN542">
        <v>0.1</v>
      </c>
      <c r="AO542">
        <v>0</v>
      </c>
      <c r="AP542">
        <v>0.09</v>
      </c>
      <c r="AQ542">
        <v>0</v>
      </c>
      <c r="AS542">
        <v>-0.13900000000000001</v>
      </c>
      <c r="AT542">
        <v>3.5999999999999999E-3</v>
      </c>
      <c r="AW542" s="28" t="e">
        <f t="shared" si="40"/>
        <v>#DIV/0!</v>
      </c>
      <c r="AX542">
        <f t="shared" si="41"/>
        <v>0.86956521739130432</v>
      </c>
      <c r="AY542" s="62" t="e">
        <f t="shared" si="42"/>
        <v>#DIV/0!</v>
      </c>
      <c r="AZ542" s="68" t="e">
        <f t="shared" si="43"/>
        <v>#DIV/0!</v>
      </c>
      <c r="BA542" s="68" t="e">
        <f t="shared" si="44"/>
        <v>#DIV/0!</v>
      </c>
    </row>
    <row r="543" spans="1:53" hidden="1">
      <c r="A543" t="s">
        <v>1815</v>
      </c>
      <c r="B543" t="s">
        <v>2682</v>
      </c>
      <c r="C543">
        <v>72</v>
      </c>
      <c r="F543" t="s">
        <v>1241</v>
      </c>
      <c r="G543" t="s">
        <v>1707</v>
      </c>
      <c r="I543">
        <v>2014</v>
      </c>
      <c r="N543" t="s">
        <v>36</v>
      </c>
      <c r="P543" t="s">
        <v>60</v>
      </c>
      <c r="Q543" t="s">
        <v>900</v>
      </c>
      <c r="R543" t="s">
        <v>1741</v>
      </c>
      <c r="S543" t="s">
        <v>1759</v>
      </c>
      <c r="V543" t="s">
        <v>907</v>
      </c>
      <c r="Z543">
        <v>4</v>
      </c>
      <c r="AA543">
        <v>4</v>
      </c>
      <c r="AC543">
        <v>437</v>
      </c>
      <c r="AD543">
        <v>23.9</v>
      </c>
      <c r="AE543">
        <v>396</v>
      </c>
      <c r="AF543">
        <v>29.9</v>
      </c>
      <c r="AG543" t="s">
        <v>3356</v>
      </c>
      <c r="AH543">
        <v>2.5976951859255122</v>
      </c>
      <c r="AI543">
        <v>23.9</v>
      </c>
      <c r="AJ543" t="s">
        <v>1804</v>
      </c>
      <c r="AK543" t="s">
        <v>904</v>
      </c>
      <c r="AM543"/>
      <c r="AN543">
        <v>0.1</v>
      </c>
      <c r="AO543">
        <v>0</v>
      </c>
      <c r="AP543">
        <v>0.06</v>
      </c>
      <c r="AQ543">
        <v>0.02</v>
      </c>
      <c r="AS543">
        <v>-0.52800000000000002</v>
      </c>
      <c r="AT543">
        <v>8.0999999999999996E-3</v>
      </c>
      <c r="AW543" s="28">
        <f t="shared" si="40"/>
        <v>-2.8284271247461907</v>
      </c>
      <c r="AX543">
        <f t="shared" si="41"/>
        <v>0.86956521739130432</v>
      </c>
      <c r="AY543" s="62">
        <f t="shared" si="42"/>
        <v>-2.4595018476053832</v>
      </c>
      <c r="AZ543" s="68" t="str">
        <f t="shared" si="43"/>
        <v>No</v>
      </c>
      <c r="BA543" s="68" t="str">
        <f t="shared" si="44"/>
        <v>No</v>
      </c>
    </row>
    <row r="544" spans="1:53" hidden="1">
      <c r="A544" t="s">
        <v>1815</v>
      </c>
      <c r="B544" t="s">
        <v>2689</v>
      </c>
      <c r="C544">
        <v>72</v>
      </c>
      <c r="F544" t="s">
        <v>1241</v>
      </c>
      <c r="G544" t="s">
        <v>1707</v>
      </c>
      <c r="I544">
        <v>2020</v>
      </c>
      <c r="N544" t="s">
        <v>36</v>
      </c>
      <c r="P544" t="s">
        <v>60</v>
      </c>
      <c r="Q544" t="s">
        <v>900</v>
      </c>
      <c r="R544" t="s">
        <v>1741</v>
      </c>
      <c r="S544" t="s">
        <v>1759</v>
      </c>
      <c r="V544" t="s">
        <v>907</v>
      </c>
      <c r="Z544">
        <v>4</v>
      </c>
      <c r="AA544">
        <v>4</v>
      </c>
      <c r="AC544">
        <v>519</v>
      </c>
      <c r="AD544">
        <v>23.9</v>
      </c>
      <c r="AE544">
        <v>532</v>
      </c>
      <c r="AF544">
        <v>30.1</v>
      </c>
      <c r="AG544" t="s">
        <v>3357</v>
      </c>
      <c r="AH544">
        <v>2.7259116322950483</v>
      </c>
      <c r="AI544">
        <v>23.9</v>
      </c>
      <c r="AJ544" t="s">
        <v>1099</v>
      </c>
      <c r="AK544" t="s">
        <v>40</v>
      </c>
      <c r="AM544"/>
      <c r="AN544">
        <v>2.79</v>
      </c>
      <c r="AO544">
        <v>0.16</v>
      </c>
      <c r="AP544">
        <v>4.05</v>
      </c>
      <c r="AQ544">
        <v>0.38</v>
      </c>
      <c r="AS544">
        <v>0.373</v>
      </c>
      <c r="AT544">
        <v>3.0000000000000001E-3</v>
      </c>
      <c r="AW544" s="28">
        <f t="shared" si="40"/>
        <v>4.3217643455912214</v>
      </c>
      <c r="AX544">
        <f t="shared" si="41"/>
        <v>0.86956521739130432</v>
      </c>
      <c r="AY544" s="62">
        <f t="shared" si="42"/>
        <v>3.7580559526880184</v>
      </c>
      <c r="AZ544" s="68" t="str">
        <f t="shared" si="43"/>
        <v>No</v>
      </c>
      <c r="BA544" s="68" t="str">
        <f t="shared" si="44"/>
        <v>No</v>
      </c>
    </row>
    <row r="545" spans="1:53" hidden="1">
      <c r="A545" t="s">
        <v>1815</v>
      </c>
      <c r="B545" t="s">
        <v>2690</v>
      </c>
      <c r="C545">
        <v>72</v>
      </c>
      <c r="F545" t="s">
        <v>1241</v>
      </c>
      <c r="G545" t="s">
        <v>1707</v>
      </c>
      <c r="I545">
        <v>2020</v>
      </c>
      <c r="N545" t="s">
        <v>36</v>
      </c>
      <c r="P545" t="s">
        <v>60</v>
      </c>
      <c r="Q545" t="s">
        <v>900</v>
      </c>
      <c r="R545" t="s">
        <v>1741</v>
      </c>
      <c r="S545" t="s">
        <v>1759</v>
      </c>
      <c r="V545" t="s">
        <v>907</v>
      </c>
      <c r="Z545">
        <v>4</v>
      </c>
      <c r="AA545">
        <v>4</v>
      </c>
      <c r="AC545">
        <v>437</v>
      </c>
      <c r="AD545">
        <v>23.9</v>
      </c>
      <c r="AE545">
        <v>396</v>
      </c>
      <c r="AF545">
        <v>29.9</v>
      </c>
      <c r="AG545" t="s">
        <v>3356</v>
      </c>
      <c r="AH545">
        <v>2.5976951859255122</v>
      </c>
      <c r="AI545">
        <v>23.9</v>
      </c>
      <c r="AJ545" t="s">
        <v>1202</v>
      </c>
      <c r="AK545" t="s">
        <v>770</v>
      </c>
      <c r="AM545"/>
      <c r="AN545">
        <v>27.5</v>
      </c>
      <c r="AO545">
        <v>3.26</v>
      </c>
      <c r="AP545">
        <v>49.25</v>
      </c>
      <c r="AQ545">
        <v>7</v>
      </c>
      <c r="AS545">
        <v>0.58299999999999996</v>
      </c>
      <c r="AT545">
        <v>8.5000000000000006E-3</v>
      </c>
      <c r="AW545" s="28">
        <f t="shared" si="40"/>
        <v>3.9833695063122754</v>
      </c>
      <c r="AX545">
        <f t="shared" si="41"/>
        <v>0.86956521739130432</v>
      </c>
      <c r="AY545" s="62">
        <f t="shared" si="42"/>
        <v>3.4637995707063265</v>
      </c>
      <c r="AZ545" s="68" t="str">
        <f t="shared" si="43"/>
        <v>No</v>
      </c>
      <c r="BA545" s="68" t="str">
        <f t="shared" si="44"/>
        <v>No</v>
      </c>
    </row>
    <row r="546" spans="1:53" hidden="1">
      <c r="A546" t="s">
        <v>1815</v>
      </c>
      <c r="B546" t="s">
        <v>2684</v>
      </c>
      <c r="C546">
        <v>72</v>
      </c>
      <c r="F546" t="s">
        <v>1241</v>
      </c>
      <c r="G546" t="s">
        <v>1707</v>
      </c>
      <c r="I546">
        <v>2014</v>
      </c>
      <c r="N546" t="s">
        <v>36</v>
      </c>
      <c r="P546" t="s">
        <v>60</v>
      </c>
      <c r="Q546" t="s">
        <v>900</v>
      </c>
      <c r="R546" t="s">
        <v>1741</v>
      </c>
      <c r="S546" t="s">
        <v>1759</v>
      </c>
      <c r="V546" t="s">
        <v>1015</v>
      </c>
      <c r="Z546">
        <v>4</v>
      </c>
      <c r="AA546">
        <v>4</v>
      </c>
      <c r="AC546">
        <v>437</v>
      </c>
      <c r="AD546">
        <v>23.9</v>
      </c>
      <c r="AE546">
        <v>2024</v>
      </c>
      <c r="AF546">
        <v>29.8</v>
      </c>
      <c r="AG546" t="s">
        <v>3356</v>
      </c>
      <c r="AH546">
        <v>3.3062105081677613</v>
      </c>
      <c r="AI546">
        <v>23.9</v>
      </c>
      <c r="AJ546" t="s">
        <v>1202</v>
      </c>
      <c r="AK546" t="s">
        <v>770</v>
      </c>
      <c r="AM546"/>
      <c r="AN546">
        <v>27.5</v>
      </c>
      <c r="AO546">
        <v>3.26</v>
      </c>
      <c r="AP546">
        <v>20.5</v>
      </c>
      <c r="AQ546">
        <v>2.76</v>
      </c>
      <c r="AS546">
        <v>-0.29399999999999998</v>
      </c>
      <c r="AT546">
        <v>8.0000000000000002E-3</v>
      </c>
      <c r="AW546" s="28">
        <f t="shared" si="40"/>
        <v>-2.3176012885730533</v>
      </c>
      <c r="AX546">
        <f t="shared" si="41"/>
        <v>0.86956521739130432</v>
      </c>
      <c r="AY546" s="62">
        <f t="shared" si="42"/>
        <v>-2.0153054683243941</v>
      </c>
      <c r="AZ546" s="68" t="str">
        <f t="shared" si="43"/>
        <v>No</v>
      </c>
      <c r="BA546" s="68" t="str">
        <f t="shared" si="44"/>
        <v>No</v>
      </c>
    </row>
    <row r="547" spans="1:53" hidden="1">
      <c r="A547" t="s">
        <v>1815</v>
      </c>
      <c r="B547" t="s">
        <v>2687</v>
      </c>
      <c r="C547">
        <v>72</v>
      </c>
      <c r="F547" t="s">
        <v>1241</v>
      </c>
      <c r="G547" t="s">
        <v>1707</v>
      </c>
      <c r="I547">
        <v>2020</v>
      </c>
      <c r="N547" t="s">
        <v>36</v>
      </c>
      <c r="P547" t="s">
        <v>60</v>
      </c>
      <c r="Q547" t="s">
        <v>900</v>
      </c>
      <c r="R547" t="s">
        <v>1741</v>
      </c>
      <c r="S547" t="s">
        <v>1759</v>
      </c>
      <c r="V547" t="s">
        <v>1015</v>
      </c>
      <c r="Z547">
        <v>4</v>
      </c>
      <c r="AA547">
        <v>4</v>
      </c>
      <c r="AC547">
        <v>437</v>
      </c>
      <c r="AD547">
        <v>23.9</v>
      </c>
      <c r="AE547">
        <v>2024</v>
      </c>
      <c r="AF547">
        <v>29.8</v>
      </c>
      <c r="AG547" t="s">
        <v>3356</v>
      </c>
      <c r="AH547">
        <v>3.3062105081677613</v>
      </c>
      <c r="AI547">
        <v>23.9</v>
      </c>
      <c r="AJ547" t="s">
        <v>1804</v>
      </c>
      <c r="AK547" t="s">
        <v>904</v>
      </c>
      <c r="AM547"/>
      <c r="AN547">
        <v>0.1</v>
      </c>
      <c r="AO547">
        <v>0</v>
      </c>
      <c r="AP547">
        <v>0.09</v>
      </c>
      <c r="AQ547">
        <v>0.02</v>
      </c>
      <c r="AS547">
        <v>-0.105</v>
      </c>
      <c r="AT547">
        <v>1.5800000000000002E-2</v>
      </c>
      <c r="AW547" s="28">
        <f t="shared" si="40"/>
        <v>-0.70710678118654813</v>
      </c>
      <c r="AX547">
        <f t="shared" si="41"/>
        <v>0.86956521739130432</v>
      </c>
      <c r="AY547" s="62">
        <f t="shared" si="42"/>
        <v>-0.61487546190134623</v>
      </c>
      <c r="AZ547" s="68" t="str">
        <f t="shared" si="43"/>
        <v>No</v>
      </c>
      <c r="BA547" s="68" t="str">
        <f t="shared" si="44"/>
        <v>No</v>
      </c>
    </row>
    <row r="548" spans="1:53" hidden="1">
      <c r="A548" t="s">
        <v>1815</v>
      </c>
      <c r="B548" t="s">
        <v>2688</v>
      </c>
      <c r="C548">
        <v>72</v>
      </c>
      <c r="F548" t="s">
        <v>1241</v>
      </c>
      <c r="G548" t="s">
        <v>1707</v>
      </c>
      <c r="I548">
        <v>2020</v>
      </c>
      <c r="N548" t="s">
        <v>36</v>
      </c>
      <c r="P548" t="s">
        <v>60</v>
      </c>
      <c r="Q548" t="s">
        <v>900</v>
      </c>
      <c r="R548" t="s">
        <v>1741</v>
      </c>
      <c r="S548" t="s">
        <v>1759</v>
      </c>
      <c r="V548" t="s">
        <v>1015</v>
      </c>
      <c r="Z548">
        <v>4</v>
      </c>
      <c r="AA548">
        <v>4</v>
      </c>
      <c r="AC548">
        <v>519</v>
      </c>
      <c r="AD548">
        <v>23.9</v>
      </c>
      <c r="AE548">
        <v>1566</v>
      </c>
      <c r="AF548">
        <v>30</v>
      </c>
      <c r="AG548" t="s">
        <v>3357</v>
      </c>
      <c r="AH548">
        <v>3.1947917577219247</v>
      </c>
      <c r="AI548">
        <v>23.9</v>
      </c>
      <c r="AJ548" t="s">
        <v>1099</v>
      </c>
      <c r="AK548" t="s">
        <v>40</v>
      </c>
      <c r="AM548"/>
      <c r="AN548">
        <v>2.79</v>
      </c>
      <c r="AO548">
        <v>0.16</v>
      </c>
      <c r="AP548">
        <v>3.91</v>
      </c>
      <c r="AQ548">
        <v>0.2</v>
      </c>
      <c r="AS548">
        <v>0.33700000000000002</v>
      </c>
      <c r="AT548">
        <v>1.5E-3</v>
      </c>
      <c r="AW548" s="28">
        <f t="shared" si="40"/>
        <v>6.1841654601914069</v>
      </c>
      <c r="AX548">
        <f t="shared" si="41"/>
        <v>0.86956521739130432</v>
      </c>
      <c r="AY548" s="62">
        <f t="shared" si="42"/>
        <v>5.3775351827751363</v>
      </c>
      <c r="AZ548" s="68" t="str">
        <f t="shared" si="43"/>
        <v>No</v>
      </c>
      <c r="BA548" s="68" t="str">
        <f t="shared" si="44"/>
        <v>No</v>
      </c>
    </row>
    <row r="549" spans="1:53" hidden="1">
      <c r="A549" t="s">
        <v>1815</v>
      </c>
      <c r="B549" t="s">
        <v>2288</v>
      </c>
      <c r="C549">
        <v>178</v>
      </c>
      <c r="F549" t="s">
        <v>1241</v>
      </c>
      <c r="G549" t="s">
        <v>1979</v>
      </c>
      <c r="I549">
        <v>2018</v>
      </c>
      <c r="N549" t="s">
        <v>36</v>
      </c>
      <c r="P549" t="s">
        <v>60</v>
      </c>
      <c r="Q549" t="s">
        <v>900</v>
      </c>
      <c r="R549" t="s">
        <v>888</v>
      </c>
      <c r="S549" t="s">
        <v>1998</v>
      </c>
      <c r="V549" t="s">
        <v>905</v>
      </c>
      <c r="Z549">
        <v>13</v>
      </c>
      <c r="AA549">
        <v>13</v>
      </c>
      <c r="AC549">
        <v>462</v>
      </c>
      <c r="AD549">
        <v>21.1</v>
      </c>
      <c r="AE549">
        <v>960</v>
      </c>
      <c r="AF549">
        <v>21.1</v>
      </c>
      <c r="AG549" t="s">
        <v>3437</v>
      </c>
      <c r="AI549">
        <v>21.1</v>
      </c>
      <c r="AJ549" t="s">
        <v>2029</v>
      </c>
      <c r="AK549" t="s">
        <v>904</v>
      </c>
      <c r="AN549">
        <v>702.33330000000001</v>
      </c>
      <c r="AO549">
        <v>99.765603792088584</v>
      </c>
      <c r="AP549">
        <v>866.61540000000002</v>
      </c>
      <c r="AQ549">
        <v>142.84977820311798</v>
      </c>
      <c r="AS549">
        <v>0.2102</v>
      </c>
      <c r="AT549">
        <v>3.5999999999999999E-3</v>
      </c>
      <c r="AW549" s="28">
        <f t="shared" si="40"/>
        <v>1.33339810272246</v>
      </c>
      <c r="AX549">
        <f t="shared" si="41"/>
        <v>0.96842105263157896</v>
      </c>
      <c r="AY549" s="62">
        <f t="shared" si="42"/>
        <v>1.291290794215435</v>
      </c>
      <c r="AZ549" s="68" t="str">
        <f t="shared" si="43"/>
        <v>No</v>
      </c>
      <c r="BA549" s="68" t="str">
        <f t="shared" si="44"/>
        <v>No</v>
      </c>
    </row>
    <row r="550" spans="1:53" hidden="1">
      <c r="A550" t="s">
        <v>1815</v>
      </c>
      <c r="B550" t="s">
        <v>2321</v>
      </c>
      <c r="C550">
        <v>178</v>
      </c>
      <c r="F550" t="s">
        <v>1241</v>
      </c>
      <c r="G550" t="s">
        <v>1979</v>
      </c>
      <c r="I550">
        <v>2018</v>
      </c>
      <c r="N550" t="s">
        <v>36</v>
      </c>
      <c r="P550" t="s">
        <v>60</v>
      </c>
      <c r="Q550" t="s">
        <v>900</v>
      </c>
      <c r="R550" t="s">
        <v>888</v>
      </c>
      <c r="S550" t="s">
        <v>1998</v>
      </c>
      <c r="V550" t="s">
        <v>905</v>
      </c>
      <c r="Z550">
        <v>29</v>
      </c>
      <c r="AA550">
        <v>38</v>
      </c>
      <c r="AC550">
        <v>462</v>
      </c>
      <c r="AD550">
        <v>21.1</v>
      </c>
      <c r="AE550">
        <v>960</v>
      </c>
      <c r="AF550">
        <v>21.1</v>
      </c>
      <c r="AG550" t="s">
        <v>3437</v>
      </c>
      <c r="AI550">
        <v>21.1</v>
      </c>
      <c r="AJ550" t="s">
        <v>2021</v>
      </c>
      <c r="AK550" t="s">
        <v>40</v>
      </c>
      <c r="AN550">
        <v>2.3099999999999999E-2</v>
      </c>
      <c r="AO550">
        <v>4.8466483264210537E-3</v>
      </c>
      <c r="AP550">
        <v>2.4799999999999999E-2</v>
      </c>
      <c r="AQ550">
        <v>8.6301796041565668E-3</v>
      </c>
      <c r="AS550">
        <v>7.3800000000000004E-2</v>
      </c>
      <c r="AT550">
        <v>4.4999999999999997E-3</v>
      </c>
      <c r="AW550" s="28">
        <f t="shared" si="40"/>
        <v>0.23458860807634618</v>
      </c>
      <c r="AX550">
        <f t="shared" si="41"/>
        <v>0.98841698841698844</v>
      </c>
      <c r="AY550" s="62">
        <f t="shared" si="42"/>
        <v>0.2318713655117553</v>
      </c>
      <c r="AZ550" s="68" t="str">
        <f t="shared" si="43"/>
        <v>No</v>
      </c>
      <c r="BA550" s="68" t="str">
        <f t="shared" si="44"/>
        <v>No</v>
      </c>
    </row>
    <row r="551" spans="1:53" hidden="1">
      <c r="A551" t="s">
        <v>1815</v>
      </c>
      <c r="B551" t="s">
        <v>2322</v>
      </c>
      <c r="C551">
        <v>178</v>
      </c>
      <c r="F551" t="s">
        <v>1241</v>
      </c>
      <c r="G551" t="s">
        <v>1979</v>
      </c>
      <c r="I551">
        <v>2021</v>
      </c>
      <c r="N551" t="s">
        <v>36</v>
      </c>
      <c r="P551" t="s">
        <v>60</v>
      </c>
      <c r="Q551" t="s">
        <v>900</v>
      </c>
      <c r="R551" t="s">
        <v>888</v>
      </c>
      <c r="S551" t="s">
        <v>1998</v>
      </c>
      <c r="V551" t="s">
        <v>905</v>
      </c>
      <c r="Z551">
        <v>29</v>
      </c>
      <c r="AA551">
        <v>38</v>
      </c>
      <c r="AC551">
        <v>462</v>
      </c>
      <c r="AD551">
        <v>21.1</v>
      </c>
      <c r="AE551">
        <v>960</v>
      </c>
      <c r="AF551">
        <v>21.1</v>
      </c>
      <c r="AG551" t="s">
        <v>3437</v>
      </c>
      <c r="AI551">
        <v>21.1</v>
      </c>
      <c r="AJ551" t="s">
        <v>2014</v>
      </c>
      <c r="AK551" t="s">
        <v>1279</v>
      </c>
      <c r="AN551">
        <v>45.713299999999997</v>
      </c>
      <c r="AO551">
        <v>17.340230678973104</v>
      </c>
      <c r="AP551">
        <v>48.845599999999997</v>
      </c>
      <c r="AQ551">
        <v>18.072828973904443</v>
      </c>
      <c r="AS551">
        <v>6.6299999999999998E-2</v>
      </c>
      <c r="AT551">
        <v>8.6E-3</v>
      </c>
      <c r="AW551" s="28">
        <f t="shared" si="40"/>
        <v>0.17635877598510841</v>
      </c>
      <c r="AX551">
        <f t="shared" si="41"/>
        <v>0.98841698841698844</v>
      </c>
      <c r="AY551" s="62">
        <f t="shared" si="42"/>
        <v>0.17431601024010715</v>
      </c>
      <c r="AZ551" s="68" t="str">
        <f t="shared" si="43"/>
        <v>No</v>
      </c>
      <c r="BA551" s="68" t="str">
        <f t="shared" si="44"/>
        <v>No</v>
      </c>
    </row>
    <row r="552" spans="1:53" hidden="1">
      <c r="A552" t="s">
        <v>1815</v>
      </c>
      <c r="B552" t="s">
        <v>2401</v>
      </c>
      <c r="C552">
        <v>178</v>
      </c>
      <c r="F552" t="s">
        <v>1241</v>
      </c>
      <c r="G552" t="s">
        <v>1979</v>
      </c>
      <c r="I552">
        <v>2017</v>
      </c>
      <c r="N552" t="s">
        <v>36</v>
      </c>
      <c r="P552" t="s">
        <v>60</v>
      </c>
      <c r="Q552" t="s">
        <v>900</v>
      </c>
      <c r="R552" t="s">
        <v>888</v>
      </c>
      <c r="S552" t="s">
        <v>1998</v>
      </c>
      <c r="V552" t="s">
        <v>905</v>
      </c>
      <c r="Z552">
        <v>13</v>
      </c>
      <c r="AA552">
        <v>13</v>
      </c>
      <c r="AC552">
        <v>462</v>
      </c>
      <c r="AD552">
        <v>21.1</v>
      </c>
      <c r="AE552">
        <v>960</v>
      </c>
      <c r="AF552">
        <v>21.1</v>
      </c>
      <c r="AG552" t="s">
        <v>3437</v>
      </c>
      <c r="AI552">
        <v>21.1</v>
      </c>
      <c r="AJ552" t="s">
        <v>2048</v>
      </c>
      <c r="AK552" t="s">
        <v>904</v>
      </c>
      <c r="AN552">
        <v>1046.75</v>
      </c>
      <c r="AO552">
        <v>322.76895017953632</v>
      </c>
      <c r="AP552">
        <v>884.30769999999995</v>
      </c>
      <c r="AQ552">
        <v>237.26005668575991</v>
      </c>
      <c r="AS552">
        <v>-0.1686</v>
      </c>
      <c r="AT552">
        <v>1.29E-2</v>
      </c>
      <c r="AW552" s="28">
        <f t="shared" si="40"/>
        <v>-0.57347477493750265</v>
      </c>
      <c r="AX552">
        <f t="shared" si="41"/>
        <v>0.96842105263157896</v>
      </c>
      <c r="AY552" s="62">
        <f t="shared" si="42"/>
        <v>-0.55536504520263419</v>
      </c>
      <c r="AZ552" s="68" t="str">
        <f t="shared" si="43"/>
        <v>No</v>
      </c>
      <c r="BA552" s="68" t="str">
        <f t="shared" si="44"/>
        <v>No</v>
      </c>
    </row>
    <row r="553" spans="1:53" hidden="1">
      <c r="A553" t="s">
        <v>1815</v>
      </c>
      <c r="B553" t="s">
        <v>2232</v>
      </c>
      <c r="C553">
        <v>178</v>
      </c>
      <c r="F553" t="s">
        <v>1241</v>
      </c>
      <c r="G553" t="s">
        <v>1979</v>
      </c>
      <c r="I553">
        <v>2014</v>
      </c>
      <c r="N553" t="s">
        <v>36</v>
      </c>
      <c r="P553" t="s">
        <v>60</v>
      </c>
      <c r="Q553" t="s">
        <v>900</v>
      </c>
      <c r="R553" t="s">
        <v>888</v>
      </c>
      <c r="S553" t="s">
        <v>1998</v>
      </c>
      <c r="V553" t="s">
        <v>907</v>
      </c>
      <c r="Z553">
        <v>29</v>
      </c>
      <c r="AA553">
        <v>29</v>
      </c>
      <c r="AC553">
        <v>462</v>
      </c>
      <c r="AD553">
        <v>21.1</v>
      </c>
      <c r="AE553">
        <v>538</v>
      </c>
      <c r="AF553">
        <v>24.8</v>
      </c>
      <c r="AG553" t="s">
        <v>3437</v>
      </c>
      <c r="AI553">
        <v>21.1</v>
      </c>
      <c r="AJ553" t="s">
        <v>2014</v>
      </c>
      <c r="AK553" t="s">
        <v>1279</v>
      </c>
      <c r="AN553">
        <v>45.713299999999997</v>
      </c>
      <c r="AO553">
        <v>17.340230678973104</v>
      </c>
      <c r="AP553">
        <v>72.640299999999996</v>
      </c>
      <c r="AQ553">
        <v>12.370800594949383</v>
      </c>
      <c r="AS553">
        <v>0.46310000000000001</v>
      </c>
      <c r="AT553">
        <v>6.0000000000000001E-3</v>
      </c>
      <c r="AW553" s="28">
        <f t="shared" si="40"/>
        <v>1.7877585320027802</v>
      </c>
      <c r="AX553">
        <f t="shared" si="41"/>
        <v>0.98654708520179368</v>
      </c>
      <c r="AY553" s="62">
        <f t="shared" si="42"/>
        <v>1.7637079687919803</v>
      </c>
      <c r="AZ553" s="68" t="str">
        <f t="shared" si="43"/>
        <v>No</v>
      </c>
      <c r="BA553" s="68" t="str">
        <f t="shared" si="44"/>
        <v>No</v>
      </c>
    </row>
    <row r="554" spans="1:53" hidden="1">
      <c r="A554" t="s">
        <v>1815</v>
      </c>
      <c r="B554" t="s">
        <v>2256</v>
      </c>
      <c r="C554">
        <v>178</v>
      </c>
      <c r="F554" t="s">
        <v>1241</v>
      </c>
      <c r="G554" t="s">
        <v>1979</v>
      </c>
      <c r="I554">
        <v>2019</v>
      </c>
      <c r="N554" t="s">
        <v>36</v>
      </c>
      <c r="P554" t="s">
        <v>60</v>
      </c>
      <c r="Q554" t="s">
        <v>900</v>
      </c>
      <c r="R554" t="s">
        <v>888</v>
      </c>
      <c r="S554" t="s">
        <v>1998</v>
      </c>
      <c r="V554" t="s">
        <v>907</v>
      </c>
      <c r="Z554">
        <v>29</v>
      </c>
      <c r="AA554">
        <v>29</v>
      </c>
      <c r="AC554">
        <v>462</v>
      </c>
      <c r="AD554">
        <v>21.1</v>
      </c>
      <c r="AE554">
        <v>538</v>
      </c>
      <c r="AF554">
        <v>24.8</v>
      </c>
      <c r="AG554" t="s">
        <v>3437</v>
      </c>
      <c r="AI554">
        <v>21.1</v>
      </c>
      <c r="AJ554" t="s">
        <v>2021</v>
      </c>
      <c r="AK554" t="s">
        <v>40</v>
      </c>
      <c r="AN554">
        <v>2.3099999999999999E-2</v>
      </c>
      <c r="AO554">
        <v>4.8466483264210537E-3</v>
      </c>
      <c r="AP554">
        <v>3.1399999999999997E-2</v>
      </c>
      <c r="AQ554">
        <v>8.0777472107017561E-3</v>
      </c>
      <c r="AS554">
        <v>0.30719999999999997</v>
      </c>
      <c r="AT554">
        <v>3.5999999999999999E-3</v>
      </c>
      <c r="AW554" s="28">
        <f t="shared" si="40"/>
        <v>1.2460439992072241</v>
      </c>
      <c r="AX554">
        <f t="shared" si="41"/>
        <v>0.98654708520179368</v>
      </c>
      <c r="AY554" s="62">
        <f t="shared" si="42"/>
        <v>1.229281075451073</v>
      </c>
      <c r="AZ554" s="68" t="str">
        <f t="shared" si="43"/>
        <v>No</v>
      </c>
      <c r="BA554" s="68" t="str">
        <f t="shared" si="44"/>
        <v>No</v>
      </c>
    </row>
    <row r="555" spans="1:53" hidden="1">
      <c r="A555" t="s">
        <v>1815</v>
      </c>
      <c r="B555" t="s">
        <v>2282</v>
      </c>
      <c r="C555">
        <v>178</v>
      </c>
      <c r="F555" t="s">
        <v>1241</v>
      </c>
      <c r="G555" t="s">
        <v>1979</v>
      </c>
      <c r="I555">
        <v>2020</v>
      </c>
      <c r="N555" t="s">
        <v>36</v>
      </c>
      <c r="P555" t="s">
        <v>60</v>
      </c>
      <c r="Q555" t="s">
        <v>900</v>
      </c>
      <c r="R555" t="s">
        <v>888</v>
      </c>
      <c r="S555" t="s">
        <v>1998</v>
      </c>
      <c r="V555" t="s">
        <v>907</v>
      </c>
      <c r="Z555">
        <v>13</v>
      </c>
      <c r="AA555">
        <v>12</v>
      </c>
      <c r="AC555">
        <v>462</v>
      </c>
      <c r="AD555">
        <v>21.1</v>
      </c>
      <c r="AE555">
        <v>538</v>
      </c>
      <c r="AF555">
        <v>24.8</v>
      </c>
      <c r="AG555" t="s">
        <v>3437</v>
      </c>
      <c r="AI555">
        <v>21.1</v>
      </c>
      <c r="AJ555" t="s">
        <v>2029</v>
      </c>
      <c r="AK555" t="s">
        <v>904</v>
      </c>
      <c r="AN555">
        <v>702.33330000000001</v>
      </c>
      <c r="AO555">
        <v>99.765603792088584</v>
      </c>
      <c r="AP555">
        <v>880.16669999999999</v>
      </c>
      <c r="AQ555">
        <v>135.93758276091273</v>
      </c>
      <c r="AS555">
        <v>0.22570000000000001</v>
      </c>
      <c r="AT555">
        <v>3.5000000000000001E-3</v>
      </c>
      <c r="AW555" s="28">
        <f t="shared" si="40"/>
        <v>1.5013183348593728</v>
      </c>
      <c r="AX555">
        <f t="shared" si="41"/>
        <v>0.96703296703296704</v>
      </c>
      <c r="AY555" s="62">
        <f t="shared" si="42"/>
        <v>1.4518243238200528</v>
      </c>
      <c r="AZ555" s="68" t="str">
        <f t="shared" si="43"/>
        <v>No</v>
      </c>
      <c r="BA555" s="68" t="str">
        <f t="shared" si="44"/>
        <v>No</v>
      </c>
    </row>
    <row r="556" spans="1:53" hidden="1">
      <c r="A556" t="s">
        <v>1815</v>
      </c>
      <c r="B556" t="s">
        <v>2424</v>
      </c>
      <c r="C556">
        <v>178</v>
      </c>
      <c r="F556" t="s">
        <v>1241</v>
      </c>
      <c r="G556" t="s">
        <v>1979</v>
      </c>
      <c r="I556">
        <v>2017</v>
      </c>
      <c r="N556" t="s">
        <v>36</v>
      </c>
      <c r="P556" t="s">
        <v>60</v>
      </c>
      <c r="Q556" t="s">
        <v>900</v>
      </c>
      <c r="R556" t="s">
        <v>888</v>
      </c>
      <c r="S556" t="s">
        <v>1998</v>
      </c>
      <c r="V556" t="s">
        <v>907</v>
      </c>
      <c r="Z556">
        <v>13</v>
      </c>
      <c r="AA556">
        <v>12</v>
      </c>
      <c r="AC556">
        <v>462</v>
      </c>
      <c r="AD556">
        <v>21.1</v>
      </c>
      <c r="AE556">
        <v>538</v>
      </c>
      <c r="AF556">
        <v>24.8</v>
      </c>
      <c r="AG556" t="s">
        <v>3437</v>
      </c>
      <c r="AI556">
        <v>21.1</v>
      </c>
      <c r="AJ556" t="s">
        <v>2048</v>
      </c>
      <c r="AK556" t="s">
        <v>904</v>
      </c>
      <c r="AN556">
        <v>1046.75</v>
      </c>
      <c r="AO556">
        <v>322.76895017953632</v>
      </c>
      <c r="AP556">
        <v>788.91669999999999</v>
      </c>
      <c r="AQ556">
        <v>407.15352974537745</v>
      </c>
      <c r="AS556">
        <v>-0.2828</v>
      </c>
      <c r="AT556">
        <v>2.9499999999999998E-2</v>
      </c>
      <c r="AW556" s="28">
        <f t="shared" si="40"/>
        <v>-0.70530051273743888</v>
      </c>
      <c r="AX556">
        <f t="shared" si="41"/>
        <v>0.96703296703296704</v>
      </c>
      <c r="AY556" s="62">
        <f t="shared" si="42"/>
        <v>-0.6820488474823585</v>
      </c>
      <c r="AZ556" s="68" t="str">
        <f t="shared" si="43"/>
        <v>No</v>
      </c>
      <c r="BA556" s="68" t="str">
        <f t="shared" si="44"/>
        <v>No</v>
      </c>
    </row>
    <row r="557" spans="1:53" hidden="1">
      <c r="A557" t="s">
        <v>1815</v>
      </c>
      <c r="B557" t="s">
        <v>2233</v>
      </c>
      <c r="C557">
        <v>178</v>
      </c>
      <c r="F557" t="s">
        <v>1241</v>
      </c>
      <c r="G557" t="s">
        <v>1979</v>
      </c>
      <c r="I557">
        <v>2018</v>
      </c>
      <c r="N557" t="s">
        <v>36</v>
      </c>
      <c r="P557" t="s">
        <v>60</v>
      </c>
      <c r="Q557" t="s">
        <v>900</v>
      </c>
      <c r="R557" t="s">
        <v>888</v>
      </c>
      <c r="S557" t="s">
        <v>1998</v>
      </c>
      <c r="V557" t="s">
        <v>1015</v>
      </c>
      <c r="Z557">
        <v>29</v>
      </c>
      <c r="AA557">
        <v>34</v>
      </c>
      <c r="AC557">
        <v>462</v>
      </c>
      <c r="AD557">
        <v>21.1</v>
      </c>
      <c r="AE557">
        <v>1011</v>
      </c>
      <c r="AF557">
        <v>24.9</v>
      </c>
      <c r="AG557" t="s">
        <v>3437</v>
      </c>
      <c r="AI557">
        <v>21.1</v>
      </c>
      <c r="AJ557" t="s">
        <v>2014</v>
      </c>
      <c r="AK557" t="s">
        <v>1279</v>
      </c>
      <c r="AN557">
        <v>45.713299999999997</v>
      </c>
      <c r="AO557">
        <v>17.340230678973104</v>
      </c>
      <c r="AP557">
        <v>70.397900000000007</v>
      </c>
      <c r="AQ557">
        <v>10.928370041319063</v>
      </c>
      <c r="AS557">
        <v>0.43180000000000002</v>
      </c>
      <c r="AT557">
        <v>5.7000000000000002E-3</v>
      </c>
      <c r="AW557" s="28">
        <f t="shared" si="40"/>
        <v>1.7341089785122976</v>
      </c>
      <c r="AX557">
        <f t="shared" si="41"/>
        <v>0.98765432098765427</v>
      </c>
      <c r="AY557" s="62">
        <f t="shared" si="42"/>
        <v>1.7127002256911581</v>
      </c>
      <c r="AZ557" s="68" t="str">
        <f t="shared" si="43"/>
        <v>No</v>
      </c>
      <c r="BA557" s="68" t="str">
        <f t="shared" si="44"/>
        <v>No</v>
      </c>
    </row>
    <row r="558" spans="1:53" hidden="1">
      <c r="A558" t="s">
        <v>1815</v>
      </c>
      <c r="B558" t="s">
        <v>2270</v>
      </c>
      <c r="C558">
        <v>178</v>
      </c>
      <c r="F558" t="s">
        <v>1241</v>
      </c>
      <c r="G558" t="s">
        <v>1979</v>
      </c>
      <c r="I558">
        <v>2021</v>
      </c>
      <c r="N558" t="s">
        <v>36</v>
      </c>
      <c r="P558" t="s">
        <v>60</v>
      </c>
      <c r="Q558" t="s">
        <v>900</v>
      </c>
      <c r="R558" t="s">
        <v>888</v>
      </c>
      <c r="S558" t="s">
        <v>1998</v>
      </c>
      <c r="V558" t="s">
        <v>1015</v>
      </c>
      <c r="Z558">
        <v>29</v>
      </c>
      <c r="AA558">
        <v>34</v>
      </c>
      <c r="AC558">
        <v>462</v>
      </c>
      <c r="AD558">
        <v>21.1</v>
      </c>
      <c r="AE558">
        <v>1011</v>
      </c>
      <c r="AF558">
        <v>24.9</v>
      </c>
      <c r="AG558" t="s">
        <v>3437</v>
      </c>
      <c r="AI558">
        <v>21.1</v>
      </c>
      <c r="AJ558" t="s">
        <v>2021</v>
      </c>
      <c r="AK558" t="s">
        <v>40</v>
      </c>
      <c r="AN558">
        <v>2.3099999999999999E-2</v>
      </c>
      <c r="AO558">
        <v>4.8466483264210537E-3</v>
      </c>
      <c r="AP558">
        <v>3.0499999999999999E-2</v>
      </c>
      <c r="AQ558">
        <v>6.9971422738143605E-3</v>
      </c>
      <c r="AS558">
        <v>0.28029999999999999</v>
      </c>
      <c r="AT558">
        <v>3.0999999999999999E-3</v>
      </c>
      <c r="AW558" s="28">
        <f t="shared" si="40"/>
        <v>1.2121565411488096</v>
      </c>
      <c r="AX558">
        <f t="shared" si="41"/>
        <v>0.98765432098765427</v>
      </c>
      <c r="AY558" s="62">
        <f t="shared" si="42"/>
        <v>1.1971916455790712</v>
      </c>
      <c r="AZ558" s="68" t="str">
        <f t="shared" si="43"/>
        <v>No</v>
      </c>
      <c r="BA558" s="68" t="str">
        <f t="shared" si="44"/>
        <v>No</v>
      </c>
    </row>
    <row r="559" spans="1:53" hidden="1">
      <c r="A559" t="s">
        <v>1815</v>
      </c>
      <c r="B559" t="s">
        <v>2293</v>
      </c>
      <c r="C559">
        <v>178</v>
      </c>
      <c r="F559" t="s">
        <v>1241</v>
      </c>
      <c r="G559" t="s">
        <v>1979</v>
      </c>
      <c r="I559">
        <v>2021</v>
      </c>
      <c r="N559" t="s">
        <v>36</v>
      </c>
      <c r="P559" t="s">
        <v>60</v>
      </c>
      <c r="Q559" t="s">
        <v>900</v>
      </c>
      <c r="R559" t="s">
        <v>888</v>
      </c>
      <c r="S559" t="s">
        <v>1998</v>
      </c>
      <c r="V559" t="s">
        <v>1015</v>
      </c>
      <c r="Z559">
        <v>13</v>
      </c>
      <c r="AA559">
        <v>10</v>
      </c>
      <c r="AC559">
        <v>462</v>
      </c>
      <c r="AD559">
        <v>21.1</v>
      </c>
      <c r="AE559">
        <v>1011</v>
      </c>
      <c r="AF559">
        <v>24.9</v>
      </c>
      <c r="AG559" t="s">
        <v>3437</v>
      </c>
      <c r="AI559">
        <v>21.1</v>
      </c>
      <c r="AJ559" t="s">
        <v>2029</v>
      </c>
      <c r="AK559" t="s">
        <v>904</v>
      </c>
      <c r="AN559">
        <v>702.33330000000001</v>
      </c>
      <c r="AO559">
        <v>99.765603792088584</v>
      </c>
      <c r="AP559">
        <v>858</v>
      </c>
      <c r="AQ559">
        <v>178.90965335721828</v>
      </c>
      <c r="AS559">
        <v>0.20019999999999999</v>
      </c>
      <c r="AT559">
        <v>5.8999999999999999E-3</v>
      </c>
      <c r="AW559" s="28">
        <f t="shared" si="40"/>
        <v>1.1174625787658805</v>
      </c>
      <c r="AX559">
        <f t="shared" si="41"/>
        <v>0.96385542168674698</v>
      </c>
      <c r="AY559" s="62">
        <f t="shared" si="42"/>
        <v>1.0770723650755474</v>
      </c>
      <c r="AZ559" s="68" t="str">
        <f t="shared" si="43"/>
        <v>No</v>
      </c>
      <c r="BA559" s="68" t="str">
        <f t="shared" si="44"/>
        <v>No</v>
      </c>
    </row>
    <row r="560" spans="1:53" hidden="1">
      <c r="A560" t="s">
        <v>1815</v>
      </c>
      <c r="B560" t="s">
        <v>2422</v>
      </c>
      <c r="C560">
        <v>178</v>
      </c>
      <c r="F560" t="s">
        <v>1241</v>
      </c>
      <c r="G560" t="s">
        <v>1979</v>
      </c>
      <c r="I560">
        <v>2019</v>
      </c>
      <c r="N560" t="s">
        <v>36</v>
      </c>
      <c r="P560" t="s">
        <v>60</v>
      </c>
      <c r="Q560" t="s">
        <v>900</v>
      </c>
      <c r="R560" t="s">
        <v>888</v>
      </c>
      <c r="S560" t="s">
        <v>1998</v>
      </c>
      <c r="V560" t="s">
        <v>1015</v>
      </c>
      <c r="Z560">
        <v>13</v>
      </c>
      <c r="AA560">
        <v>9</v>
      </c>
      <c r="AC560">
        <v>462</v>
      </c>
      <c r="AD560">
        <v>21.1</v>
      </c>
      <c r="AE560">
        <v>1011</v>
      </c>
      <c r="AF560">
        <v>24.9</v>
      </c>
      <c r="AG560" t="s">
        <v>3437</v>
      </c>
      <c r="AI560">
        <v>21.1</v>
      </c>
      <c r="AJ560" t="s">
        <v>2048</v>
      </c>
      <c r="AK560" t="s">
        <v>904</v>
      </c>
      <c r="AN560">
        <v>1046.75</v>
      </c>
      <c r="AO560">
        <v>322.76895017953632</v>
      </c>
      <c r="AP560">
        <v>798.66669999999999</v>
      </c>
      <c r="AQ560">
        <v>330.26909999999998</v>
      </c>
      <c r="AS560">
        <v>-0.27050000000000002</v>
      </c>
      <c r="AT560">
        <v>2.63E-2</v>
      </c>
      <c r="AW560" s="28">
        <f t="shared" si="40"/>
        <v>-0.76148287312447538</v>
      </c>
      <c r="AX560">
        <f t="shared" si="41"/>
        <v>0.96202531645569622</v>
      </c>
      <c r="AY560" s="62">
        <f t="shared" si="42"/>
        <v>-0.73256580199316623</v>
      </c>
      <c r="AZ560" s="68" t="str">
        <f t="shared" si="43"/>
        <v>No</v>
      </c>
      <c r="BA560" s="68" t="str">
        <f t="shared" si="44"/>
        <v>No</v>
      </c>
    </row>
    <row r="561" spans="1:53" hidden="1">
      <c r="A561" t="s">
        <v>1815</v>
      </c>
      <c r="B561" t="s">
        <v>3114</v>
      </c>
      <c r="C561">
        <v>83</v>
      </c>
      <c r="F561" t="s">
        <v>1241</v>
      </c>
      <c r="G561" t="s">
        <v>1733</v>
      </c>
      <c r="I561">
        <v>2019</v>
      </c>
      <c r="N561" t="s">
        <v>36</v>
      </c>
      <c r="P561" t="s">
        <v>60</v>
      </c>
      <c r="Q561" t="s">
        <v>900</v>
      </c>
      <c r="R561" t="s">
        <v>1743</v>
      </c>
      <c r="S561" t="s">
        <v>1779</v>
      </c>
      <c r="V561" t="s">
        <v>905</v>
      </c>
      <c r="Z561">
        <v>3</v>
      </c>
      <c r="AA561">
        <v>3</v>
      </c>
      <c r="AC561">
        <v>526</v>
      </c>
      <c r="AD561">
        <v>14.3</v>
      </c>
      <c r="AE561">
        <v>1193</v>
      </c>
      <c r="AF561">
        <v>14.4</v>
      </c>
      <c r="AG561" t="s">
        <v>3397</v>
      </c>
      <c r="AH561">
        <v>3.0766404436703421</v>
      </c>
      <c r="AI561">
        <v>14.3</v>
      </c>
      <c r="AJ561" t="s">
        <v>69</v>
      </c>
      <c r="AK561" t="s">
        <v>69</v>
      </c>
      <c r="AM561"/>
      <c r="AN561">
        <v>100</v>
      </c>
      <c r="AO561">
        <v>4.8497422611928562E-3</v>
      </c>
      <c r="AP561">
        <v>100</v>
      </c>
      <c r="AQ561">
        <v>1.7320508075688772</v>
      </c>
      <c r="AS561">
        <v>0</v>
      </c>
      <c r="AT561">
        <v>1E-4</v>
      </c>
      <c r="AW561" s="28">
        <f t="shared" si="40"/>
        <v>0</v>
      </c>
      <c r="AX561">
        <f t="shared" si="41"/>
        <v>0.8</v>
      </c>
      <c r="AY561" s="62">
        <f t="shared" si="42"/>
        <v>0</v>
      </c>
      <c r="AZ561" s="68" t="str">
        <f t="shared" si="43"/>
        <v>No</v>
      </c>
      <c r="BA561" s="68" t="str">
        <f t="shared" si="44"/>
        <v>No</v>
      </c>
    </row>
    <row r="562" spans="1:53" hidden="1">
      <c r="A562" t="s">
        <v>1815</v>
      </c>
      <c r="B562" t="s">
        <v>3115</v>
      </c>
      <c r="C562">
        <v>83</v>
      </c>
      <c r="F562" t="s">
        <v>1241</v>
      </c>
      <c r="G562" t="s">
        <v>1733</v>
      </c>
      <c r="I562">
        <v>2019</v>
      </c>
      <c r="N562" t="s">
        <v>36</v>
      </c>
      <c r="P562" t="s">
        <v>60</v>
      </c>
      <c r="Q562" t="s">
        <v>900</v>
      </c>
      <c r="R562" t="s">
        <v>1743</v>
      </c>
      <c r="S562" t="s">
        <v>1779</v>
      </c>
      <c r="V562" t="s">
        <v>905</v>
      </c>
      <c r="Z562">
        <v>3</v>
      </c>
      <c r="AA562">
        <v>3</v>
      </c>
      <c r="AC562">
        <v>504</v>
      </c>
      <c r="AD562">
        <v>13.9</v>
      </c>
      <c r="AE562">
        <v>1293</v>
      </c>
      <c r="AF562">
        <v>13.9</v>
      </c>
      <c r="AG562" t="s">
        <v>3398</v>
      </c>
      <c r="AH562">
        <v>3.1115985248803941</v>
      </c>
      <c r="AI562">
        <v>13.9</v>
      </c>
      <c r="AJ562" t="s">
        <v>1814</v>
      </c>
      <c r="AK562" t="s">
        <v>59</v>
      </c>
      <c r="AM562"/>
      <c r="AN562">
        <v>0.26</v>
      </c>
      <c r="AO562">
        <v>0.4676537180435969</v>
      </c>
      <c r="AP562">
        <v>0.45</v>
      </c>
      <c r="AQ562">
        <v>0.53693575034635188</v>
      </c>
      <c r="AS562">
        <v>0.54900000000000004</v>
      </c>
      <c r="AT562">
        <v>1.5529999999999999</v>
      </c>
      <c r="AW562" s="28">
        <f t="shared" si="40"/>
        <v>0.37736760809200476</v>
      </c>
      <c r="AX562">
        <f t="shared" si="41"/>
        <v>0.8</v>
      </c>
      <c r="AY562" s="62">
        <f t="shared" si="42"/>
        <v>0.30189408647360383</v>
      </c>
      <c r="AZ562" s="68" t="str">
        <f t="shared" si="43"/>
        <v>No</v>
      </c>
      <c r="BA562" s="68" t="str">
        <f t="shared" si="44"/>
        <v>No</v>
      </c>
    </row>
    <row r="563" spans="1:53" hidden="1">
      <c r="A563" t="s">
        <v>1815</v>
      </c>
      <c r="B563" t="s">
        <v>3119</v>
      </c>
      <c r="C563">
        <v>83</v>
      </c>
      <c r="F563" t="s">
        <v>1241</v>
      </c>
      <c r="G563" t="s">
        <v>1733</v>
      </c>
      <c r="I563">
        <v>2018</v>
      </c>
      <c r="N563" t="s">
        <v>36</v>
      </c>
      <c r="P563" t="s">
        <v>60</v>
      </c>
      <c r="Q563" t="s">
        <v>900</v>
      </c>
      <c r="R563" t="s">
        <v>1743</v>
      </c>
      <c r="S563" t="s">
        <v>1780</v>
      </c>
      <c r="V563" t="s">
        <v>905</v>
      </c>
      <c r="Z563">
        <v>3</v>
      </c>
      <c r="AA563">
        <v>3</v>
      </c>
      <c r="AC563">
        <v>504</v>
      </c>
      <c r="AD563">
        <v>13.9</v>
      </c>
      <c r="AE563">
        <v>1293</v>
      </c>
      <c r="AF563">
        <v>13.9</v>
      </c>
      <c r="AG563" t="s">
        <v>3399</v>
      </c>
      <c r="AH563">
        <v>3.1115985248803941</v>
      </c>
      <c r="AI563">
        <v>13.9</v>
      </c>
      <c r="AJ563" t="s">
        <v>1814</v>
      </c>
      <c r="AK563" t="s">
        <v>770</v>
      </c>
      <c r="AM563"/>
      <c r="AN563">
        <v>0</v>
      </c>
      <c r="AO563">
        <v>0</v>
      </c>
      <c r="AP563">
        <v>0.32</v>
      </c>
      <c r="AQ563">
        <v>0.58889727457341834</v>
      </c>
      <c r="AS563">
        <v>4.6050000000000004</v>
      </c>
      <c r="AT563">
        <v>1.1289</v>
      </c>
      <c r="AW563" s="28">
        <f t="shared" si="40"/>
        <v>0.76846737028491863</v>
      </c>
      <c r="AX563">
        <f t="shared" si="41"/>
        <v>0.8</v>
      </c>
      <c r="AY563" s="62">
        <f t="shared" si="42"/>
        <v>0.61477389622793499</v>
      </c>
      <c r="AZ563" s="68" t="str">
        <f t="shared" si="43"/>
        <v>No</v>
      </c>
      <c r="BA563" s="68" t="str">
        <f t="shared" si="44"/>
        <v>No</v>
      </c>
    </row>
    <row r="564" spans="1:53" hidden="1">
      <c r="A564" t="s">
        <v>1815</v>
      </c>
      <c r="B564" t="s">
        <v>3113</v>
      </c>
      <c r="C564">
        <v>83</v>
      </c>
      <c r="F564" t="s">
        <v>1241</v>
      </c>
      <c r="G564" t="s">
        <v>1733</v>
      </c>
      <c r="I564">
        <v>2019</v>
      </c>
      <c r="N564" t="s">
        <v>36</v>
      </c>
      <c r="P564" t="s">
        <v>60</v>
      </c>
      <c r="Q564" t="s">
        <v>900</v>
      </c>
      <c r="R564" t="s">
        <v>1743</v>
      </c>
      <c r="S564" t="s">
        <v>1779</v>
      </c>
      <c r="V564" t="s">
        <v>907</v>
      </c>
      <c r="Z564">
        <v>3</v>
      </c>
      <c r="AA564">
        <v>3</v>
      </c>
      <c r="AC564">
        <v>526</v>
      </c>
      <c r="AD564">
        <v>14.3</v>
      </c>
      <c r="AE564">
        <v>535</v>
      </c>
      <c r="AF564">
        <v>19.7</v>
      </c>
      <c r="AG564" t="s">
        <v>3397</v>
      </c>
      <c r="AH564">
        <v>2.7283537820212285</v>
      </c>
      <c r="AI564">
        <v>14.3</v>
      </c>
      <c r="AJ564" t="s">
        <v>69</v>
      </c>
      <c r="AK564" t="s">
        <v>69</v>
      </c>
      <c r="AM564"/>
      <c r="AN564">
        <v>100</v>
      </c>
      <c r="AO564">
        <v>0</v>
      </c>
      <c r="AP564">
        <v>98.5</v>
      </c>
      <c r="AQ564">
        <v>3.4987426312891321</v>
      </c>
      <c r="AS564">
        <v>-1.4999999999999999E-2</v>
      </c>
      <c r="AT564">
        <v>4.0000000000000002E-4</v>
      </c>
      <c r="AW564" s="28">
        <f t="shared" si="40"/>
        <v>-0.60630934227306388</v>
      </c>
      <c r="AX564">
        <f t="shared" si="41"/>
        <v>0.8</v>
      </c>
      <c r="AY564" s="62">
        <f t="shared" si="42"/>
        <v>-0.48504747381845115</v>
      </c>
      <c r="AZ564" s="68" t="str">
        <f t="shared" si="43"/>
        <v>No</v>
      </c>
      <c r="BA564" s="68" t="str">
        <f t="shared" si="44"/>
        <v>No</v>
      </c>
    </row>
    <row r="565" spans="1:53" hidden="1">
      <c r="A565" t="s">
        <v>1815</v>
      </c>
      <c r="B565" t="s">
        <v>3117</v>
      </c>
      <c r="C565">
        <v>83</v>
      </c>
      <c r="F565" t="s">
        <v>1241</v>
      </c>
      <c r="G565" t="s">
        <v>1733</v>
      </c>
      <c r="I565">
        <v>2018</v>
      </c>
      <c r="N565" t="s">
        <v>36</v>
      </c>
      <c r="P565" t="s">
        <v>60</v>
      </c>
      <c r="Q565" t="s">
        <v>900</v>
      </c>
      <c r="R565" t="s">
        <v>1743</v>
      </c>
      <c r="S565" t="s">
        <v>1779</v>
      </c>
      <c r="V565" t="s">
        <v>907</v>
      </c>
      <c r="Z565">
        <v>3</v>
      </c>
      <c r="AA565">
        <v>3</v>
      </c>
      <c r="AC565">
        <v>504</v>
      </c>
      <c r="AD565">
        <v>13.9</v>
      </c>
      <c r="AE565">
        <v>504</v>
      </c>
      <c r="AF565">
        <v>19.7</v>
      </c>
      <c r="AG565" t="s">
        <v>3398</v>
      </c>
      <c r="AH565">
        <v>2.7024305364455254</v>
      </c>
      <c r="AI565">
        <v>13.9</v>
      </c>
      <c r="AJ565" t="s">
        <v>1814</v>
      </c>
      <c r="AK565" t="s">
        <v>59</v>
      </c>
      <c r="AM565"/>
      <c r="AN565">
        <v>0.26</v>
      </c>
      <c r="AO565">
        <v>0.4676537180435969</v>
      </c>
      <c r="AP565">
        <v>0.6</v>
      </c>
      <c r="AQ565">
        <v>0.50229473419497439</v>
      </c>
      <c r="AS565">
        <v>0.83599999999999997</v>
      </c>
      <c r="AT565">
        <v>1.3120000000000001</v>
      </c>
      <c r="AW565" s="28">
        <f t="shared" si="40"/>
        <v>0.70062150147045699</v>
      </c>
      <c r="AX565">
        <f t="shared" si="41"/>
        <v>0.8</v>
      </c>
      <c r="AY565" s="62">
        <f t="shared" si="42"/>
        <v>0.56049720117636559</v>
      </c>
      <c r="AZ565" s="68" t="str">
        <f t="shared" si="43"/>
        <v>No</v>
      </c>
      <c r="BA565" s="68" t="str">
        <f t="shared" si="44"/>
        <v>No</v>
      </c>
    </row>
    <row r="566" spans="1:53" hidden="1">
      <c r="A566" t="s">
        <v>1815</v>
      </c>
      <c r="B566" t="s">
        <v>3120</v>
      </c>
      <c r="C566">
        <v>83</v>
      </c>
      <c r="F566" t="s">
        <v>1241</v>
      </c>
      <c r="G566" t="s">
        <v>1733</v>
      </c>
      <c r="I566">
        <v>2018</v>
      </c>
      <c r="N566" t="s">
        <v>36</v>
      </c>
      <c r="P566" t="s">
        <v>60</v>
      </c>
      <c r="Q566" t="s">
        <v>900</v>
      </c>
      <c r="R566" t="s">
        <v>1743</v>
      </c>
      <c r="S566" t="s">
        <v>1780</v>
      </c>
      <c r="V566" t="s">
        <v>907</v>
      </c>
      <c r="Z566">
        <v>3</v>
      </c>
      <c r="AA566">
        <v>3</v>
      </c>
      <c r="AC566">
        <v>504</v>
      </c>
      <c r="AD566">
        <v>13.9</v>
      </c>
      <c r="AE566">
        <v>504</v>
      </c>
      <c r="AF566">
        <v>19.7</v>
      </c>
      <c r="AG566" t="s">
        <v>3399</v>
      </c>
      <c r="AH566">
        <v>2.7024305364455254</v>
      </c>
      <c r="AI566">
        <v>13.9</v>
      </c>
      <c r="AJ566" t="s">
        <v>1814</v>
      </c>
      <c r="AK566" t="s">
        <v>770</v>
      </c>
      <c r="AM566"/>
      <c r="AN566">
        <v>0</v>
      </c>
      <c r="AO566">
        <v>0</v>
      </c>
      <c r="AP566">
        <v>0.22</v>
      </c>
      <c r="AQ566">
        <v>0.48497422611928565</v>
      </c>
      <c r="AS566">
        <v>4.6050000000000004</v>
      </c>
      <c r="AT566">
        <v>1.6197999999999999</v>
      </c>
      <c r="AW566" s="28">
        <f t="shared" si="40"/>
        <v>0.64153302787178468</v>
      </c>
      <c r="AX566">
        <f t="shared" si="41"/>
        <v>0.8</v>
      </c>
      <c r="AY566" s="62">
        <f t="shared" si="42"/>
        <v>0.51322642229742776</v>
      </c>
      <c r="AZ566" s="68" t="str">
        <f t="shared" si="43"/>
        <v>No</v>
      </c>
      <c r="BA566" s="68" t="str">
        <f t="shared" si="44"/>
        <v>No</v>
      </c>
    </row>
    <row r="567" spans="1:53" hidden="1">
      <c r="A567" t="s">
        <v>1815</v>
      </c>
      <c r="B567" t="s">
        <v>3112</v>
      </c>
      <c r="C567">
        <v>83</v>
      </c>
      <c r="F567" t="s">
        <v>1241</v>
      </c>
      <c r="G567" t="s">
        <v>1733</v>
      </c>
      <c r="I567">
        <v>2019</v>
      </c>
      <c r="N567" t="s">
        <v>36</v>
      </c>
      <c r="P567" t="s">
        <v>60</v>
      </c>
      <c r="Q567" t="s">
        <v>900</v>
      </c>
      <c r="R567" t="s">
        <v>1743</v>
      </c>
      <c r="S567" t="s">
        <v>1779</v>
      </c>
      <c r="V567" t="s">
        <v>1015</v>
      </c>
      <c r="Z567">
        <v>3</v>
      </c>
      <c r="AA567">
        <v>3</v>
      </c>
      <c r="AC567">
        <v>526</v>
      </c>
      <c r="AD567">
        <v>14.3</v>
      </c>
      <c r="AE567">
        <v>1239</v>
      </c>
      <c r="AF567">
        <v>19.7</v>
      </c>
      <c r="AG567" t="s">
        <v>3397</v>
      </c>
      <c r="AH567">
        <v>3.0930713063760633</v>
      </c>
      <c r="AI567">
        <v>14.3</v>
      </c>
      <c r="AJ567" t="s">
        <v>69</v>
      </c>
      <c r="AK567" t="s">
        <v>59</v>
      </c>
      <c r="AM567"/>
      <c r="AN567">
        <v>100</v>
      </c>
      <c r="AO567">
        <v>0</v>
      </c>
      <c r="AP567">
        <v>1.96</v>
      </c>
      <c r="AQ567">
        <v>5.4039985196148974</v>
      </c>
      <c r="AS567">
        <v>-3.9319999999999999</v>
      </c>
      <c r="AT567">
        <v>2.5339</v>
      </c>
      <c r="AW567" s="28">
        <f t="shared" si="40"/>
        <v>-25.656834869921237</v>
      </c>
      <c r="AX567">
        <f t="shared" si="41"/>
        <v>0.8</v>
      </c>
      <c r="AY567" s="62">
        <f t="shared" si="42"/>
        <v>-20.525467895936991</v>
      </c>
      <c r="AZ567" s="68" t="str">
        <f t="shared" si="43"/>
        <v>No</v>
      </c>
      <c r="BA567" s="68" t="str">
        <f t="shared" si="44"/>
        <v>Yes</v>
      </c>
    </row>
    <row r="568" spans="1:53" hidden="1">
      <c r="A568" t="s">
        <v>1815</v>
      </c>
      <c r="B568" t="s">
        <v>3116</v>
      </c>
      <c r="C568">
        <v>83</v>
      </c>
      <c r="F568" t="s">
        <v>1241</v>
      </c>
      <c r="G568" t="s">
        <v>1733</v>
      </c>
      <c r="I568">
        <v>2018</v>
      </c>
      <c r="N568" t="s">
        <v>36</v>
      </c>
      <c r="P568" t="s">
        <v>60</v>
      </c>
      <c r="Q568" t="s">
        <v>900</v>
      </c>
      <c r="R568" t="s">
        <v>1743</v>
      </c>
      <c r="S568" t="s">
        <v>1779</v>
      </c>
      <c r="V568" t="s">
        <v>1015</v>
      </c>
      <c r="Z568">
        <v>3</v>
      </c>
      <c r="AA568">
        <v>3</v>
      </c>
      <c r="AC568">
        <v>504</v>
      </c>
      <c r="AD568">
        <v>13.9</v>
      </c>
      <c r="AE568">
        <v>1357</v>
      </c>
      <c r="AF568">
        <v>19.5</v>
      </c>
      <c r="AG568" t="s">
        <v>3398</v>
      </c>
      <c r="AH568">
        <v>3.1325798476597368</v>
      </c>
      <c r="AI568">
        <v>13.9</v>
      </c>
      <c r="AJ568" t="s">
        <v>1814</v>
      </c>
      <c r="AK568" t="s">
        <v>69</v>
      </c>
      <c r="AM568"/>
      <c r="AN568">
        <v>0.26</v>
      </c>
      <c r="AO568">
        <v>0.4676537180435969</v>
      </c>
      <c r="AP568">
        <v>0.53</v>
      </c>
      <c r="AQ568">
        <v>0.4676537180435969</v>
      </c>
      <c r="AS568">
        <v>0.71199999999999997</v>
      </c>
      <c r="AT568">
        <v>1.3379000000000001</v>
      </c>
      <c r="AW568" s="28">
        <f t="shared" si="40"/>
        <v>0.57735026918962573</v>
      </c>
      <c r="AX568">
        <f t="shared" si="41"/>
        <v>0.8</v>
      </c>
      <c r="AY568" s="62">
        <f t="shared" si="42"/>
        <v>0.4618802153517006</v>
      </c>
      <c r="AZ568" s="68" t="str">
        <f t="shared" si="43"/>
        <v>No</v>
      </c>
      <c r="BA568" s="68" t="str">
        <f t="shared" si="44"/>
        <v>No</v>
      </c>
    </row>
    <row r="569" spans="1:53" hidden="1">
      <c r="A569" t="s">
        <v>1815</v>
      </c>
      <c r="B569" t="s">
        <v>3118</v>
      </c>
      <c r="C569">
        <v>83</v>
      </c>
      <c r="F569" t="s">
        <v>1241</v>
      </c>
      <c r="G569" t="s">
        <v>1733</v>
      </c>
      <c r="I569">
        <v>2018</v>
      </c>
      <c r="N569" t="s">
        <v>36</v>
      </c>
      <c r="P569" t="s">
        <v>60</v>
      </c>
      <c r="Q569" t="s">
        <v>900</v>
      </c>
      <c r="R569" t="s">
        <v>1743</v>
      </c>
      <c r="S569" t="s">
        <v>1780</v>
      </c>
      <c r="V569" t="s">
        <v>1015</v>
      </c>
      <c r="Z569">
        <v>3</v>
      </c>
      <c r="AA569">
        <v>3</v>
      </c>
      <c r="AC569">
        <v>504</v>
      </c>
      <c r="AD569">
        <v>13.9</v>
      </c>
      <c r="AE569">
        <v>1357</v>
      </c>
      <c r="AF569">
        <v>19.5</v>
      </c>
      <c r="AG569" t="s">
        <v>3399</v>
      </c>
      <c r="AH569">
        <v>3.1325798476597368</v>
      </c>
      <c r="AI569">
        <v>13.9</v>
      </c>
      <c r="AJ569" t="s">
        <v>1814</v>
      </c>
      <c r="AK569" t="s">
        <v>770</v>
      </c>
      <c r="AM569"/>
      <c r="AN569">
        <v>0</v>
      </c>
      <c r="AO569">
        <v>0</v>
      </c>
      <c r="AP569">
        <v>0.33</v>
      </c>
      <c r="AQ569">
        <v>0.53693575034635188</v>
      </c>
      <c r="AS569">
        <v>4.6050000000000004</v>
      </c>
      <c r="AT569">
        <v>0.88249999999999995</v>
      </c>
      <c r="AW569" s="28">
        <f t="shared" si="40"/>
        <v>0.86917377969725695</v>
      </c>
      <c r="AX569">
        <f t="shared" si="41"/>
        <v>0.8</v>
      </c>
      <c r="AY569" s="62">
        <f t="shared" si="42"/>
        <v>0.69533902375780565</v>
      </c>
      <c r="AZ569" s="68" t="str">
        <f t="shared" si="43"/>
        <v>No</v>
      </c>
      <c r="BA569" s="68" t="str">
        <f t="shared" si="44"/>
        <v>No</v>
      </c>
    </row>
    <row r="570" spans="1:53" hidden="1">
      <c r="A570" t="s">
        <v>1815</v>
      </c>
      <c r="B570" t="s">
        <v>2307</v>
      </c>
      <c r="C570">
        <v>175</v>
      </c>
      <c r="F570" t="s">
        <v>1241</v>
      </c>
      <c r="G570" t="s">
        <v>1986</v>
      </c>
      <c r="I570">
        <v>2015</v>
      </c>
      <c r="N570" t="s">
        <v>36</v>
      </c>
      <c r="P570" t="s">
        <v>60</v>
      </c>
      <c r="Q570" t="s">
        <v>900</v>
      </c>
      <c r="R570" t="s">
        <v>888</v>
      </c>
      <c r="S570" t="s">
        <v>1995</v>
      </c>
      <c r="V570" t="s">
        <v>905</v>
      </c>
      <c r="Z570">
        <v>6</v>
      </c>
      <c r="AA570">
        <v>6</v>
      </c>
      <c r="AC570">
        <v>415</v>
      </c>
      <c r="AD570">
        <v>6.2</v>
      </c>
      <c r="AE570">
        <v>1101</v>
      </c>
      <c r="AF570">
        <v>6.2</v>
      </c>
      <c r="AG570" t="s">
        <v>3448</v>
      </c>
      <c r="AI570">
        <v>6.2</v>
      </c>
      <c r="AJ570" t="s">
        <v>2028</v>
      </c>
      <c r="AK570" t="s">
        <v>770</v>
      </c>
      <c r="AN570">
        <v>5.5110000000000001</v>
      </c>
      <c r="AO570">
        <v>3.1843366656181313</v>
      </c>
      <c r="AP570">
        <v>11.9739</v>
      </c>
      <c r="AQ570">
        <v>3.9270219556299906</v>
      </c>
      <c r="AS570">
        <v>-7.0900000000000005E-2</v>
      </c>
      <c r="AT570">
        <v>5.0000000000000001E-4</v>
      </c>
      <c r="AW570" s="28">
        <f t="shared" si="40"/>
        <v>1.8077953043976038</v>
      </c>
      <c r="AX570">
        <f t="shared" si="41"/>
        <v>0.92307692307692313</v>
      </c>
      <c r="AY570" s="62">
        <f t="shared" si="42"/>
        <v>1.6687341271362497</v>
      </c>
      <c r="AZ570" s="68" t="str">
        <f t="shared" si="43"/>
        <v>No</v>
      </c>
      <c r="BA570" s="68" t="str">
        <f t="shared" si="44"/>
        <v>No</v>
      </c>
    </row>
    <row r="571" spans="1:53" hidden="1">
      <c r="A571" t="s">
        <v>1815</v>
      </c>
      <c r="B571" t="s">
        <v>2348</v>
      </c>
      <c r="C571">
        <v>175</v>
      </c>
      <c r="F571" t="s">
        <v>1241</v>
      </c>
      <c r="G571" t="s">
        <v>1986</v>
      </c>
      <c r="I571">
        <v>2021</v>
      </c>
      <c r="N571" t="s">
        <v>36</v>
      </c>
      <c r="P571" t="s">
        <v>60</v>
      </c>
      <c r="Q571" t="s">
        <v>900</v>
      </c>
      <c r="R571" t="s">
        <v>888</v>
      </c>
      <c r="S571" t="s">
        <v>1995</v>
      </c>
      <c r="V571" t="s">
        <v>905</v>
      </c>
      <c r="Z571">
        <v>60</v>
      </c>
      <c r="AA571">
        <v>60</v>
      </c>
      <c r="AC571">
        <v>415</v>
      </c>
      <c r="AD571">
        <v>6.2</v>
      </c>
      <c r="AE571">
        <v>1101</v>
      </c>
      <c r="AF571">
        <v>6.2</v>
      </c>
      <c r="AG571" t="s">
        <v>3448</v>
      </c>
      <c r="AI571">
        <v>6.2</v>
      </c>
      <c r="AJ571" t="s">
        <v>2039</v>
      </c>
      <c r="AK571" t="s">
        <v>770</v>
      </c>
      <c r="AN571">
        <v>10.039</v>
      </c>
      <c r="AO571">
        <v>1.85903200617956</v>
      </c>
      <c r="AP571">
        <v>9.9024000000000001</v>
      </c>
      <c r="AQ571">
        <v>2.6452476254596662</v>
      </c>
      <c r="AS571">
        <v>-1.37E-2</v>
      </c>
      <c r="AT571">
        <v>1.8E-3</v>
      </c>
      <c r="AW571" s="28">
        <f t="shared" si="40"/>
        <v>-5.975004860536668E-2</v>
      </c>
      <c r="AX571">
        <f t="shared" si="41"/>
        <v>0.99363057324840764</v>
      </c>
      <c r="AY571" s="62">
        <f t="shared" si="42"/>
        <v>-5.9369475047370716E-2</v>
      </c>
      <c r="AZ571" s="68" t="str">
        <f t="shared" si="43"/>
        <v>No</v>
      </c>
      <c r="BA571" s="68" t="str">
        <f t="shared" si="44"/>
        <v>No</v>
      </c>
    </row>
    <row r="572" spans="1:53" hidden="1">
      <c r="A572" t="s">
        <v>1815</v>
      </c>
      <c r="B572" t="s">
        <v>2364</v>
      </c>
      <c r="C572">
        <v>175</v>
      </c>
      <c r="F572" t="s">
        <v>1241</v>
      </c>
      <c r="G572" t="s">
        <v>1986</v>
      </c>
      <c r="I572">
        <v>2017</v>
      </c>
      <c r="N572" t="s">
        <v>36</v>
      </c>
      <c r="P572" t="s">
        <v>60</v>
      </c>
      <c r="Q572" t="s">
        <v>900</v>
      </c>
      <c r="R572" t="s">
        <v>888</v>
      </c>
      <c r="S572" t="s">
        <v>1995</v>
      </c>
      <c r="V572" t="s">
        <v>905</v>
      </c>
      <c r="Z572">
        <v>6</v>
      </c>
      <c r="AA572">
        <v>6</v>
      </c>
      <c r="AC572">
        <v>415</v>
      </c>
      <c r="AD572">
        <v>6.2</v>
      </c>
      <c r="AE572">
        <v>1101</v>
      </c>
      <c r="AF572">
        <v>6.2</v>
      </c>
      <c r="AG572" t="s">
        <v>3448</v>
      </c>
      <c r="AI572">
        <v>6.2</v>
      </c>
      <c r="AJ572" t="s">
        <v>677</v>
      </c>
      <c r="AK572" t="s">
        <v>59</v>
      </c>
      <c r="AN572">
        <v>75.415899999999993</v>
      </c>
      <c r="AO572">
        <v>7.2443659142812482</v>
      </c>
      <c r="AP572">
        <v>64.325299999999999</v>
      </c>
      <c r="AQ572">
        <v>4.5276368405604259</v>
      </c>
      <c r="AS572">
        <v>-0.15909999999999999</v>
      </c>
      <c r="AT572">
        <v>2.3999999999999998E-3</v>
      </c>
      <c r="AW572" s="28">
        <f t="shared" si="40"/>
        <v>-1.8359765081428994</v>
      </c>
      <c r="AX572">
        <f t="shared" si="41"/>
        <v>0.92307692307692313</v>
      </c>
      <c r="AY572" s="62">
        <f t="shared" si="42"/>
        <v>-1.694747545978061</v>
      </c>
      <c r="AZ572" s="68" t="str">
        <f t="shared" si="43"/>
        <v>No</v>
      </c>
      <c r="BA572" s="68" t="str">
        <f t="shared" si="44"/>
        <v>No</v>
      </c>
    </row>
    <row r="573" spans="1:53" hidden="1">
      <c r="A573" t="s">
        <v>1815</v>
      </c>
      <c r="B573" t="s">
        <v>2397</v>
      </c>
      <c r="C573">
        <v>175</v>
      </c>
      <c r="F573" t="s">
        <v>1241</v>
      </c>
      <c r="G573" t="s">
        <v>1986</v>
      </c>
      <c r="I573">
        <v>2018</v>
      </c>
      <c r="N573" t="s">
        <v>36</v>
      </c>
      <c r="P573" t="s">
        <v>60</v>
      </c>
      <c r="Q573" t="s">
        <v>900</v>
      </c>
      <c r="R573" t="s">
        <v>888</v>
      </c>
      <c r="S573" t="s">
        <v>1995</v>
      </c>
      <c r="V573" t="s">
        <v>905</v>
      </c>
      <c r="Z573">
        <v>2</v>
      </c>
      <c r="AA573">
        <v>2</v>
      </c>
      <c r="AC573">
        <v>415</v>
      </c>
      <c r="AD573">
        <v>6.2</v>
      </c>
      <c r="AE573">
        <v>1101</v>
      </c>
      <c r="AF573">
        <v>6.2</v>
      </c>
      <c r="AG573" t="s">
        <v>3448</v>
      </c>
      <c r="AI573">
        <v>6.2</v>
      </c>
      <c r="AJ573" t="s">
        <v>2047</v>
      </c>
      <c r="AK573" t="s">
        <v>904</v>
      </c>
      <c r="AN573">
        <v>5.5552000000000001</v>
      </c>
      <c r="AO573">
        <v>0.5232590180780452</v>
      </c>
      <c r="AP573">
        <v>6.0782999999999996</v>
      </c>
      <c r="AQ573">
        <v>1.9233304448274096</v>
      </c>
      <c r="AS573">
        <v>0.09</v>
      </c>
      <c r="AT573">
        <v>5.4600000000000003E-2</v>
      </c>
      <c r="AW573" s="28">
        <f t="shared" si="40"/>
        <v>0.37114228338059535</v>
      </c>
      <c r="AX573">
        <f t="shared" si="41"/>
        <v>0.5714285714285714</v>
      </c>
      <c r="AY573" s="62">
        <f t="shared" si="42"/>
        <v>0.21208130478891163</v>
      </c>
      <c r="AZ573" s="68" t="str">
        <f t="shared" si="43"/>
        <v>No</v>
      </c>
      <c r="BA573" s="68" t="str">
        <f t="shared" si="44"/>
        <v>No</v>
      </c>
    </row>
    <row r="574" spans="1:53" hidden="1">
      <c r="A574" t="s">
        <v>1815</v>
      </c>
      <c r="B574" t="s">
        <v>2447</v>
      </c>
      <c r="C574">
        <v>175</v>
      </c>
      <c r="F574" t="s">
        <v>1241</v>
      </c>
      <c r="G574" t="s">
        <v>1986</v>
      </c>
      <c r="I574">
        <v>2018</v>
      </c>
      <c r="N574" t="s">
        <v>36</v>
      </c>
      <c r="P574" t="s">
        <v>60</v>
      </c>
      <c r="Q574" t="s">
        <v>900</v>
      </c>
      <c r="R574" t="s">
        <v>888</v>
      </c>
      <c r="S574" t="s">
        <v>1995</v>
      </c>
      <c r="V574" t="s">
        <v>905</v>
      </c>
      <c r="Z574">
        <v>3</v>
      </c>
      <c r="AA574">
        <v>3</v>
      </c>
      <c r="AC574">
        <v>415</v>
      </c>
      <c r="AD574">
        <v>6.2</v>
      </c>
      <c r="AE574">
        <v>1101</v>
      </c>
      <c r="AF574">
        <v>6.2</v>
      </c>
      <c r="AG574" t="s">
        <v>3448</v>
      </c>
      <c r="AI574">
        <v>6.2</v>
      </c>
      <c r="AJ574" t="s">
        <v>2052</v>
      </c>
      <c r="AK574" t="s">
        <v>904</v>
      </c>
      <c r="AN574">
        <v>4.5273000000000003</v>
      </c>
      <c r="AO574">
        <v>1.662768775266122</v>
      </c>
      <c r="AP574">
        <v>3.7273000000000001</v>
      </c>
      <c r="AQ574">
        <v>0.72434364772530446</v>
      </c>
      <c r="AS574">
        <v>-0.19439999999999999</v>
      </c>
      <c r="AT574">
        <v>5.79E-2</v>
      </c>
      <c r="AW574" s="28">
        <f t="shared" si="40"/>
        <v>-0.62379483467433006</v>
      </c>
      <c r="AX574">
        <f t="shared" si="41"/>
        <v>0.8</v>
      </c>
      <c r="AY574" s="62">
        <f t="shared" si="42"/>
        <v>-0.49903586773946407</v>
      </c>
      <c r="AZ574" s="68" t="str">
        <f t="shared" si="43"/>
        <v>No</v>
      </c>
      <c r="BA574" s="68" t="str">
        <f t="shared" si="44"/>
        <v>No</v>
      </c>
    </row>
    <row r="575" spans="1:53" hidden="1">
      <c r="A575" t="s">
        <v>1815</v>
      </c>
      <c r="B575" t="s">
        <v>2281</v>
      </c>
      <c r="C575">
        <v>175</v>
      </c>
      <c r="F575" t="s">
        <v>1241</v>
      </c>
      <c r="G575" t="s">
        <v>1986</v>
      </c>
      <c r="I575">
        <v>2019</v>
      </c>
      <c r="N575" t="s">
        <v>36</v>
      </c>
      <c r="P575" t="s">
        <v>60</v>
      </c>
      <c r="Q575" t="s">
        <v>900</v>
      </c>
      <c r="R575" t="s">
        <v>888</v>
      </c>
      <c r="S575" t="s">
        <v>1995</v>
      </c>
      <c r="V575" t="s">
        <v>907</v>
      </c>
      <c r="Z575">
        <v>6</v>
      </c>
      <c r="AA575">
        <v>6</v>
      </c>
      <c r="AC575">
        <v>415</v>
      </c>
      <c r="AD575">
        <v>6.2</v>
      </c>
      <c r="AE575">
        <v>403</v>
      </c>
      <c r="AF575">
        <v>14.1</v>
      </c>
      <c r="AG575" t="s">
        <v>3448</v>
      </c>
      <c r="AI575">
        <v>6.2</v>
      </c>
      <c r="AJ575" t="s">
        <v>2028</v>
      </c>
      <c r="AK575" t="s">
        <v>770</v>
      </c>
      <c r="AN575">
        <v>5.5110000000000001</v>
      </c>
      <c r="AO575">
        <v>3.1843366656181313</v>
      </c>
      <c r="AP575">
        <v>8.9177999999999997</v>
      </c>
      <c r="AQ575">
        <v>1.3499137972478095</v>
      </c>
      <c r="AS575">
        <v>-3.6700000000000003E-2</v>
      </c>
      <c r="AT575">
        <v>2.0000000000000001E-4</v>
      </c>
      <c r="AW575" s="28">
        <f t="shared" si="40"/>
        <v>1.3930120904174919</v>
      </c>
      <c r="AX575">
        <f t="shared" si="41"/>
        <v>0.92307692307692313</v>
      </c>
      <c r="AY575" s="62">
        <f t="shared" si="42"/>
        <v>1.285857314231531</v>
      </c>
      <c r="AZ575" s="68" t="str">
        <f t="shared" si="43"/>
        <v>No</v>
      </c>
      <c r="BA575" s="68" t="str">
        <f t="shared" si="44"/>
        <v>No</v>
      </c>
    </row>
    <row r="576" spans="1:53" hidden="1">
      <c r="A576" t="s">
        <v>1815</v>
      </c>
      <c r="B576" t="s">
        <v>2313</v>
      </c>
      <c r="C576">
        <v>175</v>
      </c>
      <c r="F576" t="s">
        <v>1241</v>
      </c>
      <c r="G576" t="s">
        <v>1986</v>
      </c>
      <c r="I576">
        <v>2015</v>
      </c>
      <c r="N576" t="s">
        <v>36</v>
      </c>
      <c r="P576" t="s">
        <v>60</v>
      </c>
      <c r="Q576" t="s">
        <v>900</v>
      </c>
      <c r="R576" t="s">
        <v>888</v>
      </c>
      <c r="S576" t="s">
        <v>1995</v>
      </c>
      <c r="V576" t="s">
        <v>907</v>
      </c>
      <c r="Z576">
        <v>6</v>
      </c>
      <c r="AA576">
        <v>6</v>
      </c>
      <c r="AC576">
        <v>415</v>
      </c>
      <c r="AD576">
        <v>6.2</v>
      </c>
      <c r="AE576">
        <v>408</v>
      </c>
      <c r="AF576">
        <v>10</v>
      </c>
      <c r="AG576" t="s">
        <v>3448</v>
      </c>
      <c r="AI576">
        <v>6.2</v>
      </c>
      <c r="AJ576" t="s">
        <v>2028</v>
      </c>
      <c r="AK576" t="s">
        <v>770</v>
      </c>
      <c r="AN576">
        <v>5.5110000000000001</v>
      </c>
      <c r="AO576">
        <v>3.1843366656181313</v>
      </c>
      <c r="AP576">
        <v>7.3146000000000004</v>
      </c>
      <c r="AQ576">
        <v>5.8905329334449856</v>
      </c>
      <c r="AS576">
        <v>-1.9300000000000001E-2</v>
      </c>
      <c r="AT576">
        <v>8.9999999999999998E-4</v>
      </c>
      <c r="AW576" s="28">
        <f t="shared" si="40"/>
        <v>0.38091693077986738</v>
      </c>
      <c r="AX576">
        <f t="shared" si="41"/>
        <v>0.92307692307692313</v>
      </c>
      <c r="AY576" s="62">
        <f t="shared" si="42"/>
        <v>0.3516156284121853</v>
      </c>
      <c r="AZ576" s="68" t="str">
        <f t="shared" si="43"/>
        <v>No</v>
      </c>
      <c r="BA576" s="68" t="str">
        <f t="shared" si="44"/>
        <v>No</v>
      </c>
    </row>
    <row r="577" spans="1:53" hidden="1">
      <c r="A577" t="s">
        <v>1815</v>
      </c>
      <c r="B577" t="s">
        <v>2344</v>
      </c>
      <c r="C577">
        <v>175</v>
      </c>
      <c r="F577" t="s">
        <v>1241</v>
      </c>
      <c r="G577" t="s">
        <v>1986</v>
      </c>
      <c r="I577">
        <v>2018</v>
      </c>
      <c r="N577" t="s">
        <v>36</v>
      </c>
      <c r="P577" t="s">
        <v>60</v>
      </c>
      <c r="Q577" t="s">
        <v>900</v>
      </c>
      <c r="R577" t="s">
        <v>888</v>
      </c>
      <c r="S577" t="s">
        <v>1995</v>
      </c>
      <c r="V577" t="s">
        <v>907</v>
      </c>
      <c r="Z577">
        <v>60</v>
      </c>
      <c r="AA577">
        <v>60</v>
      </c>
      <c r="AC577">
        <v>415</v>
      </c>
      <c r="AD577">
        <v>6.2</v>
      </c>
      <c r="AE577">
        <v>403</v>
      </c>
      <c r="AF577">
        <v>14.1</v>
      </c>
      <c r="AG577" t="s">
        <v>3448</v>
      </c>
      <c r="AI577">
        <v>6.2</v>
      </c>
      <c r="AJ577" t="s">
        <v>2039</v>
      </c>
      <c r="AK577" t="s">
        <v>770</v>
      </c>
      <c r="AN577">
        <v>10.039</v>
      </c>
      <c r="AO577">
        <v>1.85903200617956</v>
      </c>
      <c r="AP577">
        <v>9.9024000000000001</v>
      </c>
      <c r="AQ577">
        <v>2.6452476254596662</v>
      </c>
      <c r="AS577">
        <v>-1.37E-2</v>
      </c>
      <c r="AT577">
        <v>1.8E-3</v>
      </c>
      <c r="AW577" s="28">
        <f t="shared" si="40"/>
        <v>-5.975004860536668E-2</v>
      </c>
      <c r="AX577">
        <f t="shared" si="41"/>
        <v>0.99363057324840764</v>
      </c>
      <c r="AY577" s="62">
        <f t="shared" si="42"/>
        <v>-5.9369475047370716E-2</v>
      </c>
      <c r="AZ577" s="68" t="str">
        <f t="shared" si="43"/>
        <v>No</v>
      </c>
      <c r="BA577" s="68" t="str">
        <f t="shared" si="44"/>
        <v>No</v>
      </c>
    </row>
    <row r="578" spans="1:53" hidden="1">
      <c r="A578" t="s">
        <v>1815</v>
      </c>
      <c r="B578" t="s">
        <v>2345</v>
      </c>
      <c r="C578">
        <v>175</v>
      </c>
      <c r="F578" t="s">
        <v>1241</v>
      </c>
      <c r="G578" t="s">
        <v>1986</v>
      </c>
      <c r="I578">
        <v>2021</v>
      </c>
      <c r="N578" t="s">
        <v>36</v>
      </c>
      <c r="P578" t="s">
        <v>60</v>
      </c>
      <c r="Q578" t="s">
        <v>900</v>
      </c>
      <c r="R578" t="s">
        <v>888</v>
      </c>
      <c r="S578" t="s">
        <v>1995</v>
      </c>
      <c r="V578" t="s">
        <v>907</v>
      </c>
      <c r="Z578">
        <v>60</v>
      </c>
      <c r="AA578">
        <v>60</v>
      </c>
      <c r="AC578">
        <v>415</v>
      </c>
      <c r="AD578">
        <v>6.2</v>
      </c>
      <c r="AE578">
        <v>408</v>
      </c>
      <c r="AF578">
        <v>10</v>
      </c>
      <c r="AG578" t="s">
        <v>3448</v>
      </c>
      <c r="AI578">
        <v>6.2</v>
      </c>
      <c r="AJ578" t="s">
        <v>2039</v>
      </c>
      <c r="AK578" t="s">
        <v>770</v>
      </c>
      <c r="AN578">
        <v>10.039</v>
      </c>
      <c r="AO578">
        <v>1.85903200617956</v>
      </c>
      <c r="AP578">
        <v>9.9024000000000001</v>
      </c>
      <c r="AQ578">
        <v>2.6452476254596662</v>
      </c>
      <c r="AS578">
        <v>-1.37E-2</v>
      </c>
      <c r="AT578">
        <v>1.8E-3</v>
      </c>
      <c r="AW578" s="28">
        <f t="shared" ref="AW578:AW641" si="45">(AP578-$AN578)/SQRT(((AA578-1)*AQ578*AQ578+($Z578-1)*$AO578*$AO578)/(AA578+$Z578-2))</f>
        <v>-5.975004860536668E-2</v>
      </c>
      <c r="AX578">
        <f t="shared" ref="AX578:AX641" si="46">1-(3/(4*(AA578+$Z578-2)-1))</f>
        <v>0.99363057324840764</v>
      </c>
      <c r="AY578" s="62">
        <f t="shared" ref="AY578:AY641" si="47">AX578*AW578</f>
        <v>-5.9369475047370716E-2</v>
      </c>
      <c r="AZ578" s="68" t="str">
        <f t="shared" ref="AZ578:AZ641" si="48">IF(AY578&gt;10,"Yes","No")</f>
        <v>No</v>
      </c>
      <c r="BA578" s="68" t="str">
        <f t="shared" ref="BA578:BA641" si="49">IF(AY578&lt;-10,"Yes","No")</f>
        <v>No</v>
      </c>
    </row>
    <row r="579" spans="1:53" hidden="1">
      <c r="A579" t="s">
        <v>1815</v>
      </c>
      <c r="B579" t="s">
        <v>2358</v>
      </c>
      <c r="C579">
        <v>175</v>
      </c>
      <c r="F579" t="s">
        <v>1241</v>
      </c>
      <c r="G579" t="s">
        <v>1986</v>
      </c>
      <c r="I579">
        <v>2014</v>
      </c>
      <c r="N579" t="s">
        <v>36</v>
      </c>
      <c r="P579" t="s">
        <v>60</v>
      </c>
      <c r="Q579" t="s">
        <v>900</v>
      </c>
      <c r="R579" t="s">
        <v>888</v>
      </c>
      <c r="S579" t="s">
        <v>1995</v>
      </c>
      <c r="V579" t="s">
        <v>907</v>
      </c>
      <c r="Z579">
        <v>6</v>
      </c>
      <c r="AA579">
        <v>6</v>
      </c>
      <c r="AC579">
        <v>415</v>
      </c>
      <c r="AD579">
        <v>6.2</v>
      </c>
      <c r="AE579">
        <v>403</v>
      </c>
      <c r="AF579">
        <v>14.1</v>
      </c>
      <c r="AG579" t="s">
        <v>3448</v>
      </c>
      <c r="AI579">
        <v>6.2</v>
      </c>
      <c r="AJ579" t="s">
        <v>677</v>
      </c>
      <c r="AK579" t="s">
        <v>59</v>
      </c>
      <c r="AN579">
        <v>75.415899999999993</v>
      </c>
      <c r="AO579">
        <v>7.2443659142812482</v>
      </c>
      <c r="AP579">
        <v>50.831800000000001</v>
      </c>
      <c r="AQ579">
        <v>3.1693947781871539</v>
      </c>
      <c r="AS579">
        <v>-0.39450000000000002</v>
      </c>
      <c r="AT579">
        <v>2.2000000000000001E-3</v>
      </c>
      <c r="AW579" s="28">
        <f t="shared" si="45"/>
        <v>-4.3968265464269942</v>
      </c>
      <c r="AX579">
        <f t="shared" si="46"/>
        <v>0.92307692307692313</v>
      </c>
      <c r="AY579" s="62">
        <f t="shared" si="47"/>
        <v>-4.0586091197787644</v>
      </c>
      <c r="AZ579" s="68" t="str">
        <f t="shared" si="48"/>
        <v>No</v>
      </c>
      <c r="BA579" s="68" t="str">
        <f t="shared" si="49"/>
        <v>No</v>
      </c>
    </row>
    <row r="580" spans="1:53" hidden="1">
      <c r="A580" t="s">
        <v>1815</v>
      </c>
      <c r="B580" t="s">
        <v>2413</v>
      </c>
      <c r="C580">
        <v>175</v>
      </c>
      <c r="F580" t="s">
        <v>1241</v>
      </c>
      <c r="G580" t="s">
        <v>1986</v>
      </c>
      <c r="I580">
        <v>2018</v>
      </c>
      <c r="N580" t="s">
        <v>36</v>
      </c>
      <c r="P580" t="s">
        <v>60</v>
      </c>
      <c r="Q580" t="s">
        <v>900</v>
      </c>
      <c r="R580" t="s">
        <v>888</v>
      </c>
      <c r="S580" t="s">
        <v>1995</v>
      </c>
      <c r="V580" t="s">
        <v>907</v>
      </c>
      <c r="Z580">
        <v>6</v>
      </c>
      <c r="AA580">
        <v>6</v>
      </c>
      <c r="AC580">
        <v>415</v>
      </c>
      <c r="AD580">
        <v>6.2</v>
      </c>
      <c r="AE580">
        <v>408</v>
      </c>
      <c r="AF580">
        <v>10</v>
      </c>
      <c r="AG580" t="s">
        <v>3448</v>
      </c>
      <c r="AI580">
        <v>6.2</v>
      </c>
      <c r="AJ580" t="s">
        <v>677</v>
      </c>
      <c r="AK580" t="s">
        <v>59</v>
      </c>
      <c r="AN580">
        <v>75.415899999999993</v>
      </c>
      <c r="AO580">
        <v>7.2443659142812482</v>
      </c>
      <c r="AP580">
        <v>73.937200000000004</v>
      </c>
      <c r="AQ580">
        <v>15.84697389093577</v>
      </c>
      <c r="AS580">
        <v>-1.9800000000000002E-2</v>
      </c>
      <c r="AT580">
        <v>9.1999999999999998E-3</v>
      </c>
      <c r="AW580" s="28">
        <f t="shared" si="45"/>
        <v>-0.12001592612312127</v>
      </c>
      <c r="AX580">
        <f t="shared" si="46"/>
        <v>0.92307692307692313</v>
      </c>
      <c r="AY580" s="62">
        <f t="shared" si="47"/>
        <v>-0.11078393180595811</v>
      </c>
      <c r="AZ580" s="68" t="str">
        <f t="shared" si="48"/>
        <v>No</v>
      </c>
      <c r="BA580" s="68" t="str">
        <f t="shared" si="49"/>
        <v>No</v>
      </c>
    </row>
    <row r="581" spans="1:53" hidden="1">
      <c r="A581" t="s">
        <v>1815</v>
      </c>
      <c r="B581" t="s">
        <v>2416</v>
      </c>
      <c r="C581">
        <v>175</v>
      </c>
      <c r="F581" t="s">
        <v>1241</v>
      </c>
      <c r="G581" t="s">
        <v>1986</v>
      </c>
      <c r="I581">
        <v>2019</v>
      </c>
      <c r="N581" t="s">
        <v>36</v>
      </c>
      <c r="P581" t="s">
        <v>60</v>
      </c>
      <c r="Q581" t="s">
        <v>900</v>
      </c>
      <c r="R581" t="s">
        <v>888</v>
      </c>
      <c r="S581" t="s">
        <v>1995</v>
      </c>
      <c r="V581" t="s">
        <v>907</v>
      </c>
      <c r="Z581">
        <v>2</v>
      </c>
      <c r="AA581">
        <v>2</v>
      </c>
      <c r="AC581">
        <v>415</v>
      </c>
      <c r="AD581">
        <v>6.2</v>
      </c>
      <c r="AE581">
        <v>403</v>
      </c>
      <c r="AF581">
        <v>14.1</v>
      </c>
      <c r="AG581" t="s">
        <v>3448</v>
      </c>
      <c r="AI581">
        <v>6.2</v>
      </c>
      <c r="AJ581" t="s">
        <v>2047</v>
      </c>
      <c r="AK581" t="s">
        <v>904</v>
      </c>
      <c r="AN581">
        <v>5.5552000000000001</v>
      </c>
      <c r="AO581">
        <v>0.5232590180780452</v>
      </c>
      <c r="AP581">
        <v>11.6335</v>
      </c>
      <c r="AQ581">
        <v>1.3386945581423719</v>
      </c>
      <c r="AS581">
        <v>0.73919999999999997</v>
      </c>
      <c r="AT581">
        <v>1.11E-2</v>
      </c>
      <c r="AW581" s="28">
        <f t="shared" si="45"/>
        <v>5.9805641523583013</v>
      </c>
      <c r="AX581">
        <f t="shared" si="46"/>
        <v>0.5714285714285714</v>
      </c>
      <c r="AY581" s="62">
        <f t="shared" si="47"/>
        <v>3.4174652299190291</v>
      </c>
      <c r="AZ581" s="68" t="str">
        <f t="shared" si="48"/>
        <v>No</v>
      </c>
      <c r="BA581" s="68" t="str">
        <f t="shared" si="49"/>
        <v>No</v>
      </c>
    </row>
    <row r="582" spans="1:53" hidden="1">
      <c r="A582" t="s">
        <v>1815</v>
      </c>
      <c r="B582" t="s">
        <v>2419</v>
      </c>
      <c r="C582">
        <v>175</v>
      </c>
      <c r="F582" t="s">
        <v>1241</v>
      </c>
      <c r="G582" t="s">
        <v>1986</v>
      </c>
      <c r="I582">
        <v>2018</v>
      </c>
      <c r="N582" t="s">
        <v>36</v>
      </c>
      <c r="P582" t="s">
        <v>60</v>
      </c>
      <c r="Q582" t="s">
        <v>900</v>
      </c>
      <c r="R582" t="s">
        <v>888</v>
      </c>
      <c r="S582" t="s">
        <v>1995</v>
      </c>
      <c r="V582" t="s">
        <v>907</v>
      </c>
      <c r="Z582">
        <v>2</v>
      </c>
      <c r="AA582">
        <v>2</v>
      </c>
      <c r="AC582">
        <v>415</v>
      </c>
      <c r="AD582">
        <v>6.2</v>
      </c>
      <c r="AE582">
        <v>408</v>
      </c>
      <c r="AF582">
        <v>10</v>
      </c>
      <c r="AG582" t="s">
        <v>3448</v>
      </c>
      <c r="AI582">
        <v>6.2</v>
      </c>
      <c r="AJ582" t="s">
        <v>2047</v>
      </c>
      <c r="AK582" t="s">
        <v>904</v>
      </c>
      <c r="AN582">
        <v>5.5552000000000001</v>
      </c>
      <c r="AO582">
        <v>0.5232590180780452</v>
      </c>
      <c r="AP582">
        <v>7.6726000000000001</v>
      </c>
      <c r="AQ582">
        <v>0.95120004205214381</v>
      </c>
      <c r="AS582">
        <v>0.32290000000000002</v>
      </c>
      <c r="AT582">
        <v>1.2200000000000001E-2</v>
      </c>
      <c r="AW582" s="28">
        <f t="shared" si="45"/>
        <v>2.7582783651873175</v>
      </c>
      <c r="AX582">
        <f t="shared" si="46"/>
        <v>0.5714285714285714</v>
      </c>
      <c r="AY582" s="62">
        <f t="shared" si="47"/>
        <v>1.5761590658213243</v>
      </c>
      <c r="AZ582" s="68" t="str">
        <f t="shared" si="48"/>
        <v>No</v>
      </c>
      <c r="BA582" s="68" t="str">
        <f t="shared" si="49"/>
        <v>No</v>
      </c>
    </row>
    <row r="583" spans="1:53" hidden="1">
      <c r="A583" t="s">
        <v>1815</v>
      </c>
      <c r="B583" t="s">
        <v>2451</v>
      </c>
      <c r="C583">
        <v>175</v>
      </c>
      <c r="F583" t="s">
        <v>1241</v>
      </c>
      <c r="G583" t="s">
        <v>1986</v>
      </c>
      <c r="I583">
        <v>2018</v>
      </c>
      <c r="N583" t="s">
        <v>36</v>
      </c>
      <c r="P583" t="s">
        <v>60</v>
      </c>
      <c r="Q583" t="s">
        <v>900</v>
      </c>
      <c r="R583" t="s">
        <v>888</v>
      </c>
      <c r="S583" t="s">
        <v>1995</v>
      </c>
      <c r="V583" t="s">
        <v>907</v>
      </c>
      <c r="Z583">
        <v>3</v>
      </c>
      <c r="AA583">
        <v>3</v>
      </c>
      <c r="AC583">
        <v>415</v>
      </c>
      <c r="AD583">
        <v>6.2</v>
      </c>
      <c r="AE583">
        <v>403</v>
      </c>
      <c r="AF583">
        <v>14.1</v>
      </c>
      <c r="AG583" t="s">
        <v>3448</v>
      </c>
      <c r="AI583">
        <v>6.2</v>
      </c>
      <c r="AJ583" t="s">
        <v>2052</v>
      </c>
      <c r="AK583" t="s">
        <v>904</v>
      </c>
      <c r="AN583">
        <v>4.5273000000000003</v>
      </c>
      <c r="AO583">
        <v>1.662768775266122</v>
      </c>
      <c r="AP583">
        <v>5.9455</v>
      </c>
      <c r="AQ583">
        <v>1.826447576581381</v>
      </c>
      <c r="AS583">
        <v>0.27250000000000002</v>
      </c>
      <c r="AT583">
        <v>7.6799999999999993E-2</v>
      </c>
      <c r="AW583" s="28">
        <f t="shared" si="45"/>
        <v>0.81201165276723142</v>
      </c>
      <c r="AX583">
        <f t="shared" si="46"/>
        <v>0.8</v>
      </c>
      <c r="AY583" s="62">
        <f t="shared" si="47"/>
        <v>0.6496093222137852</v>
      </c>
      <c r="AZ583" s="68" t="str">
        <f t="shared" si="48"/>
        <v>No</v>
      </c>
      <c r="BA583" s="68" t="str">
        <f t="shared" si="49"/>
        <v>No</v>
      </c>
    </row>
    <row r="584" spans="1:53" hidden="1">
      <c r="A584" t="s">
        <v>1815</v>
      </c>
      <c r="B584" t="s">
        <v>2452</v>
      </c>
      <c r="C584">
        <v>175</v>
      </c>
      <c r="F584" t="s">
        <v>1241</v>
      </c>
      <c r="G584" t="s">
        <v>1986</v>
      </c>
      <c r="I584">
        <v>2014</v>
      </c>
      <c r="N584" t="s">
        <v>36</v>
      </c>
      <c r="P584" t="s">
        <v>60</v>
      </c>
      <c r="Q584" t="s">
        <v>900</v>
      </c>
      <c r="R584" t="s">
        <v>888</v>
      </c>
      <c r="S584" t="s">
        <v>1995</v>
      </c>
      <c r="V584" t="s">
        <v>907</v>
      </c>
      <c r="Z584">
        <v>3</v>
      </c>
      <c r="AA584">
        <v>3</v>
      </c>
      <c r="AC584">
        <v>415</v>
      </c>
      <c r="AD584">
        <v>6.2</v>
      </c>
      <c r="AE584">
        <v>408</v>
      </c>
      <c r="AF584">
        <v>10</v>
      </c>
      <c r="AG584" t="s">
        <v>3448</v>
      </c>
      <c r="AI584">
        <v>6.2</v>
      </c>
      <c r="AJ584" t="s">
        <v>2052</v>
      </c>
      <c r="AK584" t="s">
        <v>904</v>
      </c>
      <c r="AN584">
        <v>4.5273000000000003</v>
      </c>
      <c r="AO584">
        <v>1.662768775266122</v>
      </c>
      <c r="AP584">
        <v>6.6726999999999999</v>
      </c>
      <c r="AQ584">
        <v>2.1415076184781596</v>
      </c>
      <c r="AS584">
        <v>0.38790000000000002</v>
      </c>
      <c r="AT584">
        <v>7.9600000000000004E-2</v>
      </c>
      <c r="AW584" s="28">
        <f t="shared" si="45"/>
        <v>1.1190625178131137</v>
      </c>
      <c r="AX584">
        <f t="shared" si="46"/>
        <v>0.8</v>
      </c>
      <c r="AY584" s="62">
        <f t="shared" si="47"/>
        <v>0.895250014250491</v>
      </c>
      <c r="AZ584" s="68" t="str">
        <f t="shared" si="48"/>
        <v>No</v>
      </c>
      <c r="BA584" s="68" t="str">
        <f t="shared" si="49"/>
        <v>No</v>
      </c>
    </row>
    <row r="585" spans="1:53" hidden="1">
      <c r="A585" t="s">
        <v>1815</v>
      </c>
      <c r="B585" t="s">
        <v>2338</v>
      </c>
      <c r="C585">
        <v>175</v>
      </c>
      <c r="F585" t="s">
        <v>1241</v>
      </c>
      <c r="G585" t="s">
        <v>1986</v>
      </c>
      <c r="I585">
        <v>2021</v>
      </c>
      <c r="N585" t="s">
        <v>36</v>
      </c>
      <c r="P585" t="s">
        <v>60</v>
      </c>
      <c r="Q585" t="s">
        <v>900</v>
      </c>
      <c r="R585" t="s">
        <v>888</v>
      </c>
      <c r="S585" t="s">
        <v>1995</v>
      </c>
      <c r="V585" t="s">
        <v>1015</v>
      </c>
      <c r="Z585">
        <v>6</v>
      </c>
      <c r="AA585">
        <v>6</v>
      </c>
      <c r="AC585">
        <v>415</v>
      </c>
      <c r="AD585">
        <v>6.2</v>
      </c>
      <c r="AE585">
        <v>1050</v>
      </c>
      <c r="AF585">
        <v>14.1</v>
      </c>
      <c r="AG585" t="s">
        <v>3448</v>
      </c>
      <c r="AI585">
        <v>6.2</v>
      </c>
      <c r="AJ585" t="s">
        <v>2028</v>
      </c>
      <c r="AK585" t="s">
        <v>770</v>
      </c>
      <c r="AN585">
        <v>5.5110000000000001</v>
      </c>
      <c r="AO585">
        <v>3.1843366656181313</v>
      </c>
      <c r="AP585">
        <v>16.633299999999998</v>
      </c>
      <c r="AQ585">
        <v>7.3631661668062325</v>
      </c>
      <c r="AS585">
        <v>-0.12520000000000001</v>
      </c>
      <c r="AT585">
        <v>1.5E-3</v>
      </c>
      <c r="AW585" s="28">
        <f t="shared" si="45"/>
        <v>1.960714463845981</v>
      </c>
      <c r="AX585">
        <f t="shared" si="46"/>
        <v>0.92307692307692313</v>
      </c>
      <c r="AY585" s="62">
        <f t="shared" si="47"/>
        <v>1.8098902743193672</v>
      </c>
      <c r="AZ585" s="68" t="str">
        <f t="shared" si="48"/>
        <v>No</v>
      </c>
      <c r="BA585" s="68" t="str">
        <f t="shared" si="49"/>
        <v>No</v>
      </c>
    </row>
    <row r="586" spans="1:53" hidden="1">
      <c r="A586" t="s">
        <v>1815</v>
      </c>
      <c r="B586" t="s">
        <v>2341</v>
      </c>
      <c r="C586">
        <v>175</v>
      </c>
      <c r="F586" t="s">
        <v>1241</v>
      </c>
      <c r="G586" t="s">
        <v>1986</v>
      </c>
      <c r="I586">
        <v>2018</v>
      </c>
      <c r="N586" t="s">
        <v>36</v>
      </c>
      <c r="P586" t="s">
        <v>60</v>
      </c>
      <c r="Q586" t="s">
        <v>900</v>
      </c>
      <c r="R586" t="s">
        <v>888</v>
      </c>
      <c r="S586" t="s">
        <v>1995</v>
      </c>
      <c r="V586" t="s">
        <v>1015</v>
      </c>
      <c r="Z586">
        <v>6</v>
      </c>
      <c r="AA586">
        <v>6</v>
      </c>
      <c r="AC586">
        <v>415</v>
      </c>
      <c r="AD586">
        <v>6.2</v>
      </c>
      <c r="AE586">
        <v>1050</v>
      </c>
      <c r="AF586">
        <v>14.1</v>
      </c>
      <c r="AG586" t="s">
        <v>3448</v>
      </c>
      <c r="AI586">
        <v>6.2</v>
      </c>
      <c r="AJ586" t="s">
        <v>677</v>
      </c>
      <c r="AK586" t="s">
        <v>59</v>
      </c>
      <c r="AN586">
        <v>75.415899999999993</v>
      </c>
      <c r="AO586">
        <v>7.2443659142812482</v>
      </c>
      <c r="AP586">
        <v>49.5379</v>
      </c>
      <c r="AQ586">
        <v>1.3582420623732721</v>
      </c>
      <c r="AS586">
        <v>-0.42030000000000001</v>
      </c>
      <c r="AT586">
        <v>1.6999999999999999E-3</v>
      </c>
      <c r="AW586" s="28">
        <f t="shared" si="45"/>
        <v>-4.9652738337292242</v>
      </c>
      <c r="AX586">
        <f t="shared" si="46"/>
        <v>0.92307692307692313</v>
      </c>
      <c r="AY586" s="62">
        <f t="shared" si="47"/>
        <v>-4.5833296926731304</v>
      </c>
      <c r="AZ586" s="68" t="str">
        <f t="shared" si="48"/>
        <v>No</v>
      </c>
      <c r="BA586" s="68" t="str">
        <f t="shared" si="49"/>
        <v>No</v>
      </c>
    </row>
    <row r="587" spans="1:53" hidden="1">
      <c r="A587" t="s">
        <v>1815</v>
      </c>
      <c r="B587" t="s">
        <v>2346</v>
      </c>
      <c r="C587">
        <v>175</v>
      </c>
      <c r="F587" t="s">
        <v>1241</v>
      </c>
      <c r="G587" t="s">
        <v>1986</v>
      </c>
      <c r="I587">
        <v>2021</v>
      </c>
      <c r="N587" t="s">
        <v>36</v>
      </c>
      <c r="P587" t="s">
        <v>60</v>
      </c>
      <c r="Q587" t="s">
        <v>900</v>
      </c>
      <c r="R587" t="s">
        <v>888</v>
      </c>
      <c r="S587" t="s">
        <v>1995</v>
      </c>
      <c r="V587" t="s">
        <v>1015</v>
      </c>
      <c r="Z587">
        <v>60</v>
      </c>
      <c r="AA587">
        <v>60</v>
      </c>
      <c r="AC587">
        <v>415</v>
      </c>
      <c r="AD587">
        <v>6.2</v>
      </c>
      <c r="AE587">
        <v>1050</v>
      </c>
      <c r="AF587">
        <v>10</v>
      </c>
      <c r="AG587" t="s">
        <v>3448</v>
      </c>
      <c r="AI587">
        <v>6.2</v>
      </c>
      <c r="AJ587" t="s">
        <v>2039</v>
      </c>
      <c r="AK587" t="s">
        <v>770</v>
      </c>
      <c r="AN587">
        <v>10.039</v>
      </c>
      <c r="AO587">
        <v>1.85903200617956</v>
      </c>
      <c r="AP587">
        <v>9.9024000000000001</v>
      </c>
      <c r="AQ587">
        <v>2.6452476254596662</v>
      </c>
      <c r="AS587">
        <v>-1.37E-2</v>
      </c>
      <c r="AT587">
        <v>1.8E-3</v>
      </c>
      <c r="AW587" s="28">
        <f t="shared" si="45"/>
        <v>-5.975004860536668E-2</v>
      </c>
      <c r="AX587">
        <f t="shared" si="46"/>
        <v>0.99363057324840764</v>
      </c>
      <c r="AY587" s="62">
        <f t="shared" si="47"/>
        <v>-5.9369475047370716E-2</v>
      </c>
      <c r="AZ587" s="68" t="str">
        <f t="shared" si="48"/>
        <v>No</v>
      </c>
      <c r="BA587" s="68" t="str">
        <f t="shared" si="49"/>
        <v>No</v>
      </c>
    </row>
    <row r="588" spans="1:53" hidden="1">
      <c r="A588" t="s">
        <v>1815</v>
      </c>
      <c r="B588" t="s">
        <v>2347</v>
      </c>
      <c r="C588">
        <v>175</v>
      </c>
      <c r="F588" t="s">
        <v>1241</v>
      </c>
      <c r="G588" t="s">
        <v>1986</v>
      </c>
      <c r="I588">
        <v>2021</v>
      </c>
      <c r="N588" t="s">
        <v>36</v>
      </c>
      <c r="P588" t="s">
        <v>60</v>
      </c>
      <c r="Q588" t="s">
        <v>900</v>
      </c>
      <c r="R588" t="s">
        <v>888</v>
      </c>
      <c r="S588" t="s">
        <v>1995</v>
      </c>
      <c r="V588" t="s">
        <v>1015</v>
      </c>
      <c r="Z588">
        <v>60</v>
      </c>
      <c r="AA588">
        <v>60</v>
      </c>
      <c r="AC588">
        <v>415</v>
      </c>
      <c r="AD588">
        <v>6.2</v>
      </c>
      <c r="AE588">
        <v>1050</v>
      </c>
      <c r="AF588">
        <v>14.1</v>
      </c>
      <c r="AG588" t="s">
        <v>3448</v>
      </c>
      <c r="AI588">
        <v>6.2</v>
      </c>
      <c r="AJ588" t="s">
        <v>2039</v>
      </c>
      <c r="AK588" t="s">
        <v>770</v>
      </c>
      <c r="AN588">
        <v>10.039</v>
      </c>
      <c r="AO588">
        <v>1.85903200617956</v>
      </c>
      <c r="AP588">
        <v>9.9024000000000001</v>
      </c>
      <c r="AQ588">
        <v>2.6452476254596662</v>
      </c>
      <c r="AS588">
        <v>-1.37E-2</v>
      </c>
      <c r="AT588">
        <v>1.8E-3</v>
      </c>
      <c r="AW588" s="28">
        <f t="shared" si="45"/>
        <v>-5.975004860536668E-2</v>
      </c>
      <c r="AX588">
        <f t="shared" si="46"/>
        <v>0.99363057324840764</v>
      </c>
      <c r="AY588" s="62">
        <f t="shared" si="47"/>
        <v>-5.9369475047370716E-2</v>
      </c>
      <c r="AZ588" s="68" t="str">
        <f t="shared" si="48"/>
        <v>No</v>
      </c>
      <c r="BA588" s="68" t="str">
        <f t="shared" si="49"/>
        <v>No</v>
      </c>
    </row>
    <row r="589" spans="1:53" hidden="1">
      <c r="A589" t="s">
        <v>1815</v>
      </c>
      <c r="B589" t="s">
        <v>2371</v>
      </c>
      <c r="C589">
        <v>175</v>
      </c>
      <c r="F589" t="s">
        <v>1241</v>
      </c>
      <c r="G589" t="s">
        <v>1986</v>
      </c>
      <c r="I589">
        <v>2021</v>
      </c>
      <c r="N589" t="s">
        <v>36</v>
      </c>
      <c r="P589" t="s">
        <v>60</v>
      </c>
      <c r="Q589" t="s">
        <v>900</v>
      </c>
      <c r="R589" t="s">
        <v>888</v>
      </c>
      <c r="S589" t="s">
        <v>1995</v>
      </c>
      <c r="V589" t="s">
        <v>1015</v>
      </c>
      <c r="Z589">
        <v>6</v>
      </c>
      <c r="AA589">
        <v>6</v>
      </c>
      <c r="AC589">
        <v>415</v>
      </c>
      <c r="AD589">
        <v>6.2</v>
      </c>
      <c r="AE589">
        <v>1050</v>
      </c>
      <c r="AF589">
        <v>10</v>
      </c>
      <c r="AG589" t="s">
        <v>3448</v>
      </c>
      <c r="AI589">
        <v>6.2</v>
      </c>
      <c r="AJ589" t="s">
        <v>2028</v>
      </c>
      <c r="AK589" t="s">
        <v>770</v>
      </c>
      <c r="AN589">
        <v>5.5110000000000001</v>
      </c>
      <c r="AO589">
        <v>3.1843366656181313</v>
      </c>
      <c r="AP589">
        <v>13.0762</v>
      </c>
      <c r="AQ589">
        <v>10.431152069642163</v>
      </c>
      <c r="AS589">
        <v>-8.3500000000000005E-2</v>
      </c>
      <c r="AT589">
        <v>2.5999999999999999E-3</v>
      </c>
      <c r="AW589" s="28">
        <f t="shared" si="45"/>
        <v>0.98096866613472644</v>
      </c>
      <c r="AX589">
        <f t="shared" si="46"/>
        <v>0.92307692307692313</v>
      </c>
      <c r="AY589" s="62">
        <f t="shared" si="47"/>
        <v>0.90550953797051681</v>
      </c>
      <c r="AZ589" s="68" t="str">
        <f t="shared" si="48"/>
        <v>No</v>
      </c>
      <c r="BA589" s="68" t="str">
        <f t="shared" si="49"/>
        <v>No</v>
      </c>
    </row>
    <row r="590" spans="1:53" hidden="1">
      <c r="A590" t="s">
        <v>1815</v>
      </c>
      <c r="B590" t="s">
        <v>2411</v>
      </c>
      <c r="C590">
        <v>175</v>
      </c>
      <c r="F590" t="s">
        <v>1241</v>
      </c>
      <c r="G590" t="s">
        <v>1986</v>
      </c>
      <c r="I590">
        <v>2018</v>
      </c>
      <c r="N590" t="s">
        <v>36</v>
      </c>
      <c r="P590" t="s">
        <v>60</v>
      </c>
      <c r="Q590" t="s">
        <v>900</v>
      </c>
      <c r="R590" t="s">
        <v>888</v>
      </c>
      <c r="S590" t="s">
        <v>1995</v>
      </c>
      <c r="V590" t="s">
        <v>1015</v>
      </c>
      <c r="Z590">
        <v>2</v>
      </c>
      <c r="AA590">
        <v>2</v>
      </c>
      <c r="AC590">
        <v>415</v>
      </c>
      <c r="AD590">
        <v>6.2</v>
      </c>
      <c r="AE590">
        <v>1050</v>
      </c>
      <c r="AF590">
        <v>14.1</v>
      </c>
      <c r="AG590" t="s">
        <v>3448</v>
      </c>
      <c r="AI590">
        <v>6.2</v>
      </c>
      <c r="AJ590" t="s">
        <v>2047</v>
      </c>
      <c r="AK590" t="s">
        <v>904</v>
      </c>
      <c r="AN590">
        <v>5.5552000000000001</v>
      </c>
      <c r="AO590">
        <v>0.5232590180780452</v>
      </c>
      <c r="AP590">
        <v>12.555199999999999</v>
      </c>
      <c r="AQ590">
        <v>1.1626249696269215</v>
      </c>
      <c r="AS590">
        <v>0.81540000000000001</v>
      </c>
      <c r="AT590">
        <v>8.8000000000000005E-3</v>
      </c>
      <c r="AW590" s="28">
        <f t="shared" si="45"/>
        <v>7.7646158789521031</v>
      </c>
      <c r="AX590">
        <f t="shared" si="46"/>
        <v>0.5714285714285714</v>
      </c>
      <c r="AY590" s="62">
        <f t="shared" si="47"/>
        <v>4.4369233594012014</v>
      </c>
      <c r="AZ590" s="68" t="str">
        <f t="shared" si="48"/>
        <v>No</v>
      </c>
      <c r="BA590" s="68" t="str">
        <f t="shared" si="49"/>
        <v>No</v>
      </c>
    </row>
    <row r="591" spans="1:53" hidden="1">
      <c r="A591" t="s">
        <v>1815</v>
      </c>
      <c r="B591" t="s">
        <v>2417</v>
      </c>
      <c r="C591">
        <v>175</v>
      </c>
      <c r="F591" t="s">
        <v>1241</v>
      </c>
      <c r="G591" t="s">
        <v>1986</v>
      </c>
      <c r="I591">
        <v>2018</v>
      </c>
      <c r="N591" t="s">
        <v>36</v>
      </c>
      <c r="P591" t="s">
        <v>60</v>
      </c>
      <c r="Q591" t="s">
        <v>900</v>
      </c>
      <c r="R591" t="s">
        <v>888</v>
      </c>
      <c r="S591" t="s">
        <v>1995</v>
      </c>
      <c r="V591" t="s">
        <v>1015</v>
      </c>
      <c r="Z591">
        <v>2</v>
      </c>
      <c r="AA591">
        <v>2</v>
      </c>
      <c r="AC591">
        <v>415</v>
      </c>
      <c r="AD591">
        <v>6.2</v>
      </c>
      <c r="AE591">
        <v>1050</v>
      </c>
      <c r="AF591">
        <v>10</v>
      </c>
      <c r="AG591" t="s">
        <v>3448</v>
      </c>
      <c r="AI591">
        <v>6.2</v>
      </c>
      <c r="AJ591" t="s">
        <v>2047</v>
      </c>
      <c r="AK591" t="s">
        <v>904</v>
      </c>
      <c r="AN591">
        <v>5.5552000000000001</v>
      </c>
      <c r="AO591">
        <v>0.5232590180780452</v>
      </c>
      <c r="AP591">
        <v>8.0213999999999999</v>
      </c>
      <c r="AQ591">
        <v>0.95120004205214381</v>
      </c>
      <c r="AS591">
        <v>0.3674</v>
      </c>
      <c r="AT591">
        <v>1.1599999999999999E-2</v>
      </c>
      <c r="AW591" s="28">
        <f t="shared" si="45"/>
        <v>3.2126504695499021</v>
      </c>
      <c r="AX591">
        <f t="shared" si="46"/>
        <v>0.5714285714285714</v>
      </c>
      <c r="AY591" s="62">
        <f t="shared" si="47"/>
        <v>1.8358002683142296</v>
      </c>
      <c r="AZ591" s="68" t="str">
        <f t="shared" si="48"/>
        <v>No</v>
      </c>
      <c r="BA591" s="68" t="str">
        <f t="shared" si="49"/>
        <v>No</v>
      </c>
    </row>
    <row r="592" spans="1:53" hidden="1">
      <c r="A592" t="s">
        <v>1815</v>
      </c>
      <c r="B592" t="s">
        <v>2418</v>
      </c>
      <c r="C592">
        <v>175</v>
      </c>
      <c r="F592" t="s">
        <v>1241</v>
      </c>
      <c r="G592" t="s">
        <v>1986</v>
      </c>
      <c r="I592">
        <v>2017</v>
      </c>
      <c r="N592" t="s">
        <v>36</v>
      </c>
      <c r="P592" t="s">
        <v>60</v>
      </c>
      <c r="Q592" t="s">
        <v>900</v>
      </c>
      <c r="R592" t="s">
        <v>888</v>
      </c>
      <c r="S592" t="s">
        <v>1995</v>
      </c>
      <c r="V592" t="s">
        <v>1015</v>
      </c>
      <c r="Z592">
        <v>6</v>
      </c>
      <c r="AA592">
        <v>6</v>
      </c>
      <c r="AC592">
        <v>415</v>
      </c>
      <c r="AD592">
        <v>6.2</v>
      </c>
      <c r="AE592">
        <v>1050</v>
      </c>
      <c r="AF592">
        <v>10</v>
      </c>
      <c r="AG592" t="s">
        <v>3448</v>
      </c>
      <c r="AI592">
        <v>6.2</v>
      </c>
      <c r="AJ592" t="s">
        <v>677</v>
      </c>
      <c r="AK592" t="s">
        <v>59</v>
      </c>
      <c r="AN592">
        <v>75.415899999999993</v>
      </c>
      <c r="AO592">
        <v>7.2443659142812482</v>
      </c>
      <c r="AP592">
        <v>74.676500000000004</v>
      </c>
      <c r="AQ592">
        <v>18.563702964656592</v>
      </c>
      <c r="AS592">
        <v>-9.9000000000000008E-3</v>
      </c>
      <c r="AT592">
        <v>1.18E-2</v>
      </c>
      <c r="AW592" s="28">
        <f t="shared" si="45"/>
        <v>-5.2474574661958519E-2</v>
      </c>
      <c r="AX592">
        <f t="shared" si="46"/>
        <v>0.92307692307692313</v>
      </c>
      <c r="AY592" s="62">
        <f t="shared" si="47"/>
        <v>-4.8438068918730946E-2</v>
      </c>
      <c r="AZ592" s="68" t="str">
        <f t="shared" si="48"/>
        <v>No</v>
      </c>
      <c r="BA592" s="68" t="str">
        <f t="shared" si="49"/>
        <v>No</v>
      </c>
    </row>
    <row r="593" spans="1:53" hidden="1">
      <c r="A593" t="s">
        <v>1815</v>
      </c>
      <c r="B593" t="s">
        <v>2444</v>
      </c>
      <c r="C593">
        <v>175</v>
      </c>
      <c r="F593" t="s">
        <v>1241</v>
      </c>
      <c r="G593" t="s">
        <v>1986</v>
      </c>
      <c r="I593">
        <v>2017</v>
      </c>
      <c r="N593" t="s">
        <v>36</v>
      </c>
      <c r="P593" t="s">
        <v>60</v>
      </c>
      <c r="Q593" t="s">
        <v>900</v>
      </c>
      <c r="R593" t="s">
        <v>888</v>
      </c>
      <c r="S593" t="s">
        <v>1995</v>
      </c>
      <c r="V593" t="s">
        <v>1015</v>
      </c>
      <c r="Z593">
        <v>3</v>
      </c>
      <c r="AA593">
        <v>3</v>
      </c>
      <c r="AC593">
        <v>415</v>
      </c>
      <c r="AD593">
        <v>6.2</v>
      </c>
      <c r="AE593">
        <v>1050</v>
      </c>
      <c r="AF593">
        <v>10</v>
      </c>
      <c r="AG593" t="s">
        <v>3448</v>
      </c>
      <c r="AI593">
        <v>6.2</v>
      </c>
      <c r="AJ593" t="s">
        <v>2052</v>
      </c>
      <c r="AK593" t="s">
        <v>904</v>
      </c>
      <c r="AN593">
        <v>4.5273000000000003</v>
      </c>
      <c r="AO593">
        <v>1.662768775266122</v>
      </c>
      <c r="AP593">
        <v>6.0727000000000002</v>
      </c>
      <c r="AQ593">
        <v>0.755866972423058</v>
      </c>
      <c r="AS593">
        <v>0.29370000000000002</v>
      </c>
      <c r="AT593">
        <v>5.0500000000000003E-2</v>
      </c>
      <c r="AW593" s="28">
        <f t="shared" si="45"/>
        <v>1.196558965887186</v>
      </c>
      <c r="AX593">
        <f t="shared" si="46"/>
        <v>0.8</v>
      </c>
      <c r="AY593" s="62">
        <f t="shared" si="47"/>
        <v>0.95724717270974891</v>
      </c>
      <c r="AZ593" s="68" t="str">
        <f t="shared" si="48"/>
        <v>No</v>
      </c>
      <c r="BA593" s="68" t="str">
        <f t="shared" si="49"/>
        <v>No</v>
      </c>
    </row>
    <row r="594" spans="1:53" hidden="1">
      <c r="A594" t="s">
        <v>1815</v>
      </c>
      <c r="B594" t="s">
        <v>2445</v>
      </c>
      <c r="C594">
        <v>175</v>
      </c>
      <c r="F594" t="s">
        <v>1241</v>
      </c>
      <c r="G594" t="s">
        <v>1986</v>
      </c>
      <c r="I594">
        <v>2017</v>
      </c>
      <c r="N594" t="s">
        <v>36</v>
      </c>
      <c r="P594" t="s">
        <v>60</v>
      </c>
      <c r="Q594" t="s">
        <v>900</v>
      </c>
      <c r="R594" t="s">
        <v>888</v>
      </c>
      <c r="S594" t="s">
        <v>1995</v>
      </c>
      <c r="V594" t="s">
        <v>1015</v>
      </c>
      <c r="Z594">
        <v>3</v>
      </c>
      <c r="AA594">
        <v>3</v>
      </c>
      <c r="AC594">
        <v>415</v>
      </c>
      <c r="AD594">
        <v>6.2</v>
      </c>
      <c r="AE594">
        <v>1050</v>
      </c>
      <c r="AF594">
        <v>14.1</v>
      </c>
      <c r="AG594" t="s">
        <v>3448</v>
      </c>
      <c r="AI594">
        <v>6.2</v>
      </c>
      <c r="AJ594" t="s">
        <v>2052</v>
      </c>
      <c r="AK594" t="s">
        <v>904</v>
      </c>
      <c r="AN594">
        <v>4.5273000000000003</v>
      </c>
      <c r="AO594">
        <v>1.662768775266122</v>
      </c>
      <c r="AP594">
        <v>6.3635999999999999</v>
      </c>
      <c r="AQ594">
        <v>0.94483371552882245</v>
      </c>
      <c r="AS594">
        <v>0.34050000000000002</v>
      </c>
      <c r="AT594">
        <v>5.2699999999999997E-2</v>
      </c>
      <c r="AW594" s="28">
        <f t="shared" si="45"/>
        <v>1.3578938657866928</v>
      </c>
      <c r="AX594">
        <f t="shared" si="46"/>
        <v>0.8</v>
      </c>
      <c r="AY594" s="62">
        <f t="shared" si="47"/>
        <v>1.0863150926293543</v>
      </c>
      <c r="AZ594" s="68" t="str">
        <f t="shared" si="48"/>
        <v>No</v>
      </c>
      <c r="BA594" s="68" t="str">
        <f t="shared" si="49"/>
        <v>No</v>
      </c>
    </row>
    <row r="595" spans="1:53" hidden="1">
      <c r="A595" t="s">
        <v>1815</v>
      </c>
      <c r="B595" t="s">
        <v>2207</v>
      </c>
      <c r="C595">
        <v>141</v>
      </c>
      <c r="F595" t="s">
        <v>1241</v>
      </c>
      <c r="G595" t="s">
        <v>1971</v>
      </c>
      <c r="I595">
        <v>2019</v>
      </c>
      <c r="N595" t="s">
        <v>36</v>
      </c>
      <c r="P595" t="s">
        <v>60</v>
      </c>
      <c r="Q595" t="s">
        <v>900</v>
      </c>
      <c r="R595" t="s">
        <v>888</v>
      </c>
      <c r="S595" t="s">
        <v>1990</v>
      </c>
      <c r="V595" t="s">
        <v>905</v>
      </c>
      <c r="Z595">
        <v>4</v>
      </c>
      <c r="AA595">
        <v>4</v>
      </c>
      <c r="AC595">
        <v>400</v>
      </c>
      <c r="AD595">
        <v>28.4</v>
      </c>
      <c r="AE595">
        <v>1087</v>
      </c>
      <c r="AF595">
        <v>28.5</v>
      </c>
      <c r="AG595" t="s">
        <v>3428</v>
      </c>
      <c r="AI595">
        <v>28.4</v>
      </c>
      <c r="AJ595" t="s">
        <v>2004</v>
      </c>
      <c r="AK595" t="s">
        <v>770</v>
      </c>
      <c r="AN595">
        <v>3.2444000000000002</v>
      </c>
      <c r="AO595">
        <v>0.02</v>
      </c>
      <c r="AP595">
        <v>3.1259000000000001</v>
      </c>
      <c r="AQ595">
        <v>4.4400000000000002E-2</v>
      </c>
      <c r="AS595">
        <v>-3.7199999999999997E-2</v>
      </c>
      <c r="AT595">
        <v>1E-4</v>
      </c>
      <c r="AW595" s="28">
        <f t="shared" si="45"/>
        <v>-3.4413956325699915</v>
      </c>
      <c r="AX595">
        <f t="shared" si="46"/>
        <v>0.86956521739130432</v>
      </c>
      <c r="AY595" s="62">
        <f t="shared" si="47"/>
        <v>-2.9925179413652101</v>
      </c>
      <c r="AZ595" s="68" t="str">
        <f t="shared" si="48"/>
        <v>No</v>
      </c>
      <c r="BA595" s="68" t="str">
        <f t="shared" si="49"/>
        <v>No</v>
      </c>
    </row>
    <row r="596" spans="1:53" hidden="1">
      <c r="A596" t="s">
        <v>1815</v>
      </c>
      <c r="B596" t="s">
        <v>2215</v>
      </c>
      <c r="C596">
        <v>141</v>
      </c>
      <c r="F596" t="s">
        <v>1241</v>
      </c>
      <c r="G596" t="s">
        <v>1971</v>
      </c>
      <c r="I596">
        <v>2018</v>
      </c>
      <c r="N596" t="s">
        <v>36</v>
      </c>
      <c r="P596" t="s">
        <v>60</v>
      </c>
      <c r="Q596" t="s">
        <v>900</v>
      </c>
      <c r="R596" t="s">
        <v>888</v>
      </c>
      <c r="S596" t="s">
        <v>1990</v>
      </c>
      <c r="V596" t="s">
        <v>905</v>
      </c>
      <c r="Z596">
        <v>4</v>
      </c>
      <c r="AA596">
        <v>5</v>
      </c>
      <c r="AC596">
        <v>400</v>
      </c>
      <c r="AD596">
        <v>28.4</v>
      </c>
      <c r="AE596">
        <v>634</v>
      </c>
      <c r="AF596">
        <v>28.5</v>
      </c>
      <c r="AG596" t="s">
        <v>3428</v>
      </c>
      <c r="AI596">
        <v>28.4</v>
      </c>
      <c r="AJ596" t="s">
        <v>2004</v>
      </c>
      <c r="AK596" t="s">
        <v>770</v>
      </c>
      <c r="AN596">
        <v>3.2444000000000002</v>
      </c>
      <c r="AO596">
        <v>0.02</v>
      </c>
      <c r="AP596">
        <v>3.2888999999999999</v>
      </c>
      <c r="AQ596">
        <v>3.3093806066996891E-2</v>
      </c>
      <c r="AS596">
        <v>1.3599999999999999E-2</v>
      </c>
      <c r="AT596">
        <v>1E-4</v>
      </c>
      <c r="AW596" s="28">
        <f t="shared" si="45"/>
        <v>1.5760166507278828</v>
      </c>
      <c r="AX596">
        <f t="shared" si="46"/>
        <v>0.88888888888888884</v>
      </c>
      <c r="AY596" s="62">
        <f t="shared" si="47"/>
        <v>1.4009036895358957</v>
      </c>
      <c r="AZ596" s="68" t="str">
        <f t="shared" si="48"/>
        <v>No</v>
      </c>
      <c r="BA596" s="68" t="str">
        <f t="shared" si="49"/>
        <v>No</v>
      </c>
    </row>
    <row r="597" spans="1:53" hidden="1">
      <c r="A597" t="s">
        <v>1815</v>
      </c>
      <c r="B597" t="s">
        <v>2274</v>
      </c>
      <c r="C597">
        <v>141</v>
      </c>
      <c r="F597" t="s">
        <v>1241</v>
      </c>
      <c r="G597" t="s">
        <v>1971</v>
      </c>
      <c r="I597">
        <v>2021</v>
      </c>
      <c r="N597" t="s">
        <v>36</v>
      </c>
      <c r="P597" t="s">
        <v>60</v>
      </c>
      <c r="Q597" t="s">
        <v>900</v>
      </c>
      <c r="R597" t="s">
        <v>888</v>
      </c>
      <c r="S597" t="s">
        <v>1990</v>
      </c>
      <c r="V597" t="s">
        <v>905</v>
      </c>
      <c r="Z597">
        <v>4</v>
      </c>
      <c r="AA597">
        <v>4</v>
      </c>
      <c r="AC597">
        <v>400</v>
      </c>
      <c r="AD597">
        <v>28.4</v>
      </c>
      <c r="AE597">
        <v>1087</v>
      </c>
      <c r="AF597">
        <v>28.5</v>
      </c>
      <c r="AG597" t="s">
        <v>3428</v>
      </c>
      <c r="AI597">
        <v>28.4</v>
      </c>
      <c r="AJ597" t="s">
        <v>2026</v>
      </c>
      <c r="AK597" t="s">
        <v>40</v>
      </c>
      <c r="AN597">
        <v>0.42320000000000002</v>
      </c>
      <c r="AO597">
        <v>6.7999999999999996E-3</v>
      </c>
      <c r="AP597">
        <v>0.39329999999999998</v>
      </c>
      <c r="AQ597">
        <v>8.2000000000000007E-3</v>
      </c>
      <c r="AS597">
        <v>-7.3300000000000004E-2</v>
      </c>
      <c r="AT597">
        <v>2.0000000000000001E-4</v>
      </c>
      <c r="AW597" s="28">
        <f t="shared" si="45"/>
        <v>-3.9694151469825063</v>
      </c>
      <c r="AX597">
        <f t="shared" si="46"/>
        <v>0.86956521739130432</v>
      </c>
      <c r="AY597" s="62">
        <f t="shared" si="47"/>
        <v>-3.4516653452021795</v>
      </c>
      <c r="AZ597" s="68" t="str">
        <f t="shared" si="48"/>
        <v>No</v>
      </c>
      <c r="BA597" s="68" t="str">
        <f t="shared" si="49"/>
        <v>No</v>
      </c>
    </row>
    <row r="598" spans="1:53" hidden="1">
      <c r="A598" t="s">
        <v>1815</v>
      </c>
      <c r="B598" t="s">
        <v>2301</v>
      </c>
      <c r="C598">
        <v>141</v>
      </c>
      <c r="F598" t="s">
        <v>1241</v>
      </c>
      <c r="G598" t="s">
        <v>1971</v>
      </c>
      <c r="I598">
        <v>2015</v>
      </c>
      <c r="N598" t="s">
        <v>36</v>
      </c>
      <c r="P598" t="s">
        <v>60</v>
      </c>
      <c r="Q598" t="s">
        <v>900</v>
      </c>
      <c r="R598" t="s">
        <v>888</v>
      </c>
      <c r="S598" t="s">
        <v>1990</v>
      </c>
      <c r="V598" t="s">
        <v>905</v>
      </c>
      <c r="Z598">
        <v>4</v>
      </c>
      <c r="AA598">
        <v>5</v>
      </c>
      <c r="AC598">
        <v>400</v>
      </c>
      <c r="AD598">
        <v>28.4</v>
      </c>
      <c r="AE598">
        <v>634</v>
      </c>
      <c r="AF598">
        <v>28.5</v>
      </c>
      <c r="AG598" t="s">
        <v>3428</v>
      </c>
      <c r="AI598">
        <v>28.4</v>
      </c>
      <c r="AJ598" t="s">
        <v>2026</v>
      </c>
      <c r="AK598" t="s">
        <v>40</v>
      </c>
      <c r="AN598">
        <v>0.42320000000000002</v>
      </c>
      <c r="AO598">
        <v>6.7999999999999996E-3</v>
      </c>
      <c r="AP598">
        <v>0.40620000000000001</v>
      </c>
      <c r="AQ598">
        <v>1.6770509831248424E-2</v>
      </c>
      <c r="AS598">
        <v>-4.1000000000000002E-2</v>
      </c>
      <c r="AT598">
        <v>4.0000000000000002E-4</v>
      </c>
      <c r="AW598" s="28">
        <f t="shared" si="45"/>
        <v>-1.2652388302724606</v>
      </c>
      <c r="AX598">
        <f t="shared" si="46"/>
        <v>0.88888888888888884</v>
      </c>
      <c r="AY598" s="62">
        <f t="shared" si="47"/>
        <v>-1.124656738019965</v>
      </c>
      <c r="AZ598" s="68" t="str">
        <f t="shared" si="48"/>
        <v>No</v>
      </c>
      <c r="BA598" s="68" t="str">
        <f t="shared" si="49"/>
        <v>No</v>
      </c>
    </row>
    <row r="599" spans="1:53" hidden="1">
      <c r="A599" t="s">
        <v>1815</v>
      </c>
      <c r="B599" t="s">
        <v>2425</v>
      </c>
      <c r="C599">
        <v>141</v>
      </c>
      <c r="F599" t="s">
        <v>1241</v>
      </c>
      <c r="G599" t="s">
        <v>1971</v>
      </c>
      <c r="I599">
        <v>2021</v>
      </c>
      <c r="N599" t="s">
        <v>36</v>
      </c>
      <c r="P599" t="s">
        <v>60</v>
      </c>
      <c r="Q599" t="s">
        <v>900</v>
      </c>
      <c r="R599" t="s">
        <v>888</v>
      </c>
      <c r="S599" t="s">
        <v>1990</v>
      </c>
      <c r="V599" t="s">
        <v>905</v>
      </c>
      <c r="Z599">
        <v>4</v>
      </c>
      <c r="AA599">
        <v>5</v>
      </c>
      <c r="AC599">
        <v>400</v>
      </c>
      <c r="AD599">
        <v>28.4</v>
      </c>
      <c r="AE599">
        <v>634</v>
      </c>
      <c r="AF599">
        <v>28.5</v>
      </c>
      <c r="AG599" t="s">
        <v>3428</v>
      </c>
      <c r="AI599">
        <v>28.4</v>
      </c>
      <c r="AJ599" t="s">
        <v>2049</v>
      </c>
      <c r="AK599" t="s">
        <v>59</v>
      </c>
      <c r="AN599">
        <v>46.698099999999997</v>
      </c>
      <c r="AO599">
        <v>9.0565999999999995</v>
      </c>
      <c r="AP599">
        <v>37.924500000000002</v>
      </c>
      <c r="AQ599">
        <v>6.9613268275523454</v>
      </c>
      <c r="AS599">
        <v>-0.20810000000000001</v>
      </c>
      <c r="AT599">
        <v>1.61E-2</v>
      </c>
      <c r="AW599" s="28">
        <f t="shared" si="45"/>
        <v>-1.1067429441088108</v>
      </c>
      <c r="AX599">
        <f t="shared" si="46"/>
        <v>0.88888888888888884</v>
      </c>
      <c r="AY599" s="62">
        <f t="shared" si="47"/>
        <v>-0.98377150587449846</v>
      </c>
      <c r="AZ599" s="68" t="str">
        <f t="shared" si="48"/>
        <v>No</v>
      </c>
      <c r="BA599" s="68" t="str">
        <f t="shared" si="49"/>
        <v>No</v>
      </c>
    </row>
    <row r="600" spans="1:53" hidden="1">
      <c r="A600" t="s">
        <v>1815</v>
      </c>
      <c r="B600" t="s">
        <v>2433</v>
      </c>
      <c r="C600">
        <v>141</v>
      </c>
      <c r="F600" t="s">
        <v>1241</v>
      </c>
      <c r="G600" t="s">
        <v>1971</v>
      </c>
      <c r="I600">
        <v>2018</v>
      </c>
      <c r="N600" t="s">
        <v>36</v>
      </c>
      <c r="P600" t="s">
        <v>60</v>
      </c>
      <c r="Q600" t="s">
        <v>900</v>
      </c>
      <c r="R600" t="s">
        <v>888</v>
      </c>
      <c r="S600" t="s">
        <v>1990</v>
      </c>
      <c r="V600" t="s">
        <v>905</v>
      </c>
      <c r="Z600">
        <v>4</v>
      </c>
      <c r="AA600">
        <v>4</v>
      </c>
      <c r="AC600">
        <v>400</v>
      </c>
      <c r="AD600">
        <v>28.4</v>
      </c>
      <c r="AE600">
        <v>1087</v>
      </c>
      <c r="AF600">
        <v>28.5</v>
      </c>
      <c r="AG600" t="s">
        <v>3428</v>
      </c>
      <c r="AI600">
        <v>28.4</v>
      </c>
      <c r="AJ600" t="s">
        <v>2049</v>
      </c>
      <c r="AK600" t="s">
        <v>59</v>
      </c>
      <c r="AN600">
        <v>46.698099999999997</v>
      </c>
      <c r="AO600">
        <v>9.0565999999999995</v>
      </c>
      <c r="AP600">
        <v>28.867899999999999</v>
      </c>
      <c r="AQ600">
        <v>7.9245999999999999</v>
      </c>
      <c r="AS600">
        <v>-0.48099999999999998</v>
      </c>
      <c r="AT600">
        <v>2.8199999999999999E-2</v>
      </c>
      <c r="AW600" s="28">
        <f t="shared" si="45"/>
        <v>-2.0953424356671198</v>
      </c>
      <c r="AX600">
        <f t="shared" si="46"/>
        <v>0.86956521739130432</v>
      </c>
      <c r="AY600" s="62">
        <f t="shared" si="47"/>
        <v>-1.822036900580104</v>
      </c>
      <c r="AZ600" s="68" t="str">
        <f t="shared" si="48"/>
        <v>No</v>
      </c>
      <c r="BA600" s="68" t="str">
        <f t="shared" si="49"/>
        <v>No</v>
      </c>
    </row>
    <row r="601" spans="1:53" hidden="1">
      <c r="A601" t="s">
        <v>1815</v>
      </c>
      <c r="B601" t="s">
        <v>2214</v>
      </c>
      <c r="C601">
        <v>141</v>
      </c>
      <c r="F601" t="s">
        <v>1241</v>
      </c>
      <c r="G601" t="s">
        <v>1971</v>
      </c>
      <c r="I601">
        <v>2014</v>
      </c>
      <c r="N601" t="s">
        <v>36</v>
      </c>
      <c r="P601" t="s">
        <v>60</v>
      </c>
      <c r="Q601" t="s">
        <v>900</v>
      </c>
      <c r="R601" t="s">
        <v>888</v>
      </c>
      <c r="S601" t="s">
        <v>1990</v>
      </c>
      <c r="V601" t="s">
        <v>907</v>
      </c>
      <c r="Z601">
        <v>4</v>
      </c>
      <c r="AA601">
        <v>4</v>
      </c>
      <c r="AC601">
        <v>400</v>
      </c>
      <c r="AD601">
        <v>28.4</v>
      </c>
      <c r="AE601">
        <v>411</v>
      </c>
      <c r="AF601">
        <v>29.8</v>
      </c>
      <c r="AG601" t="s">
        <v>3428</v>
      </c>
      <c r="AI601">
        <v>28.4</v>
      </c>
      <c r="AJ601" t="s">
        <v>2004</v>
      </c>
      <c r="AK601" t="s">
        <v>770</v>
      </c>
      <c r="AN601">
        <v>3.2444000000000002</v>
      </c>
      <c r="AO601">
        <v>0.02</v>
      </c>
      <c r="AP601">
        <v>3.1556000000000002</v>
      </c>
      <c r="AQ601">
        <v>2.9600000000000001E-2</v>
      </c>
      <c r="AS601">
        <v>-2.7799999999999998E-2</v>
      </c>
      <c r="AT601">
        <v>1E-4</v>
      </c>
      <c r="AW601" s="28">
        <f t="shared" si="45"/>
        <v>-3.5154052714684259</v>
      </c>
      <c r="AX601">
        <f t="shared" si="46"/>
        <v>0.86956521739130432</v>
      </c>
      <c r="AY601" s="62">
        <f t="shared" si="47"/>
        <v>-3.0568741491029789</v>
      </c>
      <c r="AZ601" s="68" t="str">
        <f t="shared" si="48"/>
        <v>No</v>
      </c>
      <c r="BA601" s="68" t="str">
        <f t="shared" si="49"/>
        <v>No</v>
      </c>
    </row>
    <row r="602" spans="1:53" hidden="1">
      <c r="A602" t="s">
        <v>1815</v>
      </c>
      <c r="B602" t="s">
        <v>2303</v>
      </c>
      <c r="C602">
        <v>141</v>
      </c>
      <c r="F602" t="s">
        <v>1241</v>
      </c>
      <c r="G602" t="s">
        <v>1971</v>
      </c>
      <c r="I602">
        <v>2014</v>
      </c>
      <c r="N602" t="s">
        <v>36</v>
      </c>
      <c r="P602" t="s">
        <v>60</v>
      </c>
      <c r="Q602" t="s">
        <v>900</v>
      </c>
      <c r="R602" t="s">
        <v>888</v>
      </c>
      <c r="S602" t="s">
        <v>1990</v>
      </c>
      <c r="V602" t="s">
        <v>907</v>
      </c>
      <c r="Z602">
        <v>4</v>
      </c>
      <c r="AA602">
        <v>4</v>
      </c>
      <c r="AC602">
        <v>400</v>
      </c>
      <c r="AD602">
        <v>28.4</v>
      </c>
      <c r="AE602">
        <v>411</v>
      </c>
      <c r="AF602">
        <v>29.8</v>
      </c>
      <c r="AG602" t="s">
        <v>3428</v>
      </c>
      <c r="AI602">
        <v>28.4</v>
      </c>
      <c r="AJ602" t="s">
        <v>2026</v>
      </c>
      <c r="AK602" t="s">
        <v>40</v>
      </c>
      <c r="AN602">
        <v>0.42320000000000002</v>
      </c>
      <c r="AO602">
        <v>6.7999999999999996E-3</v>
      </c>
      <c r="AP602">
        <v>0.40960000000000002</v>
      </c>
      <c r="AQ602">
        <v>1.6400000000000001E-2</v>
      </c>
      <c r="AS602">
        <v>-3.2599999999999997E-2</v>
      </c>
      <c r="AT602">
        <v>5.0000000000000001E-4</v>
      </c>
      <c r="AW602" s="28">
        <f t="shared" si="45"/>
        <v>-1.0833300793911824</v>
      </c>
      <c r="AX602">
        <f t="shared" si="46"/>
        <v>0.86956521739130432</v>
      </c>
      <c r="AY602" s="62">
        <f t="shared" si="47"/>
        <v>-0.94202615599233253</v>
      </c>
      <c r="AZ602" s="68" t="str">
        <f t="shared" si="48"/>
        <v>No</v>
      </c>
      <c r="BA602" s="68" t="str">
        <f t="shared" si="49"/>
        <v>No</v>
      </c>
    </row>
    <row r="603" spans="1:53" hidden="1">
      <c r="A603" t="s">
        <v>1815</v>
      </c>
      <c r="B603" t="s">
        <v>2448</v>
      </c>
      <c r="C603">
        <v>141</v>
      </c>
      <c r="F603" t="s">
        <v>1241</v>
      </c>
      <c r="G603" t="s">
        <v>1971</v>
      </c>
      <c r="I603">
        <v>2018</v>
      </c>
      <c r="N603" t="s">
        <v>36</v>
      </c>
      <c r="P603" t="s">
        <v>60</v>
      </c>
      <c r="Q603" t="s">
        <v>900</v>
      </c>
      <c r="R603" t="s">
        <v>888</v>
      </c>
      <c r="S603" t="s">
        <v>1990</v>
      </c>
      <c r="V603" t="s">
        <v>907</v>
      </c>
      <c r="Z603">
        <v>4</v>
      </c>
      <c r="AA603">
        <v>4</v>
      </c>
      <c r="AC603">
        <v>400</v>
      </c>
      <c r="AD603">
        <v>28.4</v>
      </c>
      <c r="AE603">
        <v>411</v>
      </c>
      <c r="AF603">
        <v>29.8</v>
      </c>
      <c r="AG603" t="s">
        <v>3428</v>
      </c>
      <c r="AI603">
        <v>28.4</v>
      </c>
      <c r="AJ603" t="s">
        <v>2049</v>
      </c>
      <c r="AK603" t="s">
        <v>59</v>
      </c>
      <c r="AN603">
        <v>46.698099999999997</v>
      </c>
      <c r="AO603">
        <v>9.0565999999999995</v>
      </c>
      <c r="AP603">
        <v>7.6414999999999997</v>
      </c>
      <c r="AQ603">
        <v>3.3961999999999999</v>
      </c>
      <c r="AS603">
        <v>-1.8101</v>
      </c>
      <c r="AT603">
        <v>5.8799999999999998E-2</v>
      </c>
      <c r="AW603" s="28">
        <f t="shared" si="45"/>
        <v>-5.7104876414353063</v>
      </c>
      <c r="AX603">
        <f t="shared" si="46"/>
        <v>0.86956521739130432</v>
      </c>
      <c r="AY603" s="62">
        <f t="shared" si="47"/>
        <v>-4.9656414273350489</v>
      </c>
      <c r="AZ603" s="68" t="str">
        <f t="shared" si="48"/>
        <v>No</v>
      </c>
      <c r="BA603" s="68" t="str">
        <f t="shared" si="49"/>
        <v>No</v>
      </c>
    </row>
    <row r="604" spans="1:53" hidden="1">
      <c r="A604" t="s">
        <v>1815</v>
      </c>
      <c r="B604" t="s">
        <v>2273</v>
      </c>
      <c r="C604">
        <v>141</v>
      </c>
      <c r="F604" t="s">
        <v>1241</v>
      </c>
      <c r="G604" t="s">
        <v>1971</v>
      </c>
      <c r="I604">
        <v>2019</v>
      </c>
      <c r="N604" t="s">
        <v>36</v>
      </c>
      <c r="P604" t="s">
        <v>60</v>
      </c>
      <c r="Q604" t="s">
        <v>900</v>
      </c>
      <c r="R604" t="s">
        <v>888</v>
      </c>
      <c r="S604" t="s">
        <v>1990</v>
      </c>
      <c r="V604" t="s">
        <v>1015</v>
      </c>
      <c r="Z604">
        <v>4</v>
      </c>
      <c r="AA604">
        <v>4</v>
      </c>
      <c r="AC604">
        <v>400</v>
      </c>
      <c r="AD604">
        <v>28.4</v>
      </c>
      <c r="AE604">
        <v>1126</v>
      </c>
      <c r="AF604">
        <v>29.8</v>
      </c>
      <c r="AG604" t="s">
        <v>3428</v>
      </c>
      <c r="AI604">
        <v>28.4</v>
      </c>
      <c r="AJ604" t="s">
        <v>2004</v>
      </c>
      <c r="AK604" t="s">
        <v>770</v>
      </c>
      <c r="AN604">
        <v>3.2444000000000002</v>
      </c>
      <c r="AO604">
        <v>0.02</v>
      </c>
      <c r="AP604">
        <v>3.0295999999999998</v>
      </c>
      <c r="AQ604">
        <v>7.3999999999999996E-2</v>
      </c>
      <c r="AS604">
        <v>-6.8500000000000005E-2</v>
      </c>
      <c r="AT604">
        <v>2.0000000000000001E-4</v>
      </c>
      <c r="AW604" s="28">
        <f t="shared" si="45"/>
        <v>-3.9628568196323708</v>
      </c>
      <c r="AX604">
        <f t="shared" si="46"/>
        <v>0.86956521739130432</v>
      </c>
      <c r="AY604" s="62">
        <f t="shared" si="47"/>
        <v>-3.4459624518542356</v>
      </c>
      <c r="AZ604" s="68" t="str">
        <f t="shared" si="48"/>
        <v>No</v>
      </c>
      <c r="BA604" s="68" t="str">
        <f t="shared" si="49"/>
        <v>No</v>
      </c>
    </row>
    <row r="605" spans="1:53" hidden="1">
      <c r="A605" t="s">
        <v>1815</v>
      </c>
      <c r="B605" t="s">
        <v>2306</v>
      </c>
      <c r="C605">
        <v>141</v>
      </c>
      <c r="F605" t="s">
        <v>1241</v>
      </c>
      <c r="G605" t="s">
        <v>1971</v>
      </c>
      <c r="I605">
        <v>2020</v>
      </c>
      <c r="N605" t="s">
        <v>36</v>
      </c>
      <c r="P605" t="s">
        <v>60</v>
      </c>
      <c r="Q605" t="s">
        <v>900</v>
      </c>
      <c r="R605" t="s">
        <v>888</v>
      </c>
      <c r="S605" t="s">
        <v>1990</v>
      </c>
      <c r="V605" t="s">
        <v>1015</v>
      </c>
      <c r="Z605">
        <v>4</v>
      </c>
      <c r="AA605">
        <v>4</v>
      </c>
      <c r="AC605">
        <v>400</v>
      </c>
      <c r="AD605">
        <v>28.4</v>
      </c>
      <c r="AE605">
        <v>1126</v>
      </c>
      <c r="AF605">
        <v>29.8</v>
      </c>
      <c r="AG605" t="s">
        <v>3428</v>
      </c>
      <c r="AI605">
        <v>28.4</v>
      </c>
      <c r="AJ605" t="s">
        <v>2026</v>
      </c>
      <c r="AK605" t="s">
        <v>40</v>
      </c>
      <c r="AN605">
        <v>0.42320000000000002</v>
      </c>
      <c r="AO605">
        <v>6.7999999999999996E-3</v>
      </c>
      <c r="AP605">
        <v>0.3967</v>
      </c>
      <c r="AQ605">
        <v>1.6400000000000001E-2</v>
      </c>
      <c r="AS605">
        <v>-6.4699999999999994E-2</v>
      </c>
      <c r="AT605">
        <v>5.0000000000000001E-4</v>
      </c>
      <c r="AW605" s="28">
        <f t="shared" si="45"/>
        <v>-2.1109005223431145</v>
      </c>
      <c r="AX605">
        <f t="shared" si="46"/>
        <v>0.86956521739130432</v>
      </c>
      <c r="AY605" s="62">
        <f t="shared" si="47"/>
        <v>-1.8355656716027082</v>
      </c>
      <c r="AZ605" s="68" t="str">
        <f t="shared" si="48"/>
        <v>No</v>
      </c>
      <c r="BA605" s="68" t="str">
        <f t="shared" si="49"/>
        <v>No</v>
      </c>
    </row>
    <row r="606" spans="1:53" hidden="1">
      <c r="A606" t="s">
        <v>1815</v>
      </c>
      <c r="B606" t="s">
        <v>2446</v>
      </c>
      <c r="C606">
        <v>141</v>
      </c>
      <c r="F606" t="s">
        <v>1241</v>
      </c>
      <c r="G606" t="s">
        <v>1971</v>
      </c>
      <c r="I606">
        <v>2018</v>
      </c>
      <c r="N606" t="s">
        <v>36</v>
      </c>
      <c r="P606" t="s">
        <v>60</v>
      </c>
      <c r="Q606" t="s">
        <v>900</v>
      </c>
      <c r="R606" t="s">
        <v>888</v>
      </c>
      <c r="S606" t="s">
        <v>1990</v>
      </c>
      <c r="V606" t="s">
        <v>1015</v>
      </c>
      <c r="Z606">
        <v>4</v>
      </c>
      <c r="AA606">
        <v>4</v>
      </c>
      <c r="AC606">
        <v>400</v>
      </c>
      <c r="AD606">
        <v>28.4</v>
      </c>
      <c r="AE606">
        <v>1126</v>
      </c>
      <c r="AF606">
        <v>29.8</v>
      </c>
      <c r="AG606" t="s">
        <v>3428</v>
      </c>
      <c r="AI606">
        <v>28.4</v>
      </c>
      <c r="AJ606" t="s">
        <v>2049</v>
      </c>
      <c r="AK606" t="s">
        <v>59</v>
      </c>
      <c r="AN606">
        <v>46.698099999999997</v>
      </c>
      <c r="AO606">
        <v>9.0565999999999995</v>
      </c>
      <c r="AP606">
        <v>7.9245000000000001</v>
      </c>
      <c r="AQ606">
        <v>3.3961999999999999</v>
      </c>
      <c r="AS606">
        <v>-1.7737000000000001</v>
      </c>
      <c r="AT606">
        <v>5.5300000000000002E-2</v>
      </c>
      <c r="AW606" s="28">
        <f t="shared" si="45"/>
        <v>-5.669110050899361</v>
      </c>
      <c r="AX606">
        <f t="shared" si="46"/>
        <v>0.86956521739130432</v>
      </c>
      <c r="AY606" s="62">
        <f t="shared" si="47"/>
        <v>-4.929660913825531</v>
      </c>
      <c r="AZ606" s="68" t="str">
        <f t="shared" si="48"/>
        <v>No</v>
      </c>
      <c r="BA606" s="68" t="str">
        <f t="shared" si="49"/>
        <v>No</v>
      </c>
    </row>
    <row r="607" spans="1:53" hidden="1">
      <c r="A607" t="s">
        <v>1815</v>
      </c>
      <c r="B607" t="s">
        <v>2751</v>
      </c>
      <c r="C607">
        <v>99</v>
      </c>
      <c r="F607" t="s">
        <v>1241</v>
      </c>
      <c r="G607" t="s">
        <v>1714</v>
      </c>
      <c r="I607">
        <v>2019</v>
      </c>
      <c r="N607" t="s">
        <v>36</v>
      </c>
      <c r="P607" t="s">
        <v>60</v>
      </c>
      <c r="Q607" t="s">
        <v>900</v>
      </c>
      <c r="R607" t="s">
        <v>946</v>
      </c>
      <c r="S607" t="s">
        <v>950</v>
      </c>
      <c r="V607" t="s">
        <v>905</v>
      </c>
      <c r="Z607">
        <v>5</v>
      </c>
      <c r="AA607">
        <v>5</v>
      </c>
      <c r="AC607">
        <v>491</v>
      </c>
      <c r="AD607">
        <v>24.4</v>
      </c>
      <c r="AE607">
        <v>1583</v>
      </c>
      <c r="AF607">
        <v>24.5</v>
      </c>
      <c r="AG607" t="s">
        <v>3365</v>
      </c>
      <c r="AH607">
        <v>3.199480914862356</v>
      </c>
      <c r="AI607">
        <v>24.4</v>
      </c>
      <c r="AJ607" t="s">
        <v>1808</v>
      </c>
      <c r="AK607" t="s">
        <v>40</v>
      </c>
      <c r="AM607"/>
      <c r="AN607">
        <v>714.77</v>
      </c>
      <c r="AO607">
        <v>60.038425195869358</v>
      </c>
      <c r="AP607">
        <v>597.32000000000005</v>
      </c>
      <c r="AQ607">
        <v>75.042441324892948</v>
      </c>
      <c r="AS607">
        <v>-0.18</v>
      </c>
      <c r="AT607">
        <v>4.5999999999999999E-3</v>
      </c>
      <c r="AW607" s="28">
        <f t="shared" si="45"/>
        <v>-1.7283293906417621</v>
      </c>
      <c r="AX607">
        <f t="shared" si="46"/>
        <v>0.90322580645161288</v>
      </c>
      <c r="AY607" s="62">
        <f t="shared" si="47"/>
        <v>-1.5610717076764302</v>
      </c>
      <c r="AZ607" s="68" t="str">
        <f t="shared" si="48"/>
        <v>No</v>
      </c>
      <c r="BA607" s="68" t="str">
        <f t="shared" si="49"/>
        <v>No</v>
      </c>
    </row>
    <row r="608" spans="1:53" hidden="1">
      <c r="A608" t="s">
        <v>1815</v>
      </c>
      <c r="B608" t="s">
        <v>2752</v>
      </c>
      <c r="C608">
        <v>99</v>
      </c>
      <c r="F608" t="s">
        <v>1241</v>
      </c>
      <c r="G608" t="s">
        <v>1714</v>
      </c>
      <c r="I608">
        <v>2019</v>
      </c>
      <c r="N608" t="s">
        <v>36</v>
      </c>
      <c r="P608" t="s">
        <v>60</v>
      </c>
      <c r="Q608" t="s">
        <v>900</v>
      </c>
      <c r="R608" t="s">
        <v>946</v>
      </c>
      <c r="S608" t="s">
        <v>950</v>
      </c>
      <c r="V608" t="s">
        <v>905</v>
      </c>
      <c r="Z608">
        <v>7</v>
      </c>
      <c r="AA608">
        <v>7</v>
      </c>
      <c r="AC608">
        <v>491</v>
      </c>
      <c r="AD608">
        <v>24.4</v>
      </c>
      <c r="AE608">
        <v>1583</v>
      </c>
      <c r="AF608">
        <v>24.5</v>
      </c>
      <c r="AG608" t="s">
        <v>3365</v>
      </c>
      <c r="AH608">
        <v>3.199480914862356</v>
      </c>
      <c r="AI608">
        <v>24.4</v>
      </c>
      <c r="AJ608" t="s">
        <v>69</v>
      </c>
      <c r="AK608" t="s">
        <v>69</v>
      </c>
      <c r="AM608"/>
      <c r="AN608">
        <v>20.73</v>
      </c>
      <c r="AO608">
        <v>12.22337105711841</v>
      </c>
      <c r="AP608">
        <v>19.93</v>
      </c>
      <c r="AQ608">
        <v>17.805906323464697</v>
      </c>
      <c r="AS608">
        <v>-3.9E-2</v>
      </c>
      <c r="AT608">
        <v>0.1638</v>
      </c>
      <c r="AW608" s="28">
        <f t="shared" si="45"/>
        <v>-5.2383832466590396E-2</v>
      </c>
      <c r="AX608">
        <f t="shared" si="46"/>
        <v>0.93617021276595747</v>
      </c>
      <c r="AY608" s="62">
        <f t="shared" si="47"/>
        <v>-4.9040183585744204E-2</v>
      </c>
      <c r="AZ608" s="68" t="str">
        <f t="shared" si="48"/>
        <v>No</v>
      </c>
      <c r="BA608" s="68" t="str">
        <f t="shared" si="49"/>
        <v>No</v>
      </c>
    </row>
    <row r="609" spans="1:53" hidden="1">
      <c r="A609" t="s">
        <v>1815</v>
      </c>
      <c r="B609" t="s">
        <v>2753</v>
      </c>
      <c r="C609">
        <v>99</v>
      </c>
      <c r="F609" t="s">
        <v>1241</v>
      </c>
      <c r="G609" t="s">
        <v>1714</v>
      </c>
      <c r="I609">
        <v>2019</v>
      </c>
      <c r="N609" t="s">
        <v>36</v>
      </c>
      <c r="P609" t="s">
        <v>60</v>
      </c>
      <c r="Q609" t="s">
        <v>900</v>
      </c>
      <c r="R609" t="s">
        <v>946</v>
      </c>
      <c r="S609" t="s">
        <v>950</v>
      </c>
      <c r="V609" t="s">
        <v>905</v>
      </c>
      <c r="Z609">
        <v>5</v>
      </c>
      <c r="AA609">
        <v>5</v>
      </c>
      <c r="AC609">
        <v>491</v>
      </c>
      <c r="AD609">
        <v>24.4</v>
      </c>
      <c r="AE609">
        <v>930</v>
      </c>
      <c r="AF609">
        <v>24.3</v>
      </c>
      <c r="AG609" t="s">
        <v>3365</v>
      </c>
      <c r="AH609">
        <v>2.9684829485539352</v>
      </c>
      <c r="AI609">
        <v>24.4</v>
      </c>
      <c r="AJ609" t="s">
        <v>1808</v>
      </c>
      <c r="AK609" t="s">
        <v>40</v>
      </c>
      <c r="AM609"/>
      <c r="AN609">
        <v>714.77</v>
      </c>
      <c r="AO609">
        <v>60.038425195869358</v>
      </c>
      <c r="AP609">
        <v>691.28</v>
      </c>
      <c r="AQ609">
        <v>45.012048387070763</v>
      </c>
      <c r="AS609">
        <v>-3.3000000000000002E-2</v>
      </c>
      <c r="AT609">
        <v>2.3E-3</v>
      </c>
      <c r="AW609" s="28">
        <f t="shared" si="45"/>
        <v>-0.44270755736365286</v>
      </c>
      <c r="AX609">
        <f t="shared" si="46"/>
        <v>0.90322580645161288</v>
      </c>
      <c r="AY609" s="62">
        <f t="shared" si="47"/>
        <v>-0.39986489052200902</v>
      </c>
      <c r="AZ609" s="68" t="str">
        <f t="shared" si="48"/>
        <v>No</v>
      </c>
      <c r="BA609" s="68" t="str">
        <f t="shared" si="49"/>
        <v>No</v>
      </c>
    </row>
    <row r="610" spans="1:53" hidden="1">
      <c r="A610" t="s">
        <v>1815</v>
      </c>
      <c r="B610" t="s">
        <v>2755</v>
      </c>
      <c r="C610">
        <v>99</v>
      </c>
      <c r="F610" t="s">
        <v>1241</v>
      </c>
      <c r="G610" t="s">
        <v>1714</v>
      </c>
      <c r="I610">
        <v>2019</v>
      </c>
      <c r="N610" t="s">
        <v>36</v>
      </c>
      <c r="P610" t="s">
        <v>60</v>
      </c>
      <c r="Q610" t="s">
        <v>900</v>
      </c>
      <c r="R610" t="s">
        <v>946</v>
      </c>
      <c r="S610" t="s">
        <v>950</v>
      </c>
      <c r="V610" t="s">
        <v>905</v>
      </c>
      <c r="Z610">
        <v>7</v>
      </c>
      <c r="AA610">
        <v>7</v>
      </c>
      <c r="AC610">
        <v>491</v>
      </c>
      <c r="AD610">
        <v>24.4</v>
      </c>
      <c r="AE610">
        <v>930</v>
      </c>
      <c r="AF610">
        <v>24.3</v>
      </c>
      <c r="AG610" t="s">
        <v>3365</v>
      </c>
      <c r="AH610">
        <v>2.9684829485539352</v>
      </c>
      <c r="AI610">
        <v>24.4</v>
      </c>
      <c r="AJ610" t="s">
        <v>1791</v>
      </c>
      <c r="AK610" t="s">
        <v>770</v>
      </c>
      <c r="AM610"/>
      <c r="AN610">
        <v>38.18</v>
      </c>
      <c r="AO610">
        <v>21.298298054069956</v>
      </c>
      <c r="AP610">
        <v>38.18</v>
      </c>
      <c r="AQ610">
        <v>8.942639431398316</v>
      </c>
      <c r="AS610">
        <v>0</v>
      </c>
      <c r="AT610">
        <v>5.2299999999999999E-2</v>
      </c>
      <c r="AW610" s="28">
        <f t="shared" si="45"/>
        <v>0</v>
      </c>
      <c r="AX610">
        <f t="shared" si="46"/>
        <v>0.93617021276595747</v>
      </c>
      <c r="AY610" s="62">
        <f t="shared" si="47"/>
        <v>0</v>
      </c>
      <c r="AZ610" s="68" t="str">
        <f t="shared" si="48"/>
        <v>No</v>
      </c>
      <c r="BA610" s="68" t="str">
        <f t="shared" si="49"/>
        <v>No</v>
      </c>
    </row>
    <row r="611" spans="1:53" hidden="1">
      <c r="A611" t="s">
        <v>1815</v>
      </c>
      <c r="B611" t="s">
        <v>2756</v>
      </c>
      <c r="C611">
        <v>99</v>
      </c>
      <c r="F611" t="s">
        <v>1241</v>
      </c>
      <c r="G611" t="s">
        <v>1714</v>
      </c>
      <c r="I611">
        <v>2019</v>
      </c>
      <c r="N611" t="s">
        <v>36</v>
      </c>
      <c r="P611" t="s">
        <v>60</v>
      </c>
      <c r="Q611" t="s">
        <v>900</v>
      </c>
      <c r="R611" t="s">
        <v>946</v>
      </c>
      <c r="S611" t="s">
        <v>950</v>
      </c>
      <c r="V611" t="s">
        <v>905</v>
      </c>
      <c r="Z611">
        <v>7</v>
      </c>
      <c r="AA611">
        <v>7</v>
      </c>
      <c r="AC611">
        <v>491</v>
      </c>
      <c r="AD611">
        <v>24.4</v>
      </c>
      <c r="AE611">
        <v>1583</v>
      </c>
      <c r="AF611">
        <v>24.5</v>
      </c>
      <c r="AG611" t="s">
        <v>3365</v>
      </c>
      <c r="AH611">
        <v>3.199480914862356</v>
      </c>
      <c r="AI611">
        <v>24.4</v>
      </c>
      <c r="AJ611" t="s">
        <v>1791</v>
      </c>
      <c r="AK611" t="s">
        <v>770</v>
      </c>
      <c r="AM611"/>
      <c r="AN611">
        <v>38.18</v>
      </c>
      <c r="AO611">
        <v>21.298298054069956</v>
      </c>
      <c r="AP611">
        <v>39.74</v>
      </c>
      <c r="AQ611">
        <v>14.41934464530202</v>
      </c>
      <c r="AS611">
        <v>0.04</v>
      </c>
      <c r="AT611">
        <v>6.3299999999999995E-2</v>
      </c>
      <c r="AW611" s="28">
        <f t="shared" si="45"/>
        <v>8.5775485116888664E-2</v>
      </c>
      <c r="AX611">
        <f t="shared" si="46"/>
        <v>0.93617021276595747</v>
      </c>
      <c r="AY611" s="62">
        <f t="shared" si="47"/>
        <v>8.030045415198088E-2</v>
      </c>
      <c r="AZ611" s="68" t="str">
        <f t="shared" si="48"/>
        <v>No</v>
      </c>
      <c r="BA611" s="68" t="str">
        <f t="shared" si="49"/>
        <v>No</v>
      </c>
    </row>
    <row r="612" spans="1:53" hidden="1">
      <c r="A612" t="s">
        <v>1815</v>
      </c>
      <c r="B612" t="s">
        <v>2758</v>
      </c>
      <c r="C612">
        <v>99</v>
      </c>
      <c r="F612" t="s">
        <v>1241</v>
      </c>
      <c r="G612" t="s">
        <v>1714</v>
      </c>
      <c r="I612">
        <v>2019</v>
      </c>
      <c r="N612" t="s">
        <v>36</v>
      </c>
      <c r="P612" t="s">
        <v>60</v>
      </c>
      <c r="Q612" t="s">
        <v>900</v>
      </c>
      <c r="R612" t="s">
        <v>946</v>
      </c>
      <c r="S612" t="s">
        <v>950</v>
      </c>
      <c r="V612" t="s">
        <v>905</v>
      </c>
      <c r="Z612">
        <v>7</v>
      </c>
      <c r="AA612">
        <v>7</v>
      </c>
      <c r="AC612">
        <v>491</v>
      </c>
      <c r="AD612">
        <v>24.4</v>
      </c>
      <c r="AE612">
        <v>930</v>
      </c>
      <c r="AF612">
        <v>24.3</v>
      </c>
      <c r="AG612" t="s">
        <v>3365</v>
      </c>
      <c r="AH612">
        <v>2.9684829485539352</v>
      </c>
      <c r="AI612">
        <v>24.4</v>
      </c>
      <c r="AJ612" t="s">
        <v>69</v>
      </c>
      <c r="AK612" t="s">
        <v>69</v>
      </c>
      <c r="AM612"/>
      <c r="AN612">
        <v>20.73</v>
      </c>
      <c r="AO612">
        <v>12.22337105711841</v>
      </c>
      <c r="AP612">
        <v>24.95</v>
      </c>
      <c r="AQ612">
        <v>15.027867446846875</v>
      </c>
      <c r="AS612">
        <v>0.186</v>
      </c>
      <c r="AT612">
        <v>0.10150000000000001</v>
      </c>
      <c r="AW612" s="28">
        <f t="shared" si="45"/>
        <v>0.30808353382877196</v>
      </c>
      <c r="AX612">
        <f t="shared" si="46"/>
        <v>0.93617021276595747</v>
      </c>
      <c r="AY612" s="62">
        <f t="shared" si="47"/>
        <v>0.28841862741416951</v>
      </c>
      <c r="AZ612" s="68" t="str">
        <f t="shared" si="48"/>
        <v>No</v>
      </c>
      <c r="BA612" s="68" t="str">
        <f t="shared" si="49"/>
        <v>No</v>
      </c>
    </row>
    <row r="613" spans="1:53" hidden="1">
      <c r="A613" t="s">
        <v>1815</v>
      </c>
      <c r="B613" t="s">
        <v>2760</v>
      </c>
      <c r="C613">
        <v>99</v>
      </c>
      <c r="F613" t="s">
        <v>1241</v>
      </c>
      <c r="G613" t="s">
        <v>1714</v>
      </c>
      <c r="I613">
        <v>2019</v>
      </c>
      <c r="N613" t="s">
        <v>36</v>
      </c>
      <c r="P613" t="s">
        <v>60</v>
      </c>
      <c r="Q613" t="s">
        <v>900</v>
      </c>
      <c r="R613" t="s">
        <v>946</v>
      </c>
      <c r="S613" t="s">
        <v>950</v>
      </c>
      <c r="V613" t="s">
        <v>905</v>
      </c>
      <c r="Z613">
        <v>5</v>
      </c>
      <c r="AA613">
        <v>5</v>
      </c>
      <c r="AC613">
        <v>491</v>
      </c>
      <c r="AD613">
        <v>24.4</v>
      </c>
      <c r="AE613">
        <v>1583</v>
      </c>
      <c r="AF613">
        <v>24.5</v>
      </c>
      <c r="AG613" t="s">
        <v>3365</v>
      </c>
      <c r="AH613">
        <v>3.199480914862356</v>
      </c>
      <c r="AI613">
        <v>24.4</v>
      </c>
      <c r="AJ613" t="s">
        <v>1790</v>
      </c>
      <c r="AK613" t="s">
        <v>770</v>
      </c>
      <c r="AM613"/>
      <c r="AN613">
        <v>55.27</v>
      </c>
      <c r="AO613">
        <v>20.817792870523043</v>
      </c>
      <c r="AP613">
        <v>43.35</v>
      </c>
      <c r="AQ613">
        <v>96.933546824615888</v>
      </c>
      <c r="AS613">
        <v>0.23599999999999999</v>
      </c>
      <c r="AT613">
        <v>0.62870000000000004</v>
      </c>
      <c r="AW613" s="28">
        <f t="shared" si="45"/>
        <v>-0.17003005463527701</v>
      </c>
      <c r="AX613">
        <f t="shared" si="46"/>
        <v>0.90322580645161288</v>
      </c>
      <c r="AY613" s="62">
        <f t="shared" si="47"/>
        <v>-0.15357553321895986</v>
      </c>
      <c r="AZ613" s="68" t="str">
        <f t="shared" si="48"/>
        <v>No</v>
      </c>
      <c r="BA613" s="68" t="str">
        <f t="shared" si="49"/>
        <v>No</v>
      </c>
    </row>
    <row r="614" spans="1:53" hidden="1">
      <c r="A614" t="s">
        <v>1815</v>
      </c>
      <c r="B614" t="s">
        <v>2762</v>
      </c>
      <c r="C614">
        <v>99</v>
      </c>
      <c r="F614" t="s">
        <v>1241</v>
      </c>
      <c r="G614" t="s">
        <v>1714</v>
      </c>
      <c r="I614">
        <v>2013</v>
      </c>
      <c r="N614" t="s">
        <v>36</v>
      </c>
      <c r="P614" t="s">
        <v>60</v>
      </c>
      <c r="Q614" t="s">
        <v>900</v>
      </c>
      <c r="R614" t="s">
        <v>946</v>
      </c>
      <c r="S614" t="s">
        <v>950</v>
      </c>
      <c r="V614" t="s">
        <v>905</v>
      </c>
      <c r="Z614">
        <v>5</v>
      </c>
      <c r="AA614">
        <v>5</v>
      </c>
      <c r="AC614">
        <v>491</v>
      </c>
      <c r="AD614">
        <v>24.4</v>
      </c>
      <c r="AE614">
        <v>930</v>
      </c>
      <c r="AF614">
        <v>24.3</v>
      </c>
      <c r="AG614" t="s">
        <v>3365</v>
      </c>
      <c r="AH614">
        <v>2.9684829485539352</v>
      </c>
      <c r="AI614">
        <v>24.4</v>
      </c>
      <c r="AJ614" t="s">
        <v>1790</v>
      </c>
      <c r="AK614" t="s">
        <v>770</v>
      </c>
      <c r="AM614"/>
      <c r="AN614">
        <v>55.27</v>
      </c>
      <c r="AO614">
        <v>20.817792870523043</v>
      </c>
      <c r="AP614">
        <v>38.979999999999997</v>
      </c>
      <c r="AQ614">
        <v>87.161929762941796</v>
      </c>
      <c r="AS614">
        <v>0.311</v>
      </c>
      <c r="AT614">
        <v>0.45150000000000001</v>
      </c>
      <c r="AW614" s="28">
        <f t="shared" si="45"/>
        <v>-0.25707660630454582</v>
      </c>
      <c r="AX614">
        <f t="shared" si="46"/>
        <v>0.90322580645161288</v>
      </c>
      <c r="AY614" s="62">
        <f t="shared" si="47"/>
        <v>-0.23219822504926718</v>
      </c>
      <c r="AZ614" s="68" t="str">
        <f t="shared" si="48"/>
        <v>No</v>
      </c>
      <c r="BA614" s="68" t="str">
        <f t="shared" si="49"/>
        <v>No</v>
      </c>
    </row>
    <row r="615" spans="1:53" hidden="1">
      <c r="A615" t="s">
        <v>1815</v>
      </c>
      <c r="B615" t="s">
        <v>2754</v>
      </c>
      <c r="C615">
        <v>99</v>
      </c>
      <c r="F615" t="s">
        <v>1241</v>
      </c>
      <c r="G615" t="s">
        <v>1714</v>
      </c>
      <c r="I615">
        <v>2019</v>
      </c>
      <c r="N615" t="s">
        <v>36</v>
      </c>
      <c r="P615" t="s">
        <v>60</v>
      </c>
      <c r="Q615" t="s">
        <v>900</v>
      </c>
      <c r="R615" t="s">
        <v>946</v>
      </c>
      <c r="S615" t="s">
        <v>950</v>
      </c>
      <c r="V615" t="s">
        <v>907</v>
      </c>
      <c r="Z615">
        <v>7</v>
      </c>
      <c r="AA615">
        <v>7</v>
      </c>
      <c r="AC615">
        <v>491</v>
      </c>
      <c r="AD615">
        <v>24.4</v>
      </c>
      <c r="AE615">
        <v>513</v>
      </c>
      <c r="AF615">
        <v>26.8</v>
      </c>
      <c r="AG615" t="s">
        <v>3365</v>
      </c>
      <c r="AH615">
        <v>2.7101173651118162</v>
      </c>
      <c r="AI615">
        <v>24.4</v>
      </c>
      <c r="AJ615" t="s">
        <v>69</v>
      </c>
      <c r="AK615" t="s">
        <v>69</v>
      </c>
      <c r="AM615"/>
      <c r="AN615">
        <v>20.73</v>
      </c>
      <c r="AO615">
        <v>12.22337105711841</v>
      </c>
      <c r="AP615">
        <v>20.46</v>
      </c>
      <c r="AQ615">
        <v>15.715762787723669</v>
      </c>
      <c r="AS615">
        <v>-1.2999999999999999E-2</v>
      </c>
      <c r="AT615">
        <v>0.13400000000000001</v>
      </c>
      <c r="AW615" s="28">
        <f t="shared" si="45"/>
        <v>-1.9178477629302054E-2</v>
      </c>
      <c r="AX615">
        <f t="shared" si="46"/>
        <v>0.93617021276595747</v>
      </c>
      <c r="AY615" s="62">
        <f t="shared" si="47"/>
        <v>-1.795431948275086E-2</v>
      </c>
      <c r="AZ615" s="68" t="str">
        <f t="shared" si="48"/>
        <v>No</v>
      </c>
      <c r="BA615" s="68" t="str">
        <f t="shared" si="49"/>
        <v>No</v>
      </c>
    </row>
    <row r="616" spans="1:53" hidden="1">
      <c r="A616" t="s">
        <v>1815</v>
      </c>
      <c r="B616" t="s">
        <v>2757</v>
      </c>
      <c r="C616">
        <v>99</v>
      </c>
      <c r="F616" t="s">
        <v>1241</v>
      </c>
      <c r="G616" t="s">
        <v>1714</v>
      </c>
      <c r="I616">
        <v>2019</v>
      </c>
      <c r="N616" t="s">
        <v>36</v>
      </c>
      <c r="P616" t="s">
        <v>60</v>
      </c>
      <c r="Q616" t="s">
        <v>900</v>
      </c>
      <c r="R616" t="s">
        <v>946</v>
      </c>
      <c r="S616" t="s">
        <v>950</v>
      </c>
      <c r="V616" t="s">
        <v>907</v>
      </c>
      <c r="Z616">
        <v>5</v>
      </c>
      <c r="AA616">
        <v>5</v>
      </c>
      <c r="AC616">
        <v>491</v>
      </c>
      <c r="AD616">
        <v>24.4</v>
      </c>
      <c r="AE616">
        <v>513</v>
      </c>
      <c r="AF616">
        <v>26.8</v>
      </c>
      <c r="AG616" t="s">
        <v>3365</v>
      </c>
      <c r="AH616">
        <v>2.7101173651118162</v>
      </c>
      <c r="AI616">
        <v>24.4</v>
      </c>
      <c r="AJ616" t="s">
        <v>1808</v>
      </c>
      <c r="AK616" t="s">
        <v>40</v>
      </c>
      <c r="AM616"/>
      <c r="AN616">
        <v>714.77</v>
      </c>
      <c r="AO616">
        <v>60.038425195869358</v>
      </c>
      <c r="AP616">
        <v>761.74</v>
      </c>
      <c r="AQ616">
        <v>127.567678116363</v>
      </c>
      <c r="AS616">
        <v>6.4000000000000001E-2</v>
      </c>
      <c r="AT616">
        <v>7.0000000000000001E-3</v>
      </c>
      <c r="AW616" s="28">
        <f t="shared" si="45"/>
        <v>0.4711376912325998</v>
      </c>
      <c r="AX616">
        <f t="shared" si="46"/>
        <v>0.90322580645161288</v>
      </c>
      <c r="AY616" s="62">
        <f t="shared" si="47"/>
        <v>0.42554372111331595</v>
      </c>
      <c r="AZ616" s="68" t="str">
        <f t="shared" si="48"/>
        <v>No</v>
      </c>
      <c r="BA616" s="68" t="str">
        <f t="shared" si="49"/>
        <v>No</v>
      </c>
    </row>
    <row r="617" spans="1:53" hidden="1">
      <c r="A617" t="s">
        <v>1815</v>
      </c>
      <c r="B617" t="s">
        <v>2759</v>
      </c>
      <c r="C617">
        <v>99</v>
      </c>
      <c r="F617" t="s">
        <v>1241</v>
      </c>
      <c r="G617" t="s">
        <v>1714</v>
      </c>
      <c r="I617">
        <v>2019</v>
      </c>
      <c r="N617" t="s">
        <v>36</v>
      </c>
      <c r="P617" t="s">
        <v>60</v>
      </c>
      <c r="Q617" t="s">
        <v>900</v>
      </c>
      <c r="R617" t="s">
        <v>946</v>
      </c>
      <c r="S617" t="s">
        <v>950</v>
      </c>
      <c r="V617" t="s">
        <v>907</v>
      </c>
      <c r="Z617">
        <v>7</v>
      </c>
      <c r="AA617">
        <v>7</v>
      </c>
      <c r="AC617">
        <v>491</v>
      </c>
      <c r="AD617">
        <v>24.4</v>
      </c>
      <c r="AE617">
        <v>513</v>
      </c>
      <c r="AF617">
        <v>26.8</v>
      </c>
      <c r="AG617" t="s">
        <v>3365</v>
      </c>
      <c r="AH617">
        <v>2.7101173651118162</v>
      </c>
      <c r="AI617">
        <v>24.4</v>
      </c>
      <c r="AJ617" t="s">
        <v>1791</v>
      </c>
      <c r="AK617" t="s">
        <v>770</v>
      </c>
      <c r="AM617"/>
      <c r="AN617">
        <v>38.18</v>
      </c>
      <c r="AO617">
        <v>21.298298054069956</v>
      </c>
      <c r="AP617">
        <v>48.31</v>
      </c>
      <c r="AQ617">
        <v>13.731449304425228</v>
      </c>
      <c r="AS617">
        <v>0.23499999999999999</v>
      </c>
      <c r="AT617">
        <v>5.6000000000000001E-2</v>
      </c>
      <c r="AW617" s="28">
        <f t="shared" si="45"/>
        <v>0.56532653300469282</v>
      </c>
      <c r="AX617">
        <f t="shared" si="46"/>
        <v>0.93617021276595747</v>
      </c>
      <c r="AY617" s="62">
        <f t="shared" si="47"/>
        <v>0.52924186068524437</v>
      </c>
      <c r="AZ617" s="68" t="str">
        <f t="shared" si="48"/>
        <v>No</v>
      </c>
      <c r="BA617" s="68" t="str">
        <f t="shared" si="49"/>
        <v>No</v>
      </c>
    </row>
    <row r="618" spans="1:53" hidden="1">
      <c r="A618" t="s">
        <v>1815</v>
      </c>
      <c r="B618" t="s">
        <v>2764</v>
      </c>
      <c r="C618">
        <v>99</v>
      </c>
      <c r="F618" t="s">
        <v>1241</v>
      </c>
      <c r="G618" t="s">
        <v>1714</v>
      </c>
      <c r="I618">
        <v>2013</v>
      </c>
      <c r="N618" t="s">
        <v>36</v>
      </c>
      <c r="P618" t="s">
        <v>60</v>
      </c>
      <c r="Q618" t="s">
        <v>900</v>
      </c>
      <c r="R618" t="s">
        <v>946</v>
      </c>
      <c r="S618" t="s">
        <v>950</v>
      </c>
      <c r="V618" t="s">
        <v>907</v>
      </c>
      <c r="Z618">
        <v>5</v>
      </c>
      <c r="AA618">
        <v>5</v>
      </c>
      <c r="AC618">
        <v>491</v>
      </c>
      <c r="AD618">
        <v>24.4</v>
      </c>
      <c r="AE618">
        <v>513</v>
      </c>
      <c r="AF618">
        <v>26.8</v>
      </c>
      <c r="AG618" t="s">
        <v>3365</v>
      </c>
      <c r="AH618">
        <v>2.7101173651118162</v>
      </c>
      <c r="AI618">
        <v>24.4</v>
      </c>
      <c r="AJ618" t="s">
        <v>1790</v>
      </c>
      <c r="AK618" t="s">
        <v>770</v>
      </c>
      <c r="AM618"/>
      <c r="AN618">
        <v>55.27</v>
      </c>
      <c r="AO618">
        <v>20.817792870523043</v>
      </c>
      <c r="AP618">
        <v>24.15</v>
      </c>
      <c r="AQ618">
        <v>54.001041656619918</v>
      </c>
      <c r="AS618">
        <v>0.52800000000000002</v>
      </c>
      <c r="AT618">
        <v>0.14460000000000001</v>
      </c>
      <c r="AW618" s="28">
        <f t="shared" si="45"/>
        <v>-0.76044016760699051</v>
      </c>
      <c r="AX618">
        <f t="shared" si="46"/>
        <v>0.90322580645161288</v>
      </c>
      <c r="AY618" s="62">
        <f t="shared" si="47"/>
        <v>-0.68684918364502368</v>
      </c>
      <c r="AZ618" s="68" t="str">
        <f t="shared" si="48"/>
        <v>No</v>
      </c>
      <c r="BA618" s="68" t="str">
        <f t="shared" si="49"/>
        <v>No</v>
      </c>
    </row>
    <row r="619" spans="1:53" hidden="1">
      <c r="A619" t="s">
        <v>1815</v>
      </c>
      <c r="B619" t="s">
        <v>2747</v>
      </c>
      <c r="C619">
        <v>99</v>
      </c>
      <c r="F619" t="s">
        <v>1241</v>
      </c>
      <c r="G619" t="s">
        <v>1714</v>
      </c>
      <c r="I619">
        <v>2019</v>
      </c>
      <c r="N619" t="s">
        <v>36</v>
      </c>
      <c r="P619" t="s">
        <v>60</v>
      </c>
      <c r="Q619" t="s">
        <v>900</v>
      </c>
      <c r="R619" t="s">
        <v>946</v>
      </c>
      <c r="S619" t="s">
        <v>950</v>
      </c>
      <c r="V619" t="s">
        <v>1015</v>
      </c>
      <c r="Z619">
        <v>7</v>
      </c>
      <c r="AA619">
        <v>7</v>
      </c>
      <c r="AC619">
        <v>491</v>
      </c>
      <c r="AD619">
        <v>24.4</v>
      </c>
      <c r="AE619">
        <v>1704</v>
      </c>
      <c r="AF619">
        <v>27</v>
      </c>
      <c r="AG619" t="s">
        <v>3365</v>
      </c>
      <c r="AH619">
        <v>3.2314695904306814</v>
      </c>
      <c r="AI619">
        <v>24.4</v>
      </c>
      <c r="AJ619" t="s">
        <v>69</v>
      </c>
      <c r="AK619" t="s">
        <v>69</v>
      </c>
      <c r="AM619"/>
      <c r="AN619">
        <v>20.73</v>
      </c>
      <c r="AO619">
        <v>12.22337105711841</v>
      </c>
      <c r="AP619">
        <v>9.11</v>
      </c>
      <c r="AQ619">
        <v>10.821122862254176</v>
      </c>
      <c r="AS619">
        <v>-0.82199999999999995</v>
      </c>
      <c r="AT619">
        <v>0.2515</v>
      </c>
      <c r="AW619" s="28">
        <f t="shared" si="45"/>
        <v>-1.0066219777847598</v>
      </c>
      <c r="AX619">
        <f t="shared" si="46"/>
        <v>0.93617021276595747</v>
      </c>
      <c r="AY619" s="62">
        <f t="shared" si="47"/>
        <v>-0.94236951111764755</v>
      </c>
      <c r="AZ619" s="68" t="str">
        <f t="shared" si="48"/>
        <v>No</v>
      </c>
      <c r="BA619" s="68" t="str">
        <f t="shared" si="49"/>
        <v>No</v>
      </c>
    </row>
    <row r="620" spans="1:53" hidden="1">
      <c r="A620" t="s">
        <v>1815</v>
      </c>
      <c r="B620" t="s">
        <v>2748</v>
      </c>
      <c r="C620">
        <v>99</v>
      </c>
      <c r="F620" t="s">
        <v>1241</v>
      </c>
      <c r="G620" t="s">
        <v>1714</v>
      </c>
      <c r="I620">
        <v>2019</v>
      </c>
      <c r="N620" t="s">
        <v>36</v>
      </c>
      <c r="P620" t="s">
        <v>60</v>
      </c>
      <c r="Q620" t="s">
        <v>900</v>
      </c>
      <c r="R620" t="s">
        <v>946</v>
      </c>
      <c r="S620" t="s">
        <v>950</v>
      </c>
      <c r="V620" t="s">
        <v>1015</v>
      </c>
      <c r="Z620">
        <v>7</v>
      </c>
      <c r="AA620">
        <v>7</v>
      </c>
      <c r="AC620">
        <v>491</v>
      </c>
      <c r="AD620">
        <v>24.4</v>
      </c>
      <c r="AE620">
        <v>1006</v>
      </c>
      <c r="AF620">
        <v>26.7</v>
      </c>
      <c r="AG620" t="s">
        <v>3365</v>
      </c>
      <c r="AH620">
        <v>3.0025979807199086</v>
      </c>
      <c r="AI620">
        <v>24.4</v>
      </c>
      <c r="AJ620" t="s">
        <v>69</v>
      </c>
      <c r="AK620" t="s">
        <v>69</v>
      </c>
      <c r="AM620"/>
      <c r="AN620">
        <v>20.73</v>
      </c>
      <c r="AO620">
        <v>12.22337105711841</v>
      </c>
      <c r="AP620">
        <v>16.239999999999998</v>
      </c>
      <c r="AQ620">
        <v>11.535475716241617</v>
      </c>
      <c r="AS620">
        <v>-0.24399999999999999</v>
      </c>
      <c r="AT620">
        <v>0.1217</v>
      </c>
      <c r="AW620" s="28">
        <f t="shared" si="45"/>
        <v>-0.37780615071905876</v>
      </c>
      <c r="AX620">
        <f t="shared" si="46"/>
        <v>0.93617021276595747</v>
      </c>
      <c r="AY620" s="62">
        <f t="shared" si="47"/>
        <v>-0.35369086450294862</v>
      </c>
      <c r="AZ620" s="68" t="str">
        <f t="shared" si="48"/>
        <v>No</v>
      </c>
      <c r="BA620" s="68" t="str">
        <f t="shared" si="49"/>
        <v>No</v>
      </c>
    </row>
    <row r="621" spans="1:53" hidden="1">
      <c r="A621" t="s">
        <v>1815</v>
      </c>
      <c r="B621" t="s">
        <v>2749</v>
      </c>
      <c r="C621">
        <v>99</v>
      </c>
      <c r="F621" t="s">
        <v>1241</v>
      </c>
      <c r="G621" t="s">
        <v>1714</v>
      </c>
      <c r="I621">
        <v>2019</v>
      </c>
      <c r="N621" t="s">
        <v>36</v>
      </c>
      <c r="P621" t="s">
        <v>60</v>
      </c>
      <c r="Q621" t="s">
        <v>900</v>
      </c>
      <c r="R621" t="s">
        <v>946</v>
      </c>
      <c r="S621" t="s">
        <v>950</v>
      </c>
      <c r="V621" t="s">
        <v>1015</v>
      </c>
      <c r="Z621">
        <v>5</v>
      </c>
      <c r="AA621">
        <v>5</v>
      </c>
      <c r="AC621">
        <v>491</v>
      </c>
      <c r="AD621">
        <v>24.4</v>
      </c>
      <c r="AE621">
        <v>1704</v>
      </c>
      <c r="AF621">
        <v>27</v>
      </c>
      <c r="AG621" t="s">
        <v>3365</v>
      </c>
      <c r="AH621">
        <v>3.2314695904306814</v>
      </c>
      <c r="AI621">
        <v>24.4</v>
      </c>
      <c r="AJ621" t="s">
        <v>1808</v>
      </c>
      <c r="AK621" t="s">
        <v>40</v>
      </c>
      <c r="AM621"/>
      <c r="AN621">
        <v>714.77</v>
      </c>
      <c r="AO621">
        <v>60.038425195869358</v>
      </c>
      <c r="AP621">
        <v>577.17999999999995</v>
      </c>
      <c r="AQ621">
        <v>22.517204533422884</v>
      </c>
      <c r="AS621">
        <v>-0.214</v>
      </c>
      <c r="AT621">
        <v>1.6999999999999999E-3</v>
      </c>
      <c r="AW621" s="28">
        <f t="shared" si="45"/>
        <v>-3.0345513135613866</v>
      </c>
      <c r="AX621">
        <f t="shared" si="46"/>
        <v>0.90322580645161288</v>
      </c>
      <c r="AY621" s="62">
        <f t="shared" si="47"/>
        <v>-2.7408850574102845</v>
      </c>
      <c r="AZ621" s="68" t="str">
        <f t="shared" si="48"/>
        <v>No</v>
      </c>
      <c r="BA621" s="68" t="str">
        <f t="shared" si="49"/>
        <v>No</v>
      </c>
    </row>
    <row r="622" spans="1:53" hidden="1">
      <c r="A622" t="s">
        <v>1815</v>
      </c>
      <c r="B622" t="s">
        <v>2750</v>
      </c>
      <c r="C622">
        <v>99</v>
      </c>
      <c r="F622" t="s">
        <v>1241</v>
      </c>
      <c r="G622" t="s">
        <v>1714</v>
      </c>
      <c r="I622">
        <v>2019</v>
      </c>
      <c r="N622" t="s">
        <v>36</v>
      </c>
      <c r="P622" t="s">
        <v>60</v>
      </c>
      <c r="Q622" t="s">
        <v>900</v>
      </c>
      <c r="R622" t="s">
        <v>946</v>
      </c>
      <c r="S622" t="s">
        <v>950</v>
      </c>
      <c r="V622" t="s">
        <v>1015</v>
      </c>
      <c r="Z622">
        <v>5</v>
      </c>
      <c r="AA622">
        <v>5</v>
      </c>
      <c r="AC622">
        <v>491</v>
      </c>
      <c r="AD622">
        <v>24.4</v>
      </c>
      <c r="AE622">
        <v>1006</v>
      </c>
      <c r="AF622">
        <v>26.7</v>
      </c>
      <c r="AG622" t="s">
        <v>3365</v>
      </c>
      <c r="AH622">
        <v>3.0025979807199086</v>
      </c>
      <c r="AI622">
        <v>24.4</v>
      </c>
      <c r="AJ622" t="s">
        <v>1808</v>
      </c>
      <c r="AK622" t="s">
        <v>40</v>
      </c>
      <c r="AM622"/>
      <c r="AN622">
        <v>714.77</v>
      </c>
      <c r="AO622">
        <v>60.038425195869358</v>
      </c>
      <c r="AP622">
        <v>587.25</v>
      </c>
      <c r="AQ622">
        <v>22.517204533422884</v>
      </c>
      <c r="AS622">
        <v>-0.19700000000000001</v>
      </c>
      <c r="AT622">
        <v>1.6999999999999999E-3</v>
      </c>
      <c r="AW622" s="28">
        <f t="shared" si="45"/>
        <v>-2.8124571807932837</v>
      </c>
      <c r="AX622">
        <f t="shared" si="46"/>
        <v>0.90322580645161288</v>
      </c>
      <c r="AY622" s="62">
        <f t="shared" si="47"/>
        <v>-2.5402839052326431</v>
      </c>
      <c r="AZ622" s="68" t="str">
        <f t="shared" si="48"/>
        <v>No</v>
      </c>
      <c r="BA622" s="68" t="str">
        <f t="shared" si="49"/>
        <v>No</v>
      </c>
    </row>
    <row r="623" spans="1:53" hidden="1">
      <c r="A623" t="s">
        <v>1815</v>
      </c>
      <c r="B623" t="s">
        <v>2761</v>
      </c>
      <c r="C623">
        <v>99</v>
      </c>
      <c r="F623" t="s">
        <v>1241</v>
      </c>
      <c r="G623" t="s">
        <v>1714</v>
      </c>
      <c r="I623">
        <v>2019</v>
      </c>
      <c r="N623" t="s">
        <v>36</v>
      </c>
      <c r="P623" t="s">
        <v>60</v>
      </c>
      <c r="Q623" t="s">
        <v>900</v>
      </c>
      <c r="R623" t="s">
        <v>946</v>
      </c>
      <c r="S623" t="s">
        <v>950</v>
      </c>
      <c r="V623" t="s">
        <v>1015</v>
      </c>
      <c r="Z623">
        <v>7</v>
      </c>
      <c r="AA623">
        <v>7</v>
      </c>
      <c r="AC623">
        <v>491</v>
      </c>
      <c r="AD623">
        <v>24.4</v>
      </c>
      <c r="AE623">
        <v>1006</v>
      </c>
      <c r="AF623">
        <v>26.7</v>
      </c>
      <c r="AG623" t="s">
        <v>3365</v>
      </c>
      <c r="AH623">
        <v>3.0025979807199086</v>
      </c>
      <c r="AI623">
        <v>24.4</v>
      </c>
      <c r="AJ623" t="s">
        <v>1791</v>
      </c>
      <c r="AK623" t="s">
        <v>770</v>
      </c>
      <c r="AM623"/>
      <c r="AN623">
        <v>38.18</v>
      </c>
      <c r="AO623">
        <v>21.298298054069956</v>
      </c>
      <c r="AP623">
        <v>49.61</v>
      </c>
      <c r="AQ623">
        <v>17.170926008809193</v>
      </c>
      <c r="AS623">
        <v>0.26200000000000001</v>
      </c>
      <c r="AT623">
        <v>6.1600000000000002E-2</v>
      </c>
      <c r="AW623" s="28">
        <f t="shared" si="45"/>
        <v>0.59085028972062026</v>
      </c>
      <c r="AX623">
        <f t="shared" si="46"/>
        <v>0.93617021276595747</v>
      </c>
      <c r="AY623" s="62">
        <f t="shared" si="47"/>
        <v>0.55313644144058072</v>
      </c>
      <c r="AZ623" s="68" t="str">
        <f t="shared" si="48"/>
        <v>No</v>
      </c>
      <c r="BA623" s="68" t="str">
        <f t="shared" si="49"/>
        <v>No</v>
      </c>
    </row>
    <row r="624" spans="1:53" hidden="1">
      <c r="A624" t="s">
        <v>1815</v>
      </c>
      <c r="B624" t="s">
        <v>2763</v>
      </c>
      <c r="C624">
        <v>99</v>
      </c>
      <c r="F624" t="s">
        <v>1241</v>
      </c>
      <c r="G624" t="s">
        <v>1714</v>
      </c>
      <c r="I624">
        <v>2013</v>
      </c>
      <c r="N624" t="s">
        <v>36</v>
      </c>
      <c r="P624" t="s">
        <v>60</v>
      </c>
      <c r="Q624" t="s">
        <v>900</v>
      </c>
      <c r="R624" t="s">
        <v>946</v>
      </c>
      <c r="S624" t="s">
        <v>950</v>
      </c>
      <c r="V624" t="s">
        <v>1015</v>
      </c>
      <c r="Z624">
        <v>7</v>
      </c>
      <c r="AA624">
        <v>7</v>
      </c>
      <c r="AC624">
        <v>491</v>
      </c>
      <c r="AD624">
        <v>24.4</v>
      </c>
      <c r="AE624">
        <v>1704</v>
      </c>
      <c r="AF624">
        <v>27</v>
      </c>
      <c r="AG624" t="s">
        <v>3365</v>
      </c>
      <c r="AH624">
        <v>3.2314695904306814</v>
      </c>
      <c r="AI624">
        <v>24.4</v>
      </c>
      <c r="AJ624" t="s">
        <v>1791</v>
      </c>
      <c r="AK624" t="s">
        <v>770</v>
      </c>
      <c r="AM624"/>
      <c r="AN624">
        <v>38.18</v>
      </c>
      <c r="AO624">
        <v>21.298298054069956</v>
      </c>
      <c r="AP624">
        <v>61.3</v>
      </c>
      <c r="AQ624">
        <v>17.170926008809193</v>
      </c>
      <c r="AS624">
        <v>0.47299999999999998</v>
      </c>
      <c r="AT624">
        <v>5.57E-2</v>
      </c>
      <c r="AW624" s="28">
        <f t="shared" si="45"/>
        <v>1.1951407435118757</v>
      </c>
      <c r="AX624">
        <f t="shared" si="46"/>
        <v>0.93617021276595747</v>
      </c>
      <c r="AY624" s="62">
        <f t="shared" si="47"/>
        <v>1.1188551641387774</v>
      </c>
      <c r="AZ624" s="68" t="str">
        <f t="shared" si="48"/>
        <v>No</v>
      </c>
      <c r="BA624" s="68" t="str">
        <f t="shared" si="49"/>
        <v>No</v>
      </c>
    </row>
    <row r="625" spans="1:53" hidden="1">
      <c r="A625" t="s">
        <v>1815</v>
      </c>
      <c r="B625" t="s">
        <v>2765</v>
      </c>
      <c r="C625">
        <v>99</v>
      </c>
      <c r="F625" t="s">
        <v>1241</v>
      </c>
      <c r="G625" t="s">
        <v>1714</v>
      </c>
      <c r="I625">
        <v>2013</v>
      </c>
      <c r="N625" t="s">
        <v>36</v>
      </c>
      <c r="P625" t="s">
        <v>60</v>
      </c>
      <c r="Q625" t="s">
        <v>900</v>
      </c>
      <c r="R625" t="s">
        <v>946</v>
      </c>
      <c r="S625" t="s">
        <v>950</v>
      </c>
      <c r="V625" t="s">
        <v>1015</v>
      </c>
      <c r="Z625">
        <v>5</v>
      </c>
      <c r="AA625">
        <v>5</v>
      </c>
      <c r="AC625">
        <v>491</v>
      </c>
      <c r="AD625">
        <v>24.4</v>
      </c>
      <c r="AE625">
        <v>1006</v>
      </c>
      <c r="AF625">
        <v>26.7</v>
      </c>
      <c r="AG625" t="s">
        <v>3365</v>
      </c>
      <c r="AH625">
        <v>3.0025979807199086</v>
      </c>
      <c r="AI625">
        <v>24.4</v>
      </c>
      <c r="AJ625" t="s">
        <v>1790</v>
      </c>
      <c r="AK625" t="s">
        <v>770</v>
      </c>
      <c r="AM625"/>
      <c r="AN625">
        <v>55.27</v>
      </c>
      <c r="AO625">
        <v>20.817792870523043</v>
      </c>
      <c r="AP625">
        <v>20.95</v>
      </c>
      <c r="AQ625">
        <v>46.845624128620592</v>
      </c>
      <c r="AS625">
        <v>0.56999999999999995</v>
      </c>
      <c r="AT625">
        <v>0.1135</v>
      </c>
      <c r="AW625" s="28">
        <f t="shared" si="45"/>
        <v>-0.9468004114232168</v>
      </c>
      <c r="AX625">
        <f t="shared" si="46"/>
        <v>0.90322580645161288</v>
      </c>
      <c r="AY625" s="62">
        <f t="shared" si="47"/>
        <v>-0.85517456515645385</v>
      </c>
      <c r="AZ625" s="68" t="str">
        <f t="shared" si="48"/>
        <v>No</v>
      </c>
      <c r="BA625" s="68" t="str">
        <f t="shared" si="49"/>
        <v>No</v>
      </c>
    </row>
    <row r="626" spans="1:53" hidden="1">
      <c r="A626" t="s">
        <v>1815</v>
      </c>
      <c r="B626" t="s">
        <v>2766</v>
      </c>
      <c r="C626">
        <v>99</v>
      </c>
      <c r="F626" t="s">
        <v>1241</v>
      </c>
      <c r="G626" t="s">
        <v>1714</v>
      </c>
      <c r="I626">
        <v>2013</v>
      </c>
      <c r="N626" t="s">
        <v>36</v>
      </c>
      <c r="P626" t="s">
        <v>60</v>
      </c>
      <c r="Q626" t="s">
        <v>900</v>
      </c>
      <c r="R626" t="s">
        <v>946</v>
      </c>
      <c r="S626" t="s">
        <v>950</v>
      </c>
      <c r="V626" t="s">
        <v>1015</v>
      </c>
      <c r="Z626">
        <v>5</v>
      </c>
      <c r="AA626">
        <v>5</v>
      </c>
      <c r="AC626">
        <v>491</v>
      </c>
      <c r="AD626">
        <v>24.4</v>
      </c>
      <c r="AE626">
        <v>1704</v>
      </c>
      <c r="AF626">
        <v>27</v>
      </c>
      <c r="AG626" t="s">
        <v>3365</v>
      </c>
      <c r="AH626">
        <v>3.2314695904306814</v>
      </c>
      <c r="AI626">
        <v>24.4</v>
      </c>
      <c r="AJ626" t="s">
        <v>1790</v>
      </c>
      <c r="AK626" t="s">
        <v>770</v>
      </c>
      <c r="AM626"/>
      <c r="AN626">
        <v>55.27</v>
      </c>
      <c r="AO626">
        <v>20.817792870523043</v>
      </c>
      <c r="AP626">
        <v>20.07</v>
      </c>
      <c r="AQ626">
        <v>44.877884308420782</v>
      </c>
      <c r="AS626">
        <v>0.58099999999999996</v>
      </c>
      <c r="AT626">
        <v>0.10639999999999999</v>
      </c>
      <c r="AW626" s="28">
        <f t="shared" si="45"/>
        <v>-1.0062473272691668</v>
      </c>
      <c r="AX626">
        <f t="shared" si="46"/>
        <v>0.90322580645161288</v>
      </c>
      <c r="AY626" s="62">
        <f t="shared" si="47"/>
        <v>-0.90886855366247321</v>
      </c>
      <c r="AZ626" s="68" t="str">
        <f t="shared" si="48"/>
        <v>No</v>
      </c>
      <c r="BA626" s="68" t="str">
        <f t="shared" si="49"/>
        <v>No</v>
      </c>
    </row>
    <row r="627" spans="1:53" hidden="1">
      <c r="A627" t="s">
        <v>1815</v>
      </c>
      <c r="B627" t="s">
        <v>2206</v>
      </c>
      <c r="C627">
        <v>174</v>
      </c>
      <c r="F627" t="s">
        <v>1241</v>
      </c>
      <c r="G627" t="s">
        <v>1970</v>
      </c>
      <c r="I627">
        <v>2014</v>
      </c>
      <c r="N627" t="s">
        <v>36</v>
      </c>
      <c r="P627" t="s">
        <v>60</v>
      </c>
      <c r="Q627" t="s">
        <v>900</v>
      </c>
      <c r="R627" t="s">
        <v>888</v>
      </c>
      <c r="S627" t="s">
        <v>1989</v>
      </c>
      <c r="V627" t="s">
        <v>905</v>
      </c>
      <c r="Z627">
        <v>5</v>
      </c>
      <c r="AA627">
        <v>5</v>
      </c>
      <c r="AC627">
        <v>345</v>
      </c>
      <c r="AD627">
        <v>19.7</v>
      </c>
      <c r="AE627">
        <v>4066</v>
      </c>
      <c r="AF627">
        <v>19.7</v>
      </c>
      <c r="AG627" t="s">
        <v>3427</v>
      </c>
      <c r="AI627">
        <v>19.7</v>
      </c>
      <c r="AJ627" t="s">
        <v>787</v>
      </c>
      <c r="AK627" t="s">
        <v>69</v>
      </c>
      <c r="AN627">
        <v>96</v>
      </c>
      <c r="AO627">
        <v>0.99996959953790598</v>
      </c>
      <c r="AP627">
        <v>94</v>
      </c>
      <c r="AQ627">
        <v>1.4000021607126183</v>
      </c>
      <c r="AS627">
        <v>-2.1100000000000001E-2</v>
      </c>
      <c r="AT627">
        <v>1E-4</v>
      </c>
      <c r="AW627" s="28">
        <f t="shared" si="45"/>
        <v>-1.6440050773938109</v>
      </c>
      <c r="AX627">
        <f t="shared" si="46"/>
        <v>0.90322580645161288</v>
      </c>
      <c r="AY627" s="62">
        <f t="shared" si="47"/>
        <v>-1.4849078118395711</v>
      </c>
      <c r="AZ627" s="68" t="str">
        <f t="shared" si="48"/>
        <v>No</v>
      </c>
      <c r="BA627" s="68" t="str">
        <f t="shared" si="49"/>
        <v>No</v>
      </c>
    </row>
    <row r="628" spans="1:53" hidden="1">
      <c r="A628" t="s">
        <v>1815</v>
      </c>
      <c r="B628" t="s">
        <v>2244</v>
      </c>
      <c r="C628">
        <v>174</v>
      </c>
      <c r="F628" t="s">
        <v>1241</v>
      </c>
      <c r="G628" t="s">
        <v>1970</v>
      </c>
      <c r="I628">
        <v>2018</v>
      </c>
      <c r="N628" t="s">
        <v>36</v>
      </c>
      <c r="P628" t="s">
        <v>60</v>
      </c>
      <c r="Q628" t="s">
        <v>900</v>
      </c>
      <c r="R628" t="s">
        <v>888</v>
      </c>
      <c r="S628" t="s">
        <v>1989</v>
      </c>
      <c r="V628" t="s">
        <v>905</v>
      </c>
      <c r="Z628">
        <v>5</v>
      </c>
      <c r="AA628">
        <v>5</v>
      </c>
      <c r="AC628">
        <v>345</v>
      </c>
      <c r="AD628">
        <v>19.7</v>
      </c>
      <c r="AE628">
        <v>1964</v>
      </c>
      <c r="AF628">
        <v>19.600000000000001</v>
      </c>
      <c r="AG628" t="s">
        <v>3427</v>
      </c>
      <c r="AI628">
        <v>19.7</v>
      </c>
      <c r="AJ628" t="s">
        <v>2019</v>
      </c>
      <c r="AK628" t="s">
        <v>770</v>
      </c>
      <c r="AN628">
        <v>5.55</v>
      </c>
      <c r="AO628">
        <v>2.7503636123247414E-2</v>
      </c>
      <c r="AP628">
        <v>5.62</v>
      </c>
      <c r="AQ628">
        <v>2.2584286572747875E-2</v>
      </c>
      <c r="AS628">
        <v>1.2500000000000001E-2</v>
      </c>
      <c r="AT628">
        <v>1E-4</v>
      </c>
      <c r="AW628" s="28">
        <f t="shared" si="45"/>
        <v>2.7817009624992246</v>
      </c>
      <c r="AX628">
        <f t="shared" si="46"/>
        <v>0.90322580645161288</v>
      </c>
      <c r="AY628" s="62">
        <f t="shared" si="47"/>
        <v>2.5125040951605899</v>
      </c>
      <c r="AZ628" s="68" t="str">
        <f t="shared" si="48"/>
        <v>No</v>
      </c>
      <c r="BA628" s="68" t="str">
        <f t="shared" si="49"/>
        <v>No</v>
      </c>
    </row>
    <row r="629" spans="1:53" hidden="1">
      <c r="A629" t="s">
        <v>1815</v>
      </c>
      <c r="B629" t="s">
        <v>2245</v>
      </c>
      <c r="C629">
        <v>174</v>
      </c>
      <c r="F629" t="s">
        <v>1241</v>
      </c>
      <c r="G629" t="s">
        <v>1970</v>
      </c>
      <c r="I629">
        <v>2018</v>
      </c>
      <c r="N629" t="s">
        <v>36</v>
      </c>
      <c r="P629" t="s">
        <v>60</v>
      </c>
      <c r="Q629" t="s">
        <v>900</v>
      </c>
      <c r="R629" t="s">
        <v>888</v>
      </c>
      <c r="S629" t="s">
        <v>1989</v>
      </c>
      <c r="V629" t="s">
        <v>905</v>
      </c>
      <c r="Z629">
        <v>5</v>
      </c>
      <c r="AA629">
        <v>5</v>
      </c>
      <c r="AC629">
        <v>345</v>
      </c>
      <c r="AD629">
        <v>19.7</v>
      </c>
      <c r="AE629">
        <v>4066</v>
      </c>
      <c r="AF629">
        <v>19.7</v>
      </c>
      <c r="AG629" t="s">
        <v>3427</v>
      </c>
      <c r="AI629">
        <v>19.7</v>
      </c>
      <c r="AJ629" t="s">
        <v>2019</v>
      </c>
      <c r="AK629" t="s">
        <v>770</v>
      </c>
      <c r="AN629">
        <v>5.55</v>
      </c>
      <c r="AO629">
        <v>2.7503636123247414E-2</v>
      </c>
      <c r="AP629">
        <v>5.42</v>
      </c>
      <c r="AQ629">
        <v>1.9901004999748128E-2</v>
      </c>
      <c r="AS629">
        <v>-2.3699999999999999E-2</v>
      </c>
      <c r="AT629">
        <v>1E-4</v>
      </c>
      <c r="AW629" s="28">
        <f t="shared" si="45"/>
        <v>-5.4154915572772699</v>
      </c>
      <c r="AX629">
        <f t="shared" si="46"/>
        <v>0.90322580645161288</v>
      </c>
      <c r="AY629" s="62">
        <f t="shared" si="47"/>
        <v>-4.8914117291536634</v>
      </c>
      <c r="AZ629" s="68" t="str">
        <f t="shared" si="48"/>
        <v>No</v>
      </c>
      <c r="BA629" s="68" t="str">
        <f t="shared" si="49"/>
        <v>No</v>
      </c>
    </row>
    <row r="630" spans="1:53" hidden="1">
      <c r="A630" t="s">
        <v>1815</v>
      </c>
      <c r="B630" t="s">
        <v>2252</v>
      </c>
      <c r="C630">
        <v>174</v>
      </c>
      <c r="F630" t="s">
        <v>1241</v>
      </c>
      <c r="G630" t="s">
        <v>1970</v>
      </c>
      <c r="I630">
        <v>2018</v>
      </c>
      <c r="N630" t="s">
        <v>36</v>
      </c>
      <c r="P630" t="s">
        <v>60</v>
      </c>
      <c r="Q630" t="s">
        <v>900</v>
      </c>
      <c r="R630" t="s">
        <v>888</v>
      </c>
      <c r="S630" t="s">
        <v>1989</v>
      </c>
      <c r="V630" t="s">
        <v>905</v>
      </c>
      <c r="Z630">
        <v>5</v>
      </c>
      <c r="AA630">
        <v>5</v>
      </c>
      <c r="AC630">
        <v>345</v>
      </c>
      <c r="AD630">
        <v>19.7</v>
      </c>
      <c r="AE630">
        <v>1964</v>
      </c>
      <c r="AF630">
        <v>19.600000000000001</v>
      </c>
      <c r="AG630" t="s">
        <v>3427</v>
      </c>
      <c r="AI630">
        <v>19.7</v>
      </c>
      <c r="AJ630" t="s">
        <v>787</v>
      </c>
      <c r="AK630" t="s">
        <v>69</v>
      </c>
      <c r="AN630">
        <v>96</v>
      </c>
      <c r="AO630">
        <v>0.99996959953790598</v>
      </c>
      <c r="AP630">
        <v>95</v>
      </c>
      <c r="AQ630">
        <v>0.99996959953790598</v>
      </c>
      <c r="AS630">
        <v>-1.0500000000000001E-2</v>
      </c>
      <c r="AT630">
        <v>1E-4</v>
      </c>
      <c r="AW630" s="28">
        <f t="shared" si="45"/>
        <v>-1.0000304013863102</v>
      </c>
      <c r="AX630">
        <f t="shared" si="46"/>
        <v>0.90322580645161288</v>
      </c>
      <c r="AY630" s="62">
        <f t="shared" si="47"/>
        <v>-0.90325326576828013</v>
      </c>
      <c r="AZ630" s="68" t="str">
        <f t="shared" si="48"/>
        <v>No</v>
      </c>
      <c r="BA630" s="68" t="str">
        <f t="shared" si="49"/>
        <v>No</v>
      </c>
    </row>
    <row r="631" spans="1:53" hidden="1">
      <c r="A631" t="s">
        <v>1815</v>
      </c>
      <c r="B631" t="s">
        <v>2349</v>
      </c>
      <c r="C631">
        <v>174</v>
      </c>
      <c r="F631" t="s">
        <v>1241</v>
      </c>
      <c r="G631" t="s">
        <v>1970</v>
      </c>
      <c r="I631">
        <v>2021</v>
      </c>
      <c r="N631" t="s">
        <v>36</v>
      </c>
      <c r="P631" t="s">
        <v>60</v>
      </c>
      <c r="Q631" t="s">
        <v>900</v>
      </c>
      <c r="R631" t="s">
        <v>888</v>
      </c>
      <c r="S631" t="s">
        <v>1989</v>
      </c>
      <c r="V631" t="s">
        <v>905</v>
      </c>
      <c r="Z631">
        <v>5</v>
      </c>
      <c r="AA631">
        <v>5</v>
      </c>
      <c r="AC631">
        <v>345</v>
      </c>
      <c r="AD631">
        <v>19.7</v>
      </c>
      <c r="AE631">
        <v>4066</v>
      </c>
      <c r="AF631">
        <v>19.7</v>
      </c>
      <c r="AG631" t="s">
        <v>3444</v>
      </c>
      <c r="AI631">
        <v>19.7</v>
      </c>
      <c r="AJ631" t="s">
        <v>50</v>
      </c>
      <c r="AK631" t="s">
        <v>40</v>
      </c>
      <c r="AN631">
        <v>0.33</v>
      </c>
      <c r="AO631">
        <v>4.9193495504995383E-3</v>
      </c>
      <c r="AP631">
        <v>0.33</v>
      </c>
      <c r="AQ631">
        <v>7.6026311234992849E-3</v>
      </c>
      <c r="AS631">
        <v>0</v>
      </c>
      <c r="AT631">
        <v>1E-4</v>
      </c>
      <c r="AW631" s="28">
        <f t="shared" si="45"/>
        <v>0</v>
      </c>
      <c r="AX631">
        <f t="shared" si="46"/>
        <v>0.90322580645161288</v>
      </c>
      <c r="AY631" s="62">
        <f t="shared" si="47"/>
        <v>0</v>
      </c>
      <c r="AZ631" s="68" t="str">
        <f t="shared" si="48"/>
        <v>No</v>
      </c>
      <c r="BA631" s="68" t="str">
        <f t="shared" si="49"/>
        <v>No</v>
      </c>
    </row>
    <row r="632" spans="1:53" hidden="1">
      <c r="A632" t="s">
        <v>1815</v>
      </c>
      <c r="B632" t="s">
        <v>2357</v>
      </c>
      <c r="C632">
        <v>174</v>
      </c>
      <c r="F632" t="s">
        <v>1241</v>
      </c>
      <c r="G632" t="s">
        <v>1970</v>
      </c>
      <c r="I632">
        <v>2019</v>
      </c>
      <c r="N632" t="s">
        <v>36</v>
      </c>
      <c r="P632" t="s">
        <v>60</v>
      </c>
      <c r="Q632" t="s">
        <v>900</v>
      </c>
      <c r="R632" t="s">
        <v>888</v>
      </c>
      <c r="S632" t="s">
        <v>1989</v>
      </c>
      <c r="V632" t="s">
        <v>905</v>
      </c>
      <c r="Z632">
        <v>5</v>
      </c>
      <c r="AA632">
        <v>5</v>
      </c>
      <c r="AC632">
        <v>345</v>
      </c>
      <c r="AD632">
        <v>19.7</v>
      </c>
      <c r="AE632">
        <v>1964</v>
      </c>
      <c r="AF632">
        <v>19.600000000000001</v>
      </c>
      <c r="AG632" t="s">
        <v>3444</v>
      </c>
      <c r="AI632">
        <v>19.7</v>
      </c>
      <c r="AJ632" t="s">
        <v>50</v>
      </c>
      <c r="AK632" t="s">
        <v>40</v>
      </c>
      <c r="AN632">
        <v>0.33</v>
      </c>
      <c r="AO632">
        <v>4.9193495504995383E-3</v>
      </c>
      <c r="AP632">
        <v>0.32</v>
      </c>
      <c r="AQ632">
        <v>4.9193495504995383E-3</v>
      </c>
      <c r="AS632">
        <v>-3.0800000000000001E-2</v>
      </c>
      <c r="AT632">
        <v>1E-4</v>
      </c>
      <c r="AW632" s="28">
        <f t="shared" si="45"/>
        <v>-2.0327890704543559</v>
      </c>
      <c r="AX632">
        <f t="shared" si="46"/>
        <v>0.90322580645161288</v>
      </c>
      <c r="AY632" s="62">
        <f t="shared" si="47"/>
        <v>-1.8360675475071602</v>
      </c>
      <c r="AZ632" s="68" t="str">
        <f t="shared" si="48"/>
        <v>No</v>
      </c>
      <c r="BA632" s="68" t="str">
        <f t="shared" si="49"/>
        <v>No</v>
      </c>
    </row>
    <row r="633" spans="1:53" hidden="1">
      <c r="A633" t="s">
        <v>1815</v>
      </c>
      <c r="B633" t="s">
        <v>2386</v>
      </c>
      <c r="C633">
        <v>174</v>
      </c>
      <c r="F633" t="s">
        <v>1241</v>
      </c>
      <c r="G633" t="s">
        <v>1970</v>
      </c>
      <c r="I633">
        <v>2019</v>
      </c>
      <c r="N633" t="s">
        <v>36</v>
      </c>
      <c r="P633" t="s">
        <v>60</v>
      </c>
      <c r="Q633" t="s">
        <v>900</v>
      </c>
      <c r="R633" t="s">
        <v>888</v>
      </c>
      <c r="S633" t="s">
        <v>1989</v>
      </c>
      <c r="V633" t="s">
        <v>905</v>
      </c>
      <c r="Z633">
        <v>5</v>
      </c>
      <c r="AA633">
        <v>5</v>
      </c>
      <c r="AC633">
        <v>345</v>
      </c>
      <c r="AD633">
        <v>19.7</v>
      </c>
      <c r="AE633">
        <v>1964</v>
      </c>
      <c r="AF633">
        <v>19.600000000000001</v>
      </c>
      <c r="AG633" t="s">
        <v>3444</v>
      </c>
      <c r="AI633">
        <v>19.7</v>
      </c>
      <c r="AJ633" t="s">
        <v>787</v>
      </c>
      <c r="AK633" t="s">
        <v>69</v>
      </c>
      <c r="AN633">
        <v>82</v>
      </c>
      <c r="AO633">
        <v>1.999939199075812</v>
      </c>
      <c r="AP633">
        <v>77</v>
      </c>
      <c r="AQ633">
        <v>2.8000043214252366</v>
      </c>
      <c r="AS633">
        <v>-6.2899999999999998E-2</v>
      </c>
      <c r="AT633">
        <v>4.0000000000000002E-4</v>
      </c>
      <c r="AW633" s="28">
        <f t="shared" si="45"/>
        <v>-2.0550063467422635</v>
      </c>
      <c r="AX633">
        <f t="shared" si="46"/>
        <v>0.90322580645161288</v>
      </c>
      <c r="AY633" s="62">
        <f t="shared" si="47"/>
        <v>-1.8561347647994637</v>
      </c>
      <c r="AZ633" s="68" t="str">
        <f t="shared" si="48"/>
        <v>No</v>
      </c>
      <c r="BA633" s="68" t="str">
        <f t="shared" si="49"/>
        <v>No</v>
      </c>
    </row>
    <row r="634" spans="1:53" hidden="1">
      <c r="A634" t="s">
        <v>1815</v>
      </c>
      <c r="B634" t="s">
        <v>2388</v>
      </c>
      <c r="C634">
        <v>174</v>
      </c>
      <c r="F634" t="s">
        <v>1241</v>
      </c>
      <c r="G634" t="s">
        <v>1970</v>
      </c>
      <c r="I634">
        <v>2018</v>
      </c>
      <c r="N634" t="s">
        <v>36</v>
      </c>
      <c r="P634" t="s">
        <v>60</v>
      </c>
      <c r="Q634" t="s">
        <v>900</v>
      </c>
      <c r="R634" t="s">
        <v>888</v>
      </c>
      <c r="S634" t="s">
        <v>1989</v>
      </c>
      <c r="V634" t="s">
        <v>905</v>
      </c>
      <c r="Z634">
        <v>5</v>
      </c>
      <c r="AA634">
        <v>5</v>
      </c>
      <c r="AC634">
        <v>345</v>
      </c>
      <c r="AD634">
        <v>19.7</v>
      </c>
      <c r="AE634">
        <v>4066</v>
      </c>
      <c r="AF634">
        <v>19.7</v>
      </c>
      <c r="AG634" t="s">
        <v>3444</v>
      </c>
      <c r="AI634">
        <v>19.7</v>
      </c>
      <c r="AJ634" t="s">
        <v>787</v>
      </c>
      <c r="AK634" t="s">
        <v>69</v>
      </c>
      <c r="AN634">
        <v>82</v>
      </c>
      <c r="AO634">
        <v>1.999939199075812</v>
      </c>
      <c r="AP634">
        <v>75</v>
      </c>
      <c r="AQ634">
        <v>4.3999109593263368</v>
      </c>
      <c r="AS634">
        <v>-8.9200000000000002E-2</v>
      </c>
      <c r="AT634">
        <v>8.0000000000000004E-4</v>
      </c>
      <c r="AW634" s="28">
        <f t="shared" si="45"/>
        <v>-2.0482650904719084</v>
      </c>
      <c r="AX634">
        <f t="shared" si="46"/>
        <v>0.90322580645161288</v>
      </c>
      <c r="AY634" s="62">
        <f t="shared" si="47"/>
        <v>-1.8500458881681754</v>
      </c>
      <c r="AZ634" s="68" t="str">
        <f t="shared" si="48"/>
        <v>No</v>
      </c>
      <c r="BA634" s="68" t="str">
        <f t="shared" si="49"/>
        <v>No</v>
      </c>
    </row>
    <row r="635" spans="1:53" hidden="1">
      <c r="A635" t="s">
        <v>1815</v>
      </c>
      <c r="B635" t="s">
        <v>2246</v>
      </c>
      <c r="C635">
        <v>174</v>
      </c>
      <c r="F635" t="s">
        <v>1241</v>
      </c>
      <c r="G635" t="s">
        <v>1970</v>
      </c>
      <c r="I635">
        <v>2018</v>
      </c>
      <c r="N635" t="s">
        <v>36</v>
      </c>
      <c r="P635" t="s">
        <v>60</v>
      </c>
      <c r="Q635" t="s">
        <v>900</v>
      </c>
      <c r="R635" t="s">
        <v>888</v>
      </c>
      <c r="S635" t="s">
        <v>1989</v>
      </c>
      <c r="V635" t="s">
        <v>907</v>
      </c>
      <c r="Z635">
        <v>5</v>
      </c>
      <c r="AA635">
        <v>10</v>
      </c>
      <c r="AC635">
        <v>345</v>
      </c>
      <c r="AD635">
        <v>19.7</v>
      </c>
      <c r="AE635">
        <v>379</v>
      </c>
      <c r="AF635">
        <v>23.6</v>
      </c>
      <c r="AG635" t="s">
        <v>3427</v>
      </c>
      <c r="AI635">
        <v>19.7</v>
      </c>
      <c r="AJ635" t="s">
        <v>2019</v>
      </c>
      <c r="AK635" t="s">
        <v>770</v>
      </c>
      <c r="AN635">
        <v>5.55</v>
      </c>
      <c r="AO635">
        <v>2.7503636123247414E-2</v>
      </c>
      <c r="AP635">
        <v>5.4050000000000002</v>
      </c>
      <c r="AQ635">
        <v>4.1742065114222612E-2</v>
      </c>
      <c r="AS635">
        <v>-2.6499999999999999E-2</v>
      </c>
      <c r="AT635">
        <v>1E-4</v>
      </c>
      <c r="AW635" s="28">
        <f t="shared" si="45"/>
        <v>-3.8223720977922455</v>
      </c>
      <c r="AX635">
        <f t="shared" si="46"/>
        <v>0.94117647058823528</v>
      </c>
      <c r="AY635" s="62">
        <f t="shared" si="47"/>
        <v>-3.5975266802750547</v>
      </c>
      <c r="AZ635" s="68" t="str">
        <f t="shared" si="48"/>
        <v>No</v>
      </c>
      <c r="BA635" s="68" t="str">
        <f t="shared" si="49"/>
        <v>No</v>
      </c>
    </row>
    <row r="636" spans="1:53" hidden="1">
      <c r="A636" t="s">
        <v>1815</v>
      </c>
      <c r="B636" t="s">
        <v>2249</v>
      </c>
      <c r="C636">
        <v>174</v>
      </c>
      <c r="F636" t="s">
        <v>1241</v>
      </c>
      <c r="G636" t="s">
        <v>1970</v>
      </c>
      <c r="I636">
        <v>2021</v>
      </c>
      <c r="N636" t="s">
        <v>36</v>
      </c>
      <c r="P636" t="s">
        <v>60</v>
      </c>
      <c r="Q636" t="s">
        <v>900</v>
      </c>
      <c r="R636" t="s">
        <v>888</v>
      </c>
      <c r="S636" t="s">
        <v>1989</v>
      </c>
      <c r="V636" t="s">
        <v>907</v>
      </c>
      <c r="Z636">
        <v>5</v>
      </c>
      <c r="AA636">
        <v>10</v>
      </c>
      <c r="AC636">
        <v>345</v>
      </c>
      <c r="AD636">
        <v>19.7</v>
      </c>
      <c r="AE636">
        <v>353</v>
      </c>
      <c r="AF636">
        <v>28.2</v>
      </c>
      <c r="AG636" t="s">
        <v>3427</v>
      </c>
      <c r="AI636">
        <v>19.7</v>
      </c>
      <c r="AJ636" t="s">
        <v>2019</v>
      </c>
      <c r="AK636" t="s">
        <v>770</v>
      </c>
      <c r="AN636">
        <v>5.55</v>
      </c>
      <c r="AO636">
        <v>2.7503636123247414E-2</v>
      </c>
      <c r="AP636">
        <v>4.6500000000000004</v>
      </c>
      <c r="AQ636">
        <v>2.6879360111431227E-2</v>
      </c>
      <c r="AS636">
        <v>-0.1769</v>
      </c>
      <c r="AT636">
        <v>1E-4</v>
      </c>
      <c r="AW636" s="28">
        <f t="shared" si="45"/>
        <v>-33.243479536725658</v>
      </c>
      <c r="AX636">
        <f t="shared" si="46"/>
        <v>0.94117647058823528</v>
      </c>
      <c r="AY636" s="62">
        <f t="shared" si="47"/>
        <v>-31.287980740447679</v>
      </c>
      <c r="AZ636" s="68" t="str">
        <f t="shared" si="48"/>
        <v>No</v>
      </c>
      <c r="BA636" s="68" t="str">
        <f t="shared" si="49"/>
        <v>Yes</v>
      </c>
    </row>
    <row r="637" spans="1:53" hidden="1">
      <c r="A637" t="s">
        <v>1815</v>
      </c>
      <c r="B637" t="s">
        <v>2253</v>
      </c>
      <c r="C637">
        <v>174</v>
      </c>
      <c r="F637" t="s">
        <v>1241</v>
      </c>
      <c r="G637" t="s">
        <v>1970</v>
      </c>
      <c r="I637">
        <v>2019</v>
      </c>
      <c r="N637" t="s">
        <v>36</v>
      </c>
      <c r="P637" t="s">
        <v>60</v>
      </c>
      <c r="Q637" t="s">
        <v>900</v>
      </c>
      <c r="R637" t="s">
        <v>888</v>
      </c>
      <c r="S637" t="s">
        <v>1989</v>
      </c>
      <c r="V637" t="s">
        <v>907</v>
      </c>
      <c r="Z637">
        <v>5</v>
      </c>
      <c r="AA637">
        <v>10</v>
      </c>
      <c r="AC637">
        <v>345</v>
      </c>
      <c r="AD637">
        <v>19.7</v>
      </c>
      <c r="AE637">
        <v>403</v>
      </c>
      <c r="AF637">
        <v>23.9</v>
      </c>
      <c r="AG637" t="s">
        <v>3427</v>
      </c>
      <c r="AI637">
        <v>19.7</v>
      </c>
      <c r="AJ637" t="s">
        <v>787</v>
      </c>
      <c r="AK637" t="s">
        <v>69</v>
      </c>
      <c r="AN637">
        <v>96</v>
      </c>
      <c r="AO637">
        <v>0.99996959953790598</v>
      </c>
      <c r="AP637">
        <v>80</v>
      </c>
      <c r="AQ637">
        <v>1.2807224523681937</v>
      </c>
      <c r="AS637">
        <v>-0.18229999999999999</v>
      </c>
      <c r="AT637">
        <v>1E-4</v>
      </c>
      <c r="AW637" s="28">
        <f t="shared" si="45"/>
        <v>-13.318398776361734</v>
      </c>
      <c r="AX637">
        <f t="shared" si="46"/>
        <v>0.94117647058823528</v>
      </c>
      <c r="AY637" s="62">
        <f t="shared" si="47"/>
        <v>-12.534963554222809</v>
      </c>
      <c r="AZ637" s="68" t="str">
        <f t="shared" si="48"/>
        <v>No</v>
      </c>
      <c r="BA637" s="68" t="str">
        <f t="shared" si="49"/>
        <v>Yes</v>
      </c>
    </row>
    <row r="638" spans="1:53" hidden="1">
      <c r="A638" t="s">
        <v>1815</v>
      </c>
      <c r="B638" t="s">
        <v>2267</v>
      </c>
      <c r="C638">
        <v>174</v>
      </c>
      <c r="F638" t="s">
        <v>1241</v>
      </c>
      <c r="G638" t="s">
        <v>1970</v>
      </c>
      <c r="I638">
        <v>2020</v>
      </c>
      <c r="N638" t="s">
        <v>36</v>
      </c>
      <c r="P638" t="s">
        <v>60</v>
      </c>
      <c r="Q638" t="s">
        <v>900</v>
      </c>
      <c r="R638" t="s">
        <v>888</v>
      </c>
      <c r="S638" t="s">
        <v>1989</v>
      </c>
      <c r="V638" t="s">
        <v>907</v>
      </c>
      <c r="Z638">
        <v>5</v>
      </c>
      <c r="AA638">
        <v>10</v>
      </c>
      <c r="AC638">
        <v>345</v>
      </c>
      <c r="AD638">
        <v>19.7</v>
      </c>
      <c r="AE638">
        <v>353</v>
      </c>
      <c r="AF638">
        <v>28.2</v>
      </c>
      <c r="AG638" t="s">
        <v>3444</v>
      </c>
      <c r="AI638">
        <v>19.7</v>
      </c>
      <c r="AJ638" t="s">
        <v>50</v>
      </c>
      <c r="AK638" t="s">
        <v>40</v>
      </c>
      <c r="AN638">
        <v>0.33</v>
      </c>
      <c r="AO638">
        <v>4.9193495504995383E-3</v>
      </c>
      <c r="AP638">
        <v>0.44</v>
      </c>
      <c r="AQ638">
        <v>2.4665765749313361E-2</v>
      </c>
      <c r="AS638">
        <v>0.28770000000000001</v>
      </c>
      <c r="AT638">
        <v>4.0000000000000002E-4</v>
      </c>
      <c r="AW638" s="28">
        <f t="shared" si="45"/>
        <v>5.3130416388791826</v>
      </c>
      <c r="AX638">
        <f t="shared" si="46"/>
        <v>0.94117647058823528</v>
      </c>
      <c r="AY638" s="62">
        <f t="shared" si="47"/>
        <v>5.0005097777686425</v>
      </c>
      <c r="AZ638" s="68" t="str">
        <f t="shared" si="48"/>
        <v>No</v>
      </c>
      <c r="BA638" s="68" t="str">
        <f t="shared" si="49"/>
        <v>No</v>
      </c>
    </row>
    <row r="639" spans="1:53" hidden="1">
      <c r="A639" t="s">
        <v>1815</v>
      </c>
      <c r="B639" t="s">
        <v>2280</v>
      </c>
      <c r="C639">
        <v>174</v>
      </c>
      <c r="F639" t="s">
        <v>1241</v>
      </c>
      <c r="G639" t="s">
        <v>1970</v>
      </c>
      <c r="I639">
        <v>2018</v>
      </c>
      <c r="N639" t="s">
        <v>36</v>
      </c>
      <c r="P639" t="s">
        <v>60</v>
      </c>
      <c r="Q639" t="s">
        <v>900</v>
      </c>
      <c r="R639" t="s">
        <v>888</v>
      </c>
      <c r="S639" t="s">
        <v>1989</v>
      </c>
      <c r="V639" t="s">
        <v>907</v>
      </c>
      <c r="Z639">
        <v>5</v>
      </c>
      <c r="AA639">
        <v>10</v>
      </c>
      <c r="AC639">
        <v>345</v>
      </c>
      <c r="AD639">
        <v>19.7</v>
      </c>
      <c r="AE639">
        <v>353</v>
      </c>
      <c r="AF639">
        <v>28.2</v>
      </c>
      <c r="AG639" t="s">
        <v>3427</v>
      </c>
      <c r="AI639">
        <v>19.7</v>
      </c>
      <c r="AJ639" t="s">
        <v>787</v>
      </c>
      <c r="AK639" t="s">
        <v>69</v>
      </c>
      <c r="AN639">
        <v>96</v>
      </c>
      <c r="AO639">
        <v>0.99996959953790598</v>
      </c>
      <c r="AP639">
        <v>63</v>
      </c>
      <c r="AQ639">
        <v>2.7856503908423256</v>
      </c>
      <c r="AS639">
        <v>-0.42120000000000002</v>
      </c>
      <c r="AT639">
        <v>2.0000000000000001E-4</v>
      </c>
      <c r="AW639" s="28">
        <f t="shared" si="45"/>
        <v>-13.846643396263101</v>
      </c>
      <c r="AX639">
        <f t="shared" si="46"/>
        <v>0.94117647058823528</v>
      </c>
      <c r="AY639" s="62">
        <f t="shared" si="47"/>
        <v>-13.032134961188801</v>
      </c>
      <c r="AZ639" s="68" t="str">
        <f t="shared" si="48"/>
        <v>No</v>
      </c>
      <c r="BA639" s="68" t="str">
        <f t="shared" si="49"/>
        <v>Yes</v>
      </c>
    </row>
    <row r="640" spans="1:53" hidden="1">
      <c r="A640" t="s">
        <v>1815</v>
      </c>
      <c r="B640" t="s">
        <v>2297</v>
      </c>
      <c r="C640">
        <v>174</v>
      </c>
      <c r="F640" t="s">
        <v>1241</v>
      </c>
      <c r="G640" t="s">
        <v>1970</v>
      </c>
      <c r="I640">
        <v>2020</v>
      </c>
      <c r="N640" t="s">
        <v>36</v>
      </c>
      <c r="P640" t="s">
        <v>60</v>
      </c>
      <c r="Q640" t="s">
        <v>900</v>
      </c>
      <c r="R640" t="s">
        <v>888</v>
      </c>
      <c r="S640" t="s">
        <v>1989</v>
      </c>
      <c r="V640" t="s">
        <v>907</v>
      </c>
      <c r="Z640">
        <v>5</v>
      </c>
      <c r="AA640">
        <v>10</v>
      </c>
      <c r="AC640">
        <v>345</v>
      </c>
      <c r="AD640">
        <v>19.7</v>
      </c>
      <c r="AE640">
        <v>379</v>
      </c>
      <c r="AF640">
        <v>23.6</v>
      </c>
      <c r="AG640" t="s">
        <v>3444</v>
      </c>
      <c r="AI640">
        <v>19.7</v>
      </c>
      <c r="AJ640" t="s">
        <v>50</v>
      </c>
      <c r="AK640" t="s">
        <v>40</v>
      </c>
      <c r="AN640">
        <v>0.33</v>
      </c>
      <c r="AO640">
        <v>4.9193495504995383E-3</v>
      </c>
      <c r="AP640">
        <v>0.39</v>
      </c>
      <c r="AQ640">
        <v>1.3597793938724031E-2</v>
      </c>
      <c r="AS640">
        <v>0.1671</v>
      </c>
      <c r="AT640">
        <v>2.0000000000000001E-4</v>
      </c>
      <c r="AW640" s="28">
        <f t="shared" si="45"/>
        <v>5.1553194291642805</v>
      </c>
      <c r="AX640">
        <f t="shared" si="46"/>
        <v>0.94117647058823528</v>
      </c>
      <c r="AY640" s="62">
        <f t="shared" si="47"/>
        <v>4.8520653450957933</v>
      </c>
      <c r="AZ640" s="68" t="str">
        <f t="shared" si="48"/>
        <v>No</v>
      </c>
      <c r="BA640" s="68" t="str">
        <f t="shared" si="49"/>
        <v>No</v>
      </c>
    </row>
    <row r="641" spans="1:53" hidden="1">
      <c r="A641" t="s">
        <v>1815</v>
      </c>
      <c r="B641" t="s">
        <v>2438</v>
      </c>
      <c r="C641">
        <v>174</v>
      </c>
      <c r="F641" t="s">
        <v>1241</v>
      </c>
      <c r="G641" t="s">
        <v>1970</v>
      </c>
      <c r="I641">
        <v>2017</v>
      </c>
      <c r="N641" t="s">
        <v>36</v>
      </c>
      <c r="P641" t="s">
        <v>60</v>
      </c>
      <c r="Q641" t="s">
        <v>900</v>
      </c>
      <c r="R641" t="s">
        <v>888</v>
      </c>
      <c r="S641" t="s">
        <v>1989</v>
      </c>
      <c r="V641" t="s">
        <v>907</v>
      </c>
      <c r="Z641">
        <v>5</v>
      </c>
      <c r="AA641">
        <v>10</v>
      </c>
      <c r="AC641">
        <v>345</v>
      </c>
      <c r="AD641">
        <v>19.7</v>
      </c>
      <c r="AE641">
        <v>403</v>
      </c>
      <c r="AF641">
        <v>23.9</v>
      </c>
      <c r="AG641" t="s">
        <v>3444</v>
      </c>
      <c r="AI641">
        <v>19.7</v>
      </c>
      <c r="AJ641" t="s">
        <v>787</v>
      </c>
      <c r="AK641" t="s">
        <v>69</v>
      </c>
      <c r="AN641">
        <v>82</v>
      </c>
      <c r="AO641">
        <v>1.999939199075812</v>
      </c>
      <c r="AP641">
        <v>58</v>
      </c>
      <c r="AQ641">
        <v>2.5611286769703705</v>
      </c>
      <c r="AS641">
        <v>-0.3463</v>
      </c>
      <c r="AT641">
        <v>2.9999999999999997E-4</v>
      </c>
      <c r="AW641" s="28">
        <f t="shared" si="45"/>
        <v>-9.9897694536933823</v>
      </c>
      <c r="AX641">
        <f t="shared" si="46"/>
        <v>0.94117647058823528</v>
      </c>
      <c r="AY641" s="62">
        <f t="shared" si="47"/>
        <v>-9.4021359564173004</v>
      </c>
      <c r="AZ641" s="68" t="str">
        <f t="shared" si="48"/>
        <v>No</v>
      </c>
      <c r="BA641" s="68" t="str">
        <f t="shared" si="49"/>
        <v>No</v>
      </c>
    </row>
    <row r="642" spans="1:53" hidden="1">
      <c r="A642" t="s">
        <v>1815</v>
      </c>
      <c r="B642" t="s">
        <v>2461</v>
      </c>
      <c r="C642">
        <v>174</v>
      </c>
      <c r="F642" t="s">
        <v>1241</v>
      </c>
      <c r="G642" t="s">
        <v>1970</v>
      </c>
      <c r="N642" t="s">
        <v>36</v>
      </c>
      <c r="P642" t="s">
        <v>60</v>
      </c>
      <c r="Q642" t="s">
        <v>900</v>
      </c>
      <c r="R642" t="s">
        <v>888</v>
      </c>
      <c r="S642" t="s">
        <v>1989</v>
      </c>
      <c r="V642" t="s">
        <v>907</v>
      </c>
      <c r="Z642">
        <v>5</v>
      </c>
      <c r="AA642">
        <v>10</v>
      </c>
      <c r="AC642">
        <v>345</v>
      </c>
      <c r="AD642">
        <v>19.7</v>
      </c>
      <c r="AE642">
        <v>353</v>
      </c>
      <c r="AF642">
        <v>28.2</v>
      </c>
      <c r="AG642" t="s">
        <v>3444</v>
      </c>
      <c r="AI642">
        <v>19.7</v>
      </c>
      <c r="AJ642" t="s">
        <v>787</v>
      </c>
      <c r="AK642" t="s">
        <v>69</v>
      </c>
      <c r="AN642">
        <v>82</v>
      </c>
      <c r="AO642">
        <v>1.999939199075812</v>
      </c>
      <c r="AP642">
        <v>22.5</v>
      </c>
      <c r="AQ642">
        <v>7.1385255900641003</v>
      </c>
      <c r="AS642">
        <v>-1.2931999999999999</v>
      </c>
      <c r="AT642">
        <v>1.0200000000000001E-2</v>
      </c>
      <c r="AW642" s="28">
        <f t="shared" ref="AW642:AW705" si="50">(AP642-$AN642)/SQRT(((AA642-1)*AQ642*AQ642+($Z642-1)*$AO642*$AO642)/(AA642+$Z642-2))</f>
        <v>-9.8472031954557355</v>
      </c>
      <c r="AX642">
        <f t="shared" ref="AX642:AX705" si="51">1-(3/(4*(AA642+$Z642-2)-1))</f>
        <v>0.94117647058823528</v>
      </c>
      <c r="AY642" s="62">
        <f t="shared" ref="AY642:AY705" si="52">AX642*AW642</f>
        <v>-9.2679559486642216</v>
      </c>
      <c r="AZ642" s="68" t="str">
        <f t="shared" ref="AZ642:AZ705" si="53">IF(AY642&gt;10,"Yes","No")</f>
        <v>No</v>
      </c>
      <c r="BA642" s="68" t="str">
        <f t="shared" ref="BA642:BA705" si="54">IF(AY642&lt;-10,"Yes","No")</f>
        <v>No</v>
      </c>
    </row>
    <row r="643" spans="1:53" hidden="1">
      <c r="A643" t="s">
        <v>1815</v>
      </c>
      <c r="B643" t="s">
        <v>2213</v>
      </c>
      <c r="C643">
        <v>174</v>
      </c>
      <c r="F643" t="s">
        <v>1241</v>
      </c>
      <c r="G643" t="s">
        <v>1970</v>
      </c>
      <c r="I643">
        <v>2014</v>
      </c>
      <c r="N643" t="s">
        <v>36</v>
      </c>
      <c r="P643" t="s">
        <v>60</v>
      </c>
      <c r="Q643" t="s">
        <v>900</v>
      </c>
      <c r="R643" t="s">
        <v>888</v>
      </c>
      <c r="S643" t="s">
        <v>1989</v>
      </c>
      <c r="V643" t="s">
        <v>1015</v>
      </c>
      <c r="Z643">
        <v>5</v>
      </c>
      <c r="AA643">
        <v>20</v>
      </c>
      <c r="AC643">
        <v>345</v>
      </c>
      <c r="AD643">
        <v>19.7</v>
      </c>
      <c r="AE643">
        <v>4289</v>
      </c>
      <c r="AF643">
        <v>23.9</v>
      </c>
      <c r="AG643" t="s">
        <v>3427</v>
      </c>
      <c r="AI643">
        <v>19.7</v>
      </c>
      <c r="AJ643" t="s">
        <v>787</v>
      </c>
      <c r="AK643" t="s">
        <v>69</v>
      </c>
      <c r="AN643">
        <v>96</v>
      </c>
      <c r="AO643">
        <v>0.99996959953790598</v>
      </c>
      <c r="AP643">
        <v>69.75</v>
      </c>
      <c r="AQ643">
        <v>2.7566246026617405</v>
      </c>
      <c r="AS643">
        <v>-0.31940000000000002</v>
      </c>
      <c r="AT643">
        <v>1E-4</v>
      </c>
      <c r="AW643" s="28">
        <f t="shared" si="50"/>
        <v>-10.334869883129945</v>
      </c>
      <c r="AX643">
        <f t="shared" si="51"/>
        <v>0.96703296703296704</v>
      </c>
      <c r="AY643" s="62">
        <f t="shared" si="52"/>
        <v>-9.9941598869828052</v>
      </c>
      <c r="AZ643" s="68" t="str">
        <f t="shared" si="53"/>
        <v>No</v>
      </c>
      <c r="BA643" s="68" t="str">
        <f t="shared" si="54"/>
        <v>No</v>
      </c>
    </row>
    <row r="644" spans="1:53" hidden="1">
      <c r="A644" t="s">
        <v>1815</v>
      </c>
      <c r="B644" t="s">
        <v>2243</v>
      </c>
      <c r="C644">
        <v>174</v>
      </c>
      <c r="F644" t="s">
        <v>1241</v>
      </c>
      <c r="G644" t="s">
        <v>1970</v>
      </c>
      <c r="I644">
        <v>2018</v>
      </c>
      <c r="N644" t="s">
        <v>36</v>
      </c>
      <c r="P644" t="s">
        <v>60</v>
      </c>
      <c r="Q644" t="s">
        <v>900</v>
      </c>
      <c r="R644" t="s">
        <v>888</v>
      </c>
      <c r="S644" t="s">
        <v>1989</v>
      </c>
      <c r="V644" t="s">
        <v>1015</v>
      </c>
      <c r="Z644">
        <v>5</v>
      </c>
      <c r="AA644">
        <v>25</v>
      </c>
      <c r="AC644">
        <v>345</v>
      </c>
      <c r="AD644">
        <v>19.7</v>
      </c>
      <c r="AE644">
        <v>1977</v>
      </c>
      <c r="AF644">
        <v>23.8</v>
      </c>
      <c r="AG644" t="s">
        <v>3427</v>
      </c>
      <c r="AI644">
        <v>19.7</v>
      </c>
      <c r="AJ644" t="s">
        <v>787</v>
      </c>
      <c r="AK644" t="s">
        <v>69</v>
      </c>
      <c r="AN644">
        <v>96</v>
      </c>
      <c r="AO644">
        <v>0.99996959953790598</v>
      </c>
      <c r="AP644">
        <v>76.400000000000006</v>
      </c>
      <c r="AQ644">
        <v>3.3879999999999999</v>
      </c>
      <c r="AS644">
        <v>-0.22839999999999999</v>
      </c>
      <c r="AT644">
        <v>1E-4</v>
      </c>
      <c r="AW644" s="28">
        <f t="shared" si="50"/>
        <v>-6.2037741720925723</v>
      </c>
      <c r="AX644">
        <f t="shared" si="51"/>
        <v>0.97297297297297303</v>
      </c>
      <c r="AY644" s="62">
        <f t="shared" si="52"/>
        <v>-6.0361045998738545</v>
      </c>
      <c r="AZ644" s="68" t="str">
        <f t="shared" si="53"/>
        <v>No</v>
      </c>
      <c r="BA644" s="68" t="str">
        <f t="shared" si="54"/>
        <v>No</v>
      </c>
    </row>
    <row r="645" spans="1:53" hidden="1">
      <c r="A645" t="s">
        <v>1815</v>
      </c>
      <c r="B645" t="s">
        <v>2247</v>
      </c>
      <c r="C645">
        <v>174</v>
      </c>
      <c r="F645" t="s">
        <v>1241</v>
      </c>
      <c r="G645" t="s">
        <v>1970</v>
      </c>
      <c r="I645">
        <v>2018</v>
      </c>
      <c r="N645" t="s">
        <v>36</v>
      </c>
      <c r="P645" t="s">
        <v>60</v>
      </c>
      <c r="Q645" t="s">
        <v>900</v>
      </c>
      <c r="R645" t="s">
        <v>888</v>
      </c>
      <c r="S645" t="s">
        <v>1989</v>
      </c>
      <c r="V645" t="s">
        <v>1015</v>
      </c>
      <c r="Z645">
        <v>5</v>
      </c>
      <c r="AA645">
        <v>20</v>
      </c>
      <c r="AC645">
        <v>345</v>
      </c>
      <c r="AD645">
        <v>19.7</v>
      </c>
      <c r="AE645">
        <v>2192</v>
      </c>
      <c r="AF645">
        <v>23.8</v>
      </c>
      <c r="AG645" t="s">
        <v>3427</v>
      </c>
      <c r="AI645">
        <v>19.7</v>
      </c>
      <c r="AJ645" t="s">
        <v>2019</v>
      </c>
      <c r="AK645" t="s">
        <v>770</v>
      </c>
      <c r="AN645">
        <v>5.55</v>
      </c>
      <c r="AO645">
        <v>2.7503636123247414E-2</v>
      </c>
      <c r="AP645">
        <v>5.1375000000000002</v>
      </c>
      <c r="AQ645">
        <v>5.098234988699521E-2</v>
      </c>
      <c r="AS645">
        <v>-7.7200000000000005E-2</v>
      </c>
      <c r="AT645">
        <v>1E-4</v>
      </c>
      <c r="AW645" s="28">
        <f t="shared" si="50"/>
        <v>-8.6412845261675919</v>
      </c>
      <c r="AX645">
        <f t="shared" si="51"/>
        <v>0.96703296703296704</v>
      </c>
      <c r="AY645" s="62">
        <f t="shared" si="52"/>
        <v>-8.3564070143159128</v>
      </c>
      <c r="AZ645" s="68" t="str">
        <f t="shared" si="53"/>
        <v>No</v>
      </c>
      <c r="BA645" s="68" t="str">
        <f t="shared" si="54"/>
        <v>No</v>
      </c>
    </row>
    <row r="646" spans="1:53" hidden="1">
      <c r="A646" t="s">
        <v>1815</v>
      </c>
      <c r="B646" t="s">
        <v>2248</v>
      </c>
      <c r="C646">
        <v>174</v>
      </c>
      <c r="F646" t="s">
        <v>1241</v>
      </c>
      <c r="G646" t="s">
        <v>1970</v>
      </c>
      <c r="I646">
        <v>2018</v>
      </c>
      <c r="N646" t="s">
        <v>36</v>
      </c>
      <c r="P646" t="s">
        <v>60</v>
      </c>
      <c r="Q646" t="s">
        <v>900</v>
      </c>
      <c r="R646" t="s">
        <v>888</v>
      </c>
      <c r="S646" t="s">
        <v>1989</v>
      </c>
      <c r="V646" t="s">
        <v>1015</v>
      </c>
      <c r="Z646">
        <v>5</v>
      </c>
      <c r="AA646">
        <v>10</v>
      </c>
      <c r="AC646">
        <v>345</v>
      </c>
      <c r="AD646">
        <v>19.7</v>
      </c>
      <c r="AE646">
        <v>4386</v>
      </c>
      <c r="AF646">
        <v>23.9</v>
      </c>
      <c r="AG646" t="s">
        <v>3427</v>
      </c>
      <c r="AI646">
        <v>19.7</v>
      </c>
      <c r="AJ646" t="s">
        <v>2019</v>
      </c>
      <c r="AK646" t="s">
        <v>770</v>
      </c>
      <c r="AN646">
        <v>5.55</v>
      </c>
      <c r="AO646">
        <v>2.7503636123247414E-2</v>
      </c>
      <c r="AP646">
        <v>5.0250000000000004</v>
      </c>
      <c r="AQ646">
        <v>3.731487638998688E-2</v>
      </c>
      <c r="AS646">
        <v>-9.9400000000000002E-2</v>
      </c>
      <c r="AT646">
        <v>1E-4</v>
      </c>
      <c r="AW646" s="28">
        <f t="shared" si="50"/>
        <v>-15.17618005463037</v>
      </c>
      <c r="AX646">
        <f t="shared" si="51"/>
        <v>0.94117647058823528</v>
      </c>
      <c r="AY646" s="62">
        <f t="shared" si="52"/>
        <v>-14.283463580828583</v>
      </c>
      <c r="AZ646" s="68" t="str">
        <f t="shared" si="53"/>
        <v>No</v>
      </c>
      <c r="BA646" s="68" t="str">
        <f t="shared" si="54"/>
        <v>Yes</v>
      </c>
    </row>
    <row r="647" spans="1:53" hidden="1">
      <c r="A647" t="s">
        <v>1815</v>
      </c>
      <c r="B647" t="s">
        <v>2250</v>
      </c>
      <c r="C647">
        <v>174</v>
      </c>
      <c r="F647" t="s">
        <v>1241</v>
      </c>
      <c r="G647" t="s">
        <v>1970</v>
      </c>
      <c r="I647">
        <v>2021</v>
      </c>
      <c r="N647" t="s">
        <v>36</v>
      </c>
      <c r="P647" t="s">
        <v>60</v>
      </c>
      <c r="Q647" t="s">
        <v>900</v>
      </c>
      <c r="R647" t="s">
        <v>888</v>
      </c>
      <c r="S647" t="s">
        <v>1989</v>
      </c>
      <c r="V647" t="s">
        <v>1015</v>
      </c>
      <c r="Z647">
        <v>5</v>
      </c>
      <c r="AA647">
        <v>10</v>
      </c>
      <c r="AC647">
        <v>345</v>
      </c>
      <c r="AD647">
        <v>19.7</v>
      </c>
      <c r="AE647">
        <v>2328</v>
      </c>
      <c r="AF647">
        <v>28</v>
      </c>
      <c r="AG647" t="s">
        <v>3427</v>
      </c>
      <c r="AI647">
        <v>19.7</v>
      </c>
      <c r="AJ647" t="s">
        <v>2019</v>
      </c>
      <c r="AK647" t="s">
        <v>770</v>
      </c>
      <c r="AN647">
        <v>5.55</v>
      </c>
      <c r="AO647">
        <v>2.7503636123247414E-2</v>
      </c>
      <c r="AP647">
        <v>4.6550000000000002</v>
      </c>
      <c r="AQ647">
        <v>3.3520143197784825E-2</v>
      </c>
      <c r="AS647">
        <v>-0.1759</v>
      </c>
      <c r="AT647">
        <v>1E-4</v>
      </c>
      <c r="AW647" s="28">
        <f t="shared" si="50"/>
        <v>-28.15313592260042</v>
      </c>
      <c r="AX647">
        <f t="shared" si="51"/>
        <v>0.94117647058823528</v>
      </c>
      <c r="AY647" s="62">
        <f t="shared" si="52"/>
        <v>-26.497069103623925</v>
      </c>
      <c r="AZ647" s="68" t="str">
        <f t="shared" si="53"/>
        <v>No</v>
      </c>
      <c r="BA647" s="68" t="str">
        <f t="shared" si="54"/>
        <v>Yes</v>
      </c>
    </row>
    <row r="648" spans="1:53" hidden="1">
      <c r="A648" t="s">
        <v>1815</v>
      </c>
      <c r="B648" t="s">
        <v>2251</v>
      </c>
      <c r="C648">
        <v>174</v>
      </c>
      <c r="F648" t="s">
        <v>1241</v>
      </c>
      <c r="G648" t="s">
        <v>1970</v>
      </c>
      <c r="I648">
        <v>2018</v>
      </c>
      <c r="N648" t="s">
        <v>36</v>
      </c>
      <c r="P648" t="s">
        <v>60</v>
      </c>
      <c r="Q648" t="s">
        <v>900</v>
      </c>
      <c r="R648" t="s">
        <v>888</v>
      </c>
      <c r="S648" t="s">
        <v>1989</v>
      </c>
      <c r="V648" t="s">
        <v>1015</v>
      </c>
      <c r="Z648">
        <v>5</v>
      </c>
      <c r="AA648">
        <v>5</v>
      </c>
      <c r="AC648">
        <v>345</v>
      </c>
      <c r="AD648">
        <v>19.7</v>
      </c>
      <c r="AE648">
        <v>4720</v>
      </c>
      <c r="AF648">
        <v>28.2</v>
      </c>
      <c r="AG648" t="s">
        <v>3427</v>
      </c>
      <c r="AI648">
        <v>19.7</v>
      </c>
      <c r="AJ648" t="s">
        <v>2019</v>
      </c>
      <c r="AK648" t="s">
        <v>770</v>
      </c>
      <c r="AN648">
        <v>5.55</v>
      </c>
      <c r="AO648">
        <v>2.7503636123247414E-2</v>
      </c>
      <c r="AP648">
        <v>4.7</v>
      </c>
      <c r="AQ648">
        <v>1.2521980673998822E-2</v>
      </c>
      <c r="AS648">
        <v>-0.16619999999999999</v>
      </c>
      <c r="AT648">
        <v>1E-4</v>
      </c>
      <c r="AW648" s="28">
        <f t="shared" si="50"/>
        <v>-39.777646426289358</v>
      </c>
      <c r="AX648">
        <f t="shared" si="51"/>
        <v>0.90322580645161288</v>
      </c>
      <c r="AY648" s="62">
        <f t="shared" si="52"/>
        <v>-35.928196772132324</v>
      </c>
      <c r="AZ648" s="68" t="str">
        <f t="shared" si="53"/>
        <v>No</v>
      </c>
      <c r="BA648" s="68" t="str">
        <f t="shared" si="54"/>
        <v>Yes</v>
      </c>
    </row>
    <row r="649" spans="1:53" hidden="1">
      <c r="A649" t="s">
        <v>1815</v>
      </c>
      <c r="B649" t="s">
        <v>2262</v>
      </c>
      <c r="C649">
        <v>174</v>
      </c>
      <c r="F649" t="s">
        <v>1241</v>
      </c>
      <c r="G649" t="s">
        <v>1970</v>
      </c>
      <c r="I649">
        <v>2018</v>
      </c>
      <c r="N649" t="s">
        <v>36</v>
      </c>
      <c r="P649" t="s">
        <v>60</v>
      </c>
      <c r="Q649" t="s">
        <v>900</v>
      </c>
      <c r="R649" t="s">
        <v>888</v>
      </c>
      <c r="S649" t="s">
        <v>1989</v>
      </c>
      <c r="V649" t="s">
        <v>1015</v>
      </c>
      <c r="Z649">
        <v>5</v>
      </c>
      <c r="AA649">
        <v>10</v>
      </c>
      <c r="AC649">
        <v>345</v>
      </c>
      <c r="AD649">
        <v>19.7</v>
      </c>
      <c r="AE649">
        <v>2328</v>
      </c>
      <c r="AF649">
        <v>28</v>
      </c>
      <c r="AG649" t="s">
        <v>3427</v>
      </c>
      <c r="AI649">
        <v>19.7</v>
      </c>
      <c r="AJ649" t="s">
        <v>787</v>
      </c>
      <c r="AK649" t="s">
        <v>69</v>
      </c>
      <c r="AN649">
        <v>96</v>
      </c>
      <c r="AO649">
        <v>0.99996959953790598</v>
      </c>
      <c r="AP649">
        <v>58</v>
      </c>
      <c r="AQ649">
        <v>1.8973665961010275</v>
      </c>
      <c r="AS649">
        <v>-0.50390000000000001</v>
      </c>
      <c r="AT649">
        <v>1E-4</v>
      </c>
      <c r="AW649" s="28">
        <f t="shared" si="50"/>
        <v>-22.709419441914378</v>
      </c>
      <c r="AX649">
        <f t="shared" si="51"/>
        <v>0.94117647058823528</v>
      </c>
      <c r="AY649" s="62">
        <f t="shared" si="52"/>
        <v>-21.373571239448825</v>
      </c>
      <c r="AZ649" s="68" t="str">
        <f t="shared" si="53"/>
        <v>No</v>
      </c>
      <c r="BA649" s="68" t="str">
        <f t="shared" si="54"/>
        <v>Yes</v>
      </c>
    </row>
    <row r="650" spans="1:53" hidden="1">
      <c r="A650" t="s">
        <v>1815</v>
      </c>
      <c r="B650" t="s">
        <v>2271</v>
      </c>
      <c r="C650">
        <v>174</v>
      </c>
      <c r="F650" t="s">
        <v>1241</v>
      </c>
      <c r="G650" t="s">
        <v>1970</v>
      </c>
      <c r="I650">
        <v>2019</v>
      </c>
      <c r="N650" t="s">
        <v>36</v>
      </c>
      <c r="P650" t="s">
        <v>60</v>
      </c>
      <c r="Q650" t="s">
        <v>900</v>
      </c>
      <c r="R650" t="s">
        <v>888</v>
      </c>
      <c r="S650" t="s">
        <v>1989</v>
      </c>
      <c r="V650" t="s">
        <v>1015</v>
      </c>
      <c r="Z650">
        <v>5</v>
      </c>
      <c r="AA650">
        <v>10</v>
      </c>
      <c r="AC650">
        <v>345</v>
      </c>
      <c r="AD650">
        <v>19.7</v>
      </c>
      <c r="AE650">
        <v>2328</v>
      </c>
      <c r="AF650">
        <v>28</v>
      </c>
      <c r="AG650" t="s">
        <v>3444</v>
      </c>
      <c r="AI650">
        <v>19.7</v>
      </c>
      <c r="AJ650" t="s">
        <v>50</v>
      </c>
      <c r="AK650" t="s">
        <v>40</v>
      </c>
      <c r="AN650">
        <v>0.33</v>
      </c>
      <c r="AO650">
        <v>4.9193495504995383E-3</v>
      </c>
      <c r="AP650">
        <v>0.43</v>
      </c>
      <c r="AQ650">
        <v>2.1503488089144981E-2</v>
      </c>
      <c r="AS650">
        <v>0.26469999999999999</v>
      </c>
      <c r="AT650">
        <v>2.9999999999999997E-4</v>
      </c>
      <c r="AW650" s="28">
        <f t="shared" si="50"/>
        <v>5.5252056796097051</v>
      </c>
      <c r="AX650">
        <f t="shared" si="51"/>
        <v>0.94117647058823528</v>
      </c>
      <c r="AY650" s="62">
        <f t="shared" si="52"/>
        <v>5.2001935808091337</v>
      </c>
      <c r="AZ650" s="68" t="str">
        <f t="shared" si="53"/>
        <v>No</v>
      </c>
      <c r="BA650" s="68" t="str">
        <f t="shared" si="54"/>
        <v>No</v>
      </c>
    </row>
    <row r="651" spans="1:53" hidden="1">
      <c r="A651" t="s">
        <v>1815</v>
      </c>
      <c r="B651" t="s">
        <v>2285</v>
      </c>
      <c r="C651">
        <v>174</v>
      </c>
      <c r="F651" t="s">
        <v>1241</v>
      </c>
      <c r="G651" t="s">
        <v>1970</v>
      </c>
      <c r="I651">
        <v>2020</v>
      </c>
      <c r="N651" t="s">
        <v>36</v>
      </c>
      <c r="P651" t="s">
        <v>60</v>
      </c>
      <c r="Q651" t="s">
        <v>900</v>
      </c>
      <c r="R651" t="s">
        <v>888</v>
      </c>
      <c r="S651" t="s">
        <v>1989</v>
      </c>
      <c r="V651" t="s">
        <v>1015</v>
      </c>
      <c r="Z651">
        <v>5</v>
      </c>
      <c r="AA651">
        <v>5</v>
      </c>
      <c r="AC651">
        <v>345</v>
      </c>
      <c r="AD651">
        <v>19.7</v>
      </c>
      <c r="AE651">
        <v>4720</v>
      </c>
      <c r="AF651">
        <v>28.2</v>
      </c>
      <c r="AG651" t="s">
        <v>3427</v>
      </c>
      <c r="AI651">
        <v>19.7</v>
      </c>
      <c r="AJ651" t="s">
        <v>787</v>
      </c>
      <c r="AK651" t="s">
        <v>69</v>
      </c>
      <c r="AN651">
        <v>96</v>
      </c>
      <c r="AO651">
        <v>0.99996959953790598</v>
      </c>
      <c r="AP651">
        <v>72</v>
      </c>
      <c r="AQ651">
        <v>2.6000998442367558</v>
      </c>
      <c r="AS651">
        <v>-0.28770000000000001</v>
      </c>
      <c r="AT651">
        <v>2.9999999999999997E-4</v>
      </c>
      <c r="AW651" s="28">
        <f t="shared" si="50"/>
        <v>-12.183794125369584</v>
      </c>
      <c r="AX651">
        <f t="shared" si="51"/>
        <v>0.90322580645161288</v>
      </c>
      <c r="AY651" s="62">
        <f t="shared" si="52"/>
        <v>-11.004717274527366</v>
      </c>
      <c r="AZ651" s="68" t="str">
        <f t="shared" si="53"/>
        <v>No</v>
      </c>
      <c r="BA651" s="68" t="str">
        <f t="shared" si="54"/>
        <v>Yes</v>
      </c>
    </row>
    <row r="652" spans="1:53" hidden="1">
      <c r="A652" t="s">
        <v>1815</v>
      </c>
      <c r="B652" t="s">
        <v>2299</v>
      </c>
      <c r="C652">
        <v>174</v>
      </c>
      <c r="F652" t="s">
        <v>1241</v>
      </c>
      <c r="G652" t="s">
        <v>1970</v>
      </c>
      <c r="I652">
        <v>2021</v>
      </c>
      <c r="N652" t="s">
        <v>36</v>
      </c>
      <c r="P652" t="s">
        <v>60</v>
      </c>
      <c r="Q652" t="s">
        <v>900</v>
      </c>
      <c r="R652" t="s">
        <v>888</v>
      </c>
      <c r="S652" t="s">
        <v>1989</v>
      </c>
      <c r="V652" t="s">
        <v>1015</v>
      </c>
      <c r="Z652">
        <v>5</v>
      </c>
      <c r="AA652">
        <v>5</v>
      </c>
      <c r="AC652">
        <v>345</v>
      </c>
      <c r="AD652">
        <v>19.7</v>
      </c>
      <c r="AE652">
        <v>4720</v>
      </c>
      <c r="AF652">
        <v>28.2</v>
      </c>
      <c r="AG652" t="s">
        <v>3444</v>
      </c>
      <c r="AI652">
        <v>19.7</v>
      </c>
      <c r="AJ652" t="s">
        <v>50</v>
      </c>
      <c r="AK652" t="s">
        <v>40</v>
      </c>
      <c r="AN652">
        <v>0.33</v>
      </c>
      <c r="AO652">
        <v>4.9193495504995383E-3</v>
      </c>
      <c r="AP652">
        <v>0.38</v>
      </c>
      <c r="AQ652">
        <v>1.9901004999748128E-2</v>
      </c>
      <c r="AS652">
        <v>0.1411</v>
      </c>
      <c r="AT652">
        <v>5.9999999999999995E-4</v>
      </c>
      <c r="AW652" s="28">
        <f t="shared" si="50"/>
        <v>3.4493013716416945</v>
      </c>
      <c r="AX652">
        <f t="shared" si="51"/>
        <v>0.90322580645161288</v>
      </c>
      <c r="AY652" s="62">
        <f t="shared" si="52"/>
        <v>3.1154980130957242</v>
      </c>
      <c r="AZ652" s="68" t="str">
        <f t="shared" si="53"/>
        <v>No</v>
      </c>
      <c r="BA652" s="68" t="str">
        <f t="shared" si="54"/>
        <v>No</v>
      </c>
    </row>
    <row r="653" spans="1:53" hidden="1">
      <c r="A653" t="s">
        <v>1815</v>
      </c>
      <c r="B653" t="s">
        <v>2319</v>
      </c>
      <c r="C653">
        <v>174</v>
      </c>
      <c r="F653" t="s">
        <v>1241</v>
      </c>
      <c r="G653" t="s">
        <v>1970</v>
      </c>
      <c r="I653">
        <v>2017</v>
      </c>
      <c r="N653" t="s">
        <v>36</v>
      </c>
      <c r="P653" t="s">
        <v>60</v>
      </c>
      <c r="Q653" t="s">
        <v>900</v>
      </c>
      <c r="R653" t="s">
        <v>888</v>
      </c>
      <c r="S653" t="s">
        <v>1989</v>
      </c>
      <c r="V653" t="s">
        <v>1015</v>
      </c>
      <c r="Z653">
        <v>5</v>
      </c>
      <c r="AA653">
        <v>20</v>
      </c>
      <c r="AC653">
        <v>345</v>
      </c>
      <c r="AD653">
        <v>19.7</v>
      </c>
      <c r="AE653">
        <v>2192</v>
      </c>
      <c r="AF653">
        <v>23.8</v>
      </c>
      <c r="AG653" t="s">
        <v>3444</v>
      </c>
      <c r="AI653">
        <v>19.7</v>
      </c>
      <c r="AJ653" t="s">
        <v>50</v>
      </c>
      <c r="AK653" t="s">
        <v>40</v>
      </c>
      <c r="AN653">
        <v>0.33</v>
      </c>
      <c r="AO653">
        <v>4.9193495504995383E-3</v>
      </c>
      <c r="AP653">
        <v>0.36</v>
      </c>
      <c r="AQ653">
        <v>1.9230184606498193E-2</v>
      </c>
      <c r="AS653">
        <v>8.6999999999999994E-2</v>
      </c>
      <c r="AT653">
        <v>2.0000000000000001E-4</v>
      </c>
      <c r="AW653" s="28">
        <f t="shared" si="50"/>
        <v>1.7047225285483147</v>
      </c>
      <c r="AX653">
        <f t="shared" si="51"/>
        <v>0.96703296703296704</v>
      </c>
      <c r="AY653" s="62">
        <f t="shared" si="52"/>
        <v>1.6485228847500186</v>
      </c>
      <c r="AZ653" s="68" t="str">
        <f t="shared" si="53"/>
        <v>No</v>
      </c>
      <c r="BA653" s="68" t="str">
        <f t="shared" si="54"/>
        <v>No</v>
      </c>
    </row>
    <row r="654" spans="1:53" hidden="1">
      <c r="A654" t="s">
        <v>1815</v>
      </c>
      <c r="B654" t="s">
        <v>2326</v>
      </c>
      <c r="C654">
        <v>174</v>
      </c>
      <c r="F654" t="s">
        <v>1241</v>
      </c>
      <c r="G654" t="s">
        <v>1970</v>
      </c>
      <c r="I654">
        <v>2018</v>
      </c>
      <c r="N654" t="s">
        <v>36</v>
      </c>
      <c r="P654" t="s">
        <v>60</v>
      </c>
      <c r="Q654" t="s">
        <v>900</v>
      </c>
      <c r="R654" t="s">
        <v>888</v>
      </c>
      <c r="S654" t="s">
        <v>1989</v>
      </c>
      <c r="V654" t="s">
        <v>1015</v>
      </c>
      <c r="Z654">
        <v>5</v>
      </c>
      <c r="AA654">
        <v>10</v>
      </c>
      <c r="AC654">
        <v>345</v>
      </c>
      <c r="AD654">
        <v>19.7</v>
      </c>
      <c r="AE654">
        <v>4386</v>
      </c>
      <c r="AF654">
        <v>23.9</v>
      </c>
      <c r="AG654" t="s">
        <v>3444</v>
      </c>
      <c r="AI654">
        <v>19.7</v>
      </c>
      <c r="AJ654" t="s">
        <v>50</v>
      </c>
      <c r="AK654" t="s">
        <v>40</v>
      </c>
      <c r="AN654">
        <v>0.33</v>
      </c>
      <c r="AO654">
        <v>4.9193495504995383E-3</v>
      </c>
      <c r="AP654">
        <v>0.35</v>
      </c>
      <c r="AQ654">
        <v>1.7708754896942926E-2</v>
      </c>
      <c r="AS654">
        <v>5.8799999999999998E-2</v>
      </c>
      <c r="AT654">
        <v>2.9999999999999997E-4</v>
      </c>
      <c r="AW654" s="28">
        <f t="shared" si="50"/>
        <v>1.3346572398675747</v>
      </c>
      <c r="AX654">
        <f t="shared" si="51"/>
        <v>0.94117647058823528</v>
      </c>
      <c r="AY654" s="62">
        <f t="shared" si="52"/>
        <v>1.2561479904635997</v>
      </c>
      <c r="AZ654" s="68" t="str">
        <f t="shared" si="53"/>
        <v>No</v>
      </c>
      <c r="BA654" s="68" t="str">
        <f t="shared" si="54"/>
        <v>No</v>
      </c>
    </row>
    <row r="655" spans="1:53" hidden="1">
      <c r="A655" t="s">
        <v>1815</v>
      </c>
      <c r="B655" t="s">
        <v>2441</v>
      </c>
      <c r="C655">
        <v>174</v>
      </c>
      <c r="F655" t="s">
        <v>1241</v>
      </c>
      <c r="G655" t="s">
        <v>1970</v>
      </c>
      <c r="I655">
        <v>2015</v>
      </c>
      <c r="N655" t="s">
        <v>36</v>
      </c>
      <c r="P655" t="s">
        <v>60</v>
      </c>
      <c r="Q655" t="s">
        <v>900</v>
      </c>
      <c r="R655" t="s">
        <v>888</v>
      </c>
      <c r="S655" t="s">
        <v>1989</v>
      </c>
      <c r="V655" t="s">
        <v>1015</v>
      </c>
      <c r="Z655">
        <v>5</v>
      </c>
      <c r="AA655">
        <v>25</v>
      </c>
      <c r="AC655">
        <v>345</v>
      </c>
      <c r="AD655">
        <v>19.7</v>
      </c>
      <c r="AE655">
        <v>1977</v>
      </c>
      <c r="AF655">
        <v>23.8</v>
      </c>
      <c r="AG655" t="s">
        <v>3444</v>
      </c>
      <c r="AI655">
        <v>19.7</v>
      </c>
      <c r="AJ655" t="s">
        <v>787</v>
      </c>
      <c r="AK655" t="s">
        <v>69</v>
      </c>
      <c r="AN655">
        <v>82</v>
      </c>
      <c r="AO655">
        <v>1.999939199075812</v>
      </c>
      <c r="AP655">
        <v>46.4</v>
      </c>
      <c r="AQ655">
        <v>10.512999999999998</v>
      </c>
      <c r="AS655">
        <v>-0.56940000000000002</v>
      </c>
      <c r="AT655">
        <v>2.2000000000000001E-3</v>
      </c>
      <c r="AW655" s="28">
        <f t="shared" si="50"/>
        <v>-3.6466235116672552</v>
      </c>
      <c r="AX655">
        <f t="shared" si="51"/>
        <v>0.97297297297297303</v>
      </c>
      <c r="AY655" s="62">
        <f t="shared" si="52"/>
        <v>-3.5480661194600325</v>
      </c>
      <c r="AZ655" s="68" t="str">
        <f t="shared" si="53"/>
        <v>No</v>
      </c>
      <c r="BA655" s="68" t="str">
        <f t="shared" si="54"/>
        <v>No</v>
      </c>
    </row>
    <row r="656" spans="1:53" hidden="1">
      <c r="A656" t="s">
        <v>1815</v>
      </c>
      <c r="B656" t="s">
        <v>2454</v>
      </c>
      <c r="C656">
        <v>174</v>
      </c>
      <c r="F656" t="s">
        <v>1241</v>
      </c>
      <c r="G656" t="s">
        <v>1970</v>
      </c>
      <c r="I656">
        <v>2017</v>
      </c>
      <c r="N656" t="s">
        <v>36</v>
      </c>
      <c r="P656" t="s">
        <v>60</v>
      </c>
      <c r="Q656" t="s">
        <v>900</v>
      </c>
      <c r="R656" t="s">
        <v>888</v>
      </c>
      <c r="S656" t="s">
        <v>1989</v>
      </c>
      <c r="V656" t="s">
        <v>1015</v>
      </c>
      <c r="Z656">
        <v>5</v>
      </c>
      <c r="AA656">
        <v>20</v>
      </c>
      <c r="AC656">
        <v>345</v>
      </c>
      <c r="AD656">
        <v>19.7</v>
      </c>
      <c r="AE656">
        <v>4289</v>
      </c>
      <c r="AF656">
        <v>23.9</v>
      </c>
      <c r="AG656" t="s">
        <v>3444</v>
      </c>
      <c r="AI656">
        <v>19.7</v>
      </c>
      <c r="AJ656" t="s">
        <v>787</v>
      </c>
      <c r="AK656" t="s">
        <v>69</v>
      </c>
      <c r="AN656">
        <v>82</v>
      </c>
      <c r="AO656">
        <v>1.999939199075812</v>
      </c>
      <c r="AP656">
        <v>40.25</v>
      </c>
      <c r="AQ656">
        <v>8.5158412855101986</v>
      </c>
      <c r="AS656">
        <v>-0.71160000000000001</v>
      </c>
      <c r="AT656">
        <v>2.3999999999999998E-3</v>
      </c>
      <c r="AW656" s="28">
        <f t="shared" si="50"/>
        <v>-5.3630170753934214</v>
      </c>
      <c r="AX656">
        <f t="shared" si="51"/>
        <v>0.96703296703296704</v>
      </c>
      <c r="AY656" s="62">
        <f t="shared" si="52"/>
        <v>-5.1862143146661657</v>
      </c>
      <c r="AZ656" s="68" t="str">
        <f t="shared" si="53"/>
        <v>No</v>
      </c>
      <c r="BA656" s="68" t="str">
        <f t="shared" si="54"/>
        <v>No</v>
      </c>
    </row>
    <row r="657" spans="1:53" hidden="1">
      <c r="A657" t="s">
        <v>1815</v>
      </c>
      <c r="B657" t="s">
        <v>2460</v>
      </c>
      <c r="C657">
        <v>174</v>
      </c>
      <c r="F657" t="s">
        <v>1241</v>
      </c>
      <c r="G657" t="s">
        <v>1970</v>
      </c>
      <c r="N657" t="s">
        <v>36</v>
      </c>
      <c r="P657" t="s">
        <v>60</v>
      </c>
      <c r="Q657" t="s">
        <v>900</v>
      </c>
      <c r="R657" t="s">
        <v>888</v>
      </c>
      <c r="S657" t="s">
        <v>1989</v>
      </c>
      <c r="V657" t="s">
        <v>1015</v>
      </c>
      <c r="Z657">
        <v>5</v>
      </c>
      <c r="AA657">
        <v>10</v>
      </c>
      <c r="AC657">
        <v>345</v>
      </c>
      <c r="AD657">
        <v>19.7</v>
      </c>
      <c r="AE657">
        <v>2328</v>
      </c>
      <c r="AF657">
        <v>28</v>
      </c>
      <c r="AG657" t="s">
        <v>3444</v>
      </c>
      <c r="AI657">
        <v>19.7</v>
      </c>
      <c r="AJ657" t="s">
        <v>787</v>
      </c>
      <c r="AK657" t="s">
        <v>69</v>
      </c>
      <c r="AN657">
        <v>82</v>
      </c>
      <c r="AO657">
        <v>1.999939199075812</v>
      </c>
      <c r="AP657">
        <v>27</v>
      </c>
      <c r="AQ657">
        <v>5.6920997883030831</v>
      </c>
      <c r="AS657">
        <v>-1.1109</v>
      </c>
      <c r="AT657">
        <v>4.5999999999999999E-3</v>
      </c>
      <c r="AW657" s="28">
        <f t="shared" si="50"/>
        <v>-11.306856667398124</v>
      </c>
      <c r="AX657">
        <f t="shared" si="51"/>
        <v>0.94117647058823528</v>
      </c>
      <c r="AY657" s="62">
        <f t="shared" si="52"/>
        <v>-10.641747451668822</v>
      </c>
      <c r="AZ657" s="68" t="str">
        <f t="shared" si="53"/>
        <v>No</v>
      </c>
      <c r="BA657" s="68" t="str">
        <f t="shared" si="54"/>
        <v>Yes</v>
      </c>
    </row>
    <row r="658" spans="1:53" hidden="1">
      <c r="A658" t="s">
        <v>1815</v>
      </c>
      <c r="B658" t="s">
        <v>2465</v>
      </c>
      <c r="C658">
        <v>174</v>
      </c>
      <c r="F658" t="s">
        <v>1241</v>
      </c>
      <c r="G658" t="s">
        <v>1970</v>
      </c>
      <c r="I658">
        <v>2018</v>
      </c>
      <c r="N658" t="s">
        <v>36</v>
      </c>
      <c r="P658" t="s">
        <v>60</v>
      </c>
      <c r="Q658" t="s">
        <v>900</v>
      </c>
      <c r="R658" t="s">
        <v>888</v>
      </c>
      <c r="S658" t="s">
        <v>1989</v>
      </c>
      <c r="V658" t="s">
        <v>1015</v>
      </c>
      <c r="Z658">
        <v>5</v>
      </c>
      <c r="AA658">
        <v>5</v>
      </c>
      <c r="AC658">
        <v>345</v>
      </c>
      <c r="AD658">
        <v>19.7</v>
      </c>
      <c r="AE658">
        <v>4720</v>
      </c>
      <c r="AF658">
        <v>28.2</v>
      </c>
      <c r="AG658" t="s">
        <v>3444</v>
      </c>
      <c r="AI658">
        <v>19.7</v>
      </c>
      <c r="AJ658" t="s">
        <v>787</v>
      </c>
      <c r="AK658" t="s">
        <v>69</v>
      </c>
      <c r="AN658">
        <v>82</v>
      </c>
      <c r="AO658">
        <v>1.999939199075812</v>
      </c>
      <c r="AP658">
        <v>9</v>
      </c>
      <c r="AQ658">
        <v>1.200097683524137</v>
      </c>
      <c r="AS658">
        <v>-2.2094999999999998</v>
      </c>
      <c r="AT658">
        <v>3.7000000000000002E-3</v>
      </c>
      <c r="AW658" s="28">
        <f t="shared" si="50"/>
        <v>-44.262787166515274</v>
      </c>
      <c r="AX658">
        <f t="shared" si="51"/>
        <v>0.90322580645161288</v>
      </c>
      <c r="AY658" s="62">
        <f t="shared" si="52"/>
        <v>-39.97929163427186</v>
      </c>
      <c r="AZ658" s="68" t="str">
        <f t="shared" si="53"/>
        <v>No</v>
      </c>
      <c r="BA658" s="68" t="str">
        <f t="shared" si="54"/>
        <v>Yes</v>
      </c>
    </row>
    <row r="659" spans="1:53" hidden="1">
      <c r="A659" t="s">
        <v>1815</v>
      </c>
      <c r="B659" t="s">
        <v>2212</v>
      </c>
      <c r="C659">
        <v>183</v>
      </c>
      <c r="F659" t="s">
        <v>1241</v>
      </c>
      <c r="G659" t="s">
        <v>1975</v>
      </c>
      <c r="I659">
        <v>2014</v>
      </c>
      <c r="N659" t="s">
        <v>36</v>
      </c>
      <c r="P659" t="s">
        <v>60</v>
      </c>
      <c r="Q659" t="s">
        <v>900</v>
      </c>
      <c r="R659" t="s">
        <v>888</v>
      </c>
      <c r="S659" t="s">
        <v>1994</v>
      </c>
      <c r="V659" t="s">
        <v>905</v>
      </c>
      <c r="Z659">
        <v>38</v>
      </c>
      <c r="AA659">
        <v>41</v>
      </c>
      <c r="AC659">
        <v>385</v>
      </c>
      <c r="AD659">
        <v>4.9000000000000004</v>
      </c>
      <c r="AE659">
        <v>2180</v>
      </c>
      <c r="AF659">
        <v>4.8</v>
      </c>
      <c r="AG659" t="s">
        <v>3432</v>
      </c>
      <c r="AI659">
        <v>4.9000000000000004</v>
      </c>
      <c r="AJ659" t="s">
        <v>2007</v>
      </c>
      <c r="AK659" t="s">
        <v>770</v>
      </c>
      <c r="AN659">
        <v>5.47</v>
      </c>
      <c r="AO659">
        <v>0.30822070014844882</v>
      </c>
      <c r="AP659">
        <v>5.59</v>
      </c>
      <c r="AQ659">
        <v>0.16007810593582122</v>
      </c>
      <c r="AS659">
        <v>2.1700000000000001E-2</v>
      </c>
      <c r="AT659">
        <v>1E-4</v>
      </c>
      <c r="AW659" s="28">
        <f t="shared" si="50"/>
        <v>0.49419538129151741</v>
      </c>
      <c r="AX659">
        <f t="shared" si="51"/>
        <v>0.99022801302931596</v>
      </c>
      <c r="AY659" s="62">
        <f t="shared" si="52"/>
        <v>0.48936611046456446</v>
      </c>
      <c r="AZ659" s="68" t="str">
        <f t="shared" si="53"/>
        <v>No</v>
      </c>
      <c r="BA659" s="68" t="str">
        <f t="shared" si="54"/>
        <v>No</v>
      </c>
    </row>
    <row r="660" spans="1:53" hidden="1">
      <c r="A660" t="s">
        <v>1815</v>
      </c>
      <c r="B660" t="s">
        <v>2276</v>
      </c>
      <c r="C660">
        <v>183</v>
      </c>
      <c r="F660" t="s">
        <v>1241</v>
      </c>
      <c r="G660" t="s">
        <v>1975</v>
      </c>
      <c r="I660">
        <v>2018</v>
      </c>
      <c r="N660" t="s">
        <v>36</v>
      </c>
      <c r="P660" t="s">
        <v>60</v>
      </c>
      <c r="Q660" t="s">
        <v>900</v>
      </c>
      <c r="R660" t="s">
        <v>888</v>
      </c>
      <c r="S660" t="s">
        <v>1994</v>
      </c>
      <c r="V660" t="s">
        <v>905</v>
      </c>
      <c r="Z660">
        <v>38</v>
      </c>
      <c r="AA660">
        <v>39</v>
      </c>
      <c r="AC660">
        <v>385</v>
      </c>
      <c r="AD660">
        <v>4.9000000000000004</v>
      </c>
      <c r="AE660">
        <v>1103</v>
      </c>
      <c r="AF660">
        <v>4.9000000000000004</v>
      </c>
      <c r="AG660" t="s">
        <v>3432</v>
      </c>
      <c r="AI660">
        <v>4.9000000000000004</v>
      </c>
      <c r="AJ660" t="s">
        <v>2007</v>
      </c>
      <c r="AK660" t="s">
        <v>770</v>
      </c>
      <c r="AN660">
        <v>5.47</v>
      </c>
      <c r="AO660">
        <v>0.30822070014844882</v>
      </c>
      <c r="AP660">
        <v>5.42</v>
      </c>
      <c r="AQ660">
        <v>0.33972789111287283</v>
      </c>
      <c r="AS660">
        <v>-9.1999999999999998E-3</v>
      </c>
      <c r="AT660">
        <v>2.0000000000000001E-4</v>
      </c>
      <c r="AW660" s="28">
        <f t="shared" si="50"/>
        <v>-0.15405148341954539</v>
      </c>
      <c r="AX660">
        <f t="shared" si="51"/>
        <v>0.98996655518394649</v>
      </c>
      <c r="AY660" s="62">
        <f t="shared" si="52"/>
        <v>-0.1525058163618242</v>
      </c>
      <c r="AZ660" s="68" t="str">
        <f t="shared" si="53"/>
        <v>No</v>
      </c>
      <c r="BA660" s="68" t="str">
        <f t="shared" si="54"/>
        <v>No</v>
      </c>
    </row>
    <row r="661" spans="1:53" hidden="1">
      <c r="A661" t="s">
        <v>1815</v>
      </c>
      <c r="B661" t="s">
        <v>2365</v>
      </c>
      <c r="C661">
        <v>183</v>
      </c>
      <c r="F661" t="s">
        <v>1241</v>
      </c>
      <c r="G661" t="s">
        <v>1975</v>
      </c>
      <c r="I661">
        <v>2019</v>
      </c>
      <c r="N661" t="s">
        <v>36</v>
      </c>
      <c r="P661" t="s">
        <v>60</v>
      </c>
      <c r="Q661" t="s">
        <v>900</v>
      </c>
      <c r="R661" t="s">
        <v>888</v>
      </c>
      <c r="S661" t="s">
        <v>1994</v>
      </c>
      <c r="V661" t="s">
        <v>905</v>
      </c>
      <c r="Z661">
        <v>38</v>
      </c>
      <c r="AA661">
        <v>41</v>
      </c>
      <c r="AC661">
        <v>385</v>
      </c>
      <c r="AD661">
        <v>4.9000000000000004</v>
      </c>
      <c r="AE661">
        <v>2180</v>
      </c>
      <c r="AF661">
        <v>4.8</v>
      </c>
      <c r="AG661" t="s">
        <v>3432</v>
      </c>
      <c r="AI661">
        <v>4.9000000000000004</v>
      </c>
      <c r="AJ661" t="s">
        <v>2041</v>
      </c>
      <c r="AK661" t="s">
        <v>40</v>
      </c>
      <c r="AN661">
        <v>0.16700000000000001</v>
      </c>
      <c r="AO661">
        <v>6.1644140029689765E-2</v>
      </c>
      <c r="AP661">
        <v>0.14000000000000001</v>
      </c>
      <c r="AQ661">
        <v>2.4972184525988109E-2</v>
      </c>
      <c r="AS661">
        <v>-0.1764</v>
      </c>
      <c r="AT661">
        <v>2.3999999999999998E-3</v>
      </c>
      <c r="AW661" s="28">
        <f t="shared" si="50"/>
        <v>-0.58230682412306756</v>
      </c>
      <c r="AX661">
        <f t="shared" si="51"/>
        <v>0.99022801302931596</v>
      </c>
      <c r="AY661" s="62">
        <f t="shared" si="52"/>
        <v>-0.57661652942479658</v>
      </c>
      <c r="AZ661" s="68" t="str">
        <f t="shared" si="53"/>
        <v>No</v>
      </c>
      <c r="BA661" s="68" t="str">
        <f t="shared" si="54"/>
        <v>No</v>
      </c>
    </row>
    <row r="662" spans="1:53" hidden="1">
      <c r="A662" t="s">
        <v>1815</v>
      </c>
      <c r="B662" t="s">
        <v>2383</v>
      </c>
      <c r="C662">
        <v>183</v>
      </c>
      <c r="F662" t="s">
        <v>1241</v>
      </c>
      <c r="G662" t="s">
        <v>1975</v>
      </c>
      <c r="I662">
        <v>2018</v>
      </c>
      <c r="N662" t="s">
        <v>36</v>
      </c>
      <c r="P662" t="s">
        <v>60</v>
      </c>
      <c r="Q662" t="s">
        <v>900</v>
      </c>
      <c r="R662" t="s">
        <v>888</v>
      </c>
      <c r="S662" t="s">
        <v>1994</v>
      </c>
      <c r="V662" t="s">
        <v>905</v>
      </c>
      <c r="Z662">
        <v>38</v>
      </c>
      <c r="AA662">
        <v>39</v>
      </c>
      <c r="AC662">
        <v>385</v>
      </c>
      <c r="AD662">
        <v>4.9000000000000004</v>
      </c>
      <c r="AE662">
        <v>1103</v>
      </c>
      <c r="AF662">
        <v>4.9000000000000004</v>
      </c>
      <c r="AG662" t="s">
        <v>3432</v>
      </c>
      <c r="AI662">
        <v>4.9000000000000004</v>
      </c>
      <c r="AJ662" t="s">
        <v>2041</v>
      </c>
      <c r="AK662" t="s">
        <v>40</v>
      </c>
      <c r="AN662">
        <v>0.16700000000000001</v>
      </c>
      <c r="AO662">
        <v>6.1644140029689765E-2</v>
      </c>
      <c r="AP662">
        <v>0.124</v>
      </c>
      <c r="AQ662">
        <v>3.8094487790230232E-2</v>
      </c>
      <c r="AS662">
        <v>-0.29770000000000002</v>
      </c>
      <c r="AT662">
        <v>4.0000000000000001E-3</v>
      </c>
      <c r="AW662" s="28">
        <f t="shared" si="50"/>
        <v>-0.84169259130478613</v>
      </c>
      <c r="AX662">
        <f t="shared" si="51"/>
        <v>0.98996655518394649</v>
      </c>
      <c r="AY662" s="62">
        <f t="shared" si="52"/>
        <v>-0.83324751513784845</v>
      </c>
      <c r="AZ662" s="68" t="str">
        <f t="shared" si="53"/>
        <v>No</v>
      </c>
      <c r="BA662" s="68" t="str">
        <f t="shared" si="54"/>
        <v>No</v>
      </c>
    </row>
    <row r="663" spans="1:53" hidden="1">
      <c r="A663" t="s">
        <v>1815</v>
      </c>
      <c r="B663" t="s">
        <v>2260</v>
      </c>
      <c r="C663">
        <v>183</v>
      </c>
      <c r="F663" t="s">
        <v>1241</v>
      </c>
      <c r="G663" t="s">
        <v>1975</v>
      </c>
      <c r="I663">
        <v>2018</v>
      </c>
      <c r="N663" t="s">
        <v>36</v>
      </c>
      <c r="P663" t="s">
        <v>60</v>
      </c>
      <c r="Q663" t="s">
        <v>900</v>
      </c>
      <c r="R663" t="s">
        <v>888</v>
      </c>
      <c r="S663" t="s">
        <v>1994</v>
      </c>
      <c r="V663" t="s">
        <v>907</v>
      </c>
      <c r="Z663">
        <v>38</v>
      </c>
      <c r="AA663">
        <v>40</v>
      </c>
      <c r="AC663">
        <v>385</v>
      </c>
      <c r="AD663">
        <v>4.9000000000000004</v>
      </c>
      <c r="AE663">
        <v>379</v>
      </c>
      <c r="AF663">
        <v>7.1</v>
      </c>
      <c r="AG663" t="s">
        <v>3432</v>
      </c>
      <c r="AI663">
        <v>4.9000000000000004</v>
      </c>
      <c r="AJ663" t="s">
        <v>2007</v>
      </c>
      <c r="AK663" t="s">
        <v>770</v>
      </c>
      <c r="AN663">
        <v>5.47</v>
      </c>
      <c r="AO663">
        <v>0.30822070014844882</v>
      </c>
      <c r="AP663">
        <v>5.24</v>
      </c>
      <c r="AQ663">
        <v>0.23021381366025803</v>
      </c>
      <c r="AS663">
        <v>-4.2999999999999997E-2</v>
      </c>
      <c r="AT663">
        <v>1E-4</v>
      </c>
      <c r="AW663" s="28">
        <f t="shared" si="50"/>
        <v>-0.84867643528848202</v>
      </c>
      <c r="AX663">
        <f t="shared" si="51"/>
        <v>0.99009900990099009</v>
      </c>
      <c r="AY663" s="62">
        <f t="shared" si="52"/>
        <v>-0.84027369830542775</v>
      </c>
      <c r="AZ663" s="68" t="str">
        <f t="shared" si="53"/>
        <v>No</v>
      </c>
      <c r="BA663" s="68" t="str">
        <f t="shared" si="54"/>
        <v>No</v>
      </c>
    </row>
    <row r="664" spans="1:53" hidden="1">
      <c r="A664" t="s">
        <v>1815</v>
      </c>
      <c r="B664" t="s">
        <v>2261</v>
      </c>
      <c r="C664">
        <v>183</v>
      </c>
      <c r="F664" t="s">
        <v>1241</v>
      </c>
      <c r="G664" t="s">
        <v>1975</v>
      </c>
      <c r="I664">
        <v>2019</v>
      </c>
      <c r="N664" t="s">
        <v>36</v>
      </c>
      <c r="P664" t="s">
        <v>60</v>
      </c>
      <c r="Q664" t="s">
        <v>900</v>
      </c>
      <c r="R664" t="s">
        <v>888</v>
      </c>
      <c r="S664" t="s">
        <v>1994</v>
      </c>
      <c r="V664" t="s">
        <v>907</v>
      </c>
      <c r="Z664">
        <v>38</v>
      </c>
      <c r="AA664">
        <v>28</v>
      </c>
      <c r="AC664">
        <v>385</v>
      </c>
      <c r="AD664">
        <v>4.9000000000000004</v>
      </c>
      <c r="AE664">
        <v>404</v>
      </c>
      <c r="AF664">
        <v>10</v>
      </c>
      <c r="AG664" t="s">
        <v>3432</v>
      </c>
      <c r="AI664">
        <v>4.9000000000000004</v>
      </c>
      <c r="AJ664" t="s">
        <v>2007</v>
      </c>
      <c r="AK664" t="s">
        <v>770</v>
      </c>
      <c r="AN664">
        <v>5.47</v>
      </c>
      <c r="AO664">
        <v>0.30822070014844882</v>
      </c>
      <c r="AP664">
        <v>5.41</v>
      </c>
      <c r="AQ664">
        <v>0.20001879911648307</v>
      </c>
      <c r="AS664">
        <v>-1.0999999999999999E-2</v>
      </c>
      <c r="AT664">
        <v>1E-4</v>
      </c>
      <c r="AW664" s="28">
        <f t="shared" si="50"/>
        <v>-0.22391793719107075</v>
      </c>
      <c r="AX664">
        <f t="shared" si="51"/>
        <v>0.9882352941176471</v>
      </c>
      <c r="AY664" s="62">
        <f t="shared" si="52"/>
        <v>-0.22128360851823464</v>
      </c>
      <c r="AZ664" s="68" t="str">
        <f t="shared" si="53"/>
        <v>No</v>
      </c>
      <c r="BA664" s="68" t="str">
        <f t="shared" si="54"/>
        <v>No</v>
      </c>
    </row>
    <row r="665" spans="1:53" hidden="1">
      <c r="A665" t="s">
        <v>1815</v>
      </c>
      <c r="B665" t="s">
        <v>2368</v>
      </c>
      <c r="C665">
        <v>183</v>
      </c>
      <c r="F665" t="s">
        <v>1241</v>
      </c>
      <c r="G665" t="s">
        <v>1975</v>
      </c>
      <c r="I665">
        <v>2019</v>
      </c>
      <c r="N665" t="s">
        <v>36</v>
      </c>
      <c r="P665" t="s">
        <v>60</v>
      </c>
      <c r="Q665" t="s">
        <v>900</v>
      </c>
      <c r="R665" t="s">
        <v>888</v>
      </c>
      <c r="S665" t="s">
        <v>1994</v>
      </c>
      <c r="V665" t="s">
        <v>907</v>
      </c>
      <c r="Z665">
        <v>38</v>
      </c>
      <c r="AA665">
        <v>40</v>
      </c>
      <c r="AC665">
        <v>385</v>
      </c>
      <c r="AD665">
        <v>4.9000000000000004</v>
      </c>
      <c r="AE665">
        <v>379</v>
      </c>
      <c r="AF665">
        <v>7.1</v>
      </c>
      <c r="AG665" t="s">
        <v>3432</v>
      </c>
      <c r="AI665">
        <v>4.9000000000000004</v>
      </c>
      <c r="AJ665" t="s">
        <v>2041</v>
      </c>
      <c r="AK665" t="s">
        <v>40</v>
      </c>
      <c r="AN665">
        <v>0.16700000000000001</v>
      </c>
      <c r="AO665">
        <v>6.1644140029689765E-2</v>
      </c>
      <c r="AP665">
        <v>0.184</v>
      </c>
      <c r="AQ665">
        <v>3.6049965325919531E-2</v>
      </c>
      <c r="AS665">
        <v>9.69E-2</v>
      </c>
      <c r="AT665">
        <v>2.5000000000000001E-3</v>
      </c>
      <c r="AW665" s="28">
        <f t="shared" si="50"/>
        <v>0.33885659381466854</v>
      </c>
      <c r="AX665">
        <f t="shared" si="51"/>
        <v>0.99009900990099009</v>
      </c>
      <c r="AY665" s="62">
        <f t="shared" si="52"/>
        <v>0.33550157803432529</v>
      </c>
      <c r="AZ665" s="68" t="str">
        <f t="shared" si="53"/>
        <v>No</v>
      </c>
      <c r="BA665" s="68" t="str">
        <f t="shared" si="54"/>
        <v>No</v>
      </c>
    </row>
    <row r="666" spans="1:53" hidden="1">
      <c r="A666" t="s">
        <v>1815</v>
      </c>
      <c r="B666" t="s">
        <v>2373</v>
      </c>
      <c r="C666">
        <v>183</v>
      </c>
      <c r="F666" t="s">
        <v>1241</v>
      </c>
      <c r="G666" t="s">
        <v>1975</v>
      </c>
      <c r="I666">
        <v>2017</v>
      </c>
      <c r="N666" t="s">
        <v>36</v>
      </c>
      <c r="P666" t="s">
        <v>60</v>
      </c>
      <c r="Q666" t="s">
        <v>900</v>
      </c>
      <c r="R666" t="s">
        <v>888</v>
      </c>
      <c r="S666" t="s">
        <v>1994</v>
      </c>
      <c r="V666" t="s">
        <v>907</v>
      </c>
      <c r="Z666">
        <v>38</v>
      </c>
      <c r="AA666">
        <v>28</v>
      </c>
      <c r="AC666">
        <v>385</v>
      </c>
      <c r="AD666">
        <v>4.9000000000000004</v>
      </c>
      <c r="AE666">
        <v>404</v>
      </c>
      <c r="AF666">
        <v>10</v>
      </c>
      <c r="AG666" t="s">
        <v>3432</v>
      </c>
      <c r="AI666">
        <v>4.9000000000000004</v>
      </c>
      <c r="AJ666" t="s">
        <v>2041</v>
      </c>
      <c r="AK666" t="s">
        <v>40</v>
      </c>
      <c r="AN666">
        <v>0.16700000000000001</v>
      </c>
      <c r="AO666">
        <v>6.1644140029689765E-2</v>
      </c>
      <c r="AP666">
        <v>0.159</v>
      </c>
      <c r="AQ666">
        <v>2.8044963897284662E-2</v>
      </c>
      <c r="AS666">
        <v>-4.9099999999999998E-2</v>
      </c>
      <c r="AT666">
        <v>2.7000000000000001E-3</v>
      </c>
      <c r="AW666" s="28">
        <f t="shared" si="50"/>
        <v>-0.15908980607879694</v>
      </c>
      <c r="AX666">
        <f t="shared" si="51"/>
        <v>0.9882352941176471</v>
      </c>
      <c r="AY666" s="62">
        <f t="shared" si="52"/>
        <v>-0.15721816130139935</v>
      </c>
      <c r="AZ666" s="68" t="str">
        <f t="shared" si="53"/>
        <v>No</v>
      </c>
      <c r="BA666" s="68" t="str">
        <f t="shared" si="54"/>
        <v>No</v>
      </c>
    </row>
    <row r="667" spans="1:53" hidden="1">
      <c r="A667" t="s">
        <v>1815</v>
      </c>
      <c r="B667" t="s">
        <v>2258</v>
      </c>
      <c r="C667">
        <v>183</v>
      </c>
      <c r="F667" t="s">
        <v>1241</v>
      </c>
      <c r="G667" t="s">
        <v>1975</v>
      </c>
      <c r="I667">
        <v>2019</v>
      </c>
      <c r="N667" t="s">
        <v>36</v>
      </c>
      <c r="P667" t="s">
        <v>60</v>
      </c>
      <c r="Q667" t="s">
        <v>900</v>
      </c>
      <c r="R667" t="s">
        <v>888</v>
      </c>
      <c r="S667" t="s">
        <v>1994</v>
      </c>
      <c r="V667" t="s">
        <v>1015</v>
      </c>
      <c r="Z667">
        <v>38</v>
      </c>
      <c r="AA667">
        <v>40</v>
      </c>
      <c r="AC667">
        <v>385</v>
      </c>
      <c r="AD667">
        <v>4.9000000000000004</v>
      </c>
      <c r="AE667">
        <v>1076</v>
      </c>
      <c r="AF667">
        <v>7</v>
      </c>
      <c r="AG667" t="s">
        <v>3432</v>
      </c>
      <c r="AI667">
        <v>4.9000000000000004</v>
      </c>
      <c r="AJ667" t="s">
        <v>2007</v>
      </c>
      <c r="AK667" t="s">
        <v>770</v>
      </c>
      <c r="AN667">
        <v>5.47</v>
      </c>
      <c r="AO667">
        <v>0.30822070014844882</v>
      </c>
      <c r="AP667">
        <v>5.22</v>
      </c>
      <c r="AQ667">
        <v>0.1998559481226416</v>
      </c>
      <c r="AS667">
        <v>-4.6800000000000001E-2</v>
      </c>
      <c r="AT667">
        <v>1E-4</v>
      </c>
      <c r="AW667" s="28">
        <f t="shared" si="50"/>
        <v>-0.96766475008773978</v>
      </c>
      <c r="AX667">
        <f t="shared" si="51"/>
        <v>0.99009900990099009</v>
      </c>
      <c r="AY667" s="62">
        <f t="shared" si="52"/>
        <v>-0.9580839109779602</v>
      </c>
      <c r="AZ667" s="68" t="str">
        <f t="shared" si="53"/>
        <v>No</v>
      </c>
      <c r="BA667" s="68" t="str">
        <f t="shared" si="54"/>
        <v>No</v>
      </c>
    </row>
    <row r="668" spans="1:53" hidden="1">
      <c r="A668" t="s">
        <v>1815</v>
      </c>
      <c r="B668" t="s">
        <v>2259</v>
      </c>
      <c r="C668">
        <v>183</v>
      </c>
      <c r="F668" t="s">
        <v>1241</v>
      </c>
      <c r="G668" t="s">
        <v>1975</v>
      </c>
      <c r="I668">
        <v>2018</v>
      </c>
      <c r="N668" t="s">
        <v>36</v>
      </c>
      <c r="P668" t="s">
        <v>60</v>
      </c>
      <c r="Q668" t="s">
        <v>900</v>
      </c>
      <c r="R668" t="s">
        <v>888</v>
      </c>
      <c r="S668" t="s">
        <v>1994</v>
      </c>
      <c r="V668" t="s">
        <v>1015</v>
      </c>
      <c r="Z668">
        <v>38</v>
      </c>
      <c r="AA668">
        <v>48</v>
      </c>
      <c r="AC668">
        <v>385</v>
      </c>
      <c r="AD668">
        <v>4.9000000000000004</v>
      </c>
      <c r="AE668">
        <v>2155</v>
      </c>
      <c r="AF668">
        <v>7.2</v>
      </c>
      <c r="AG668" t="s">
        <v>3432</v>
      </c>
      <c r="AI668">
        <v>4.9000000000000004</v>
      </c>
      <c r="AJ668" t="s">
        <v>2007</v>
      </c>
      <c r="AK668" t="s">
        <v>770</v>
      </c>
      <c r="AN668">
        <v>5.47</v>
      </c>
      <c r="AO668">
        <v>0.30822070014844882</v>
      </c>
      <c r="AP668">
        <v>5.12</v>
      </c>
      <c r="AQ668">
        <v>0.22031686272276119</v>
      </c>
      <c r="AS668">
        <v>-6.6100000000000006E-2</v>
      </c>
      <c r="AT668">
        <v>1E-4</v>
      </c>
      <c r="AW668" s="28">
        <f t="shared" si="50"/>
        <v>-1.3323861447755043</v>
      </c>
      <c r="AX668">
        <f t="shared" si="51"/>
        <v>0.991044776119403</v>
      </c>
      <c r="AY668" s="62">
        <f t="shared" si="52"/>
        <v>-1.3204543285536341</v>
      </c>
      <c r="AZ668" s="68" t="str">
        <f t="shared" si="53"/>
        <v>No</v>
      </c>
      <c r="BA668" s="68" t="str">
        <f t="shared" si="54"/>
        <v>No</v>
      </c>
    </row>
    <row r="669" spans="1:53" hidden="1">
      <c r="A669" t="s">
        <v>1815</v>
      </c>
      <c r="B669" t="s">
        <v>2266</v>
      </c>
      <c r="C669">
        <v>183</v>
      </c>
      <c r="F669" t="s">
        <v>1241</v>
      </c>
      <c r="G669" t="s">
        <v>1975</v>
      </c>
      <c r="I669">
        <v>2018</v>
      </c>
      <c r="N669" t="s">
        <v>36</v>
      </c>
      <c r="P669" t="s">
        <v>60</v>
      </c>
      <c r="Q669" t="s">
        <v>900</v>
      </c>
      <c r="R669" t="s">
        <v>888</v>
      </c>
      <c r="S669" t="s">
        <v>1994</v>
      </c>
      <c r="V669" t="s">
        <v>1015</v>
      </c>
      <c r="Z669">
        <v>38</v>
      </c>
      <c r="AA669">
        <v>32</v>
      </c>
      <c r="AC669">
        <v>386</v>
      </c>
      <c r="AD669">
        <v>4.9000000000000004</v>
      </c>
      <c r="AE669">
        <v>1051</v>
      </c>
      <c r="AF669">
        <v>9.6999999999999993</v>
      </c>
      <c r="AG669" t="s">
        <v>3443</v>
      </c>
      <c r="AI669">
        <v>4.9000000000000004</v>
      </c>
      <c r="AJ669" t="s">
        <v>2007</v>
      </c>
      <c r="AK669" t="s">
        <v>770</v>
      </c>
      <c r="AN669">
        <v>5.47</v>
      </c>
      <c r="AO669">
        <v>0.30822070014844882</v>
      </c>
      <c r="AP669">
        <v>5.34</v>
      </c>
      <c r="AQ669">
        <v>0.2302339679543399</v>
      </c>
      <c r="AS669">
        <v>-2.41E-2</v>
      </c>
      <c r="AT669">
        <v>1E-4</v>
      </c>
      <c r="AW669" s="28">
        <f t="shared" si="50"/>
        <v>-0.4720055628116413</v>
      </c>
      <c r="AX669">
        <f t="shared" si="51"/>
        <v>0.98892988929889303</v>
      </c>
      <c r="AY669" s="62">
        <f t="shared" si="52"/>
        <v>-0.46678040897977813</v>
      </c>
      <c r="AZ669" s="68" t="str">
        <f t="shared" si="53"/>
        <v>No</v>
      </c>
      <c r="BA669" s="68" t="str">
        <f t="shared" si="54"/>
        <v>No</v>
      </c>
    </row>
    <row r="670" spans="1:53" hidden="1">
      <c r="A670" t="s">
        <v>1815</v>
      </c>
      <c r="B670" t="s">
        <v>2278</v>
      </c>
      <c r="C670">
        <v>183</v>
      </c>
      <c r="F670" t="s">
        <v>1241</v>
      </c>
      <c r="G670" t="s">
        <v>1975</v>
      </c>
      <c r="I670">
        <v>2017</v>
      </c>
      <c r="N670" t="s">
        <v>36</v>
      </c>
      <c r="P670" t="s">
        <v>60</v>
      </c>
      <c r="Q670" t="s">
        <v>900</v>
      </c>
      <c r="R670" t="s">
        <v>888</v>
      </c>
      <c r="S670" t="s">
        <v>1994</v>
      </c>
      <c r="V670" t="s">
        <v>1015</v>
      </c>
      <c r="Z670">
        <v>38</v>
      </c>
      <c r="AA670">
        <v>24</v>
      </c>
      <c r="AC670">
        <v>387</v>
      </c>
      <c r="AD670">
        <v>4.9000000000000004</v>
      </c>
      <c r="AE670">
        <v>2056</v>
      </c>
      <c r="AF670">
        <v>9.5</v>
      </c>
      <c r="AG670" t="s">
        <v>3447</v>
      </c>
      <c r="AI670">
        <v>4.9000000000000004</v>
      </c>
      <c r="AJ670" t="s">
        <v>2007</v>
      </c>
      <c r="AK670" t="s">
        <v>770</v>
      </c>
      <c r="AN670">
        <v>5.47</v>
      </c>
      <c r="AO670">
        <v>0.30822070014844882</v>
      </c>
      <c r="AP670">
        <v>5.23</v>
      </c>
      <c r="AQ670">
        <v>0.29001958554552826</v>
      </c>
      <c r="AS670">
        <v>-4.4900000000000002E-2</v>
      </c>
      <c r="AT670">
        <v>2.0000000000000001E-4</v>
      </c>
      <c r="AW670" s="28">
        <f t="shared" si="50"/>
        <v>-0.79635387312061034</v>
      </c>
      <c r="AX670">
        <f t="shared" si="51"/>
        <v>0.9874476987447699</v>
      </c>
      <c r="AY670" s="62">
        <f t="shared" si="52"/>
        <v>-0.78635779939943118</v>
      </c>
      <c r="AZ670" s="68" t="str">
        <f t="shared" si="53"/>
        <v>No</v>
      </c>
      <c r="BA670" s="68" t="str">
        <f t="shared" si="54"/>
        <v>No</v>
      </c>
    </row>
    <row r="671" spans="1:53" hidden="1">
      <c r="A671" t="s">
        <v>1815</v>
      </c>
      <c r="B671" t="s">
        <v>2370</v>
      </c>
      <c r="C671">
        <v>183</v>
      </c>
      <c r="F671" t="s">
        <v>1241</v>
      </c>
      <c r="G671" t="s">
        <v>1975</v>
      </c>
      <c r="I671">
        <v>2014</v>
      </c>
      <c r="N671" t="s">
        <v>36</v>
      </c>
      <c r="P671" t="s">
        <v>60</v>
      </c>
      <c r="Q671" t="s">
        <v>900</v>
      </c>
      <c r="R671" t="s">
        <v>888</v>
      </c>
      <c r="S671" t="s">
        <v>1994</v>
      </c>
      <c r="V671" t="s">
        <v>1015</v>
      </c>
      <c r="Z671">
        <v>38</v>
      </c>
      <c r="AA671">
        <v>40</v>
      </c>
      <c r="AC671">
        <v>385</v>
      </c>
      <c r="AD671">
        <v>4.9000000000000004</v>
      </c>
      <c r="AE671">
        <v>1076</v>
      </c>
      <c r="AF671">
        <v>7</v>
      </c>
      <c r="AG671" t="s">
        <v>3432</v>
      </c>
      <c r="AI671">
        <v>4.9000000000000004</v>
      </c>
      <c r="AJ671" t="s">
        <v>2041</v>
      </c>
      <c r="AK671" t="s">
        <v>40</v>
      </c>
      <c r="AN671">
        <v>0.16700000000000001</v>
      </c>
      <c r="AO671">
        <v>6.1644140029689765E-2</v>
      </c>
      <c r="AP671">
        <v>0.14799999999999999</v>
      </c>
      <c r="AQ671">
        <v>2.909295447354909E-2</v>
      </c>
      <c r="AS671">
        <v>-0.1208</v>
      </c>
      <c r="AT671">
        <v>2.5000000000000001E-3</v>
      </c>
      <c r="AW671" s="28">
        <f t="shared" si="50"/>
        <v>-0.39753331371965567</v>
      </c>
      <c r="AX671">
        <f t="shared" si="51"/>
        <v>0.99009900990099009</v>
      </c>
      <c r="AY671" s="62">
        <f t="shared" si="52"/>
        <v>-0.39359734031649074</v>
      </c>
      <c r="AZ671" s="68" t="str">
        <f t="shared" si="53"/>
        <v>No</v>
      </c>
      <c r="BA671" s="68" t="str">
        <f t="shared" si="54"/>
        <v>No</v>
      </c>
    </row>
    <row r="672" spans="1:53" hidden="1">
      <c r="A672" t="s">
        <v>1815</v>
      </c>
      <c r="B672" t="s">
        <v>2384</v>
      </c>
      <c r="C672">
        <v>183</v>
      </c>
      <c r="F672" t="s">
        <v>1241</v>
      </c>
      <c r="G672" t="s">
        <v>1975</v>
      </c>
      <c r="I672">
        <v>2021</v>
      </c>
      <c r="N672" t="s">
        <v>36</v>
      </c>
      <c r="P672" t="s">
        <v>60</v>
      </c>
      <c r="Q672" t="s">
        <v>900</v>
      </c>
      <c r="R672" t="s">
        <v>888</v>
      </c>
      <c r="S672" t="s">
        <v>1994</v>
      </c>
      <c r="V672" t="s">
        <v>1015</v>
      </c>
      <c r="Z672">
        <v>38</v>
      </c>
      <c r="AA672">
        <v>48</v>
      </c>
      <c r="AC672">
        <v>385</v>
      </c>
      <c r="AD672">
        <v>4.9000000000000004</v>
      </c>
      <c r="AE672">
        <v>2155</v>
      </c>
      <c r="AF672">
        <v>7.2</v>
      </c>
      <c r="AG672" t="s">
        <v>3432</v>
      </c>
      <c r="AI672">
        <v>4.9000000000000004</v>
      </c>
      <c r="AJ672" t="s">
        <v>2041</v>
      </c>
      <c r="AK672" t="s">
        <v>40</v>
      </c>
      <c r="AN672">
        <v>0.16700000000000001</v>
      </c>
      <c r="AO672">
        <v>6.1644140029689765E-2</v>
      </c>
      <c r="AP672">
        <v>0.13900000000000001</v>
      </c>
      <c r="AQ672">
        <v>4.9190242934956115E-2</v>
      </c>
      <c r="AS672">
        <v>-0.1835</v>
      </c>
      <c r="AT672">
        <v>4.1999999999999997E-3</v>
      </c>
      <c r="AW672" s="28">
        <f t="shared" si="50"/>
        <v>-0.50886570424362554</v>
      </c>
      <c r="AX672">
        <f t="shared" si="51"/>
        <v>0.991044776119403</v>
      </c>
      <c r="AY672" s="62">
        <f t="shared" si="52"/>
        <v>-0.5043086979369662</v>
      </c>
      <c r="AZ672" s="68" t="str">
        <f t="shared" si="53"/>
        <v>No</v>
      </c>
      <c r="BA672" s="68" t="str">
        <f t="shared" si="54"/>
        <v>No</v>
      </c>
    </row>
    <row r="673" spans="1:53" hidden="1">
      <c r="A673" t="s">
        <v>1815</v>
      </c>
      <c r="B673" t="s">
        <v>2391</v>
      </c>
      <c r="C673">
        <v>183</v>
      </c>
      <c r="F673" t="s">
        <v>1241</v>
      </c>
      <c r="G673" t="s">
        <v>1975</v>
      </c>
      <c r="I673">
        <v>2018</v>
      </c>
      <c r="N673" t="s">
        <v>36</v>
      </c>
      <c r="P673" t="s">
        <v>60</v>
      </c>
      <c r="Q673" t="s">
        <v>900</v>
      </c>
      <c r="R673" t="s">
        <v>888</v>
      </c>
      <c r="S673" t="s">
        <v>1994</v>
      </c>
      <c r="V673" t="s">
        <v>1015</v>
      </c>
      <c r="Z673">
        <v>38</v>
      </c>
      <c r="AA673">
        <v>32</v>
      </c>
      <c r="AC673">
        <v>386</v>
      </c>
      <c r="AD673">
        <v>4.9000000000000004</v>
      </c>
      <c r="AE673">
        <v>1051</v>
      </c>
      <c r="AF673">
        <v>9.6999999999999993</v>
      </c>
      <c r="AG673" t="s">
        <v>3443</v>
      </c>
      <c r="AI673">
        <v>4.9000000000000004</v>
      </c>
      <c r="AJ673" t="s">
        <v>2041</v>
      </c>
      <c r="AK673" t="s">
        <v>40</v>
      </c>
      <c r="AN673">
        <v>0.16700000000000001</v>
      </c>
      <c r="AO673">
        <v>6.1644140029689765E-2</v>
      </c>
      <c r="AP673">
        <v>0.114</v>
      </c>
      <c r="AQ673">
        <v>4.0163665171395906E-2</v>
      </c>
      <c r="AS673">
        <v>-0.38179999999999997</v>
      </c>
      <c r="AT673">
        <v>5.4000000000000003E-3</v>
      </c>
      <c r="AW673" s="28">
        <f t="shared" si="50"/>
        <v>-1.0010625669330313</v>
      </c>
      <c r="AX673">
        <f t="shared" si="51"/>
        <v>0.98892988929889303</v>
      </c>
      <c r="AY673" s="62">
        <f t="shared" si="52"/>
        <v>-0.98998069349834839</v>
      </c>
      <c r="AZ673" s="68" t="str">
        <f t="shared" si="53"/>
        <v>No</v>
      </c>
      <c r="BA673" s="68" t="str">
        <f t="shared" si="54"/>
        <v>No</v>
      </c>
    </row>
    <row r="674" spans="1:53" hidden="1">
      <c r="A674" t="s">
        <v>1815</v>
      </c>
      <c r="B674" t="s">
        <v>2421</v>
      </c>
      <c r="C674">
        <v>183</v>
      </c>
      <c r="F674" t="s">
        <v>1241</v>
      </c>
      <c r="G674" t="s">
        <v>1975</v>
      </c>
      <c r="I674">
        <v>2020</v>
      </c>
      <c r="N674" t="s">
        <v>36</v>
      </c>
      <c r="P674" t="s">
        <v>60</v>
      </c>
      <c r="Q674" t="s">
        <v>900</v>
      </c>
      <c r="R674" t="s">
        <v>888</v>
      </c>
      <c r="S674" t="s">
        <v>1994</v>
      </c>
      <c r="V674" t="s">
        <v>1015</v>
      </c>
      <c r="Z674">
        <v>38</v>
      </c>
      <c r="AA674">
        <v>24</v>
      </c>
      <c r="AC674">
        <v>387</v>
      </c>
      <c r="AD674">
        <v>4.9000000000000004</v>
      </c>
      <c r="AE674">
        <v>2056</v>
      </c>
      <c r="AF674">
        <v>9.5</v>
      </c>
      <c r="AG674" t="s">
        <v>3447</v>
      </c>
      <c r="AI674">
        <v>4.9000000000000004</v>
      </c>
      <c r="AJ674" t="s">
        <v>2041</v>
      </c>
      <c r="AK674" t="s">
        <v>40</v>
      </c>
      <c r="AN674">
        <v>0.16700000000000001</v>
      </c>
      <c r="AO674">
        <v>6.1644140029689765E-2</v>
      </c>
      <c r="AP674">
        <v>0.123</v>
      </c>
      <c r="AQ674">
        <v>6.4176631260919256E-2</v>
      </c>
      <c r="AS674">
        <v>-0.30580000000000002</v>
      </c>
      <c r="AT674">
        <v>1.29E-2</v>
      </c>
      <c r="AW674" s="28">
        <f t="shared" si="50"/>
        <v>-0.70257199637778889</v>
      </c>
      <c r="AX674">
        <f t="shared" si="51"/>
        <v>0.9874476987447699</v>
      </c>
      <c r="AY674" s="62">
        <f t="shared" si="52"/>
        <v>-0.69375310102576648</v>
      </c>
      <c r="AZ674" s="68" t="str">
        <f t="shared" si="53"/>
        <v>No</v>
      </c>
      <c r="BA674" s="68" t="str">
        <f t="shared" si="54"/>
        <v>No</v>
      </c>
    </row>
    <row r="675" spans="1:53" hidden="1">
      <c r="A675" t="s">
        <v>1815</v>
      </c>
      <c r="B675" t="s">
        <v>2482</v>
      </c>
      <c r="C675">
        <v>8</v>
      </c>
      <c r="F675" t="s">
        <v>1241</v>
      </c>
      <c r="G675" t="s">
        <v>1692</v>
      </c>
      <c r="I675">
        <v>2013</v>
      </c>
      <c r="N675" t="s">
        <v>36</v>
      </c>
      <c r="P675" t="s">
        <v>60</v>
      </c>
      <c r="Q675" t="s">
        <v>900</v>
      </c>
      <c r="R675" t="s">
        <v>946</v>
      </c>
      <c r="S675" t="s">
        <v>1747</v>
      </c>
      <c r="V675" t="s">
        <v>905</v>
      </c>
      <c r="Z675">
        <v>8</v>
      </c>
      <c r="AA675">
        <v>8</v>
      </c>
      <c r="AC675">
        <v>397</v>
      </c>
      <c r="AD675">
        <v>13.6</v>
      </c>
      <c r="AE675">
        <v>1124</v>
      </c>
      <c r="AF675">
        <v>13.6</v>
      </c>
      <c r="AG675" t="s">
        <v>3336</v>
      </c>
      <c r="AH675">
        <v>3.0507663112330423</v>
      </c>
      <c r="AI675">
        <v>13.6</v>
      </c>
      <c r="AJ675" t="s">
        <v>1205</v>
      </c>
      <c r="AK675" t="s">
        <v>40</v>
      </c>
      <c r="AM675"/>
      <c r="AN675">
        <v>0.32</v>
      </c>
      <c r="AO675">
        <v>0</v>
      </c>
      <c r="AP675">
        <v>0.28999999999999998</v>
      </c>
      <c r="AQ675">
        <v>0</v>
      </c>
      <c r="AS675">
        <v>-8.8999999999999996E-2</v>
      </c>
      <c r="AT675">
        <v>2.0000000000000001E-4</v>
      </c>
      <c r="AW675" s="28" t="e">
        <f t="shared" si="50"/>
        <v>#DIV/0!</v>
      </c>
      <c r="AX675">
        <f t="shared" si="51"/>
        <v>0.94545454545454544</v>
      </c>
      <c r="AY675" s="62" t="e">
        <f t="shared" si="52"/>
        <v>#DIV/0!</v>
      </c>
      <c r="AZ675" s="68" t="e">
        <f t="shared" si="53"/>
        <v>#DIV/0!</v>
      </c>
      <c r="BA675" s="68" t="e">
        <f t="shared" si="54"/>
        <v>#DIV/0!</v>
      </c>
    </row>
    <row r="676" spans="1:53" hidden="1">
      <c r="A676" t="s">
        <v>1815</v>
      </c>
      <c r="B676" t="s">
        <v>2483</v>
      </c>
      <c r="C676">
        <v>8</v>
      </c>
      <c r="F676" t="s">
        <v>1241</v>
      </c>
      <c r="G676" t="s">
        <v>1692</v>
      </c>
      <c r="I676">
        <v>2013</v>
      </c>
      <c r="N676" t="s">
        <v>36</v>
      </c>
      <c r="P676" t="s">
        <v>60</v>
      </c>
      <c r="Q676" t="s">
        <v>900</v>
      </c>
      <c r="R676" t="s">
        <v>946</v>
      </c>
      <c r="S676" t="s">
        <v>1747</v>
      </c>
      <c r="V676" t="s">
        <v>905</v>
      </c>
      <c r="Z676">
        <v>6</v>
      </c>
      <c r="AA676">
        <v>6</v>
      </c>
      <c r="AC676">
        <v>397</v>
      </c>
      <c r="AD676">
        <v>13.6</v>
      </c>
      <c r="AE676">
        <v>1124</v>
      </c>
      <c r="AF676">
        <v>13.6</v>
      </c>
      <c r="AG676" t="s">
        <v>3336</v>
      </c>
      <c r="AH676">
        <v>3.0507663112330423</v>
      </c>
      <c r="AI676">
        <v>13.6</v>
      </c>
      <c r="AJ676" t="s">
        <v>1792</v>
      </c>
      <c r="AK676" t="s">
        <v>904</v>
      </c>
      <c r="AM676"/>
      <c r="AN676">
        <v>8.23</v>
      </c>
      <c r="AO676">
        <v>1.3472193585307479</v>
      </c>
      <c r="AP676">
        <v>7.92</v>
      </c>
      <c r="AQ676">
        <v>1.1022703842524302</v>
      </c>
      <c r="AS676">
        <v>-3.7999999999999999E-2</v>
      </c>
      <c r="AT676">
        <v>7.7000000000000002E-3</v>
      </c>
      <c r="AW676" s="28">
        <f t="shared" si="50"/>
        <v>-0.25185778374774054</v>
      </c>
      <c r="AX676">
        <f t="shared" si="51"/>
        <v>0.92307692307692313</v>
      </c>
      <c r="AY676" s="62">
        <f t="shared" si="52"/>
        <v>-0.23248410807483744</v>
      </c>
      <c r="AZ676" s="68" t="str">
        <f t="shared" si="53"/>
        <v>No</v>
      </c>
      <c r="BA676" s="68" t="str">
        <f t="shared" si="54"/>
        <v>No</v>
      </c>
    </row>
    <row r="677" spans="1:53" hidden="1">
      <c r="A677" t="s">
        <v>1815</v>
      </c>
      <c r="B677" t="s">
        <v>2484</v>
      </c>
      <c r="C677">
        <v>8</v>
      </c>
      <c r="F677" t="s">
        <v>1241</v>
      </c>
      <c r="G677" t="s">
        <v>1692</v>
      </c>
      <c r="I677">
        <v>2013</v>
      </c>
      <c r="N677" t="s">
        <v>36</v>
      </c>
      <c r="P677" t="s">
        <v>60</v>
      </c>
      <c r="Q677" t="s">
        <v>900</v>
      </c>
      <c r="R677" t="s">
        <v>946</v>
      </c>
      <c r="S677" t="s">
        <v>1747</v>
      </c>
      <c r="V677" t="s">
        <v>907</v>
      </c>
      <c r="Z677">
        <v>8</v>
      </c>
      <c r="AA677">
        <v>8</v>
      </c>
      <c r="AC677">
        <v>397</v>
      </c>
      <c r="AD677">
        <v>13.6</v>
      </c>
      <c r="AE677">
        <v>398</v>
      </c>
      <c r="AF677">
        <v>18.399999999999999</v>
      </c>
      <c r="AG677" t="s">
        <v>3336</v>
      </c>
      <c r="AH677">
        <v>2.5998830720736876</v>
      </c>
      <c r="AI677">
        <v>13.6</v>
      </c>
      <c r="AJ677" t="s">
        <v>1205</v>
      </c>
      <c r="AK677" t="s">
        <v>40</v>
      </c>
      <c r="AM677"/>
      <c r="AN677">
        <v>0.32</v>
      </c>
      <c r="AO677">
        <v>0</v>
      </c>
      <c r="AP677">
        <v>0.32</v>
      </c>
      <c r="AQ677">
        <v>2.8284271247461905E-2</v>
      </c>
      <c r="AS677">
        <v>6.0000000000000001E-3</v>
      </c>
      <c r="AT677">
        <v>5.0000000000000001E-4</v>
      </c>
      <c r="AW677" s="28">
        <f t="shared" si="50"/>
        <v>0</v>
      </c>
      <c r="AX677">
        <f t="shared" si="51"/>
        <v>0.94545454545454544</v>
      </c>
      <c r="AY677" s="62">
        <f t="shared" si="52"/>
        <v>0</v>
      </c>
      <c r="AZ677" s="68" t="str">
        <f t="shared" si="53"/>
        <v>No</v>
      </c>
      <c r="BA677" s="68" t="str">
        <f t="shared" si="54"/>
        <v>No</v>
      </c>
    </row>
    <row r="678" spans="1:53" hidden="1">
      <c r="A678" t="s">
        <v>1815</v>
      </c>
      <c r="B678" t="s">
        <v>2486</v>
      </c>
      <c r="C678">
        <v>8</v>
      </c>
      <c r="F678" t="s">
        <v>1241</v>
      </c>
      <c r="G678" t="s">
        <v>1692</v>
      </c>
      <c r="I678">
        <v>2013</v>
      </c>
      <c r="N678" t="s">
        <v>36</v>
      </c>
      <c r="P678" t="s">
        <v>60</v>
      </c>
      <c r="Q678" t="s">
        <v>900</v>
      </c>
      <c r="R678" t="s">
        <v>946</v>
      </c>
      <c r="S678" t="s">
        <v>1747</v>
      </c>
      <c r="V678" t="s">
        <v>907</v>
      </c>
      <c r="Z678">
        <v>6</v>
      </c>
      <c r="AA678">
        <v>6</v>
      </c>
      <c r="AC678">
        <v>397</v>
      </c>
      <c r="AD678">
        <v>13.6</v>
      </c>
      <c r="AE678">
        <v>398</v>
      </c>
      <c r="AF678">
        <v>18.399999999999999</v>
      </c>
      <c r="AG678" t="s">
        <v>3336</v>
      </c>
      <c r="AH678">
        <v>2.5998830720736876</v>
      </c>
      <c r="AI678">
        <v>13.6</v>
      </c>
      <c r="AJ678" t="s">
        <v>1792</v>
      </c>
      <c r="AK678" t="s">
        <v>904</v>
      </c>
      <c r="AM678"/>
      <c r="AN678">
        <v>8.23</v>
      </c>
      <c r="AO678">
        <v>1.3472193585307479</v>
      </c>
      <c r="AP678">
        <v>12.86</v>
      </c>
      <c r="AQ678">
        <v>2.3515101530718505</v>
      </c>
      <c r="AS678">
        <v>0.44600000000000001</v>
      </c>
      <c r="AT678">
        <v>0.01</v>
      </c>
      <c r="AW678" s="28">
        <f t="shared" si="50"/>
        <v>2.4160833622368627</v>
      </c>
      <c r="AX678">
        <f t="shared" si="51"/>
        <v>0.92307692307692313</v>
      </c>
      <c r="AY678" s="62">
        <f t="shared" si="52"/>
        <v>2.2302307959109502</v>
      </c>
      <c r="AZ678" s="68" t="str">
        <f t="shared" si="53"/>
        <v>No</v>
      </c>
      <c r="BA678" s="68" t="str">
        <f t="shared" si="54"/>
        <v>No</v>
      </c>
    </row>
    <row r="679" spans="1:53" hidden="1">
      <c r="A679" t="s">
        <v>1815</v>
      </c>
      <c r="B679" t="s">
        <v>2481</v>
      </c>
      <c r="C679">
        <v>8</v>
      </c>
      <c r="F679" t="s">
        <v>1241</v>
      </c>
      <c r="G679" t="s">
        <v>4655</v>
      </c>
      <c r="I679">
        <v>2013</v>
      </c>
      <c r="N679" t="s">
        <v>36</v>
      </c>
      <c r="P679" t="s">
        <v>60</v>
      </c>
      <c r="Q679" t="s">
        <v>900</v>
      </c>
      <c r="R679" t="s">
        <v>946</v>
      </c>
      <c r="S679" t="s">
        <v>1747</v>
      </c>
      <c r="V679" t="s">
        <v>1015</v>
      </c>
      <c r="Z679">
        <v>8</v>
      </c>
      <c r="AA679">
        <v>8</v>
      </c>
      <c r="AC679">
        <v>397</v>
      </c>
      <c r="AD679">
        <v>13.6</v>
      </c>
      <c r="AE679">
        <v>1181</v>
      </c>
      <c r="AF679">
        <v>18.399999999999999</v>
      </c>
      <c r="AG679" t="s">
        <v>3336</v>
      </c>
      <c r="AH679">
        <v>3.0722498976135149</v>
      </c>
      <c r="AI679">
        <v>13.6</v>
      </c>
      <c r="AJ679" t="s">
        <v>1205</v>
      </c>
      <c r="AK679" t="s">
        <v>40</v>
      </c>
      <c r="AM679"/>
      <c r="AN679">
        <v>0.32</v>
      </c>
      <c r="AO679">
        <v>0</v>
      </c>
      <c r="AP679">
        <v>0.28999999999999998</v>
      </c>
      <c r="AQ679">
        <v>0</v>
      </c>
      <c r="AS679">
        <v>-0.10299999999999999</v>
      </c>
      <c r="AT679">
        <v>4.0000000000000002E-4</v>
      </c>
      <c r="AW679" s="28" t="e">
        <f t="shared" si="50"/>
        <v>#DIV/0!</v>
      </c>
      <c r="AX679">
        <f t="shared" si="51"/>
        <v>0.94545454545454544</v>
      </c>
      <c r="AY679" s="62" t="e">
        <f t="shared" si="52"/>
        <v>#DIV/0!</v>
      </c>
      <c r="AZ679" s="68" t="e">
        <f t="shared" si="53"/>
        <v>#DIV/0!</v>
      </c>
      <c r="BA679" s="68" t="e">
        <f t="shared" si="54"/>
        <v>#DIV/0!</v>
      </c>
    </row>
    <row r="680" spans="1:53" hidden="1">
      <c r="A680" t="s">
        <v>1815</v>
      </c>
      <c r="B680" t="s">
        <v>2485</v>
      </c>
      <c r="C680">
        <v>8</v>
      </c>
      <c r="F680" t="s">
        <v>1241</v>
      </c>
      <c r="G680" t="s">
        <v>1692</v>
      </c>
      <c r="I680">
        <v>2013</v>
      </c>
      <c r="N680" t="s">
        <v>36</v>
      </c>
      <c r="P680" t="s">
        <v>60</v>
      </c>
      <c r="Q680" t="s">
        <v>900</v>
      </c>
      <c r="R680" t="s">
        <v>946</v>
      </c>
      <c r="S680" t="s">
        <v>1747</v>
      </c>
      <c r="V680" t="s">
        <v>1015</v>
      </c>
      <c r="Z680">
        <v>6</v>
      </c>
      <c r="AA680">
        <v>6</v>
      </c>
      <c r="AC680">
        <v>397</v>
      </c>
      <c r="AD680">
        <v>13.6</v>
      </c>
      <c r="AE680">
        <v>1181</v>
      </c>
      <c r="AF680">
        <v>18.399999999999999</v>
      </c>
      <c r="AG680" t="s">
        <v>3336</v>
      </c>
      <c r="AH680">
        <v>3.0722498976135149</v>
      </c>
      <c r="AI680">
        <v>13.6</v>
      </c>
      <c r="AJ680" t="s">
        <v>1792</v>
      </c>
      <c r="AK680" t="s">
        <v>904</v>
      </c>
      <c r="AM680"/>
      <c r="AN680">
        <v>8.23</v>
      </c>
      <c r="AO680">
        <v>1.3472193585307479</v>
      </c>
      <c r="AP680">
        <v>9.8000000000000007</v>
      </c>
      <c r="AQ680">
        <v>2.106561178793533</v>
      </c>
      <c r="AS680">
        <v>0.17499999999999999</v>
      </c>
      <c r="AT680">
        <v>1.2200000000000001E-2</v>
      </c>
      <c r="AW680" s="28">
        <f t="shared" si="50"/>
        <v>0.88794144455379187</v>
      </c>
      <c r="AX680">
        <f t="shared" si="51"/>
        <v>0.92307692307692313</v>
      </c>
      <c r="AY680" s="62">
        <f t="shared" si="52"/>
        <v>0.81963825651119249</v>
      </c>
      <c r="AZ680" s="68" t="str">
        <f t="shared" si="53"/>
        <v>No</v>
      </c>
      <c r="BA680" s="68" t="str">
        <f t="shared" si="54"/>
        <v>No</v>
      </c>
    </row>
    <row r="681" spans="1:53" hidden="1">
      <c r="A681" t="s">
        <v>1815</v>
      </c>
      <c r="B681" t="s">
        <v>2795</v>
      </c>
      <c r="C681">
        <v>119</v>
      </c>
      <c r="F681" t="s">
        <v>1241</v>
      </c>
      <c r="G681" t="s">
        <v>1718</v>
      </c>
      <c r="I681">
        <v>2012</v>
      </c>
      <c r="N681" t="s">
        <v>36</v>
      </c>
      <c r="P681" t="s">
        <v>60</v>
      </c>
      <c r="Q681" t="s">
        <v>900</v>
      </c>
      <c r="R681" t="s">
        <v>1742</v>
      </c>
      <c r="S681" t="s">
        <v>1768</v>
      </c>
      <c r="V681" t="s">
        <v>905</v>
      </c>
      <c r="Z681">
        <v>6</v>
      </c>
      <c r="AA681">
        <v>6</v>
      </c>
      <c r="AC681">
        <v>414</v>
      </c>
      <c r="AD681">
        <v>19.600000000000001</v>
      </c>
      <c r="AE681">
        <v>1282</v>
      </c>
      <c r="AF681">
        <v>19.600000000000001</v>
      </c>
      <c r="AG681" t="s">
        <v>3370</v>
      </c>
      <c r="AH681">
        <v>3.1078880251827985</v>
      </c>
      <c r="AI681">
        <v>19.600000000000001</v>
      </c>
      <c r="AJ681" t="s">
        <v>1791</v>
      </c>
      <c r="AK681" t="s">
        <v>770</v>
      </c>
      <c r="AM681"/>
      <c r="AN681">
        <v>24.65</v>
      </c>
      <c r="AO681">
        <v>17.660821045466712</v>
      </c>
      <c r="AP681">
        <v>20.84</v>
      </c>
      <c r="AQ681">
        <v>19.155009788564453</v>
      </c>
      <c r="AS681">
        <v>-0.16800000000000001</v>
      </c>
      <c r="AT681">
        <v>0.2263</v>
      </c>
      <c r="AW681" s="28">
        <f t="shared" si="50"/>
        <v>-0.20680592573136861</v>
      </c>
      <c r="AX681">
        <f t="shared" si="51"/>
        <v>0.92307692307692313</v>
      </c>
      <c r="AY681" s="62">
        <f t="shared" si="52"/>
        <v>-0.19089777759818641</v>
      </c>
      <c r="AZ681" s="68" t="str">
        <f t="shared" si="53"/>
        <v>No</v>
      </c>
      <c r="BA681" s="68" t="str">
        <f t="shared" si="54"/>
        <v>No</v>
      </c>
    </row>
    <row r="682" spans="1:53" hidden="1">
      <c r="A682" t="s">
        <v>1815</v>
      </c>
      <c r="B682" t="s">
        <v>2797</v>
      </c>
      <c r="C682">
        <v>119</v>
      </c>
      <c r="F682" t="s">
        <v>1241</v>
      </c>
      <c r="G682" t="s">
        <v>1718</v>
      </c>
      <c r="I682">
        <v>2021</v>
      </c>
      <c r="N682" t="s">
        <v>36</v>
      </c>
      <c r="P682" t="s">
        <v>60</v>
      </c>
      <c r="Q682" t="s">
        <v>900</v>
      </c>
      <c r="R682" t="s">
        <v>1742</v>
      </c>
      <c r="S682" t="s">
        <v>1768</v>
      </c>
      <c r="V682" t="s">
        <v>905</v>
      </c>
      <c r="Z682">
        <v>6</v>
      </c>
      <c r="AA682">
        <v>6</v>
      </c>
      <c r="AC682">
        <v>414</v>
      </c>
      <c r="AD682">
        <v>19.600000000000001</v>
      </c>
      <c r="AE682">
        <v>1282</v>
      </c>
      <c r="AF682">
        <v>19.600000000000001</v>
      </c>
      <c r="AG682" t="s">
        <v>3370</v>
      </c>
      <c r="AH682">
        <v>3.1078880251827985</v>
      </c>
      <c r="AI682">
        <v>19.600000000000001</v>
      </c>
      <c r="AJ682" t="s">
        <v>69</v>
      </c>
      <c r="AK682" t="s">
        <v>69</v>
      </c>
      <c r="AM682"/>
      <c r="AN682">
        <v>54.22</v>
      </c>
      <c r="AO682">
        <v>13.76613235444146</v>
      </c>
      <c r="AP682">
        <v>50.8</v>
      </c>
      <c r="AQ682">
        <v>20.64919853166219</v>
      </c>
      <c r="AS682">
        <v>-6.5000000000000002E-2</v>
      </c>
      <c r="AT682">
        <v>3.8300000000000001E-2</v>
      </c>
      <c r="AW682" s="28">
        <f t="shared" si="50"/>
        <v>-0.19488906975565778</v>
      </c>
      <c r="AX682">
        <f t="shared" si="51"/>
        <v>0.92307692307692313</v>
      </c>
      <c r="AY682" s="62">
        <f t="shared" si="52"/>
        <v>-0.17989760285137643</v>
      </c>
      <c r="AZ682" s="68" t="str">
        <f t="shared" si="53"/>
        <v>No</v>
      </c>
      <c r="BA682" s="68" t="str">
        <f t="shared" si="54"/>
        <v>No</v>
      </c>
    </row>
    <row r="683" spans="1:53" hidden="1">
      <c r="A683" t="s">
        <v>1815</v>
      </c>
      <c r="B683" t="s">
        <v>2798</v>
      </c>
      <c r="C683">
        <v>119</v>
      </c>
      <c r="F683" t="s">
        <v>1241</v>
      </c>
      <c r="G683" t="s">
        <v>1718</v>
      </c>
      <c r="I683">
        <v>2021</v>
      </c>
      <c r="N683" t="s">
        <v>36</v>
      </c>
      <c r="P683" t="s">
        <v>60</v>
      </c>
      <c r="Q683" t="s">
        <v>900</v>
      </c>
      <c r="R683" t="s">
        <v>1742</v>
      </c>
      <c r="S683" t="s">
        <v>1768</v>
      </c>
      <c r="V683" t="s">
        <v>905</v>
      </c>
      <c r="Z683">
        <v>6</v>
      </c>
      <c r="AA683">
        <v>6</v>
      </c>
      <c r="AC683">
        <v>414</v>
      </c>
      <c r="AD683">
        <v>19.600000000000001</v>
      </c>
      <c r="AE683">
        <v>1282</v>
      </c>
      <c r="AF683">
        <v>19.600000000000001</v>
      </c>
      <c r="AG683" t="s">
        <v>3370</v>
      </c>
      <c r="AH683">
        <v>3.1078880251827985</v>
      </c>
      <c r="AI683">
        <v>19.600000000000001</v>
      </c>
      <c r="AJ683" t="s">
        <v>1797</v>
      </c>
      <c r="AK683" t="s">
        <v>770</v>
      </c>
      <c r="AM683"/>
      <c r="AN683">
        <v>17.62</v>
      </c>
      <c r="AO683">
        <v>4.2376172550148974</v>
      </c>
      <c r="AP683">
        <v>18.43</v>
      </c>
      <c r="AQ683">
        <v>4.5070611267210472</v>
      </c>
      <c r="AS683">
        <v>4.4999999999999998E-2</v>
      </c>
      <c r="AT683">
        <v>1.9599999999999999E-2</v>
      </c>
      <c r="AW683" s="28">
        <f t="shared" si="50"/>
        <v>0.18516764859379931</v>
      </c>
      <c r="AX683">
        <f t="shared" si="51"/>
        <v>0.92307692307692313</v>
      </c>
      <c r="AY683" s="62">
        <f t="shared" si="52"/>
        <v>0.1709239833173532</v>
      </c>
      <c r="AZ683" s="68" t="str">
        <f t="shared" si="53"/>
        <v>No</v>
      </c>
      <c r="BA683" s="68" t="str">
        <f t="shared" si="54"/>
        <v>No</v>
      </c>
    </row>
    <row r="684" spans="1:53" hidden="1">
      <c r="A684" t="s">
        <v>1815</v>
      </c>
      <c r="B684" t="s">
        <v>2799</v>
      </c>
      <c r="C684">
        <v>119</v>
      </c>
      <c r="F684" t="s">
        <v>1241</v>
      </c>
      <c r="G684" t="s">
        <v>1718</v>
      </c>
      <c r="I684">
        <v>2021</v>
      </c>
      <c r="N684" t="s">
        <v>36</v>
      </c>
      <c r="P684" t="s">
        <v>60</v>
      </c>
      <c r="Q684" t="s">
        <v>900</v>
      </c>
      <c r="R684" t="s">
        <v>1742</v>
      </c>
      <c r="S684" t="s">
        <v>1768</v>
      </c>
      <c r="V684" t="s">
        <v>905</v>
      </c>
      <c r="Z684">
        <v>6</v>
      </c>
      <c r="AA684">
        <v>6</v>
      </c>
      <c r="AC684">
        <v>414</v>
      </c>
      <c r="AD684">
        <v>19.600000000000001</v>
      </c>
      <c r="AE684">
        <v>3278</v>
      </c>
      <c r="AF684">
        <v>19.600000000000001</v>
      </c>
      <c r="AG684" t="s">
        <v>3370</v>
      </c>
      <c r="AH684">
        <v>3.5156089492344802</v>
      </c>
      <c r="AI684">
        <v>19.600000000000001</v>
      </c>
      <c r="AJ684" t="s">
        <v>1797</v>
      </c>
      <c r="AK684" t="s">
        <v>770</v>
      </c>
      <c r="AM684"/>
      <c r="AN684">
        <v>17.62</v>
      </c>
      <c r="AO684">
        <v>4.2376172550148974</v>
      </c>
      <c r="AP684">
        <v>18.89</v>
      </c>
      <c r="AQ684">
        <v>3.6742346141747668</v>
      </c>
      <c r="AS684">
        <v>6.9000000000000006E-2</v>
      </c>
      <c r="AT684">
        <v>1.5900000000000001E-2</v>
      </c>
      <c r="AW684" s="28">
        <f t="shared" si="50"/>
        <v>0.32022652786821659</v>
      </c>
      <c r="AX684">
        <f t="shared" si="51"/>
        <v>0.92307692307692313</v>
      </c>
      <c r="AY684" s="62">
        <f t="shared" si="52"/>
        <v>0.29559371803219997</v>
      </c>
      <c r="AZ684" s="68" t="str">
        <f t="shared" si="53"/>
        <v>No</v>
      </c>
      <c r="BA684" s="68" t="str">
        <f t="shared" si="54"/>
        <v>No</v>
      </c>
    </row>
    <row r="685" spans="1:53" hidden="1">
      <c r="A685" t="s">
        <v>1815</v>
      </c>
      <c r="B685" t="s">
        <v>2800</v>
      </c>
      <c r="C685">
        <v>119</v>
      </c>
      <c r="F685" t="s">
        <v>1241</v>
      </c>
      <c r="G685" t="s">
        <v>1718</v>
      </c>
      <c r="I685">
        <v>2021</v>
      </c>
      <c r="N685" t="s">
        <v>36</v>
      </c>
      <c r="P685" t="s">
        <v>60</v>
      </c>
      <c r="Q685" t="s">
        <v>900</v>
      </c>
      <c r="R685" t="s">
        <v>1742</v>
      </c>
      <c r="S685" t="s">
        <v>1768</v>
      </c>
      <c r="V685" t="s">
        <v>905</v>
      </c>
      <c r="Z685">
        <v>6</v>
      </c>
      <c r="AA685">
        <v>6</v>
      </c>
      <c r="AC685">
        <v>414</v>
      </c>
      <c r="AD685">
        <v>19.600000000000001</v>
      </c>
      <c r="AE685">
        <v>3278</v>
      </c>
      <c r="AF685">
        <v>19.600000000000001</v>
      </c>
      <c r="AG685" t="s">
        <v>3370</v>
      </c>
      <c r="AH685">
        <v>3.5156089492344802</v>
      </c>
      <c r="AI685">
        <v>19.600000000000001</v>
      </c>
      <c r="AJ685" t="s">
        <v>69</v>
      </c>
      <c r="AK685" t="s">
        <v>69</v>
      </c>
      <c r="AM685"/>
      <c r="AN685">
        <v>54.22</v>
      </c>
      <c r="AO685">
        <v>13.76613235444146</v>
      </c>
      <c r="AP685">
        <v>74.099999999999994</v>
      </c>
      <c r="AQ685">
        <v>17.709810840322376</v>
      </c>
      <c r="AS685">
        <v>0.312</v>
      </c>
      <c r="AT685">
        <v>2.0299999999999999E-2</v>
      </c>
      <c r="AW685" s="28">
        <f t="shared" si="50"/>
        <v>1.2533873729770821</v>
      </c>
      <c r="AX685">
        <f t="shared" si="51"/>
        <v>0.92307692307692313</v>
      </c>
      <c r="AY685" s="62">
        <f t="shared" si="52"/>
        <v>1.1569729596711529</v>
      </c>
      <c r="AZ685" s="68" t="str">
        <f t="shared" si="53"/>
        <v>No</v>
      </c>
      <c r="BA685" s="68" t="str">
        <f t="shared" si="54"/>
        <v>No</v>
      </c>
    </row>
    <row r="686" spans="1:53" hidden="1">
      <c r="A686" t="s">
        <v>1815</v>
      </c>
      <c r="B686" t="s">
        <v>2801</v>
      </c>
      <c r="C686">
        <v>119</v>
      </c>
      <c r="F686" t="s">
        <v>1241</v>
      </c>
      <c r="G686" t="s">
        <v>1718</v>
      </c>
      <c r="I686">
        <v>2021</v>
      </c>
      <c r="N686" t="s">
        <v>36</v>
      </c>
      <c r="P686" t="s">
        <v>60</v>
      </c>
      <c r="Q686" t="s">
        <v>900</v>
      </c>
      <c r="R686" t="s">
        <v>1742</v>
      </c>
      <c r="S686" t="s">
        <v>1768</v>
      </c>
      <c r="V686" t="s">
        <v>905</v>
      </c>
      <c r="Z686">
        <v>6</v>
      </c>
      <c r="AA686">
        <v>6</v>
      </c>
      <c r="AC686">
        <v>414</v>
      </c>
      <c r="AD686">
        <v>19.600000000000001</v>
      </c>
      <c r="AE686">
        <v>3278</v>
      </c>
      <c r="AF686">
        <v>19.600000000000001</v>
      </c>
      <c r="AG686" t="s">
        <v>3370</v>
      </c>
      <c r="AH686">
        <v>3.5156089492344802</v>
      </c>
      <c r="AI686">
        <v>19.600000000000001</v>
      </c>
      <c r="AJ686" t="s">
        <v>1791</v>
      </c>
      <c r="AK686" t="s">
        <v>770</v>
      </c>
      <c r="AM686"/>
      <c r="AN686">
        <v>24.65</v>
      </c>
      <c r="AO686">
        <v>17.660821045466712</v>
      </c>
      <c r="AP686">
        <v>40.08</v>
      </c>
      <c r="AQ686">
        <v>24.543887222687442</v>
      </c>
      <c r="AS686">
        <v>0.48599999999999999</v>
      </c>
      <c r="AT686">
        <v>0.1482</v>
      </c>
      <c r="AW686" s="28">
        <f t="shared" si="50"/>
        <v>0.72166376790561937</v>
      </c>
      <c r="AX686">
        <f t="shared" si="51"/>
        <v>0.92307692307692313</v>
      </c>
      <c r="AY686" s="62">
        <f t="shared" si="52"/>
        <v>0.66615117037441796</v>
      </c>
      <c r="AZ686" s="68" t="str">
        <f t="shared" si="53"/>
        <v>No</v>
      </c>
      <c r="BA686" s="68" t="str">
        <f t="shared" si="54"/>
        <v>No</v>
      </c>
    </row>
    <row r="687" spans="1:53" hidden="1">
      <c r="A687" t="s">
        <v>1815</v>
      </c>
      <c r="B687" t="s">
        <v>2787</v>
      </c>
      <c r="C687">
        <v>119</v>
      </c>
      <c r="F687" t="s">
        <v>1241</v>
      </c>
      <c r="G687" t="s">
        <v>1718</v>
      </c>
      <c r="I687">
        <v>2012</v>
      </c>
      <c r="N687" t="s">
        <v>36</v>
      </c>
      <c r="P687" t="s">
        <v>60</v>
      </c>
      <c r="Q687" t="s">
        <v>900</v>
      </c>
      <c r="R687" t="s">
        <v>1742</v>
      </c>
      <c r="S687" t="s">
        <v>1768</v>
      </c>
      <c r="V687" t="s">
        <v>907</v>
      </c>
      <c r="Z687">
        <v>6</v>
      </c>
      <c r="AA687">
        <v>6</v>
      </c>
      <c r="AC687">
        <v>414</v>
      </c>
      <c r="AD687">
        <v>19.600000000000001</v>
      </c>
      <c r="AE687">
        <v>378</v>
      </c>
      <c r="AF687">
        <v>26.9</v>
      </c>
      <c r="AG687" t="s">
        <v>3370</v>
      </c>
      <c r="AH687">
        <v>2.5774917998372255</v>
      </c>
      <c r="AI687">
        <v>19.600000000000001</v>
      </c>
      <c r="AJ687" t="s">
        <v>69</v>
      </c>
      <c r="AK687" t="s">
        <v>69</v>
      </c>
      <c r="AM687"/>
      <c r="AN687">
        <v>54.22</v>
      </c>
      <c r="AO687">
        <v>13.76613235444146</v>
      </c>
      <c r="AP687">
        <v>19.88</v>
      </c>
      <c r="AQ687">
        <v>12.786336457328188</v>
      </c>
      <c r="AS687">
        <v>-1.0029999999999999</v>
      </c>
      <c r="AT687">
        <v>7.9699999999999993E-2</v>
      </c>
      <c r="AW687" s="28">
        <f t="shared" si="50"/>
        <v>-2.5848176137995202</v>
      </c>
      <c r="AX687">
        <f t="shared" si="51"/>
        <v>0.92307692307692313</v>
      </c>
      <c r="AY687" s="62">
        <f t="shared" si="52"/>
        <v>-2.3859854896610959</v>
      </c>
      <c r="AZ687" s="68" t="str">
        <f t="shared" si="53"/>
        <v>No</v>
      </c>
      <c r="BA687" s="68" t="str">
        <f t="shared" si="54"/>
        <v>No</v>
      </c>
    </row>
    <row r="688" spans="1:53" hidden="1">
      <c r="A688" t="s">
        <v>1815</v>
      </c>
      <c r="B688" t="s">
        <v>2788</v>
      </c>
      <c r="C688">
        <v>119</v>
      </c>
      <c r="F688" t="s">
        <v>1241</v>
      </c>
      <c r="G688" t="s">
        <v>1718</v>
      </c>
      <c r="I688">
        <v>2012</v>
      </c>
      <c r="N688" t="s">
        <v>36</v>
      </c>
      <c r="P688" t="s">
        <v>60</v>
      </c>
      <c r="Q688" t="s">
        <v>900</v>
      </c>
      <c r="R688" t="s">
        <v>1742</v>
      </c>
      <c r="S688" t="s">
        <v>1768</v>
      </c>
      <c r="V688" t="s">
        <v>907</v>
      </c>
      <c r="Z688">
        <v>6</v>
      </c>
      <c r="AA688">
        <v>6</v>
      </c>
      <c r="AC688">
        <v>414</v>
      </c>
      <c r="AD688">
        <v>19.600000000000001</v>
      </c>
      <c r="AE688">
        <v>378</v>
      </c>
      <c r="AF688">
        <v>26.9</v>
      </c>
      <c r="AG688" t="s">
        <v>3370</v>
      </c>
      <c r="AH688">
        <v>2.5774917998372255</v>
      </c>
      <c r="AI688">
        <v>19.600000000000001</v>
      </c>
      <c r="AJ688" t="s">
        <v>1797</v>
      </c>
      <c r="AK688" t="s">
        <v>770</v>
      </c>
      <c r="AM688"/>
      <c r="AN688">
        <v>17.62</v>
      </c>
      <c r="AO688">
        <v>4.2376172550148974</v>
      </c>
      <c r="AP688">
        <v>10.6</v>
      </c>
      <c r="AQ688">
        <v>4.5070611267210472</v>
      </c>
      <c r="AS688">
        <v>-0.50900000000000001</v>
      </c>
      <c r="AT688">
        <v>3.9899999999999998E-2</v>
      </c>
      <c r="AW688" s="28">
        <f t="shared" si="50"/>
        <v>-1.60478628781293</v>
      </c>
      <c r="AX688">
        <f t="shared" si="51"/>
        <v>0.92307692307692313</v>
      </c>
      <c r="AY688" s="62">
        <f t="shared" si="52"/>
        <v>-1.4813411887503969</v>
      </c>
      <c r="AZ688" s="68" t="str">
        <f t="shared" si="53"/>
        <v>No</v>
      </c>
      <c r="BA688" s="68" t="str">
        <f t="shared" si="54"/>
        <v>No</v>
      </c>
    </row>
    <row r="689" spans="1:53" hidden="1">
      <c r="A689" t="s">
        <v>1815</v>
      </c>
      <c r="B689" t="s">
        <v>2793</v>
      </c>
      <c r="C689">
        <v>119</v>
      </c>
      <c r="F689" t="s">
        <v>1241</v>
      </c>
      <c r="G689" t="s">
        <v>1718</v>
      </c>
      <c r="I689">
        <v>2012</v>
      </c>
      <c r="N689" t="s">
        <v>36</v>
      </c>
      <c r="P689" t="s">
        <v>60</v>
      </c>
      <c r="Q689" t="s">
        <v>900</v>
      </c>
      <c r="R689" t="s">
        <v>1742</v>
      </c>
      <c r="S689" t="s">
        <v>1768</v>
      </c>
      <c r="V689" t="s">
        <v>907</v>
      </c>
      <c r="Z689">
        <v>6</v>
      </c>
      <c r="AA689">
        <v>6</v>
      </c>
      <c r="AC689">
        <v>414</v>
      </c>
      <c r="AD689">
        <v>19.600000000000001</v>
      </c>
      <c r="AE689">
        <v>378</v>
      </c>
      <c r="AF689">
        <v>26.9</v>
      </c>
      <c r="AG689" t="s">
        <v>3370</v>
      </c>
      <c r="AH689">
        <v>2.5774917998372255</v>
      </c>
      <c r="AI689">
        <v>19.600000000000001</v>
      </c>
      <c r="AJ689" t="s">
        <v>1791</v>
      </c>
      <c r="AK689" t="s">
        <v>770</v>
      </c>
      <c r="AM689"/>
      <c r="AN689">
        <v>24.65</v>
      </c>
      <c r="AO689">
        <v>17.660821045466712</v>
      </c>
      <c r="AP689">
        <v>19.64</v>
      </c>
      <c r="AQ689">
        <v>12.761841559900356</v>
      </c>
      <c r="AS689">
        <v>-0.22700000000000001</v>
      </c>
      <c r="AT689">
        <v>0.15609999999999999</v>
      </c>
      <c r="AW689" s="28">
        <f t="shared" si="50"/>
        <v>-0.3251707369195474</v>
      </c>
      <c r="AX689">
        <f t="shared" si="51"/>
        <v>0.92307692307692313</v>
      </c>
      <c r="AY689" s="62">
        <f t="shared" si="52"/>
        <v>-0.30015760331035146</v>
      </c>
      <c r="AZ689" s="68" t="str">
        <f t="shared" si="53"/>
        <v>No</v>
      </c>
      <c r="BA689" s="68" t="str">
        <f t="shared" si="54"/>
        <v>No</v>
      </c>
    </row>
    <row r="690" spans="1:53" hidden="1">
      <c r="A690" t="s">
        <v>1815</v>
      </c>
      <c r="B690" t="s">
        <v>2789</v>
      </c>
      <c r="C690">
        <v>119</v>
      </c>
      <c r="F690" t="s">
        <v>1241</v>
      </c>
      <c r="G690" t="s">
        <v>1718</v>
      </c>
      <c r="I690">
        <v>2012</v>
      </c>
      <c r="N690" t="s">
        <v>36</v>
      </c>
      <c r="P690" t="s">
        <v>60</v>
      </c>
      <c r="Q690" t="s">
        <v>900</v>
      </c>
      <c r="R690" t="s">
        <v>1742</v>
      </c>
      <c r="S690" t="s">
        <v>1768</v>
      </c>
      <c r="V690" t="s">
        <v>1015</v>
      </c>
      <c r="Z690">
        <v>6</v>
      </c>
      <c r="AA690">
        <v>6</v>
      </c>
      <c r="AC690">
        <v>414</v>
      </c>
      <c r="AD690">
        <v>19.600000000000001</v>
      </c>
      <c r="AE690">
        <v>3110</v>
      </c>
      <c r="AF690">
        <v>26.9</v>
      </c>
      <c r="AG690" t="s">
        <v>3370</v>
      </c>
      <c r="AH690">
        <v>3.4927603890268375</v>
      </c>
      <c r="AI690">
        <v>19.600000000000001</v>
      </c>
      <c r="AJ690" t="s">
        <v>69</v>
      </c>
      <c r="AK690" t="s">
        <v>69</v>
      </c>
      <c r="AM690"/>
      <c r="AN690">
        <v>54.22</v>
      </c>
      <c r="AO690">
        <v>13.76613235444146</v>
      </c>
      <c r="AP690">
        <v>32.93</v>
      </c>
      <c r="AQ690">
        <v>12.786336457328188</v>
      </c>
      <c r="AS690">
        <v>-0.499</v>
      </c>
      <c r="AT690">
        <v>3.5900000000000001E-2</v>
      </c>
      <c r="AW690" s="28">
        <f t="shared" si="50"/>
        <v>-1.6025267034884034</v>
      </c>
      <c r="AX690">
        <f t="shared" si="51"/>
        <v>0.92307692307692313</v>
      </c>
      <c r="AY690" s="62">
        <f t="shared" si="52"/>
        <v>-1.4792554186046802</v>
      </c>
      <c r="AZ690" s="68" t="str">
        <f t="shared" si="53"/>
        <v>No</v>
      </c>
      <c r="BA690" s="68" t="str">
        <f t="shared" si="54"/>
        <v>No</v>
      </c>
    </row>
    <row r="691" spans="1:53" hidden="1">
      <c r="A691" t="s">
        <v>1815</v>
      </c>
      <c r="B691" t="s">
        <v>2790</v>
      </c>
      <c r="C691">
        <v>119</v>
      </c>
      <c r="F691" t="s">
        <v>1241</v>
      </c>
      <c r="G691" t="s">
        <v>1718</v>
      </c>
      <c r="I691">
        <v>2012</v>
      </c>
      <c r="N691" t="s">
        <v>36</v>
      </c>
      <c r="P691" t="s">
        <v>60</v>
      </c>
      <c r="Q691" t="s">
        <v>900</v>
      </c>
      <c r="R691" t="s">
        <v>1742</v>
      </c>
      <c r="S691" t="s">
        <v>1768</v>
      </c>
      <c r="V691" t="s">
        <v>1015</v>
      </c>
      <c r="Z691">
        <v>6</v>
      </c>
      <c r="AA691">
        <v>6</v>
      </c>
      <c r="AC691">
        <v>414</v>
      </c>
      <c r="AD691">
        <v>19.600000000000001</v>
      </c>
      <c r="AE691">
        <v>1186</v>
      </c>
      <c r="AF691">
        <v>26.9</v>
      </c>
      <c r="AG691" t="s">
        <v>3370</v>
      </c>
      <c r="AH691">
        <v>3.0740846890282438</v>
      </c>
      <c r="AI691">
        <v>19.600000000000001</v>
      </c>
      <c r="AJ691" t="s">
        <v>69</v>
      </c>
      <c r="AK691" t="s">
        <v>69</v>
      </c>
      <c r="AM691"/>
      <c r="AN691">
        <v>54.22</v>
      </c>
      <c r="AO691">
        <v>13.76613235444146</v>
      </c>
      <c r="AP691">
        <v>34.14</v>
      </c>
      <c r="AQ691" s="85">
        <v>9.8469487659883743</v>
      </c>
      <c r="AS691">
        <v>-0.46300000000000002</v>
      </c>
      <c r="AT691">
        <v>2.46E-2</v>
      </c>
      <c r="AW691" s="28">
        <f t="shared" si="50"/>
        <v>-1.6777994275731143</v>
      </c>
      <c r="AX691">
        <f t="shared" si="51"/>
        <v>0.92307692307692313</v>
      </c>
      <c r="AY691" s="62">
        <f t="shared" si="52"/>
        <v>-1.5487379331444133</v>
      </c>
      <c r="AZ691" s="68" t="str">
        <f t="shared" si="53"/>
        <v>No</v>
      </c>
      <c r="BA691" s="68" t="str">
        <f t="shared" si="54"/>
        <v>No</v>
      </c>
    </row>
    <row r="692" spans="1:53" hidden="1">
      <c r="A692" t="s">
        <v>1815</v>
      </c>
      <c r="B692" t="s">
        <v>2791</v>
      </c>
      <c r="C692">
        <v>119</v>
      </c>
      <c r="F692" t="s">
        <v>1241</v>
      </c>
      <c r="G692" t="s">
        <v>1718</v>
      </c>
      <c r="I692">
        <v>2012</v>
      </c>
      <c r="N692" t="s">
        <v>36</v>
      </c>
      <c r="P692" t="s">
        <v>60</v>
      </c>
      <c r="Q692" t="s">
        <v>900</v>
      </c>
      <c r="R692" t="s">
        <v>1742</v>
      </c>
      <c r="S692" t="s">
        <v>1768</v>
      </c>
      <c r="V692" t="s">
        <v>1015</v>
      </c>
      <c r="Z692">
        <v>6</v>
      </c>
      <c r="AA692">
        <v>6</v>
      </c>
      <c r="AC692">
        <v>414</v>
      </c>
      <c r="AD692">
        <v>19.600000000000001</v>
      </c>
      <c r="AE692">
        <v>1186</v>
      </c>
      <c r="AF692">
        <v>26.9</v>
      </c>
      <c r="AG692" t="s">
        <v>3370</v>
      </c>
      <c r="AH692">
        <v>3.0740846890282438</v>
      </c>
      <c r="AI692">
        <v>19.600000000000001</v>
      </c>
      <c r="AJ692" t="s">
        <v>1791</v>
      </c>
      <c r="AK692" t="s">
        <v>770</v>
      </c>
      <c r="AM692"/>
      <c r="AN692">
        <v>24.65</v>
      </c>
      <c r="AO692">
        <v>17.660821045466712</v>
      </c>
      <c r="AP692">
        <v>16.63</v>
      </c>
      <c r="AQ692" s="85">
        <v>6.3931682286640941</v>
      </c>
      <c r="AS692">
        <v>-0.39300000000000002</v>
      </c>
      <c r="AT692">
        <v>0.11020000000000001</v>
      </c>
      <c r="AW692" s="28">
        <f t="shared" si="50"/>
        <v>-0.60386396136793785</v>
      </c>
      <c r="AX692">
        <f t="shared" si="51"/>
        <v>0.92307692307692313</v>
      </c>
      <c r="AY692" s="62">
        <f t="shared" si="52"/>
        <v>-0.55741288741655803</v>
      </c>
      <c r="AZ692" s="68" t="str">
        <f t="shared" si="53"/>
        <v>No</v>
      </c>
      <c r="BA692" s="68" t="str">
        <f t="shared" si="54"/>
        <v>No</v>
      </c>
    </row>
    <row r="693" spans="1:53" hidden="1">
      <c r="A693" t="s">
        <v>1815</v>
      </c>
      <c r="B693" t="s">
        <v>2792</v>
      </c>
      <c r="C693">
        <v>119</v>
      </c>
      <c r="F693" t="s">
        <v>1241</v>
      </c>
      <c r="G693" t="s">
        <v>1718</v>
      </c>
      <c r="I693">
        <v>2012</v>
      </c>
      <c r="N693" t="s">
        <v>36</v>
      </c>
      <c r="P693" t="s">
        <v>60</v>
      </c>
      <c r="Q693" t="s">
        <v>900</v>
      </c>
      <c r="R693" t="s">
        <v>1742</v>
      </c>
      <c r="S693" t="s">
        <v>1768</v>
      </c>
      <c r="V693" t="s">
        <v>1015</v>
      </c>
      <c r="Z693">
        <v>6</v>
      </c>
      <c r="AA693">
        <v>6</v>
      </c>
      <c r="AC693">
        <v>414</v>
      </c>
      <c r="AD693">
        <v>19.600000000000001</v>
      </c>
      <c r="AE693">
        <v>3110</v>
      </c>
      <c r="AF693">
        <v>26.9</v>
      </c>
      <c r="AG693" t="s">
        <v>3370</v>
      </c>
      <c r="AH693">
        <v>3.4927603890268375</v>
      </c>
      <c r="AI693">
        <v>19.600000000000001</v>
      </c>
      <c r="AJ693" t="s">
        <v>1797</v>
      </c>
      <c r="AK693" t="s">
        <v>770</v>
      </c>
      <c r="AM693"/>
      <c r="AN693">
        <v>17.62</v>
      </c>
      <c r="AO693">
        <v>4.2376172550148974</v>
      </c>
      <c r="AP693">
        <v>13.82</v>
      </c>
      <c r="AQ693" s="85">
        <v>5.0704437675611782</v>
      </c>
      <c r="AS693">
        <v>-0.24299999999999999</v>
      </c>
      <c r="AT693">
        <v>3.2099999999999997E-2</v>
      </c>
      <c r="AW693" s="28">
        <f t="shared" si="50"/>
        <v>-0.81324782590853462</v>
      </c>
      <c r="AX693">
        <f t="shared" si="51"/>
        <v>0.92307692307692313</v>
      </c>
      <c r="AY693" s="62">
        <f t="shared" si="52"/>
        <v>-0.75069030083864741</v>
      </c>
      <c r="AZ693" s="68" t="str">
        <f t="shared" si="53"/>
        <v>No</v>
      </c>
      <c r="BA693" s="68" t="str">
        <f t="shared" si="54"/>
        <v>No</v>
      </c>
    </row>
    <row r="694" spans="1:53" hidden="1">
      <c r="A694" t="s">
        <v>1815</v>
      </c>
      <c r="B694" t="s">
        <v>2794</v>
      </c>
      <c r="C694">
        <v>119</v>
      </c>
      <c r="F694" t="s">
        <v>1241</v>
      </c>
      <c r="G694" t="s">
        <v>1718</v>
      </c>
      <c r="I694">
        <v>2012</v>
      </c>
      <c r="N694" t="s">
        <v>36</v>
      </c>
      <c r="P694" t="s">
        <v>60</v>
      </c>
      <c r="Q694" t="s">
        <v>900</v>
      </c>
      <c r="R694" t="s">
        <v>1742</v>
      </c>
      <c r="S694" t="s">
        <v>1768</v>
      </c>
      <c r="V694" t="s">
        <v>1015</v>
      </c>
      <c r="Z694">
        <v>6</v>
      </c>
      <c r="AA694">
        <v>6</v>
      </c>
      <c r="AC694">
        <v>414</v>
      </c>
      <c r="AD694">
        <v>19.600000000000001</v>
      </c>
      <c r="AE694">
        <v>3110</v>
      </c>
      <c r="AF694">
        <v>26.9</v>
      </c>
      <c r="AG694" t="s">
        <v>3370</v>
      </c>
      <c r="AH694">
        <v>3.4927603890268375</v>
      </c>
      <c r="AI694">
        <v>19.600000000000001</v>
      </c>
      <c r="AJ694" t="s">
        <v>1791</v>
      </c>
      <c r="AK694" t="s">
        <v>770</v>
      </c>
      <c r="AM694"/>
      <c r="AN694">
        <v>24.65</v>
      </c>
      <c r="AO694">
        <v>17.660821045466712</v>
      </c>
      <c r="AP694">
        <v>19.64</v>
      </c>
      <c r="AQ694" s="85">
        <v>16.681025148353442</v>
      </c>
      <c r="AS694">
        <v>-0.22700000000000001</v>
      </c>
      <c r="AT694">
        <v>0.20599999999999999</v>
      </c>
      <c r="AW694" s="28">
        <f t="shared" si="50"/>
        <v>-0.29165363724781096</v>
      </c>
      <c r="AX694">
        <f t="shared" si="51"/>
        <v>0.92307692307692313</v>
      </c>
      <c r="AY694" s="62">
        <f t="shared" si="52"/>
        <v>-0.26921874207490243</v>
      </c>
      <c r="AZ694" s="68" t="str">
        <f t="shared" si="53"/>
        <v>No</v>
      </c>
      <c r="BA694" s="68" t="str">
        <f t="shared" si="54"/>
        <v>No</v>
      </c>
    </row>
    <row r="695" spans="1:53" hidden="1">
      <c r="A695" t="s">
        <v>1815</v>
      </c>
      <c r="B695" t="s">
        <v>2796</v>
      </c>
      <c r="C695">
        <v>119</v>
      </c>
      <c r="F695" t="s">
        <v>1241</v>
      </c>
      <c r="G695" t="s">
        <v>1718</v>
      </c>
      <c r="I695">
        <v>2012</v>
      </c>
      <c r="N695" t="s">
        <v>36</v>
      </c>
      <c r="P695" t="s">
        <v>60</v>
      </c>
      <c r="Q695" t="s">
        <v>900</v>
      </c>
      <c r="R695" t="s">
        <v>1742</v>
      </c>
      <c r="S695" t="s">
        <v>1768</v>
      </c>
      <c r="V695" t="s">
        <v>1015</v>
      </c>
      <c r="Z695">
        <v>6</v>
      </c>
      <c r="AA695">
        <v>6</v>
      </c>
      <c r="AC695">
        <v>414</v>
      </c>
      <c r="AD695">
        <v>19.600000000000001</v>
      </c>
      <c r="AE695">
        <v>1186</v>
      </c>
      <c r="AF695">
        <v>26.9</v>
      </c>
      <c r="AG695" t="s">
        <v>3370</v>
      </c>
      <c r="AH695">
        <v>3.0740846890282438</v>
      </c>
      <c r="AI695">
        <v>19.600000000000001</v>
      </c>
      <c r="AJ695" t="s">
        <v>1797</v>
      </c>
      <c r="AK695" t="s">
        <v>770</v>
      </c>
      <c r="AM695"/>
      <c r="AN695">
        <v>17.62</v>
      </c>
      <c r="AO695">
        <v>4.2376172550148974</v>
      </c>
      <c r="AP695">
        <v>15.43</v>
      </c>
      <c r="AQ695" s="85">
        <v>4.8009998958550284</v>
      </c>
      <c r="AS695">
        <v>-0.13300000000000001</v>
      </c>
      <c r="AT695">
        <v>2.5700000000000001E-2</v>
      </c>
      <c r="AW695" s="28">
        <f t="shared" si="50"/>
        <v>-0.48364879887734469</v>
      </c>
      <c r="AX695">
        <f t="shared" si="51"/>
        <v>0.92307692307692313</v>
      </c>
      <c r="AY695" s="62">
        <f t="shared" si="52"/>
        <v>-0.44644504511754896</v>
      </c>
      <c r="AZ695" s="68" t="str">
        <f t="shared" si="53"/>
        <v>No</v>
      </c>
      <c r="BA695" s="68" t="str">
        <f t="shared" si="54"/>
        <v>No</v>
      </c>
    </row>
    <row r="696" spans="1:53" hidden="1">
      <c r="A696" t="s">
        <v>1815</v>
      </c>
      <c r="B696" t="s">
        <v>3290</v>
      </c>
      <c r="C696">
        <v>240</v>
      </c>
      <c r="F696" t="s">
        <v>1241</v>
      </c>
      <c r="G696" t="s">
        <v>1739</v>
      </c>
      <c r="I696">
        <v>2017</v>
      </c>
      <c r="N696" t="s">
        <v>36</v>
      </c>
      <c r="P696" t="s">
        <v>60</v>
      </c>
      <c r="Q696" t="s">
        <v>900</v>
      </c>
      <c r="R696" t="s">
        <v>1742</v>
      </c>
      <c r="S696" t="s">
        <v>1786</v>
      </c>
      <c r="V696" t="s">
        <v>905</v>
      </c>
      <c r="Z696">
        <v>26</v>
      </c>
      <c r="AA696">
        <v>26</v>
      </c>
      <c r="AC696">
        <v>8271</v>
      </c>
      <c r="AD696" s="37">
        <v>26.1</v>
      </c>
      <c r="AE696">
        <v>41067</v>
      </c>
      <c r="AF696" s="37">
        <v>26.4</v>
      </c>
      <c r="AG696" t="s">
        <v>3422</v>
      </c>
      <c r="AH696">
        <v>4.613492978211986</v>
      </c>
      <c r="AI696" s="37">
        <v>26.1</v>
      </c>
      <c r="AJ696" t="s">
        <v>1099</v>
      </c>
      <c r="AK696" t="s">
        <v>40</v>
      </c>
      <c r="AM696"/>
      <c r="AN696">
        <v>1.2857881E-2</v>
      </c>
      <c r="AO696">
        <v>0</v>
      </c>
      <c r="AP696">
        <v>1.2692505999999999E-2</v>
      </c>
      <c r="AQ696" s="85">
        <v>0</v>
      </c>
      <c r="AS696">
        <v>-1.2999999999999999E-2</v>
      </c>
      <c r="AT696">
        <v>8.0000000000000004E-4</v>
      </c>
      <c r="AW696" s="28" t="e">
        <f t="shared" si="50"/>
        <v>#DIV/0!</v>
      </c>
      <c r="AX696">
        <f t="shared" si="51"/>
        <v>0.98492462311557794</v>
      </c>
      <c r="AY696" s="62" t="e">
        <f t="shared" si="52"/>
        <v>#DIV/0!</v>
      </c>
      <c r="AZ696" s="68" t="e">
        <f t="shared" si="53"/>
        <v>#DIV/0!</v>
      </c>
      <c r="BA696" s="68" t="e">
        <f t="shared" si="54"/>
        <v>#DIV/0!</v>
      </c>
    </row>
    <row r="697" spans="1:53" hidden="1">
      <c r="A697" t="s">
        <v>1815</v>
      </c>
      <c r="B697" t="s">
        <v>3329</v>
      </c>
      <c r="C697">
        <v>240</v>
      </c>
      <c r="F697" t="s">
        <v>1241</v>
      </c>
      <c r="G697" t="s">
        <v>1739</v>
      </c>
      <c r="I697">
        <v>2018</v>
      </c>
      <c r="N697" t="s">
        <v>36</v>
      </c>
      <c r="P697" t="s">
        <v>60</v>
      </c>
      <c r="Q697" t="s">
        <v>900</v>
      </c>
      <c r="R697" t="s">
        <v>1742</v>
      </c>
      <c r="S697" t="s">
        <v>1786</v>
      </c>
      <c r="V697" t="s">
        <v>905</v>
      </c>
      <c r="Z697">
        <v>3</v>
      </c>
      <c r="AA697">
        <v>3</v>
      </c>
      <c r="AC697">
        <v>8271</v>
      </c>
      <c r="AD697" s="37">
        <v>26.1</v>
      </c>
      <c r="AE697">
        <v>41067</v>
      </c>
      <c r="AF697" s="37">
        <v>26.4</v>
      </c>
      <c r="AG697" t="s">
        <v>3422</v>
      </c>
      <c r="AH697">
        <v>4.613492978211986</v>
      </c>
      <c r="AI697" s="37">
        <v>26.1</v>
      </c>
      <c r="AJ697" t="s">
        <v>69</v>
      </c>
      <c r="AK697" t="s">
        <v>69</v>
      </c>
      <c r="AM697"/>
      <c r="AN697">
        <v>93.84</v>
      </c>
      <c r="AO697">
        <v>7.3958569483191052</v>
      </c>
      <c r="AP697">
        <v>80.213270140000006</v>
      </c>
      <c r="AQ697" s="85">
        <v>12.522727338722984</v>
      </c>
      <c r="AS697">
        <v>-0.157</v>
      </c>
      <c r="AT697">
        <v>1.0200000000000001E-2</v>
      </c>
      <c r="AW697" s="28">
        <f t="shared" si="50"/>
        <v>-1.3250540521334779</v>
      </c>
      <c r="AX697">
        <f t="shared" si="51"/>
        <v>0.8</v>
      </c>
      <c r="AY697" s="62">
        <f t="shared" si="52"/>
        <v>-1.0600432417067824</v>
      </c>
      <c r="AZ697" s="68" t="str">
        <f t="shared" si="53"/>
        <v>No</v>
      </c>
      <c r="BA697" s="68" t="str">
        <f t="shared" si="54"/>
        <v>No</v>
      </c>
    </row>
    <row r="698" spans="1:53" hidden="1">
      <c r="A698" t="s">
        <v>1815</v>
      </c>
      <c r="B698" t="s">
        <v>3289</v>
      </c>
      <c r="C698">
        <v>240</v>
      </c>
      <c r="F698" t="s">
        <v>1241</v>
      </c>
      <c r="G698" t="s">
        <v>1739</v>
      </c>
      <c r="I698">
        <v>2016</v>
      </c>
      <c r="N698" t="s">
        <v>36</v>
      </c>
      <c r="P698" t="s">
        <v>60</v>
      </c>
      <c r="Q698" t="s">
        <v>900</v>
      </c>
      <c r="R698" t="s">
        <v>1742</v>
      </c>
      <c r="S698" t="s">
        <v>1786</v>
      </c>
      <c r="V698" t="s">
        <v>907</v>
      </c>
      <c r="Z698">
        <v>26</v>
      </c>
      <c r="AA698">
        <v>26</v>
      </c>
      <c r="AC698">
        <v>8271</v>
      </c>
      <c r="AD698" s="37">
        <v>26.1</v>
      </c>
      <c r="AE698">
        <v>10190</v>
      </c>
      <c r="AF698" s="37">
        <v>29.9</v>
      </c>
      <c r="AG698" t="s">
        <v>3422</v>
      </c>
      <c r="AH698">
        <v>4.0081741840064264</v>
      </c>
      <c r="AI698" s="37">
        <v>26.1</v>
      </c>
      <c r="AJ698" t="s">
        <v>1099</v>
      </c>
      <c r="AK698" t="s">
        <v>40</v>
      </c>
      <c r="AM698"/>
      <c r="AN698">
        <v>1.2857881E-2</v>
      </c>
      <c r="AO698">
        <v>0</v>
      </c>
      <c r="AP698">
        <v>1.2113695000000001E-2</v>
      </c>
      <c r="AQ698" s="85">
        <v>0</v>
      </c>
      <c r="AS698">
        <v>-0.06</v>
      </c>
      <c r="AT698">
        <v>5.0000000000000001E-4</v>
      </c>
      <c r="AW698" s="28" t="e">
        <f t="shared" si="50"/>
        <v>#DIV/0!</v>
      </c>
      <c r="AX698">
        <f t="shared" si="51"/>
        <v>0.98492462311557794</v>
      </c>
      <c r="AY698" s="62" t="e">
        <f t="shared" si="52"/>
        <v>#DIV/0!</v>
      </c>
      <c r="AZ698" s="68" t="e">
        <f t="shared" si="53"/>
        <v>#DIV/0!</v>
      </c>
      <c r="BA698" s="68" t="e">
        <f t="shared" si="54"/>
        <v>#DIV/0!</v>
      </c>
    </row>
    <row r="699" spans="1:53" hidden="1">
      <c r="A699" t="s">
        <v>1815</v>
      </c>
      <c r="B699" t="s">
        <v>3328</v>
      </c>
      <c r="C699">
        <v>240</v>
      </c>
      <c r="F699" t="s">
        <v>1241</v>
      </c>
      <c r="G699" t="s">
        <v>1739</v>
      </c>
      <c r="I699">
        <v>2010</v>
      </c>
      <c r="N699" t="s">
        <v>36</v>
      </c>
      <c r="P699" t="s">
        <v>60</v>
      </c>
      <c r="Q699" t="s">
        <v>900</v>
      </c>
      <c r="R699" t="s">
        <v>1742</v>
      </c>
      <c r="S699" t="s">
        <v>1786</v>
      </c>
      <c r="V699" t="s">
        <v>907</v>
      </c>
      <c r="Z699">
        <v>3</v>
      </c>
      <c r="AA699">
        <v>3</v>
      </c>
      <c r="AC699">
        <v>8271</v>
      </c>
      <c r="AD699" s="37">
        <v>26.1</v>
      </c>
      <c r="AE699">
        <v>10190</v>
      </c>
      <c r="AF699" s="37">
        <v>29.9</v>
      </c>
      <c r="AG699" t="s">
        <v>3422</v>
      </c>
      <c r="AH699">
        <v>4.0081741840064264</v>
      </c>
      <c r="AI699" s="37">
        <v>26.1</v>
      </c>
      <c r="AJ699" t="s">
        <v>69</v>
      </c>
      <c r="AK699" t="s">
        <v>69</v>
      </c>
      <c r="AM699"/>
      <c r="AN699">
        <v>93.84</v>
      </c>
      <c r="AO699">
        <v>7.3958569483191052</v>
      </c>
      <c r="AP699">
        <v>75.118483409999996</v>
      </c>
      <c r="AQ699" s="85">
        <v>25.859518557003337</v>
      </c>
      <c r="AS699">
        <v>-0.223</v>
      </c>
      <c r="AT699">
        <v>4.1599999999999998E-2</v>
      </c>
      <c r="AW699" s="28">
        <f t="shared" si="50"/>
        <v>-0.98437992970991428</v>
      </c>
      <c r="AX699">
        <f t="shared" si="51"/>
        <v>0.8</v>
      </c>
      <c r="AY699" s="62">
        <f t="shared" si="52"/>
        <v>-0.78750394376793142</v>
      </c>
      <c r="AZ699" s="68" t="str">
        <f t="shared" si="53"/>
        <v>No</v>
      </c>
      <c r="BA699" s="68" t="str">
        <f t="shared" si="54"/>
        <v>No</v>
      </c>
    </row>
    <row r="700" spans="1:53" hidden="1">
      <c r="A700" t="s">
        <v>1815</v>
      </c>
      <c r="B700" t="s">
        <v>3291</v>
      </c>
      <c r="C700">
        <v>240</v>
      </c>
      <c r="F700" t="s">
        <v>1241</v>
      </c>
      <c r="G700" t="s">
        <v>1739</v>
      </c>
      <c r="I700">
        <v>2017</v>
      </c>
      <c r="N700" t="s">
        <v>36</v>
      </c>
      <c r="P700" t="s">
        <v>60</v>
      </c>
      <c r="Q700" t="s">
        <v>900</v>
      </c>
      <c r="R700" t="s">
        <v>1742</v>
      </c>
      <c r="S700" t="s">
        <v>1786</v>
      </c>
      <c r="V700" t="s">
        <v>1015</v>
      </c>
      <c r="Z700">
        <v>26</v>
      </c>
      <c r="AA700">
        <v>26</v>
      </c>
      <c r="AC700">
        <v>8271</v>
      </c>
      <c r="AD700" s="37">
        <v>26.1</v>
      </c>
      <c r="AE700">
        <v>48031</v>
      </c>
      <c r="AF700" s="37">
        <v>30</v>
      </c>
      <c r="AG700" t="s">
        <v>3422</v>
      </c>
      <c r="AH700">
        <v>4.6815216286951955</v>
      </c>
      <c r="AI700" s="37">
        <v>26.1</v>
      </c>
      <c r="AJ700" t="s">
        <v>1099</v>
      </c>
      <c r="AK700" t="s">
        <v>40</v>
      </c>
      <c r="AM700"/>
      <c r="AN700">
        <v>1.2857881E-2</v>
      </c>
      <c r="AO700">
        <v>0</v>
      </c>
      <c r="AP700">
        <v>1.4098191E-2</v>
      </c>
      <c r="AQ700" s="85">
        <v>0</v>
      </c>
      <c r="AS700">
        <v>9.1999999999999998E-2</v>
      </c>
      <c r="AT700">
        <v>5.0000000000000001E-4</v>
      </c>
      <c r="AW700" s="28" t="e">
        <f t="shared" si="50"/>
        <v>#DIV/0!</v>
      </c>
      <c r="AX700">
        <f t="shared" si="51"/>
        <v>0.98492462311557794</v>
      </c>
      <c r="AY700" s="62" t="e">
        <f t="shared" si="52"/>
        <v>#DIV/0!</v>
      </c>
      <c r="AZ700" s="68" t="e">
        <f t="shared" si="53"/>
        <v>#DIV/0!</v>
      </c>
      <c r="BA700" s="68" t="e">
        <f t="shared" si="54"/>
        <v>#DIV/0!</v>
      </c>
    </row>
    <row r="701" spans="1:53" hidden="1">
      <c r="A701" t="s">
        <v>1815</v>
      </c>
      <c r="B701" t="s">
        <v>3331</v>
      </c>
      <c r="C701">
        <v>240</v>
      </c>
      <c r="F701" t="s">
        <v>1241</v>
      </c>
      <c r="G701" t="s">
        <v>1739</v>
      </c>
      <c r="I701">
        <v>2021</v>
      </c>
      <c r="N701" t="s">
        <v>36</v>
      </c>
      <c r="P701" t="s">
        <v>60</v>
      </c>
      <c r="Q701" t="s">
        <v>900</v>
      </c>
      <c r="R701" t="s">
        <v>1742</v>
      </c>
      <c r="S701" t="s">
        <v>1786</v>
      </c>
      <c r="V701" t="s">
        <v>1015</v>
      </c>
      <c r="Z701">
        <v>3</v>
      </c>
      <c r="AA701">
        <v>3</v>
      </c>
      <c r="AC701">
        <v>8271</v>
      </c>
      <c r="AD701" s="37">
        <v>26.1</v>
      </c>
      <c r="AE701">
        <v>48031</v>
      </c>
      <c r="AF701" s="37">
        <v>30</v>
      </c>
      <c r="AG701" t="s">
        <v>3422</v>
      </c>
      <c r="AH701">
        <v>4.6815216286951955</v>
      </c>
      <c r="AI701" s="37">
        <v>26.1</v>
      </c>
      <c r="AJ701" t="s">
        <v>69</v>
      </c>
      <c r="AK701" t="s">
        <v>69</v>
      </c>
      <c r="AM701"/>
      <c r="AN701">
        <v>93.84</v>
      </c>
      <c r="AO701">
        <v>7.3958569483191052</v>
      </c>
      <c r="AP701">
        <v>89.573459720000002</v>
      </c>
      <c r="AQ701" s="85">
        <v>3.4814221232134428</v>
      </c>
      <c r="AS701">
        <v>-4.7E-2</v>
      </c>
      <c r="AT701">
        <v>2.5999999999999999E-3</v>
      </c>
      <c r="AW701" s="28">
        <f t="shared" si="50"/>
        <v>-0.73814360588230854</v>
      </c>
      <c r="AX701">
        <f t="shared" si="51"/>
        <v>0.8</v>
      </c>
      <c r="AY701" s="62">
        <f t="shared" si="52"/>
        <v>-0.5905148847058469</v>
      </c>
      <c r="AZ701" s="68" t="str">
        <f t="shared" si="53"/>
        <v>No</v>
      </c>
      <c r="BA701" s="68" t="str">
        <f t="shared" si="54"/>
        <v>No</v>
      </c>
    </row>
    <row r="702" spans="1:53" hidden="1">
      <c r="A702" t="s">
        <v>1815</v>
      </c>
      <c r="B702" t="s">
        <v>2926</v>
      </c>
      <c r="C702">
        <v>212</v>
      </c>
      <c r="F702" t="s">
        <v>1241</v>
      </c>
      <c r="G702" t="s">
        <v>1726</v>
      </c>
      <c r="I702">
        <v>2010</v>
      </c>
      <c r="N702" t="s">
        <v>36</v>
      </c>
      <c r="P702" t="s">
        <v>60</v>
      </c>
      <c r="Q702" t="s">
        <v>900</v>
      </c>
      <c r="R702" t="s">
        <v>1741</v>
      </c>
      <c r="S702" t="s">
        <v>1759</v>
      </c>
      <c r="V702" t="s">
        <v>905</v>
      </c>
      <c r="Z702">
        <v>3</v>
      </c>
      <c r="AA702">
        <v>3</v>
      </c>
      <c r="AC702">
        <v>375</v>
      </c>
      <c r="AD702">
        <v>18</v>
      </c>
      <c r="AE702">
        <v>600</v>
      </c>
      <c r="AF702">
        <v>18</v>
      </c>
      <c r="AG702" t="s">
        <v>3381</v>
      </c>
      <c r="AH702">
        <v>2.7781512503836434</v>
      </c>
      <c r="AI702">
        <v>18</v>
      </c>
      <c r="AJ702" t="s">
        <v>1790</v>
      </c>
      <c r="AK702" t="s">
        <v>770</v>
      </c>
      <c r="AM702"/>
      <c r="AN702">
        <v>22.01</v>
      </c>
      <c r="AO702">
        <v>4.9536653096469889</v>
      </c>
      <c r="AP702">
        <v>36.020000000000003</v>
      </c>
      <c r="AQ702" s="85">
        <v>4.4513705754520139</v>
      </c>
      <c r="AS702">
        <v>-0.19800000000000001</v>
      </c>
      <c r="AT702">
        <v>3.0000000000000001E-3</v>
      </c>
      <c r="AW702" s="28">
        <f t="shared" si="50"/>
        <v>2.9750151724207714</v>
      </c>
      <c r="AX702">
        <f t="shared" si="51"/>
        <v>0.8</v>
      </c>
      <c r="AY702" s="62">
        <f t="shared" si="52"/>
        <v>2.380012137936617</v>
      </c>
      <c r="AZ702" s="68" t="str">
        <f t="shared" si="53"/>
        <v>No</v>
      </c>
      <c r="BA702" s="68" t="str">
        <f t="shared" si="54"/>
        <v>No</v>
      </c>
    </row>
    <row r="703" spans="1:53" hidden="1">
      <c r="A703" t="s">
        <v>1815</v>
      </c>
      <c r="B703" t="s">
        <v>2935</v>
      </c>
      <c r="C703">
        <v>212</v>
      </c>
      <c r="F703" t="s">
        <v>1241</v>
      </c>
      <c r="G703" t="s">
        <v>1726</v>
      </c>
      <c r="I703">
        <v>2010</v>
      </c>
      <c r="N703" t="s">
        <v>36</v>
      </c>
      <c r="P703" t="s">
        <v>60</v>
      </c>
      <c r="Q703" t="s">
        <v>900</v>
      </c>
      <c r="R703" t="s">
        <v>1741</v>
      </c>
      <c r="S703" t="s">
        <v>1759</v>
      </c>
      <c r="V703" t="s">
        <v>905</v>
      </c>
      <c r="Z703">
        <v>3</v>
      </c>
      <c r="AA703">
        <v>3</v>
      </c>
      <c r="AC703">
        <v>375</v>
      </c>
      <c r="AD703">
        <v>18</v>
      </c>
      <c r="AE703">
        <v>750</v>
      </c>
      <c r="AF703">
        <v>18</v>
      </c>
      <c r="AG703" t="s">
        <v>3381</v>
      </c>
      <c r="AH703">
        <v>2.8750612633917001</v>
      </c>
      <c r="AI703">
        <v>18</v>
      </c>
      <c r="AJ703" t="s">
        <v>1790</v>
      </c>
      <c r="AK703" t="s">
        <v>770</v>
      </c>
      <c r="AM703"/>
      <c r="AN703">
        <v>22.01</v>
      </c>
      <c r="AO703">
        <v>4.9536653096469889</v>
      </c>
      <c r="AP703">
        <v>45.47</v>
      </c>
      <c r="AQ703" s="85">
        <v>2.9618068809427798</v>
      </c>
      <c r="AS703">
        <v>-0.35799999999999998</v>
      </c>
      <c r="AT703">
        <v>2.3E-3</v>
      </c>
      <c r="AW703" s="28">
        <f t="shared" si="50"/>
        <v>5.7484203545403547</v>
      </c>
      <c r="AX703">
        <f t="shared" si="51"/>
        <v>0.8</v>
      </c>
      <c r="AY703" s="62">
        <f t="shared" si="52"/>
        <v>4.5987362836322836</v>
      </c>
      <c r="AZ703" s="68" t="str">
        <f t="shared" si="53"/>
        <v>No</v>
      </c>
      <c r="BA703" s="68" t="str">
        <f t="shared" si="54"/>
        <v>No</v>
      </c>
    </row>
    <row r="704" spans="1:53" hidden="1">
      <c r="A704" t="s">
        <v>1815</v>
      </c>
      <c r="B704" t="s">
        <v>2943</v>
      </c>
      <c r="C704">
        <v>212</v>
      </c>
      <c r="F704" t="s">
        <v>1241</v>
      </c>
      <c r="G704" t="s">
        <v>1726</v>
      </c>
      <c r="I704">
        <v>2017</v>
      </c>
      <c r="N704" t="s">
        <v>36</v>
      </c>
      <c r="P704" t="s">
        <v>60</v>
      </c>
      <c r="Q704" t="s">
        <v>900</v>
      </c>
      <c r="R704" t="s">
        <v>1741</v>
      </c>
      <c r="S704" t="s">
        <v>1759</v>
      </c>
      <c r="V704" t="s">
        <v>905</v>
      </c>
      <c r="Z704">
        <v>3</v>
      </c>
      <c r="AA704">
        <v>3</v>
      </c>
      <c r="AC704">
        <v>375</v>
      </c>
      <c r="AD704">
        <v>18</v>
      </c>
      <c r="AE704">
        <v>1000</v>
      </c>
      <c r="AF704">
        <v>18</v>
      </c>
      <c r="AG704" t="s">
        <v>3381</v>
      </c>
      <c r="AH704">
        <v>3</v>
      </c>
      <c r="AI704">
        <v>18</v>
      </c>
      <c r="AJ704" t="s">
        <v>1790</v>
      </c>
      <c r="AK704" t="s">
        <v>770</v>
      </c>
      <c r="AM704"/>
      <c r="AN704">
        <v>22.01</v>
      </c>
      <c r="AO704">
        <v>4.9536653096469889</v>
      </c>
      <c r="AP704">
        <v>60.06</v>
      </c>
      <c r="AQ704">
        <v>2.9791273890184686</v>
      </c>
      <c r="AS704">
        <v>-0.66900000000000004</v>
      </c>
      <c r="AT704">
        <v>3.2000000000000002E-3</v>
      </c>
      <c r="AW704" s="28">
        <f t="shared" si="50"/>
        <v>9.3090513256436616</v>
      </c>
      <c r="AX704">
        <f t="shared" si="51"/>
        <v>0.8</v>
      </c>
      <c r="AY704" s="62">
        <f t="shared" si="52"/>
        <v>7.44724106051493</v>
      </c>
      <c r="AZ704" s="68" t="str">
        <f t="shared" si="53"/>
        <v>No</v>
      </c>
      <c r="BA704" s="68" t="str">
        <f t="shared" si="54"/>
        <v>No</v>
      </c>
    </row>
    <row r="705" spans="1:53" hidden="1">
      <c r="A705" t="s">
        <v>1815</v>
      </c>
      <c r="B705" t="s">
        <v>2952</v>
      </c>
      <c r="C705">
        <v>212</v>
      </c>
      <c r="F705" t="s">
        <v>1241</v>
      </c>
      <c r="G705" t="s">
        <v>1726</v>
      </c>
      <c r="I705">
        <v>2010</v>
      </c>
      <c r="N705" t="s">
        <v>36</v>
      </c>
      <c r="P705" t="s">
        <v>60</v>
      </c>
      <c r="Q705" t="s">
        <v>900</v>
      </c>
      <c r="R705" t="s">
        <v>1741</v>
      </c>
      <c r="S705" t="s">
        <v>1007</v>
      </c>
      <c r="V705" t="s">
        <v>905</v>
      </c>
      <c r="Z705">
        <v>3</v>
      </c>
      <c r="AA705">
        <v>3</v>
      </c>
      <c r="AC705">
        <v>375</v>
      </c>
      <c r="AD705">
        <v>18</v>
      </c>
      <c r="AE705">
        <v>600</v>
      </c>
      <c r="AF705">
        <v>18</v>
      </c>
      <c r="AG705" t="s">
        <v>3380</v>
      </c>
      <c r="AH705">
        <v>2.7781512503836434</v>
      </c>
      <c r="AI705">
        <v>18</v>
      </c>
      <c r="AJ705" t="s">
        <v>1790</v>
      </c>
      <c r="AK705" t="s">
        <v>770</v>
      </c>
      <c r="AM705"/>
      <c r="AN705">
        <v>40.869999999999997</v>
      </c>
      <c r="AO705">
        <v>3.966396349332729</v>
      </c>
      <c r="AP705">
        <v>97.46</v>
      </c>
      <c r="AQ705">
        <v>4.9536653096469889</v>
      </c>
      <c r="AS705">
        <v>-3.1480000000000001</v>
      </c>
      <c r="AT705">
        <v>1.2658</v>
      </c>
      <c r="AW705" s="28">
        <f t="shared" si="50"/>
        <v>12.611244496943794</v>
      </c>
      <c r="AX705">
        <f t="shared" si="51"/>
        <v>0.8</v>
      </c>
      <c r="AY705" s="62">
        <f t="shared" si="52"/>
        <v>10.088995597555035</v>
      </c>
      <c r="AZ705" s="68" t="str">
        <f t="shared" si="53"/>
        <v>Yes</v>
      </c>
      <c r="BA705" s="68" t="str">
        <f t="shared" si="54"/>
        <v>No</v>
      </c>
    </row>
    <row r="706" spans="1:53" hidden="1">
      <c r="A706" t="s">
        <v>1815</v>
      </c>
      <c r="B706" t="s">
        <v>2953</v>
      </c>
      <c r="C706">
        <v>212</v>
      </c>
      <c r="F706" t="s">
        <v>1241</v>
      </c>
      <c r="G706" t="s">
        <v>1726</v>
      </c>
      <c r="I706">
        <v>2010</v>
      </c>
      <c r="N706" t="s">
        <v>36</v>
      </c>
      <c r="P706" t="s">
        <v>60</v>
      </c>
      <c r="Q706" t="s">
        <v>900</v>
      </c>
      <c r="R706" t="s">
        <v>1741</v>
      </c>
      <c r="S706" t="s">
        <v>1007</v>
      </c>
      <c r="V706" t="s">
        <v>905</v>
      </c>
      <c r="Z706">
        <v>3</v>
      </c>
      <c r="AA706">
        <v>3</v>
      </c>
      <c r="AC706">
        <v>375</v>
      </c>
      <c r="AD706">
        <v>18</v>
      </c>
      <c r="AE706">
        <v>750</v>
      </c>
      <c r="AF706">
        <v>18</v>
      </c>
      <c r="AG706" t="s">
        <v>3380</v>
      </c>
      <c r="AH706">
        <v>2.8750612633917001</v>
      </c>
      <c r="AI706">
        <v>18</v>
      </c>
      <c r="AJ706" t="s">
        <v>1790</v>
      </c>
      <c r="AK706" t="s">
        <v>770</v>
      </c>
      <c r="AM706"/>
      <c r="AN706">
        <v>40.869999999999997</v>
      </c>
      <c r="AO706">
        <v>3.966396349332729</v>
      </c>
      <c r="AP706">
        <v>98.05</v>
      </c>
      <c r="AQ706">
        <v>4.4513705754520139</v>
      </c>
      <c r="AS706">
        <v>-3.411</v>
      </c>
      <c r="AT706">
        <v>1.7363</v>
      </c>
      <c r="AW706" s="28">
        <f t="shared" ref="AW706:AW769" si="55">(AP706-$AN706)/SQRT(((AA706-1)*AQ706*AQ706+($Z706-1)*$AO706*$AO706)/(AA706+$Z706-2))</f>
        <v>13.563059649421286</v>
      </c>
      <c r="AX706">
        <f t="shared" ref="AX706:AX769" si="56">1-(3/(4*(AA706+$Z706-2)-1))</f>
        <v>0.8</v>
      </c>
      <c r="AY706" s="62">
        <f t="shared" ref="AY706:AY769" si="57">AX706*AW706</f>
        <v>10.85044771953703</v>
      </c>
      <c r="AZ706" s="68" t="str">
        <f t="shared" ref="AZ706:AZ769" si="58">IF(AY706&gt;10,"Yes","No")</f>
        <v>Yes</v>
      </c>
      <c r="BA706" s="68" t="str">
        <f t="shared" ref="BA706:BA769" si="59">IF(AY706&lt;-10,"Yes","No")</f>
        <v>No</v>
      </c>
    </row>
    <row r="707" spans="1:53" hidden="1">
      <c r="A707" t="s">
        <v>1815</v>
      </c>
      <c r="B707" t="s">
        <v>2956</v>
      </c>
      <c r="C707">
        <v>212</v>
      </c>
      <c r="F707" t="s">
        <v>1241</v>
      </c>
      <c r="G707" t="s">
        <v>1726</v>
      </c>
      <c r="I707">
        <v>2010</v>
      </c>
      <c r="N707" t="s">
        <v>36</v>
      </c>
      <c r="P707" t="s">
        <v>60</v>
      </c>
      <c r="Q707" t="s">
        <v>900</v>
      </c>
      <c r="R707" t="s">
        <v>1741</v>
      </c>
      <c r="S707" t="s">
        <v>1007</v>
      </c>
      <c r="V707" t="s">
        <v>905</v>
      </c>
      <c r="Z707">
        <v>3</v>
      </c>
      <c r="AA707">
        <v>3</v>
      </c>
      <c r="AC707">
        <v>375</v>
      </c>
      <c r="AD707">
        <v>18</v>
      </c>
      <c r="AE707">
        <v>1000</v>
      </c>
      <c r="AF707">
        <v>18</v>
      </c>
      <c r="AG707" t="s">
        <v>3380</v>
      </c>
      <c r="AH707">
        <v>3</v>
      </c>
      <c r="AI707">
        <v>18</v>
      </c>
      <c r="AJ707" t="s">
        <v>1790</v>
      </c>
      <c r="AK707" t="s">
        <v>770</v>
      </c>
      <c r="AM707"/>
      <c r="AN707">
        <v>40.869999999999997</v>
      </c>
      <c r="AO707">
        <v>3.9594681461024535</v>
      </c>
      <c r="AP707">
        <v>100</v>
      </c>
      <c r="AQ707">
        <v>0</v>
      </c>
      <c r="AS707">
        <v>-4.08</v>
      </c>
      <c r="AT707">
        <v>1.5E-3</v>
      </c>
      <c r="AW707" s="28">
        <f t="shared" si="55"/>
        <v>21.119616286201417</v>
      </c>
      <c r="AX707">
        <f t="shared" si="56"/>
        <v>0.8</v>
      </c>
      <c r="AY707" s="62">
        <f t="shared" si="57"/>
        <v>16.895693028961134</v>
      </c>
      <c r="AZ707" s="68" t="str">
        <f t="shared" si="58"/>
        <v>Yes</v>
      </c>
      <c r="BA707" s="68" t="str">
        <f t="shared" si="59"/>
        <v>No</v>
      </c>
    </row>
    <row r="708" spans="1:53" hidden="1">
      <c r="A708" t="s">
        <v>1815</v>
      </c>
      <c r="B708" t="s">
        <v>3299</v>
      </c>
      <c r="C708">
        <v>212</v>
      </c>
      <c r="F708" t="s">
        <v>1241</v>
      </c>
      <c r="G708" t="s">
        <v>1726</v>
      </c>
      <c r="I708">
        <v>2010</v>
      </c>
      <c r="N708" t="s">
        <v>36</v>
      </c>
      <c r="P708" t="s">
        <v>60</v>
      </c>
      <c r="Q708" t="s">
        <v>900</v>
      </c>
      <c r="R708" t="s">
        <v>1741</v>
      </c>
      <c r="S708" t="s">
        <v>1007</v>
      </c>
      <c r="V708" t="s">
        <v>905</v>
      </c>
      <c r="Z708">
        <v>3</v>
      </c>
      <c r="AA708">
        <v>3</v>
      </c>
      <c r="AC708">
        <v>375</v>
      </c>
      <c r="AD708" s="37">
        <v>18</v>
      </c>
      <c r="AE708">
        <v>1000</v>
      </c>
      <c r="AF708" s="37">
        <v>18</v>
      </c>
      <c r="AG708" t="s">
        <v>3425</v>
      </c>
      <c r="AH708">
        <v>3</v>
      </c>
      <c r="AI708" s="37">
        <v>18</v>
      </c>
      <c r="AJ708" t="s">
        <v>1813</v>
      </c>
      <c r="AK708" t="s">
        <v>59</v>
      </c>
      <c r="AM708"/>
      <c r="AN708">
        <v>55.2</v>
      </c>
      <c r="AO708">
        <v>3.8971143170299736</v>
      </c>
      <c r="AP708">
        <v>39.369999999999997</v>
      </c>
      <c r="AQ708">
        <v>7.811549142135636</v>
      </c>
      <c r="AS708">
        <v>-0.33800000000000002</v>
      </c>
      <c r="AT708">
        <v>1.4800000000000001E-2</v>
      </c>
      <c r="AW708" s="28">
        <f t="shared" si="55"/>
        <v>-2.5644616007374319</v>
      </c>
      <c r="AX708">
        <f t="shared" si="56"/>
        <v>0.8</v>
      </c>
      <c r="AY708" s="62">
        <f t="shared" si="57"/>
        <v>-2.0515692805899457</v>
      </c>
      <c r="AZ708" s="68" t="str">
        <f t="shared" si="58"/>
        <v>No</v>
      </c>
      <c r="BA708" s="68" t="str">
        <f t="shared" si="59"/>
        <v>No</v>
      </c>
    </row>
    <row r="709" spans="1:53" hidden="1">
      <c r="A709" t="s">
        <v>1815</v>
      </c>
      <c r="B709" t="s">
        <v>3301</v>
      </c>
      <c r="C709">
        <v>212</v>
      </c>
      <c r="F709" t="s">
        <v>1241</v>
      </c>
      <c r="G709" t="s">
        <v>1726</v>
      </c>
      <c r="I709">
        <v>2010</v>
      </c>
      <c r="N709" t="s">
        <v>36</v>
      </c>
      <c r="P709" t="s">
        <v>60</v>
      </c>
      <c r="Q709" t="s">
        <v>900</v>
      </c>
      <c r="R709" t="s">
        <v>1741</v>
      </c>
      <c r="S709" t="s">
        <v>1007</v>
      </c>
      <c r="V709" t="s">
        <v>905</v>
      </c>
      <c r="Z709">
        <v>3</v>
      </c>
      <c r="AA709">
        <v>3</v>
      </c>
      <c r="AC709">
        <v>375</v>
      </c>
      <c r="AD709" s="37">
        <v>18</v>
      </c>
      <c r="AE709">
        <v>750</v>
      </c>
      <c r="AF709" s="37">
        <v>18</v>
      </c>
      <c r="AG709" t="s">
        <v>3425</v>
      </c>
      <c r="AH709">
        <v>2.8750612633917001</v>
      </c>
      <c r="AI709" s="37">
        <v>18</v>
      </c>
      <c r="AJ709" t="s">
        <v>1813</v>
      </c>
      <c r="AK709" t="s">
        <v>59</v>
      </c>
      <c r="AM709"/>
      <c r="AN709">
        <v>55.2</v>
      </c>
      <c r="AO709">
        <v>3.8971143170299736</v>
      </c>
      <c r="AP709">
        <v>43.9</v>
      </c>
      <c r="AQ709">
        <v>1.4549226783578568</v>
      </c>
      <c r="AS709">
        <v>-0.22900000000000001</v>
      </c>
      <c r="AT709">
        <v>2E-3</v>
      </c>
      <c r="AW709" s="28">
        <f t="shared" si="55"/>
        <v>-3.8416378658667742</v>
      </c>
      <c r="AX709">
        <f t="shared" si="56"/>
        <v>0.8</v>
      </c>
      <c r="AY709" s="62">
        <f t="shared" si="57"/>
        <v>-3.0733102926934195</v>
      </c>
      <c r="AZ709" s="68" t="str">
        <f t="shared" si="58"/>
        <v>No</v>
      </c>
      <c r="BA709" s="68" t="str">
        <f t="shared" si="59"/>
        <v>No</v>
      </c>
    </row>
    <row r="710" spans="1:53" hidden="1">
      <c r="A710" t="s">
        <v>1815</v>
      </c>
      <c r="B710" t="s">
        <v>3302</v>
      </c>
      <c r="C710">
        <v>212</v>
      </c>
      <c r="F710" t="s">
        <v>1241</v>
      </c>
      <c r="G710" t="s">
        <v>1726</v>
      </c>
      <c r="I710">
        <v>2010</v>
      </c>
      <c r="N710" t="s">
        <v>36</v>
      </c>
      <c r="P710" t="s">
        <v>60</v>
      </c>
      <c r="Q710" t="s">
        <v>900</v>
      </c>
      <c r="R710" t="s">
        <v>1741</v>
      </c>
      <c r="S710" t="s">
        <v>1007</v>
      </c>
      <c r="V710" t="s">
        <v>905</v>
      </c>
      <c r="Z710">
        <v>3</v>
      </c>
      <c r="AA710">
        <v>3</v>
      </c>
      <c r="AC710">
        <v>375</v>
      </c>
      <c r="AD710" s="37">
        <v>18</v>
      </c>
      <c r="AE710">
        <v>600</v>
      </c>
      <c r="AF710" s="37">
        <v>18</v>
      </c>
      <c r="AG710" t="s">
        <v>3425</v>
      </c>
      <c r="AH710">
        <v>2.7781512503836434</v>
      </c>
      <c r="AI710" s="37">
        <v>18</v>
      </c>
      <c r="AJ710" t="s">
        <v>1813</v>
      </c>
      <c r="AK710" t="s">
        <v>59</v>
      </c>
      <c r="AM710"/>
      <c r="AN710">
        <v>55.2</v>
      </c>
      <c r="AO710">
        <v>3.8971143170299736</v>
      </c>
      <c r="AP710">
        <v>45.32</v>
      </c>
      <c r="AQ710">
        <v>2.9271658647914025</v>
      </c>
      <c r="AS710">
        <v>-0.19700000000000001</v>
      </c>
      <c r="AT710">
        <v>3.0999999999999999E-3</v>
      </c>
      <c r="AW710" s="28">
        <f t="shared" si="55"/>
        <v>-2.8667321187234491</v>
      </c>
      <c r="AX710">
        <f t="shared" si="56"/>
        <v>0.8</v>
      </c>
      <c r="AY710" s="62">
        <f t="shared" si="57"/>
        <v>-2.2933856949787592</v>
      </c>
      <c r="AZ710" s="68" t="str">
        <f t="shared" si="58"/>
        <v>No</v>
      </c>
      <c r="BA710" s="68" t="str">
        <f t="shared" si="59"/>
        <v>No</v>
      </c>
    </row>
    <row r="711" spans="1:53" hidden="1">
      <c r="A711" t="s">
        <v>1815</v>
      </c>
      <c r="B711" t="s">
        <v>3318</v>
      </c>
      <c r="C711">
        <v>212</v>
      </c>
      <c r="F711" t="s">
        <v>1241</v>
      </c>
      <c r="G711" t="s">
        <v>1726</v>
      </c>
      <c r="I711">
        <v>2010</v>
      </c>
      <c r="N711" t="s">
        <v>36</v>
      </c>
      <c r="P711" t="s">
        <v>60</v>
      </c>
      <c r="Q711" t="s">
        <v>900</v>
      </c>
      <c r="R711" t="s">
        <v>1741</v>
      </c>
      <c r="S711" t="s">
        <v>1759</v>
      </c>
      <c r="V711" t="s">
        <v>905</v>
      </c>
      <c r="Z711">
        <v>3</v>
      </c>
      <c r="AA711">
        <v>3</v>
      </c>
      <c r="AC711">
        <v>375</v>
      </c>
      <c r="AD711" s="37">
        <v>18</v>
      </c>
      <c r="AE711">
        <v>1000</v>
      </c>
      <c r="AF711" s="37">
        <v>18</v>
      </c>
      <c r="AG711" t="s">
        <v>3426</v>
      </c>
      <c r="AH711">
        <v>3</v>
      </c>
      <c r="AI711" s="37">
        <v>18</v>
      </c>
      <c r="AJ711" t="s">
        <v>1813</v>
      </c>
      <c r="AK711" t="s">
        <v>59</v>
      </c>
      <c r="AM711"/>
      <c r="AN711">
        <v>86.8</v>
      </c>
      <c r="AO711">
        <v>5.35203699538783</v>
      </c>
      <c r="AP711">
        <v>67.14</v>
      </c>
      <c r="AQ711">
        <v>2.4248711305964279</v>
      </c>
      <c r="AS711">
        <v>-0.25700000000000001</v>
      </c>
      <c r="AT711">
        <v>1.6999999999999999E-3</v>
      </c>
      <c r="AW711" s="28">
        <f t="shared" si="55"/>
        <v>-4.731905582964604</v>
      </c>
      <c r="AX711">
        <f t="shared" si="56"/>
        <v>0.8</v>
      </c>
      <c r="AY711" s="62">
        <f t="shared" si="57"/>
        <v>-3.7855244663716832</v>
      </c>
      <c r="AZ711" s="68" t="str">
        <f t="shared" si="58"/>
        <v>No</v>
      </c>
      <c r="BA711" s="68" t="str">
        <f t="shared" si="59"/>
        <v>No</v>
      </c>
    </row>
    <row r="712" spans="1:53" hidden="1">
      <c r="A712" t="s">
        <v>1815</v>
      </c>
      <c r="B712" t="s">
        <v>3320</v>
      </c>
      <c r="C712">
        <v>212</v>
      </c>
      <c r="F712" t="s">
        <v>1241</v>
      </c>
      <c r="G712" t="s">
        <v>1726</v>
      </c>
      <c r="I712">
        <v>2017</v>
      </c>
      <c r="N712" t="s">
        <v>36</v>
      </c>
      <c r="P712" t="s">
        <v>60</v>
      </c>
      <c r="Q712" t="s">
        <v>900</v>
      </c>
      <c r="R712" t="s">
        <v>1741</v>
      </c>
      <c r="S712" t="s">
        <v>1759</v>
      </c>
      <c r="V712" t="s">
        <v>905</v>
      </c>
      <c r="Z712">
        <v>3</v>
      </c>
      <c r="AA712">
        <v>3</v>
      </c>
      <c r="AC712">
        <v>375</v>
      </c>
      <c r="AD712" s="37">
        <v>18</v>
      </c>
      <c r="AE712">
        <v>750</v>
      </c>
      <c r="AF712" s="37">
        <v>18</v>
      </c>
      <c r="AG712" t="s">
        <v>3426</v>
      </c>
      <c r="AH712">
        <v>2.8750612633917001</v>
      </c>
      <c r="AI712" s="37">
        <v>18</v>
      </c>
      <c r="AJ712" t="s">
        <v>1813</v>
      </c>
      <c r="AK712" t="s">
        <v>59</v>
      </c>
      <c r="AM712"/>
      <c r="AN712">
        <v>86.8</v>
      </c>
      <c r="AO712">
        <v>5.35203699538783</v>
      </c>
      <c r="AP712">
        <v>68.540000000000006</v>
      </c>
      <c r="AQ712">
        <v>0.96994845223857129</v>
      </c>
      <c r="AS712">
        <v>-0.23599999999999999</v>
      </c>
      <c r="AT712">
        <v>1.2999999999999999E-3</v>
      </c>
      <c r="AW712" s="28">
        <f t="shared" si="55"/>
        <v>-4.7476560701492829</v>
      </c>
      <c r="AX712">
        <f t="shared" si="56"/>
        <v>0.8</v>
      </c>
      <c r="AY712" s="62">
        <f t="shared" si="57"/>
        <v>-3.7981248561194265</v>
      </c>
      <c r="AZ712" s="68" t="str">
        <f t="shared" si="58"/>
        <v>No</v>
      </c>
      <c r="BA712" s="68" t="str">
        <f t="shared" si="59"/>
        <v>No</v>
      </c>
    </row>
    <row r="713" spans="1:53" hidden="1">
      <c r="A713" t="s">
        <v>1815</v>
      </c>
      <c r="B713" t="s">
        <v>3322</v>
      </c>
      <c r="C713">
        <v>212</v>
      </c>
      <c r="F713" t="s">
        <v>1241</v>
      </c>
      <c r="G713" t="s">
        <v>1726</v>
      </c>
      <c r="I713">
        <v>2010</v>
      </c>
      <c r="N713" t="s">
        <v>36</v>
      </c>
      <c r="P713" t="s">
        <v>60</v>
      </c>
      <c r="Q713" t="s">
        <v>900</v>
      </c>
      <c r="R713" t="s">
        <v>1741</v>
      </c>
      <c r="S713" t="s">
        <v>1759</v>
      </c>
      <c r="V713" t="s">
        <v>905</v>
      </c>
      <c r="Z713">
        <v>3</v>
      </c>
      <c r="AA713">
        <v>3</v>
      </c>
      <c r="AC713">
        <v>375</v>
      </c>
      <c r="AD713" s="37">
        <v>18</v>
      </c>
      <c r="AE713">
        <v>600</v>
      </c>
      <c r="AF713" s="37">
        <v>18</v>
      </c>
      <c r="AG713" t="s">
        <v>3426</v>
      </c>
      <c r="AH713">
        <v>2.7781512503836434</v>
      </c>
      <c r="AI713" s="37">
        <v>18</v>
      </c>
      <c r="AJ713" t="s">
        <v>1813</v>
      </c>
      <c r="AK713" t="s">
        <v>59</v>
      </c>
      <c r="AM713"/>
      <c r="AN713">
        <v>86.8</v>
      </c>
      <c r="AO713">
        <v>5.35203699538783</v>
      </c>
      <c r="AP713">
        <v>72.75</v>
      </c>
      <c r="AQ713">
        <v>5.35203699538783</v>
      </c>
      <c r="AS713">
        <v>-0.17699999999999999</v>
      </c>
      <c r="AT713">
        <v>3.0999999999999999E-3</v>
      </c>
      <c r="AW713" s="28">
        <f t="shared" si="55"/>
        <v>-2.6251686997133468</v>
      </c>
      <c r="AX713">
        <f t="shared" si="56"/>
        <v>0.8</v>
      </c>
      <c r="AY713" s="62">
        <f t="shared" si="57"/>
        <v>-2.1001349597706773</v>
      </c>
      <c r="AZ713" s="68" t="str">
        <f t="shared" si="58"/>
        <v>No</v>
      </c>
      <c r="BA713" s="68" t="str">
        <f t="shared" si="59"/>
        <v>No</v>
      </c>
    </row>
    <row r="714" spans="1:53" hidden="1">
      <c r="A714" t="s">
        <v>1815</v>
      </c>
      <c r="B714" t="s">
        <v>2904</v>
      </c>
      <c r="C714">
        <v>212</v>
      </c>
      <c r="F714" t="s">
        <v>1241</v>
      </c>
      <c r="G714" t="s">
        <v>1726</v>
      </c>
      <c r="I714">
        <v>2018</v>
      </c>
      <c r="N714" t="s">
        <v>36</v>
      </c>
      <c r="P714" t="s">
        <v>60</v>
      </c>
      <c r="Q714" t="s">
        <v>900</v>
      </c>
      <c r="R714" t="s">
        <v>1741</v>
      </c>
      <c r="S714" t="s">
        <v>1007</v>
      </c>
      <c r="V714" t="s">
        <v>907</v>
      </c>
      <c r="Z714">
        <v>3</v>
      </c>
      <c r="AA714">
        <v>3</v>
      </c>
      <c r="AC714">
        <v>375</v>
      </c>
      <c r="AD714">
        <v>18</v>
      </c>
      <c r="AE714">
        <v>375</v>
      </c>
      <c r="AF714">
        <v>26</v>
      </c>
      <c r="AG714" t="s">
        <v>3380</v>
      </c>
      <c r="AH714">
        <v>2.5740312677277188</v>
      </c>
      <c r="AI714">
        <v>18</v>
      </c>
      <c r="AJ714" t="s">
        <v>1790</v>
      </c>
      <c r="AK714" t="s">
        <v>770</v>
      </c>
      <c r="AM714"/>
      <c r="AN714">
        <v>40.869999999999997</v>
      </c>
      <c r="AO714">
        <v>3.966396349332729</v>
      </c>
      <c r="AP714">
        <v>5.01</v>
      </c>
      <c r="AQ714">
        <v>2.4768326548234945</v>
      </c>
      <c r="AS714">
        <v>0.47399999999999998</v>
      </c>
      <c r="AT714">
        <v>1.6999999999999999E-3</v>
      </c>
      <c r="AW714" s="28">
        <f t="shared" si="55"/>
        <v>-10.845028073880831</v>
      </c>
      <c r="AX714">
        <f t="shared" si="56"/>
        <v>0.8</v>
      </c>
      <c r="AY714" s="62">
        <f t="shared" si="57"/>
        <v>-8.6760224591046651</v>
      </c>
      <c r="AZ714" s="68" t="str">
        <f t="shared" si="58"/>
        <v>No</v>
      </c>
      <c r="BA714" s="68" t="str">
        <f t="shared" si="59"/>
        <v>No</v>
      </c>
    </row>
    <row r="715" spans="1:53" hidden="1">
      <c r="A715" t="s">
        <v>1815</v>
      </c>
      <c r="B715" t="s">
        <v>2905</v>
      </c>
      <c r="C715">
        <v>212</v>
      </c>
      <c r="F715" t="s">
        <v>1241</v>
      </c>
      <c r="G715" t="s">
        <v>1726</v>
      </c>
      <c r="I715">
        <v>2010</v>
      </c>
      <c r="N715" t="s">
        <v>36</v>
      </c>
      <c r="P715" t="s">
        <v>60</v>
      </c>
      <c r="Q715" t="s">
        <v>900</v>
      </c>
      <c r="R715" t="s">
        <v>1741</v>
      </c>
      <c r="S715" t="s">
        <v>1007</v>
      </c>
      <c r="V715" t="s">
        <v>907</v>
      </c>
      <c r="Z715">
        <v>3</v>
      </c>
      <c r="AA715">
        <v>3</v>
      </c>
      <c r="AC715">
        <v>375</v>
      </c>
      <c r="AD715">
        <v>18</v>
      </c>
      <c r="AE715">
        <v>375</v>
      </c>
      <c r="AF715">
        <v>22</v>
      </c>
      <c r="AG715" t="s">
        <v>3380</v>
      </c>
      <c r="AH715">
        <v>2.5740312677277188</v>
      </c>
      <c r="AI715">
        <v>18</v>
      </c>
      <c r="AJ715" t="s">
        <v>1790</v>
      </c>
      <c r="AK715" t="s">
        <v>770</v>
      </c>
      <c r="AM715"/>
      <c r="AN715">
        <v>40.869999999999997</v>
      </c>
      <c r="AO715">
        <v>3.966396349332729</v>
      </c>
      <c r="AP715">
        <v>6.08</v>
      </c>
      <c r="AQ715">
        <v>2.9618068809427798</v>
      </c>
      <c r="AS715">
        <v>0.46300000000000002</v>
      </c>
      <c r="AT715">
        <v>1.8E-3</v>
      </c>
      <c r="AW715" s="28">
        <f t="shared" si="55"/>
        <v>-9.9390669885240506</v>
      </c>
      <c r="AX715">
        <f t="shared" si="56"/>
        <v>0.8</v>
      </c>
      <c r="AY715" s="62">
        <f t="shared" si="57"/>
        <v>-7.951253590819241</v>
      </c>
      <c r="AZ715" s="68" t="str">
        <f t="shared" si="58"/>
        <v>No</v>
      </c>
      <c r="BA715" s="68" t="str">
        <f t="shared" si="59"/>
        <v>No</v>
      </c>
    </row>
    <row r="716" spans="1:53" hidden="1">
      <c r="A716" t="s">
        <v>1815</v>
      </c>
      <c r="B716" t="s">
        <v>2907</v>
      </c>
      <c r="C716">
        <v>212</v>
      </c>
      <c r="F716" t="s">
        <v>1241</v>
      </c>
      <c r="G716" t="s">
        <v>1726</v>
      </c>
      <c r="I716">
        <v>2018</v>
      </c>
      <c r="N716" t="s">
        <v>36</v>
      </c>
      <c r="P716" t="s">
        <v>60</v>
      </c>
      <c r="Q716" t="s">
        <v>900</v>
      </c>
      <c r="R716" t="s">
        <v>1741</v>
      </c>
      <c r="S716" t="s">
        <v>1759</v>
      </c>
      <c r="V716" t="s">
        <v>907</v>
      </c>
      <c r="Z716">
        <v>3</v>
      </c>
      <c r="AA716">
        <v>3</v>
      </c>
      <c r="AC716">
        <v>375</v>
      </c>
      <c r="AD716">
        <v>18</v>
      </c>
      <c r="AE716">
        <v>375</v>
      </c>
      <c r="AF716">
        <v>26</v>
      </c>
      <c r="AG716" t="s">
        <v>3381</v>
      </c>
      <c r="AH716">
        <v>2.5740312677277188</v>
      </c>
      <c r="AI716">
        <v>18</v>
      </c>
      <c r="AJ716" t="s">
        <v>1790</v>
      </c>
      <c r="AK716" t="s">
        <v>770</v>
      </c>
      <c r="AM716"/>
      <c r="AN716">
        <v>22.01</v>
      </c>
      <c r="AO716">
        <v>4.9536653096469889</v>
      </c>
      <c r="AP716">
        <v>6.72</v>
      </c>
      <c r="AQ716">
        <v>2.9618068809427798</v>
      </c>
      <c r="AS716">
        <v>0.17899999999999999</v>
      </c>
      <c r="AT716">
        <v>1.6999999999999999E-3</v>
      </c>
      <c r="AW716" s="28">
        <f t="shared" si="55"/>
        <v>-3.7465194893828664</v>
      </c>
      <c r="AX716">
        <f t="shared" si="56"/>
        <v>0.8</v>
      </c>
      <c r="AY716" s="62">
        <f t="shared" si="57"/>
        <v>-2.9972155915062935</v>
      </c>
      <c r="AZ716" s="68" t="str">
        <f t="shared" si="58"/>
        <v>No</v>
      </c>
      <c r="BA716" s="68" t="str">
        <f t="shared" si="59"/>
        <v>No</v>
      </c>
    </row>
    <row r="717" spans="1:53" hidden="1">
      <c r="A717" t="s">
        <v>1815</v>
      </c>
      <c r="B717" t="s">
        <v>2908</v>
      </c>
      <c r="C717">
        <v>212</v>
      </c>
      <c r="F717" t="s">
        <v>1241</v>
      </c>
      <c r="G717" t="s">
        <v>1726</v>
      </c>
      <c r="I717">
        <v>2018</v>
      </c>
      <c r="N717" t="s">
        <v>36</v>
      </c>
      <c r="P717" t="s">
        <v>60</v>
      </c>
      <c r="Q717" t="s">
        <v>900</v>
      </c>
      <c r="R717" t="s">
        <v>1741</v>
      </c>
      <c r="S717" t="s">
        <v>1759</v>
      </c>
      <c r="V717" t="s">
        <v>907</v>
      </c>
      <c r="Z717">
        <v>3</v>
      </c>
      <c r="AA717">
        <v>3</v>
      </c>
      <c r="AC717">
        <v>375</v>
      </c>
      <c r="AD717">
        <v>18</v>
      </c>
      <c r="AE717">
        <v>375</v>
      </c>
      <c r="AF717">
        <v>22</v>
      </c>
      <c r="AG717" t="s">
        <v>3381</v>
      </c>
      <c r="AH717">
        <v>2.5740312677277188</v>
      </c>
      <c r="AI717">
        <v>18</v>
      </c>
      <c r="AJ717" t="s">
        <v>1790</v>
      </c>
      <c r="AK717" t="s">
        <v>770</v>
      </c>
      <c r="AM717"/>
      <c r="AN717">
        <v>22.01</v>
      </c>
      <c r="AO717">
        <v>4.9536653096469889</v>
      </c>
      <c r="AP717">
        <v>9.51</v>
      </c>
      <c r="AQ717">
        <v>1.4895636945092343</v>
      </c>
      <c r="AS717">
        <v>0.14899999999999999</v>
      </c>
      <c r="AT717">
        <v>1.4E-3</v>
      </c>
      <c r="AW717" s="28">
        <f t="shared" si="55"/>
        <v>-3.4174442008913974</v>
      </c>
      <c r="AX717">
        <f t="shared" si="56"/>
        <v>0.8</v>
      </c>
      <c r="AY717" s="62">
        <f t="shared" si="57"/>
        <v>-2.733955360713118</v>
      </c>
      <c r="AZ717" s="68" t="str">
        <f t="shared" si="58"/>
        <v>No</v>
      </c>
      <c r="BA717" s="68" t="str">
        <f t="shared" si="59"/>
        <v>No</v>
      </c>
    </row>
    <row r="718" spans="1:53" hidden="1">
      <c r="A718" t="s">
        <v>1815</v>
      </c>
      <c r="B718" t="s">
        <v>2910</v>
      </c>
      <c r="C718">
        <v>212</v>
      </c>
      <c r="F718" t="s">
        <v>1241</v>
      </c>
      <c r="G718" t="s">
        <v>1726</v>
      </c>
      <c r="I718">
        <v>2018</v>
      </c>
      <c r="N718" t="s">
        <v>36</v>
      </c>
      <c r="P718" t="s">
        <v>60</v>
      </c>
      <c r="Q718" t="s">
        <v>900</v>
      </c>
      <c r="R718" t="s">
        <v>1741</v>
      </c>
      <c r="S718" t="s">
        <v>1759</v>
      </c>
      <c r="V718" t="s">
        <v>907</v>
      </c>
      <c r="Z718">
        <v>3</v>
      </c>
      <c r="AA718">
        <v>3</v>
      </c>
      <c r="AC718">
        <v>375</v>
      </c>
      <c r="AD718">
        <v>18</v>
      </c>
      <c r="AE718">
        <v>375</v>
      </c>
      <c r="AF718">
        <v>30</v>
      </c>
      <c r="AG718" t="s">
        <v>3381</v>
      </c>
      <c r="AH718">
        <v>2.5740312677277188</v>
      </c>
      <c r="AI718">
        <v>18</v>
      </c>
      <c r="AJ718" t="s">
        <v>1790</v>
      </c>
      <c r="AK718" t="s">
        <v>770</v>
      </c>
      <c r="AM718"/>
      <c r="AN718">
        <v>22.01</v>
      </c>
      <c r="AO718">
        <v>4.9536653096469889</v>
      </c>
      <c r="AP718">
        <v>15.36</v>
      </c>
      <c r="AQ718">
        <v>1.9745379206285198</v>
      </c>
      <c r="AS718">
        <v>8.2000000000000003E-2</v>
      </c>
      <c r="AT718">
        <v>1.5E-3</v>
      </c>
      <c r="AW718" s="28">
        <f t="shared" si="55"/>
        <v>-1.7635597266289491</v>
      </c>
      <c r="AX718">
        <f t="shared" si="56"/>
        <v>0.8</v>
      </c>
      <c r="AY718" s="62">
        <f t="shared" si="57"/>
        <v>-1.4108477813031595</v>
      </c>
      <c r="AZ718" s="68" t="str">
        <f t="shared" si="58"/>
        <v>No</v>
      </c>
      <c r="BA718" s="68" t="str">
        <f t="shared" si="59"/>
        <v>No</v>
      </c>
    </row>
    <row r="719" spans="1:53" hidden="1">
      <c r="A719" t="s">
        <v>1815</v>
      </c>
      <c r="B719" t="s">
        <v>2917</v>
      </c>
      <c r="C719">
        <v>212</v>
      </c>
      <c r="F719" t="s">
        <v>1241</v>
      </c>
      <c r="G719" t="s">
        <v>1726</v>
      </c>
      <c r="I719">
        <v>2018</v>
      </c>
      <c r="N719" t="s">
        <v>36</v>
      </c>
      <c r="P719" t="s">
        <v>60</v>
      </c>
      <c r="Q719" t="s">
        <v>900</v>
      </c>
      <c r="R719" t="s">
        <v>1741</v>
      </c>
      <c r="S719" t="s">
        <v>1007</v>
      </c>
      <c r="V719" t="s">
        <v>907</v>
      </c>
      <c r="Z719">
        <v>3</v>
      </c>
      <c r="AA719">
        <v>3</v>
      </c>
      <c r="AC719">
        <v>375</v>
      </c>
      <c r="AD719">
        <v>18</v>
      </c>
      <c r="AE719">
        <v>375</v>
      </c>
      <c r="AF719">
        <v>30</v>
      </c>
      <c r="AG719" t="s">
        <v>3380</v>
      </c>
      <c r="AH719">
        <v>2.5740312677277188</v>
      </c>
      <c r="AI719">
        <v>18</v>
      </c>
      <c r="AJ719" t="s">
        <v>1790</v>
      </c>
      <c r="AK719" t="s">
        <v>770</v>
      </c>
      <c r="AM719"/>
      <c r="AN719">
        <v>40.869999999999997</v>
      </c>
      <c r="AO719">
        <v>3.966396349332729</v>
      </c>
      <c r="AP719">
        <v>27.94</v>
      </c>
      <c r="AQ719">
        <v>2.4768326548234945</v>
      </c>
      <c r="AS719">
        <v>0.19800000000000001</v>
      </c>
      <c r="AT719">
        <v>1.9E-3</v>
      </c>
      <c r="AW719" s="28">
        <f t="shared" si="55"/>
        <v>-3.9103796150384578</v>
      </c>
      <c r="AX719">
        <f t="shared" si="56"/>
        <v>0.8</v>
      </c>
      <c r="AY719" s="62">
        <f t="shared" si="57"/>
        <v>-3.1283036920307663</v>
      </c>
      <c r="AZ719" s="68" t="str">
        <f t="shared" si="58"/>
        <v>No</v>
      </c>
      <c r="BA719" s="68" t="str">
        <f t="shared" si="59"/>
        <v>No</v>
      </c>
    </row>
    <row r="720" spans="1:53" hidden="1">
      <c r="A720" t="s">
        <v>1815</v>
      </c>
      <c r="B720" t="s">
        <v>3319</v>
      </c>
      <c r="C720">
        <v>212</v>
      </c>
      <c r="F720" t="s">
        <v>1241</v>
      </c>
      <c r="G720" t="s">
        <v>1726</v>
      </c>
      <c r="I720">
        <v>2010</v>
      </c>
      <c r="N720" t="s">
        <v>36</v>
      </c>
      <c r="P720" t="s">
        <v>60</v>
      </c>
      <c r="Q720" t="s">
        <v>900</v>
      </c>
      <c r="R720" t="s">
        <v>1741</v>
      </c>
      <c r="S720" t="s">
        <v>1007</v>
      </c>
      <c r="V720" t="s">
        <v>907</v>
      </c>
      <c r="Z720">
        <v>3</v>
      </c>
      <c r="AA720">
        <v>3</v>
      </c>
      <c r="AC720">
        <v>375</v>
      </c>
      <c r="AD720" s="37">
        <v>18</v>
      </c>
      <c r="AE720">
        <v>375</v>
      </c>
      <c r="AF720" s="37">
        <v>22</v>
      </c>
      <c r="AG720" t="s">
        <v>3425</v>
      </c>
      <c r="AH720">
        <v>2.5740312677277188</v>
      </c>
      <c r="AI720" s="37">
        <v>18</v>
      </c>
      <c r="AJ720" t="s">
        <v>1813</v>
      </c>
      <c r="AK720" t="s">
        <v>59</v>
      </c>
      <c r="AM720"/>
      <c r="AN720">
        <v>55.2</v>
      </c>
      <c r="AO720">
        <v>3.8971143170299736</v>
      </c>
      <c r="AP720">
        <v>67.81</v>
      </c>
      <c r="AQ720">
        <v>7.811549142135636</v>
      </c>
      <c r="AS720">
        <v>0.20599999999999999</v>
      </c>
      <c r="AT720">
        <v>6.1000000000000004E-3</v>
      </c>
      <c r="AW720" s="28">
        <f t="shared" si="55"/>
        <v>2.0428212751294379</v>
      </c>
      <c r="AX720">
        <f t="shared" si="56"/>
        <v>0.8</v>
      </c>
      <c r="AY720" s="62">
        <f t="shared" si="57"/>
        <v>1.6342570201035505</v>
      </c>
      <c r="AZ720" s="68" t="str">
        <f t="shared" si="58"/>
        <v>No</v>
      </c>
      <c r="BA720" s="68" t="str">
        <f t="shared" si="59"/>
        <v>No</v>
      </c>
    </row>
    <row r="721" spans="1:53" hidden="1">
      <c r="A721" t="s">
        <v>1815</v>
      </c>
      <c r="B721" t="s">
        <v>3323</v>
      </c>
      <c r="C721">
        <v>212</v>
      </c>
      <c r="F721" t="s">
        <v>1241</v>
      </c>
      <c r="G721" t="s">
        <v>1726</v>
      </c>
      <c r="I721">
        <v>2021</v>
      </c>
      <c r="N721" t="s">
        <v>36</v>
      </c>
      <c r="P721" t="s">
        <v>60</v>
      </c>
      <c r="Q721" t="s">
        <v>900</v>
      </c>
      <c r="R721" t="s">
        <v>1741</v>
      </c>
      <c r="S721" t="s">
        <v>1007</v>
      </c>
      <c r="V721" t="s">
        <v>907</v>
      </c>
      <c r="Z721">
        <v>3</v>
      </c>
      <c r="AA721">
        <v>3</v>
      </c>
      <c r="AC721">
        <v>375</v>
      </c>
      <c r="AD721" s="37">
        <v>18</v>
      </c>
      <c r="AE721">
        <v>375</v>
      </c>
      <c r="AF721" s="37">
        <v>30</v>
      </c>
      <c r="AG721" t="s">
        <v>3425</v>
      </c>
      <c r="AH721">
        <v>2.5740312677277188</v>
      </c>
      <c r="AI721" s="37">
        <v>18</v>
      </c>
      <c r="AJ721" t="s">
        <v>1813</v>
      </c>
      <c r="AK721" t="s">
        <v>59</v>
      </c>
      <c r="AM721"/>
      <c r="AN721">
        <v>55.2</v>
      </c>
      <c r="AO721">
        <v>3.8971143170299736</v>
      </c>
      <c r="AP721">
        <v>74.14</v>
      </c>
      <c r="AQ721">
        <v>3.4121400909106878</v>
      </c>
      <c r="AS721">
        <v>0.29499999999999998</v>
      </c>
      <c r="AT721">
        <v>2.3999999999999998E-3</v>
      </c>
      <c r="AW721" s="28">
        <f t="shared" si="55"/>
        <v>5.1711009660424185</v>
      </c>
      <c r="AX721">
        <f t="shared" si="56"/>
        <v>0.8</v>
      </c>
      <c r="AY721" s="62">
        <f t="shared" si="57"/>
        <v>4.1368807728339352</v>
      </c>
      <c r="AZ721" s="68" t="str">
        <f t="shared" si="58"/>
        <v>No</v>
      </c>
      <c r="BA721" s="68" t="str">
        <f t="shared" si="59"/>
        <v>No</v>
      </c>
    </row>
    <row r="722" spans="1:53" hidden="1">
      <c r="A722" t="s">
        <v>1815</v>
      </c>
      <c r="B722" t="s">
        <v>3327</v>
      </c>
      <c r="C722">
        <v>212</v>
      </c>
      <c r="F722" t="s">
        <v>1241</v>
      </c>
      <c r="G722" t="s">
        <v>1726</v>
      </c>
      <c r="I722">
        <v>2010</v>
      </c>
      <c r="N722" t="s">
        <v>36</v>
      </c>
      <c r="P722" t="s">
        <v>60</v>
      </c>
      <c r="Q722" t="s">
        <v>900</v>
      </c>
      <c r="R722" t="s">
        <v>1741</v>
      </c>
      <c r="S722" t="s">
        <v>1759</v>
      </c>
      <c r="V722" t="s">
        <v>907</v>
      </c>
      <c r="Z722">
        <v>3</v>
      </c>
      <c r="AA722">
        <v>3</v>
      </c>
      <c r="AC722">
        <v>375</v>
      </c>
      <c r="AD722" s="37">
        <v>18</v>
      </c>
      <c r="AE722">
        <v>375</v>
      </c>
      <c r="AF722" s="37">
        <v>30</v>
      </c>
      <c r="AG722" t="s">
        <v>3426</v>
      </c>
      <c r="AH722">
        <v>2.5740312677277188</v>
      </c>
      <c r="AI722" s="37">
        <v>18</v>
      </c>
      <c r="AJ722" t="s">
        <v>1813</v>
      </c>
      <c r="AK722" t="s">
        <v>59</v>
      </c>
      <c r="AM722"/>
      <c r="AN722">
        <v>86.8</v>
      </c>
      <c r="AO722">
        <v>5.35203699538783</v>
      </c>
      <c r="AP722">
        <v>75</v>
      </c>
      <c r="AQ722">
        <v>4.3820885431492593</v>
      </c>
      <c r="AS722">
        <v>-0.14599999999999999</v>
      </c>
      <c r="AT722">
        <v>2.3999999999999998E-3</v>
      </c>
      <c r="AW722" s="28">
        <f t="shared" si="55"/>
        <v>-2.4125129250425141</v>
      </c>
      <c r="AX722">
        <f t="shared" si="56"/>
        <v>0.8</v>
      </c>
      <c r="AY722" s="62">
        <f t="shared" si="57"/>
        <v>-1.9300103400340114</v>
      </c>
      <c r="AZ722" s="68" t="str">
        <f t="shared" si="58"/>
        <v>No</v>
      </c>
      <c r="BA722" s="68" t="str">
        <f t="shared" si="59"/>
        <v>No</v>
      </c>
    </row>
    <row r="723" spans="1:53" hidden="1">
      <c r="A723" t="s">
        <v>1815</v>
      </c>
      <c r="B723" t="s">
        <v>3330</v>
      </c>
      <c r="C723">
        <v>212</v>
      </c>
      <c r="F723" t="s">
        <v>1241</v>
      </c>
      <c r="G723" t="s">
        <v>1726</v>
      </c>
      <c r="I723">
        <v>2015</v>
      </c>
      <c r="N723" t="s">
        <v>36</v>
      </c>
      <c r="P723" t="s">
        <v>60</v>
      </c>
      <c r="Q723" t="s">
        <v>900</v>
      </c>
      <c r="R723" t="s">
        <v>1741</v>
      </c>
      <c r="S723" t="s">
        <v>1759</v>
      </c>
      <c r="V723" t="s">
        <v>907</v>
      </c>
      <c r="Z723">
        <v>3</v>
      </c>
      <c r="AA723">
        <v>3</v>
      </c>
      <c r="AC723">
        <v>375</v>
      </c>
      <c r="AD723" s="37">
        <v>18</v>
      </c>
      <c r="AE723">
        <v>375</v>
      </c>
      <c r="AF723" s="37">
        <v>22</v>
      </c>
      <c r="AG723" t="s">
        <v>3426</v>
      </c>
      <c r="AH723">
        <v>2.5740312677277188</v>
      </c>
      <c r="AI723" s="37">
        <v>18</v>
      </c>
      <c r="AJ723" t="s">
        <v>1813</v>
      </c>
      <c r="AK723" t="s">
        <v>59</v>
      </c>
      <c r="AM723"/>
      <c r="AN723">
        <v>86.8</v>
      </c>
      <c r="AO723">
        <v>5.35203699538783</v>
      </c>
      <c r="AP723">
        <v>84.27</v>
      </c>
      <c r="AQ723">
        <v>4.8670627692685446</v>
      </c>
      <c r="AS723">
        <v>-0.03</v>
      </c>
      <c r="AT723">
        <v>2.3999999999999998E-3</v>
      </c>
      <c r="AW723" s="28">
        <f t="shared" si="55"/>
        <v>-0.49459459157493063</v>
      </c>
      <c r="AX723">
        <f t="shared" si="56"/>
        <v>0.8</v>
      </c>
      <c r="AY723" s="62">
        <f t="shared" si="57"/>
        <v>-0.39567567325994452</v>
      </c>
      <c r="AZ723" s="68" t="str">
        <f t="shared" si="58"/>
        <v>No</v>
      </c>
      <c r="BA723" s="68" t="str">
        <f t="shared" si="59"/>
        <v>No</v>
      </c>
    </row>
    <row r="724" spans="1:53" hidden="1">
      <c r="A724" t="s">
        <v>1815</v>
      </c>
      <c r="B724" t="s">
        <v>3332</v>
      </c>
      <c r="C724">
        <v>212</v>
      </c>
      <c r="F724" t="s">
        <v>1241</v>
      </c>
      <c r="G724" t="s">
        <v>1726</v>
      </c>
      <c r="I724">
        <v>2014</v>
      </c>
      <c r="N724" t="s">
        <v>36</v>
      </c>
      <c r="P724" t="s">
        <v>60</v>
      </c>
      <c r="Q724" t="s">
        <v>900</v>
      </c>
      <c r="R724" t="s">
        <v>1741</v>
      </c>
      <c r="S724" t="s">
        <v>1007</v>
      </c>
      <c r="V724" t="s">
        <v>907</v>
      </c>
      <c r="Z724">
        <v>3</v>
      </c>
      <c r="AA724">
        <v>3</v>
      </c>
      <c r="AC724">
        <v>375</v>
      </c>
      <c r="AD724" s="37">
        <v>18</v>
      </c>
      <c r="AE724">
        <v>375</v>
      </c>
      <c r="AF724" s="37">
        <v>26</v>
      </c>
      <c r="AG724" t="s">
        <v>3425</v>
      </c>
      <c r="AH724">
        <v>2.5740312677277188</v>
      </c>
      <c r="AI724" s="37">
        <v>18</v>
      </c>
      <c r="AJ724" t="s">
        <v>1813</v>
      </c>
      <c r="AK724" t="s">
        <v>59</v>
      </c>
      <c r="AM724"/>
      <c r="AN724">
        <v>55.2</v>
      </c>
      <c r="AO724">
        <v>3.8971143170299736</v>
      </c>
      <c r="AP724">
        <v>89.7</v>
      </c>
      <c r="AQ724">
        <v>2.4421916386721167</v>
      </c>
      <c r="AS724">
        <v>0.48599999999999999</v>
      </c>
      <c r="AT724">
        <v>1.9E-3</v>
      </c>
      <c r="AW724" s="28">
        <f t="shared" si="55"/>
        <v>10.608657469703957</v>
      </c>
      <c r="AX724">
        <f t="shared" si="56"/>
        <v>0.8</v>
      </c>
      <c r="AY724" s="62">
        <f t="shared" si="57"/>
        <v>8.4869259757631657</v>
      </c>
      <c r="AZ724" s="68" t="str">
        <f t="shared" si="58"/>
        <v>No</v>
      </c>
      <c r="BA724" s="68" t="str">
        <f t="shared" si="59"/>
        <v>No</v>
      </c>
    </row>
    <row r="725" spans="1:53" hidden="1">
      <c r="A725" t="s">
        <v>1815</v>
      </c>
      <c r="B725" t="s">
        <v>3333</v>
      </c>
      <c r="C725">
        <v>212</v>
      </c>
      <c r="F725" t="s">
        <v>1241</v>
      </c>
      <c r="G725" t="s">
        <v>1726</v>
      </c>
      <c r="I725">
        <v>2014</v>
      </c>
      <c r="N725" t="s">
        <v>36</v>
      </c>
      <c r="P725" t="s">
        <v>60</v>
      </c>
      <c r="Q725" t="s">
        <v>900</v>
      </c>
      <c r="R725" t="s">
        <v>1741</v>
      </c>
      <c r="S725" t="s">
        <v>1759</v>
      </c>
      <c r="V725" t="s">
        <v>907</v>
      </c>
      <c r="Z725">
        <v>3</v>
      </c>
      <c r="AA725">
        <v>3</v>
      </c>
      <c r="AC725">
        <v>375</v>
      </c>
      <c r="AD725" s="37">
        <v>18</v>
      </c>
      <c r="AE725">
        <v>375</v>
      </c>
      <c r="AF725" s="37">
        <v>26</v>
      </c>
      <c r="AG725" t="s">
        <v>3426</v>
      </c>
      <c r="AH725">
        <v>2.5740312677277188</v>
      </c>
      <c r="AI725" s="37">
        <v>18</v>
      </c>
      <c r="AJ725" t="s">
        <v>1813</v>
      </c>
      <c r="AK725" t="s">
        <v>59</v>
      </c>
      <c r="AM725"/>
      <c r="AN725">
        <v>86.8</v>
      </c>
      <c r="AO725">
        <v>5.35203699538783</v>
      </c>
      <c r="AP725">
        <v>91.85</v>
      </c>
      <c r="AQ725">
        <v>1.4549226783578568</v>
      </c>
      <c r="AS725">
        <v>5.7000000000000002E-2</v>
      </c>
      <c r="AT725">
        <v>1.4E-3</v>
      </c>
      <c r="AW725" s="28">
        <f t="shared" si="55"/>
        <v>1.2876725721617199</v>
      </c>
      <c r="AX725">
        <f t="shared" si="56"/>
        <v>0.8</v>
      </c>
      <c r="AY725" s="62">
        <f t="shared" si="57"/>
        <v>1.0301380577293759</v>
      </c>
      <c r="AZ725" s="68" t="str">
        <f t="shared" si="58"/>
        <v>No</v>
      </c>
      <c r="BA725" s="68" t="str">
        <f t="shared" si="59"/>
        <v>No</v>
      </c>
    </row>
    <row r="726" spans="1:53" hidden="1">
      <c r="A726" t="s">
        <v>1815</v>
      </c>
      <c r="B726" t="s">
        <v>2919</v>
      </c>
      <c r="C726">
        <v>212</v>
      </c>
      <c r="F726" t="s">
        <v>1241</v>
      </c>
      <c r="G726" t="s">
        <v>1726</v>
      </c>
      <c r="I726">
        <v>2017</v>
      </c>
      <c r="N726" t="s">
        <v>36</v>
      </c>
      <c r="P726" t="s">
        <v>60</v>
      </c>
      <c r="Q726" t="s">
        <v>900</v>
      </c>
      <c r="R726" t="s">
        <v>1741</v>
      </c>
      <c r="S726" t="s">
        <v>1759</v>
      </c>
      <c r="V726" t="s">
        <v>1015</v>
      </c>
      <c r="Z726">
        <v>3</v>
      </c>
      <c r="AA726">
        <v>3</v>
      </c>
      <c r="AC726">
        <v>375</v>
      </c>
      <c r="AD726">
        <v>18</v>
      </c>
      <c r="AE726">
        <v>600</v>
      </c>
      <c r="AF726">
        <v>22</v>
      </c>
      <c r="AG726" t="s">
        <v>3381</v>
      </c>
      <c r="AH726">
        <v>2.7781512503836434</v>
      </c>
      <c r="AI726">
        <v>18</v>
      </c>
      <c r="AJ726" t="s">
        <v>1790</v>
      </c>
      <c r="AK726" t="s">
        <v>770</v>
      </c>
      <c r="AM726"/>
      <c r="AN726">
        <v>22.01</v>
      </c>
      <c r="AO726">
        <v>4.9536653096469889</v>
      </c>
      <c r="AP726">
        <v>30.1</v>
      </c>
      <c r="AQ726">
        <v>0.98726896031425992</v>
      </c>
      <c r="AS726">
        <v>-0.11</v>
      </c>
      <c r="AT726">
        <v>1.4E-3</v>
      </c>
      <c r="AW726" s="28">
        <f t="shared" si="55"/>
        <v>2.2650536822580367</v>
      </c>
      <c r="AX726">
        <f t="shared" si="56"/>
        <v>0.8</v>
      </c>
      <c r="AY726" s="62">
        <f t="shared" si="57"/>
        <v>1.8120429458064296</v>
      </c>
      <c r="AZ726" s="68" t="str">
        <f t="shared" si="58"/>
        <v>No</v>
      </c>
      <c r="BA726" s="68" t="str">
        <f t="shared" si="59"/>
        <v>No</v>
      </c>
    </row>
    <row r="727" spans="1:53" hidden="1">
      <c r="A727" t="s">
        <v>1815</v>
      </c>
      <c r="B727" t="s">
        <v>2923</v>
      </c>
      <c r="C727">
        <v>212</v>
      </c>
      <c r="F727" t="s">
        <v>1241</v>
      </c>
      <c r="G727" t="s">
        <v>1726</v>
      </c>
      <c r="I727">
        <v>2018</v>
      </c>
      <c r="N727" t="s">
        <v>36</v>
      </c>
      <c r="P727" t="s">
        <v>60</v>
      </c>
      <c r="Q727" t="s">
        <v>900</v>
      </c>
      <c r="R727" t="s">
        <v>1741</v>
      </c>
      <c r="S727" t="s">
        <v>1759</v>
      </c>
      <c r="V727" t="s">
        <v>1015</v>
      </c>
      <c r="Z727">
        <v>3</v>
      </c>
      <c r="AA727">
        <v>3</v>
      </c>
      <c r="AC727">
        <v>375</v>
      </c>
      <c r="AD727">
        <v>18</v>
      </c>
      <c r="AE727">
        <v>750</v>
      </c>
      <c r="AF727">
        <v>26</v>
      </c>
      <c r="AG727" t="s">
        <v>3381</v>
      </c>
      <c r="AH727">
        <v>2.8750612633917001</v>
      </c>
      <c r="AI727">
        <v>18</v>
      </c>
      <c r="AJ727" t="s">
        <v>1790</v>
      </c>
      <c r="AK727" t="s">
        <v>770</v>
      </c>
      <c r="AM727"/>
      <c r="AN727">
        <v>22.01</v>
      </c>
      <c r="AO727">
        <v>4.9536653096469889</v>
      </c>
      <c r="AP727">
        <v>35.619999999999997</v>
      </c>
      <c r="AQ727">
        <v>2.9618068809427798</v>
      </c>
      <c r="AS727">
        <v>-0.192</v>
      </c>
      <c r="AT727">
        <v>2E-3</v>
      </c>
      <c r="AW727" s="28">
        <f t="shared" si="55"/>
        <v>3.3348679038914839</v>
      </c>
      <c r="AX727">
        <f t="shared" si="56"/>
        <v>0.8</v>
      </c>
      <c r="AY727" s="62">
        <f t="shared" si="57"/>
        <v>2.6678943231131873</v>
      </c>
      <c r="AZ727" s="68" t="str">
        <f t="shared" si="58"/>
        <v>No</v>
      </c>
      <c r="BA727" s="68" t="str">
        <f t="shared" si="59"/>
        <v>No</v>
      </c>
    </row>
    <row r="728" spans="1:53" hidden="1">
      <c r="A728" t="s">
        <v>1815</v>
      </c>
      <c r="B728" t="s">
        <v>2925</v>
      </c>
      <c r="C728">
        <v>212</v>
      </c>
      <c r="F728" t="s">
        <v>1241</v>
      </c>
      <c r="G728" t="s">
        <v>1726</v>
      </c>
      <c r="I728">
        <v>2010</v>
      </c>
      <c r="N728" t="s">
        <v>36</v>
      </c>
      <c r="P728" t="s">
        <v>60</v>
      </c>
      <c r="Q728" t="s">
        <v>900</v>
      </c>
      <c r="R728" t="s">
        <v>1741</v>
      </c>
      <c r="S728" t="s">
        <v>1759</v>
      </c>
      <c r="V728" t="s">
        <v>1015</v>
      </c>
      <c r="Z728">
        <v>3</v>
      </c>
      <c r="AA728">
        <v>3</v>
      </c>
      <c r="AC728">
        <v>375</v>
      </c>
      <c r="AD728">
        <v>18</v>
      </c>
      <c r="AE728">
        <v>600</v>
      </c>
      <c r="AF728">
        <v>26</v>
      </c>
      <c r="AG728" t="s">
        <v>3381</v>
      </c>
      <c r="AH728">
        <v>2.7781512503836434</v>
      </c>
      <c r="AI728">
        <v>18</v>
      </c>
      <c r="AJ728" t="s">
        <v>1790</v>
      </c>
      <c r="AK728" t="s">
        <v>770</v>
      </c>
      <c r="AM728"/>
      <c r="AN728">
        <v>22.01</v>
      </c>
      <c r="AO728">
        <v>4.9536653096469889</v>
      </c>
      <c r="AP728">
        <v>35.880000000000003</v>
      </c>
      <c r="AQ728">
        <v>1.9745379206285198</v>
      </c>
      <c r="AS728">
        <v>-0.19600000000000001</v>
      </c>
      <c r="AT728">
        <v>1.6999999999999999E-3</v>
      </c>
      <c r="AW728" s="28">
        <f t="shared" si="55"/>
        <v>3.6782817155403786</v>
      </c>
      <c r="AX728">
        <f t="shared" si="56"/>
        <v>0.8</v>
      </c>
      <c r="AY728" s="62">
        <f t="shared" si="57"/>
        <v>2.9426253724323033</v>
      </c>
      <c r="AZ728" s="68" t="str">
        <f t="shared" si="58"/>
        <v>No</v>
      </c>
      <c r="BA728" s="68" t="str">
        <f t="shared" si="59"/>
        <v>No</v>
      </c>
    </row>
    <row r="729" spans="1:53" hidden="1">
      <c r="A729" t="s">
        <v>1815</v>
      </c>
      <c r="B729" t="s">
        <v>2927</v>
      </c>
      <c r="C729">
        <v>212</v>
      </c>
      <c r="F729" t="s">
        <v>1241</v>
      </c>
      <c r="G729" t="s">
        <v>1726</v>
      </c>
      <c r="I729">
        <v>2010</v>
      </c>
      <c r="N729" t="s">
        <v>36</v>
      </c>
      <c r="P729" t="s">
        <v>60</v>
      </c>
      <c r="Q729" t="s">
        <v>900</v>
      </c>
      <c r="R729" t="s">
        <v>1741</v>
      </c>
      <c r="S729" t="s">
        <v>1759</v>
      </c>
      <c r="V729" t="s">
        <v>1015</v>
      </c>
      <c r="Z729">
        <v>3</v>
      </c>
      <c r="AA729">
        <v>3</v>
      </c>
      <c r="AC729">
        <v>375</v>
      </c>
      <c r="AD729">
        <v>18</v>
      </c>
      <c r="AE729">
        <v>600</v>
      </c>
      <c r="AF729">
        <v>30</v>
      </c>
      <c r="AG729" t="s">
        <v>3381</v>
      </c>
      <c r="AH729">
        <v>2.7781512503836434</v>
      </c>
      <c r="AI729">
        <v>18</v>
      </c>
      <c r="AJ729" t="s">
        <v>1790</v>
      </c>
      <c r="AK729" t="s">
        <v>770</v>
      </c>
      <c r="AM729"/>
      <c r="AN729">
        <v>22.01</v>
      </c>
      <c r="AO729">
        <v>4.9536653096469889</v>
      </c>
      <c r="AP729">
        <v>36.520000000000003</v>
      </c>
      <c r="AQ729">
        <v>1.4895636945092343</v>
      </c>
      <c r="AS729">
        <v>-0.20599999999999999</v>
      </c>
      <c r="AT729">
        <v>1.5E-3</v>
      </c>
      <c r="AW729" s="28">
        <f t="shared" si="55"/>
        <v>3.966969228394734</v>
      </c>
      <c r="AX729">
        <f t="shared" si="56"/>
        <v>0.8</v>
      </c>
      <c r="AY729" s="62">
        <f t="shared" si="57"/>
        <v>3.1735753827157875</v>
      </c>
      <c r="AZ729" s="68" t="str">
        <f t="shared" si="58"/>
        <v>No</v>
      </c>
      <c r="BA729" s="68" t="str">
        <f t="shared" si="59"/>
        <v>No</v>
      </c>
    </row>
    <row r="730" spans="1:53" hidden="1">
      <c r="A730" t="s">
        <v>1815</v>
      </c>
      <c r="B730" t="s">
        <v>2929</v>
      </c>
      <c r="C730">
        <v>212</v>
      </c>
      <c r="F730" t="s">
        <v>1241</v>
      </c>
      <c r="G730" t="s">
        <v>1726</v>
      </c>
      <c r="I730">
        <v>2010</v>
      </c>
      <c r="N730" t="s">
        <v>36</v>
      </c>
      <c r="P730" t="s">
        <v>60</v>
      </c>
      <c r="Q730" t="s">
        <v>900</v>
      </c>
      <c r="R730" t="s">
        <v>1741</v>
      </c>
      <c r="S730" t="s">
        <v>1759</v>
      </c>
      <c r="V730" t="s">
        <v>1015</v>
      </c>
      <c r="Z730">
        <v>3</v>
      </c>
      <c r="AA730">
        <v>3</v>
      </c>
      <c r="AC730">
        <v>375</v>
      </c>
      <c r="AD730">
        <v>18</v>
      </c>
      <c r="AE730">
        <v>750</v>
      </c>
      <c r="AF730">
        <v>22</v>
      </c>
      <c r="AG730" t="s">
        <v>3381</v>
      </c>
      <c r="AH730">
        <v>2.8750612633917001</v>
      </c>
      <c r="AI730">
        <v>18</v>
      </c>
      <c r="AJ730" t="s">
        <v>1790</v>
      </c>
      <c r="AK730" t="s">
        <v>770</v>
      </c>
      <c r="AM730"/>
      <c r="AN730">
        <v>22.01</v>
      </c>
      <c r="AO730">
        <v>4.9536653096469889</v>
      </c>
      <c r="AP730">
        <v>37.54</v>
      </c>
      <c r="AQ730">
        <v>3.966396349332729</v>
      </c>
      <c r="AS730">
        <v>-0.222</v>
      </c>
      <c r="AT730">
        <v>2.7000000000000001E-3</v>
      </c>
      <c r="AW730" s="28">
        <f t="shared" si="55"/>
        <v>3.4609052312694311</v>
      </c>
      <c r="AX730">
        <f t="shared" si="56"/>
        <v>0.8</v>
      </c>
      <c r="AY730" s="62">
        <f t="shared" si="57"/>
        <v>2.7687241850155448</v>
      </c>
      <c r="AZ730" s="68" t="str">
        <f t="shared" si="58"/>
        <v>No</v>
      </c>
      <c r="BA730" s="68" t="str">
        <f t="shared" si="59"/>
        <v>No</v>
      </c>
    </row>
    <row r="731" spans="1:53" hidden="1">
      <c r="A731" t="s">
        <v>1815</v>
      </c>
      <c r="B731" t="s">
        <v>2930</v>
      </c>
      <c r="C731">
        <v>212</v>
      </c>
      <c r="F731" t="s">
        <v>1241</v>
      </c>
      <c r="G731" t="s">
        <v>1726</v>
      </c>
      <c r="I731">
        <v>2010</v>
      </c>
      <c r="N731" t="s">
        <v>36</v>
      </c>
      <c r="P731" t="s">
        <v>60</v>
      </c>
      <c r="Q731" t="s">
        <v>900</v>
      </c>
      <c r="R731" t="s">
        <v>1741</v>
      </c>
      <c r="S731" t="s">
        <v>1007</v>
      </c>
      <c r="V731" t="s">
        <v>1015</v>
      </c>
      <c r="Z731">
        <v>3</v>
      </c>
      <c r="AA731">
        <v>3</v>
      </c>
      <c r="AC731">
        <v>375</v>
      </c>
      <c r="AD731">
        <v>18</v>
      </c>
      <c r="AE731">
        <v>600</v>
      </c>
      <c r="AF731">
        <v>26</v>
      </c>
      <c r="AG731" t="s">
        <v>3380</v>
      </c>
      <c r="AH731">
        <v>2.7781512503836434</v>
      </c>
      <c r="AI731">
        <v>18</v>
      </c>
      <c r="AJ731" t="s">
        <v>1790</v>
      </c>
      <c r="AK731" t="s">
        <v>770</v>
      </c>
      <c r="AM731"/>
      <c r="AN731">
        <v>40.869999999999997</v>
      </c>
      <c r="AO731">
        <v>3.966396349332729</v>
      </c>
      <c r="AP731">
        <v>41.03</v>
      </c>
      <c r="AQ731">
        <v>1.9745379206285198</v>
      </c>
      <c r="AS731">
        <v>-3.0000000000000001E-3</v>
      </c>
      <c r="AT731">
        <v>1.9E-3</v>
      </c>
      <c r="AW731" s="28">
        <f t="shared" si="55"/>
        <v>5.1069624287349076E-2</v>
      </c>
      <c r="AX731">
        <f t="shared" si="56"/>
        <v>0.8</v>
      </c>
      <c r="AY731" s="62">
        <f t="shared" si="57"/>
        <v>4.0855699429879266E-2</v>
      </c>
      <c r="AZ731" s="68" t="str">
        <f t="shared" si="58"/>
        <v>No</v>
      </c>
      <c r="BA731" s="68" t="str">
        <f t="shared" si="59"/>
        <v>No</v>
      </c>
    </row>
    <row r="732" spans="1:53" hidden="1">
      <c r="A732" t="s">
        <v>1815</v>
      </c>
      <c r="B732" t="s">
        <v>2931</v>
      </c>
      <c r="C732">
        <v>212</v>
      </c>
      <c r="F732" t="s">
        <v>1241</v>
      </c>
      <c r="G732" t="s">
        <v>1726</v>
      </c>
      <c r="I732">
        <v>2010</v>
      </c>
      <c r="N732" t="s">
        <v>36</v>
      </c>
      <c r="P732" t="s">
        <v>60</v>
      </c>
      <c r="Q732" t="s">
        <v>900</v>
      </c>
      <c r="R732" t="s">
        <v>1741</v>
      </c>
      <c r="S732" t="s">
        <v>1759</v>
      </c>
      <c r="V732" t="s">
        <v>1015</v>
      </c>
      <c r="Z732">
        <v>3</v>
      </c>
      <c r="AA732">
        <v>3</v>
      </c>
      <c r="AC732">
        <v>375</v>
      </c>
      <c r="AD732">
        <v>18</v>
      </c>
      <c r="AE732">
        <v>1000</v>
      </c>
      <c r="AF732">
        <v>26</v>
      </c>
      <c r="AG732" t="s">
        <v>3381</v>
      </c>
      <c r="AH732">
        <v>3</v>
      </c>
      <c r="AI732">
        <v>18</v>
      </c>
      <c r="AJ732" t="s">
        <v>1790</v>
      </c>
      <c r="AK732" t="s">
        <v>770</v>
      </c>
      <c r="AM732"/>
      <c r="AN732">
        <v>22.01</v>
      </c>
      <c r="AO732">
        <v>4.9536653096469889</v>
      </c>
      <c r="AP732">
        <v>41.92</v>
      </c>
      <c r="AQ732">
        <v>0.50229473419497439</v>
      </c>
      <c r="AS732">
        <v>-0.29499999999999998</v>
      </c>
      <c r="AT732">
        <v>1.4E-3</v>
      </c>
      <c r="AW732" s="28">
        <f t="shared" si="55"/>
        <v>5.6550748720803536</v>
      </c>
      <c r="AX732">
        <f t="shared" si="56"/>
        <v>0.8</v>
      </c>
      <c r="AY732" s="62">
        <f t="shared" si="57"/>
        <v>4.5240598976642827</v>
      </c>
      <c r="AZ732" s="68" t="str">
        <f t="shared" si="58"/>
        <v>No</v>
      </c>
      <c r="BA732" s="68" t="str">
        <f t="shared" si="59"/>
        <v>No</v>
      </c>
    </row>
    <row r="733" spans="1:53" hidden="1">
      <c r="A733" t="s">
        <v>1815</v>
      </c>
      <c r="B733" t="s">
        <v>2932</v>
      </c>
      <c r="C733">
        <v>212</v>
      </c>
      <c r="F733" t="s">
        <v>1241</v>
      </c>
      <c r="G733" t="s">
        <v>1726</v>
      </c>
      <c r="I733">
        <v>2010</v>
      </c>
      <c r="N733" t="s">
        <v>36</v>
      </c>
      <c r="P733" t="s">
        <v>60</v>
      </c>
      <c r="Q733" t="s">
        <v>900</v>
      </c>
      <c r="R733" t="s">
        <v>1741</v>
      </c>
      <c r="S733" t="s">
        <v>1759</v>
      </c>
      <c r="V733" t="s">
        <v>1015</v>
      </c>
      <c r="Z733">
        <v>3</v>
      </c>
      <c r="AA733">
        <v>3</v>
      </c>
      <c r="AC733">
        <v>375</v>
      </c>
      <c r="AD733">
        <v>18</v>
      </c>
      <c r="AE733">
        <v>1000</v>
      </c>
      <c r="AF733">
        <v>22</v>
      </c>
      <c r="AG733" t="s">
        <v>3381</v>
      </c>
      <c r="AH733">
        <v>3</v>
      </c>
      <c r="AI733">
        <v>18</v>
      </c>
      <c r="AJ733" t="s">
        <v>1790</v>
      </c>
      <c r="AK733" t="s">
        <v>770</v>
      </c>
      <c r="AM733"/>
      <c r="AN733">
        <v>22.01</v>
      </c>
      <c r="AO733">
        <v>4.9536653096469889</v>
      </c>
      <c r="AP733">
        <v>44.42</v>
      </c>
      <c r="AQ733">
        <v>3.4641016151377544</v>
      </c>
      <c r="AS733">
        <v>-0.33900000000000002</v>
      </c>
      <c r="AT733">
        <v>2.5999999999999999E-3</v>
      </c>
      <c r="AW733" s="28">
        <f t="shared" si="55"/>
        <v>5.2429982680190905</v>
      </c>
      <c r="AX733">
        <f t="shared" si="56"/>
        <v>0.8</v>
      </c>
      <c r="AY733" s="62">
        <f t="shared" si="57"/>
        <v>4.194398614415273</v>
      </c>
      <c r="AZ733" s="68" t="str">
        <f t="shared" si="58"/>
        <v>No</v>
      </c>
      <c r="BA733" s="68" t="str">
        <f t="shared" si="59"/>
        <v>No</v>
      </c>
    </row>
    <row r="734" spans="1:53" hidden="1">
      <c r="A734" t="s">
        <v>1815</v>
      </c>
      <c r="B734" t="s">
        <v>2934</v>
      </c>
      <c r="C734">
        <v>212</v>
      </c>
      <c r="F734" t="s">
        <v>1241</v>
      </c>
      <c r="G734" t="s">
        <v>1726</v>
      </c>
      <c r="I734">
        <v>2010</v>
      </c>
      <c r="N734" t="s">
        <v>36</v>
      </c>
      <c r="P734" t="s">
        <v>60</v>
      </c>
      <c r="Q734" t="s">
        <v>900</v>
      </c>
      <c r="R734" t="s">
        <v>1741</v>
      </c>
      <c r="S734" t="s">
        <v>1759</v>
      </c>
      <c r="V734" t="s">
        <v>1015</v>
      </c>
      <c r="Z734">
        <v>3</v>
      </c>
      <c r="AA734">
        <v>3</v>
      </c>
      <c r="AC734">
        <v>375</v>
      </c>
      <c r="AD734">
        <v>18</v>
      </c>
      <c r="AE734">
        <v>750</v>
      </c>
      <c r="AF734">
        <v>30</v>
      </c>
      <c r="AG734" t="s">
        <v>3381</v>
      </c>
      <c r="AH734">
        <v>2.8750612633917001</v>
      </c>
      <c r="AI734">
        <v>18</v>
      </c>
      <c r="AJ734" t="s">
        <v>1790</v>
      </c>
      <c r="AK734" t="s">
        <v>770</v>
      </c>
      <c r="AM734"/>
      <c r="AN734">
        <v>22.01</v>
      </c>
      <c r="AO734">
        <v>4.9536653096469889</v>
      </c>
      <c r="AP734">
        <v>45.4</v>
      </c>
      <c r="AQ734">
        <v>4.4513705754520139</v>
      </c>
      <c r="AS734">
        <v>-0.35699999999999998</v>
      </c>
      <c r="AT734">
        <v>3.5999999999999999E-3</v>
      </c>
      <c r="AW734" s="28">
        <f t="shared" si="55"/>
        <v>4.9668525969251842</v>
      </c>
      <c r="AX734">
        <f t="shared" si="56"/>
        <v>0.8</v>
      </c>
      <c r="AY734" s="62">
        <f t="shared" si="57"/>
        <v>3.9734820775401474</v>
      </c>
      <c r="AZ734" s="68" t="str">
        <f t="shared" si="58"/>
        <v>No</v>
      </c>
      <c r="BA734" s="68" t="str">
        <f t="shared" si="59"/>
        <v>No</v>
      </c>
    </row>
    <row r="735" spans="1:53" hidden="1">
      <c r="A735" t="s">
        <v>1815</v>
      </c>
      <c r="B735" t="s">
        <v>2936</v>
      </c>
      <c r="C735">
        <v>212</v>
      </c>
      <c r="F735" t="s">
        <v>1241</v>
      </c>
      <c r="G735" t="s">
        <v>1726</v>
      </c>
      <c r="I735">
        <v>2017</v>
      </c>
      <c r="N735" t="s">
        <v>36</v>
      </c>
      <c r="P735" t="s">
        <v>60</v>
      </c>
      <c r="Q735" t="s">
        <v>900</v>
      </c>
      <c r="R735" t="s">
        <v>1741</v>
      </c>
      <c r="S735" t="s">
        <v>1007</v>
      </c>
      <c r="V735" t="s">
        <v>1015</v>
      </c>
      <c r="Z735">
        <v>3</v>
      </c>
      <c r="AA735">
        <v>3</v>
      </c>
      <c r="AC735">
        <v>375</v>
      </c>
      <c r="AD735">
        <v>18</v>
      </c>
      <c r="AE735">
        <v>600</v>
      </c>
      <c r="AF735">
        <v>22</v>
      </c>
      <c r="AG735" t="s">
        <v>3380</v>
      </c>
      <c r="AH735">
        <v>2.7781512503836434</v>
      </c>
      <c r="AI735">
        <v>18</v>
      </c>
      <c r="AJ735" t="s">
        <v>1790</v>
      </c>
      <c r="AK735" t="s">
        <v>770</v>
      </c>
      <c r="AM735"/>
      <c r="AN735">
        <v>40.869999999999997</v>
      </c>
      <c r="AO735">
        <v>3.966396349332729</v>
      </c>
      <c r="AP735">
        <v>46.67</v>
      </c>
      <c r="AQ735">
        <v>3.4641016151377544</v>
      </c>
      <c r="AS735">
        <v>-0.10299999999999999</v>
      </c>
      <c r="AT735">
        <v>2.8999999999999998E-3</v>
      </c>
      <c r="AW735" s="28">
        <f t="shared" si="55"/>
        <v>1.5575788687008565</v>
      </c>
      <c r="AX735">
        <f t="shared" si="56"/>
        <v>0.8</v>
      </c>
      <c r="AY735" s="62">
        <f t="shared" si="57"/>
        <v>1.2460630949606852</v>
      </c>
      <c r="AZ735" s="68" t="str">
        <f t="shared" si="58"/>
        <v>No</v>
      </c>
      <c r="BA735" s="68" t="str">
        <f t="shared" si="59"/>
        <v>No</v>
      </c>
    </row>
    <row r="736" spans="1:53" hidden="1">
      <c r="A736" t="s">
        <v>1815</v>
      </c>
      <c r="B736" t="s">
        <v>2937</v>
      </c>
      <c r="C736">
        <v>212</v>
      </c>
      <c r="F736" t="s">
        <v>1241</v>
      </c>
      <c r="G736" t="s">
        <v>1726</v>
      </c>
      <c r="I736">
        <v>2017</v>
      </c>
      <c r="N736" t="s">
        <v>36</v>
      </c>
      <c r="P736" t="s">
        <v>60</v>
      </c>
      <c r="Q736" t="s">
        <v>900</v>
      </c>
      <c r="R736" t="s">
        <v>1741</v>
      </c>
      <c r="S736" t="s">
        <v>1007</v>
      </c>
      <c r="V736" t="s">
        <v>1015</v>
      </c>
      <c r="Z736">
        <v>3</v>
      </c>
      <c r="AA736">
        <v>3</v>
      </c>
      <c r="AC736">
        <v>375</v>
      </c>
      <c r="AD736">
        <v>18</v>
      </c>
      <c r="AE736">
        <v>600</v>
      </c>
      <c r="AF736">
        <v>30</v>
      </c>
      <c r="AG736" t="s">
        <v>3380</v>
      </c>
      <c r="AH736">
        <v>2.7781512503836434</v>
      </c>
      <c r="AI736">
        <v>18</v>
      </c>
      <c r="AJ736" t="s">
        <v>1790</v>
      </c>
      <c r="AK736" t="s">
        <v>770</v>
      </c>
      <c r="AM736"/>
      <c r="AN736">
        <v>40.869999999999997</v>
      </c>
      <c r="AO736">
        <v>3.966396349332729</v>
      </c>
      <c r="AP736">
        <v>48.24</v>
      </c>
      <c r="AQ736">
        <v>6.9282032302755088</v>
      </c>
      <c r="AS736">
        <v>-0.13300000000000001</v>
      </c>
      <c r="AT736">
        <v>7.4999999999999997E-3</v>
      </c>
      <c r="AW736" s="28">
        <f t="shared" si="55"/>
        <v>1.3055775987585563</v>
      </c>
      <c r="AX736">
        <f t="shared" si="56"/>
        <v>0.8</v>
      </c>
      <c r="AY736" s="62">
        <f t="shared" si="57"/>
        <v>1.0444620790068451</v>
      </c>
      <c r="AZ736" s="68" t="str">
        <f t="shared" si="58"/>
        <v>No</v>
      </c>
      <c r="BA736" s="68" t="str">
        <f t="shared" si="59"/>
        <v>No</v>
      </c>
    </row>
    <row r="737" spans="1:53" hidden="1">
      <c r="A737" t="s">
        <v>1815</v>
      </c>
      <c r="B737" t="s">
        <v>2938</v>
      </c>
      <c r="C737">
        <v>212</v>
      </c>
      <c r="F737" t="s">
        <v>1241</v>
      </c>
      <c r="G737" t="s">
        <v>1726</v>
      </c>
      <c r="I737">
        <v>2010</v>
      </c>
      <c r="N737" t="s">
        <v>36</v>
      </c>
      <c r="P737" t="s">
        <v>60</v>
      </c>
      <c r="Q737" t="s">
        <v>900</v>
      </c>
      <c r="R737" t="s">
        <v>1741</v>
      </c>
      <c r="S737" t="s">
        <v>1759</v>
      </c>
      <c r="V737" t="s">
        <v>1015</v>
      </c>
      <c r="Z737">
        <v>3</v>
      </c>
      <c r="AA737">
        <v>3</v>
      </c>
      <c r="AC737">
        <v>375</v>
      </c>
      <c r="AD737">
        <v>18</v>
      </c>
      <c r="AE737">
        <v>1000</v>
      </c>
      <c r="AF737">
        <v>30</v>
      </c>
      <c r="AG737" t="s">
        <v>3381</v>
      </c>
      <c r="AH737">
        <v>3</v>
      </c>
      <c r="AI737">
        <v>18</v>
      </c>
      <c r="AJ737" t="s">
        <v>1790</v>
      </c>
      <c r="AK737" t="s">
        <v>770</v>
      </c>
      <c r="AM737"/>
      <c r="AN737">
        <v>22.01</v>
      </c>
      <c r="AO737">
        <v>4.9536653096469889</v>
      </c>
      <c r="AP737">
        <v>55.13</v>
      </c>
      <c r="AQ737">
        <v>1.4895636945092343</v>
      </c>
      <c r="AS737">
        <v>-0.55300000000000005</v>
      </c>
      <c r="AT737">
        <v>1.6999999999999999E-3</v>
      </c>
      <c r="AW737" s="28">
        <f t="shared" si="55"/>
        <v>9.0548601546818457</v>
      </c>
      <c r="AX737">
        <f t="shared" si="56"/>
        <v>0.8</v>
      </c>
      <c r="AY737" s="62">
        <f t="shared" si="57"/>
        <v>7.2438881237454771</v>
      </c>
      <c r="AZ737" s="68" t="str">
        <f t="shared" si="58"/>
        <v>No</v>
      </c>
      <c r="BA737" s="68" t="str">
        <f t="shared" si="59"/>
        <v>No</v>
      </c>
    </row>
    <row r="738" spans="1:53" hidden="1">
      <c r="A738" t="s">
        <v>1815</v>
      </c>
      <c r="B738" t="s">
        <v>2939</v>
      </c>
      <c r="C738">
        <v>212</v>
      </c>
      <c r="F738" t="s">
        <v>1241</v>
      </c>
      <c r="G738" t="s">
        <v>1726</v>
      </c>
      <c r="I738">
        <v>2010</v>
      </c>
      <c r="N738" t="s">
        <v>36</v>
      </c>
      <c r="P738" t="s">
        <v>60</v>
      </c>
      <c r="Q738" t="s">
        <v>900</v>
      </c>
      <c r="R738" t="s">
        <v>1741</v>
      </c>
      <c r="S738" t="s">
        <v>1007</v>
      </c>
      <c r="V738" t="s">
        <v>1015</v>
      </c>
      <c r="Z738">
        <v>3</v>
      </c>
      <c r="AA738">
        <v>3</v>
      </c>
      <c r="AC738">
        <v>375</v>
      </c>
      <c r="AD738">
        <v>18</v>
      </c>
      <c r="AE738">
        <v>750</v>
      </c>
      <c r="AF738">
        <v>22</v>
      </c>
      <c r="AG738" t="s">
        <v>3380</v>
      </c>
      <c r="AH738">
        <v>2.8750612633917001</v>
      </c>
      <c r="AI738">
        <v>18</v>
      </c>
      <c r="AJ738" t="s">
        <v>1790</v>
      </c>
      <c r="AK738" t="s">
        <v>770</v>
      </c>
      <c r="AM738"/>
      <c r="AN738">
        <v>40.869999999999997</v>
      </c>
      <c r="AO738">
        <v>3.966396349332729</v>
      </c>
      <c r="AP738">
        <v>55.83</v>
      </c>
      <c r="AQ738">
        <v>2.4768326548234945</v>
      </c>
      <c r="AS738">
        <v>-0.29199999999999998</v>
      </c>
      <c r="AT738">
        <v>2.5000000000000001E-3</v>
      </c>
      <c r="AW738" s="28">
        <f t="shared" si="55"/>
        <v>4.5243061903306536</v>
      </c>
      <c r="AX738">
        <f t="shared" si="56"/>
        <v>0.8</v>
      </c>
      <c r="AY738" s="62">
        <f t="shared" si="57"/>
        <v>3.6194449522645229</v>
      </c>
      <c r="AZ738" s="68" t="str">
        <f t="shared" si="58"/>
        <v>No</v>
      </c>
      <c r="BA738" s="68" t="str">
        <f t="shared" si="59"/>
        <v>No</v>
      </c>
    </row>
    <row r="739" spans="1:53" hidden="1">
      <c r="A739" t="s">
        <v>1815</v>
      </c>
      <c r="B739" t="s">
        <v>2940</v>
      </c>
      <c r="C739">
        <v>212</v>
      </c>
      <c r="F739" t="s">
        <v>1241</v>
      </c>
      <c r="G739" t="s">
        <v>1726</v>
      </c>
      <c r="I739">
        <v>2018</v>
      </c>
      <c r="N739" t="s">
        <v>36</v>
      </c>
      <c r="P739" t="s">
        <v>60</v>
      </c>
      <c r="Q739" t="s">
        <v>900</v>
      </c>
      <c r="R739" t="s">
        <v>1741</v>
      </c>
      <c r="S739" t="s">
        <v>1007</v>
      </c>
      <c r="V739" t="s">
        <v>1015</v>
      </c>
      <c r="Z739">
        <v>3</v>
      </c>
      <c r="AA739">
        <v>3</v>
      </c>
      <c r="AC739">
        <v>375</v>
      </c>
      <c r="AD739">
        <v>18</v>
      </c>
      <c r="AE739">
        <v>750</v>
      </c>
      <c r="AF739">
        <v>26</v>
      </c>
      <c r="AG739" t="s">
        <v>3380</v>
      </c>
      <c r="AH739">
        <v>2.8750612633917001</v>
      </c>
      <c r="AI739">
        <v>18</v>
      </c>
      <c r="AJ739" t="s">
        <v>1790</v>
      </c>
      <c r="AK739" t="s">
        <v>770</v>
      </c>
      <c r="AM739"/>
      <c r="AN739">
        <v>40.869999999999997</v>
      </c>
      <c r="AO739">
        <v>3.966396349332729</v>
      </c>
      <c r="AP739">
        <v>55.91</v>
      </c>
      <c r="AQ739">
        <v>4.9536653096469889</v>
      </c>
      <c r="AS739">
        <v>-0.29299999999999998</v>
      </c>
      <c r="AT739">
        <v>5.7000000000000002E-3</v>
      </c>
      <c r="AW739" s="28">
        <f t="shared" si="55"/>
        <v>3.3517073199157918</v>
      </c>
      <c r="AX739">
        <f t="shared" si="56"/>
        <v>0.8</v>
      </c>
      <c r="AY739" s="62">
        <f t="shared" si="57"/>
        <v>2.6813658559326337</v>
      </c>
      <c r="AZ739" s="68" t="str">
        <f t="shared" si="58"/>
        <v>No</v>
      </c>
      <c r="BA739" s="68" t="str">
        <f t="shared" si="59"/>
        <v>No</v>
      </c>
    </row>
    <row r="740" spans="1:53" hidden="1">
      <c r="A740" t="s">
        <v>1815</v>
      </c>
      <c r="B740" t="s">
        <v>2944</v>
      </c>
      <c r="C740">
        <v>212</v>
      </c>
      <c r="F740" t="s">
        <v>1241</v>
      </c>
      <c r="G740" t="s">
        <v>1726</v>
      </c>
      <c r="I740">
        <v>2017</v>
      </c>
      <c r="N740" t="s">
        <v>36</v>
      </c>
      <c r="P740" t="s">
        <v>60</v>
      </c>
      <c r="Q740" t="s">
        <v>900</v>
      </c>
      <c r="R740" t="s">
        <v>1741</v>
      </c>
      <c r="S740" t="s">
        <v>1007</v>
      </c>
      <c r="V740" t="s">
        <v>1015</v>
      </c>
      <c r="Z740">
        <v>3</v>
      </c>
      <c r="AA740">
        <v>3</v>
      </c>
      <c r="AC740">
        <v>375</v>
      </c>
      <c r="AD740">
        <v>18</v>
      </c>
      <c r="AE740">
        <v>1000</v>
      </c>
      <c r="AF740">
        <v>26</v>
      </c>
      <c r="AG740" t="s">
        <v>3380</v>
      </c>
      <c r="AH740">
        <v>3</v>
      </c>
      <c r="AI740">
        <v>18</v>
      </c>
      <c r="AJ740" t="s">
        <v>1790</v>
      </c>
      <c r="AK740" t="s">
        <v>770</v>
      </c>
      <c r="AM740"/>
      <c r="AN740">
        <v>40.869999999999997</v>
      </c>
      <c r="AO740">
        <v>3.966396349332729</v>
      </c>
      <c r="AP740">
        <v>61.07</v>
      </c>
      <c r="AQ740">
        <v>2.9791273890184686</v>
      </c>
      <c r="AS740">
        <v>-0.41799999999999998</v>
      </c>
      <c r="AT740">
        <v>3.3999999999999998E-3</v>
      </c>
      <c r="AW740" s="28">
        <f t="shared" si="55"/>
        <v>5.7588082797578206</v>
      </c>
      <c r="AX740">
        <f t="shared" si="56"/>
        <v>0.8</v>
      </c>
      <c r="AY740" s="62">
        <f t="shared" si="57"/>
        <v>4.6070466238062568</v>
      </c>
      <c r="AZ740" s="68" t="str">
        <f t="shared" si="58"/>
        <v>No</v>
      </c>
      <c r="BA740" s="68" t="str">
        <f t="shared" si="59"/>
        <v>No</v>
      </c>
    </row>
    <row r="741" spans="1:53" hidden="1">
      <c r="A741" t="s">
        <v>1815</v>
      </c>
      <c r="B741" t="s">
        <v>2951</v>
      </c>
      <c r="C741">
        <v>212</v>
      </c>
      <c r="F741" t="s">
        <v>1241</v>
      </c>
      <c r="G741" t="s">
        <v>1726</v>
      </c>
      <c r="I741">
        <v>2010</v>
      </c>
      <c r="N741" t="s">
        <v>36</v>
      </c>
      <c r="P741" t="s">
        <v>60</v>
      </c>
      <c r="Q741" t="s">
        <v>900</v>
      </c>
      <c r="R741" t="s">
        <v>1741</v>
      </c>
      <c r="S741" t="s">
        <v>1007</v>
      </c>
      <c r="V741" t="s">
        <v>1015</v>
      </c>
      <c r="Z741">
        <v>3</v>
      </c>
      <c r="AA741">
        <v>3</v>
      </c>
      <c r="AC741">
        <v>375</v>
      </c>
      <c r="AD741">
        <v>18</v>
      </c>
      <c r="AE741">
        <v>1000</v>
      </c>
      <c r="AF741">
        <v>22</v>
      </c>
      <c r="AG741" t="s">
        <v>3380</v>
      </c>
      <c r="AH741">
        <v>3</v>
      </c>
      <c r="AI741">
        <v>18</v>
      </c>
      <c r="AJ741" t="s">
        <v>1790</v>
      </c>
      <c r="AK741" t="s">
        <v>770</v>
      </c>
      <c r="AM741"/>
      <c r="AN741">
        <v>40.869999999999997</v>
      </c>
      <c r="AO741">
        <v>3.966396349332729</v>
      </c>
      <c r="AP741">
        <v>91.57</v>
      </c>
      <c r="AQ741">
        <v>7.4304979644704829</v>
      </c>
      <c r="AS741">
        <v>-1.9470000000000001</v>
      </c>
      <c r="AT741">
        <v>0.2596</v>
      </c>
      <c r="AW741" s="28">
        <f t="shared" si="55"/>
        <v>8.5126207422839499</v>
      </c>
      <c r="AX741">
        <f t="shared" si="56"/>
        <v>0.8</v>
      </c>
      <c r="AY741" s="62">
        <f t="shared" si="57"/>
        <v>6.8100965938271605</v>
      </c>
      <c r="AZ741" s="68" t="str">
        <f t="shared" si="58"/>
        <v>No</v>
      </c>
      <c r="BA741" s="68" t="str">
        <f t="shared" si="59"/>
        <v>No</v>
      </c>
    </row>
    <row r="742" spans="1:53" hidden="1">
      <c r="A742" t="s">
        <v>1815</v>
      </c>
      <c r="B742" t="s">
        <v>2954</v>
      </c>
      <c r="C742">
        <v>212</v>
      </c>
      <c r="F742" t="s">
        <v>1241</v>
      </c>
      <c r="G742" t="s">
        <v>1726</v>
      </c>
      <c r="I742">
        <v>2010</v>
      </c>
      <c r="N742" t="s">
        <v>36</v>
      </c>
      <c r="P742" t="s">
        <v>60</v>
      </c>
      <c r="Q742" t="s">
        <v>900</v>
      </c>
      <c r="R742" t="s">
        <v>1741</v>
      </c>
      <c r="S742" t="s">
        <v>1007</v>
      </c>
      <c r="V742" t="s">
        <v>1015</v>
      </c>
      <c r="Z742">
        <v>3</v>
      </c>
      <c r="AA742">
        <v>3</v>
      </c>
      <c r="AC742">
        <v>375</v>
      </c>
      <c r="AD742">
        <v>18</v>
      </c>
      <c r="AE742">
        <v>1000</v>
      </c>
      <c r="AF742">
        <v>30</v>
      </c>
      <c r="AG742" t="s">
        <v>3380</v>
      </c>
      <c r="AH742">
        <v>3</v>
      </c>
      <c r="AI742">
        <v>18</v>
      </c>
      <c r="AJ742" t="s">
        <v>1790</v>
      </c>
      <c r="AK742" t="s">
        <v>770</v>
      </c>
      <c r="AM742"/>
      <c r="AN742">
        <v>40.869999999999997</v>
      </c>
      <c r="AO742">
        <v>3.966396349332729</v>
      </c>
      <c r="AP742">
        <v>99.71</v>
      </c>
      <c r="AQ742">
        <v>1.4895636945092343</v>
      </c>
      <c r="AS742">
        <v>-5.3140000000000001</v>
      </c>
      <c r="AT742">
        <v>8.6745999999999999</v>
      </c>
      <c r="AW742" s="28">
        <f t="shared" si="55"/>
        <v>19.640029182901952</v>
      </c>
      <c r="AX742">
        <f t="shared" si="56"/>
        <v>0.8</v>
      </c>
      <c r="AY742" s="62">
        <f t="shared" si="57"/>
        <v>15.712023346321562</v>
      </c>
      <c r="AZ742" s="68" t="str">
        <f t="shared" si="58"/>
        <v>Yes</v>
      </c>
      <c r="BA742" s="68" t="str">
        <f t="shared" si="59"/>
        <v>No</v>
      </c>
    </row>
    <row r="743" spans="1:53" hidden="1">
      <c r="A743" t="s">
        <v>1815</v>
      </c>
      <c r="B743" t="s">
        <v>2955</v>
      </c>
      <c r="C743">
        <v>212</v>
      </c>
      <c r="F743" t="s">
        <v>1241</v>
      </c>
      <c r="G743" t="s">
        <v>1726</v>
      </c>
      <c r="I743">
        <v>2010</v>
      </c>
      <c r="N743" t="s">
        <v>36</v>
      </c>
      <c r="P743" t="s">
        <v>60</v>
      </c>
      <c r="Q743" t="s">
        <v>900</v>
      </c>
      <c r="R743" t="s">
        <v>1741</v>
      </c>
      <c r="S743" t="s">
        <v>1007</v>
      </c>
      <c r="V743" t="s">
        <v>1015</v>
      </c>
      <c r="Z743">
        <v>3</v>
      </c>
      <c r="AA743">
        <v>3</v>
      </c>
      <c r="AC743">
        <v>375</v>
      </c>
      <c r="AD743">
        <v>18</v>
      </c>
      <c r="AE743">
        <v>750</v>
      </c>
      <c r="AF743">
        <v>30</v>
      </c>
      <c r="AG743" t="s">
        <v>3380</v>
      </c>
      <c r="AH743">
        <v>2.8750612633917001</v>
      </c>
      <c r="AI743">
        <v>18</v>
      </c>
      <c r="AJ743" t="s">
        <v>1790</v>
      </c>
      <c r="AK743" t="s">
        <v>770</v>
      </c>
      <c r="AM743"/>
      <c r="AN743">
        <v>40.869999999999997</v>
      </c>
      <c r="AO743">
        <v>3.966396349332729</v>
      </c>
      <c r="AP743">
        <v>99.98</v>
      </c>
      <c r="AQ743">
        <v>1.4895636945092343</v>
      </c>
      <c r="AS743">
        <v>-7.8090000000000002</v>
      </c>
      <c r="AT743">
        <v>1275.0866000000001</v>
      </c>
      <c r="AW743" s="28">
        <f t="shared" si="55"/>
        <v>19.730151682551572</v>
      </c>
      <c r="AX743">
        <f t="shared" si="56"/>
        <v>0.8</v>
      </c>
      <c r="AY743" s="62">
        <f t="shared" si="57"/>
        <v>15.784121346041259</v>
      </c>
      <c r="AZ743" s="68" t="str">
        <f t="shared" si="58"/>
        <v>Yes</v>
      </c>
      <c r="BA743" s="68" t="str">
        <f t="shared" si="59"/>
        <v>No</v>
      </c>
    </row>
    <row r="744" spans="1:53" hidden="1">
      <c r="A744" t="s">
        <v>1815</v>
      </c>
      <c r="B744" t="s">
        <v>3303</v>
      </c>
      <c r="C744">
        <v>212</v>
      </c>
      <c r="F744" t="s">
        <v>1241</v>
      </c>
      <c r="G744" t="s">
        <v>1726</v>
      </c>
      <c r="I744">
        <v>2010</v>
      </c>
      <c r="N744" t="s">
        <v>36</v>
      </c>
      <c r="P744" t="s">
        <v>60</v>
      </c>
      <c r="Q744" t="s">
        <v>900</v>
      </c>
      <c r="R744" t="s">
        <v>1741</v>
      </c>
      <c r="S744" t="s">
        <v>1007</v>
      </c>
      <c r="V744" t="s">
        <v>1015</v>
      </c>
      <c r="Z744">
        <v>3</v>
      </c>
      <c r="AA744">
        <v>3</v>
      </c>
      <c r="AC744">
        <v>375</v>
      </c>
      <c r="AD744" s="37">
        <v>18</v>
      </c>
      <c r="AE744">
        <v>1000</v>
      </c>
      <c r="AF744" s="37">
        <v>22</v>
      </c>
      <c r="AG744" t="s">
        <v>3425</v>
      </c>
      <c r="AH744">
        <v>3</v>
      </c>
      <c r="AI744" s="37">
        <v>18</v>
      </c>
      <c r="AJ744" t="s">
        <v>1813</v>
      </c>
      <c r="AK744" t="s">
        <v>59</v>
      </c>
      <c r="AM744"/>
      <c r="AN744">
        <v>55.2</v>
      </c>
      <c r="AO744">
        <v>3.8971143170299736</v>
      </c>
      <c r="AP744">
        <v>49.16</v>
      </c>
      <c r="AQ744">
        <v>1.957217412552831</v>
      </c>
      <c r="AS744">
        <v>-0.11600000000000001</v>
      </c>
      <c r="AT744">
        <v>2.2000000000000001E-3</v>
      </c>
      <c r="AW744" s="28">
        <f t="shared" si="55"/>
        <v>-1.9586968790896147</v>
      </c>
      <c r="AX744">
        <f t="shared" si="56"/>
        <v>0.8</v>
      </c>
      <c r="AY744" s="62">
        <f t="shared" si="57"/>
        <v>-1.5669575032716918</v>
      </c>
      <c r="AZ744" s="68" t="str">
        <f t="shared" si="58"/>
        <v>No</v>
      </c>
      <c r="BA744" s="68" t="str">
        <f t="shared" si="59"/>
        <v>No</v>
      </c>
    </row>
    <row r="745" spans="1:53" hidden="1">
      <c r="A745" t="s">
        <v>1815</v>
      </c>
      <c r="B745" t="s">
        <v>3304</v>
      </c>
      <c r="C745">
        <v>212</v>
      </c>
      <c r="F745" t="s">
        <v>1241</v>
      </c>
      <c r="G745" t="s">
        <v>1726</v>
      </c>
      <c r="I745">
        <v>2010</v>
      </c>
      <c r="N745" t="s">
        <v>36</v>
      </c>
      <c r="P745" t="s">
        <v>60</v>
      </c>
      <c r="Q745" t="s">
        <v>900</v>
      </c>
      <c r="R745" t="s">
        <v>1741</v>
      </c>
      <c r="S745" t="s">
        <v>1007</v>
      </c>
      <c r="V745" t="s">
        <v>1015</v>
      </c>
      <c r="Z745">
        <v>3</v>
      </c>
      <c r="AA745">
        <v>3</v>
      </c>
      <c r="AC745">
        <v>375</v>
      </c>
      <c r="AD745" s="37">
        <v>18</v>
      </c>
      <c r="AE745">
        <v>1000</v>
      </c>
      <c r="AF745" s="37">
        <v>30</v>
      </c>
      <c r="AG745" t="s">
        <v>3425</v>
      </c>
      <c r="AH745">
        <v>3</v>
      </c>
      <c r="AI745" s="37">
        <v>18</v>
      </c>
      <c r="AJ745" t="s">
        <v>1813</v>
      </c>
      <c r="AK745" t="s">
        <v>59</v>
      </c>
      <c r="AM745"/>
      <c r="AN745">
        <v>55.2</v>
      </c>
      <c r="AO745">
        <v>3.8971143170299736</v>
      </c>
      <c r="AP745">
        <v>49.58</v>
      </c>
      <c r="AQ745">
        <v>2.4421916386721167</v>
      </c>
      <c r="AS745">
        <v>-0.107</v>
      </c>
      <c r="AT745">
        <v>2.5000000000000001E-3</v>
      </c>
      <c r="AW745" s="28">
        <f t="shared" si="55"/>
        <v>-1.7281349269488779</v>
      </c>
      <c r="AX745">
        <f t="shared" si="56"/>
        <v>0.8</v>
      </c>
      <c r="AY745" s="62">
        <f t="shared" si="57"/>
        <v>-1.3825079415591024</v>
      </c>
      <c r="AZ745" s="68" t="str">
        <f t="shared" si="58"/>
        <v>No</v>
      </c>
      <c r="BA745" s="68" t="str">
        <f t="shared" si="59"/>
        <v>No</v>
      </c>
    </row>
    <row r="746" spans="1:53" hidden="1">
      <c r="A746" t="s">
        <v>1815</v>
      </c>
      <c r="B746" t="s">
        <v>3305</v>
      </c>
      <c r="C746">
        <v>212</v>
      </c>
      <c r="F746" t="s">
        <v>1241</v>
      </c>
      <c r="G746" t="s">
        <v>1726</v>
      </c>
      <c r="I746">
        <v>2010</v>
      </c>
      <c r="N746" t="s">
        <v>36</v>
      </c>
      <c r="P746" t="s">
        <v>60</v>
      </c>
      <c r="Q746" t="s">
        <v>900</v>
      </c>
      <c r="R746" t="s">
        <v>1741</v>
      </c>
      <c r="S746" t="s">
        <v>1007</v>
      </c>
      <c r="V746" t="s">
        <v>1015</v>
      </c>
      <c r="Z746">
        <v>3</v>
      </c>
      <c r="AA746">
        <v>3</v>
      </c>
      <c r="AC746">
        <v>375</v>
      </c>
      <c r="AD746" s="37">
        <v>18</v>
      </c>
      <c r="AE746">
        <v>750</v>
      </c>
      <c r="AF746" s="37">
        <v>22</v>
      </c>
      <c r="AG746" t="s">
        <v>3425</v>
      </c>
      <c r="AH746">
        <v>2.8750612633917001</v>
      </c>
      <c r="AI746" s="37">
        <v>18</v>
      </c>
      <c r="AJ746" t="s">
        <v>1813</v>
      </c>
      <c r="AK746" t="s">
        <v>59</v>
      </c>
      <c r="AM746"/>
      <c r="AN746">
        <v>55.2</v>
      </c>
      <c r="AO746">
        <v>3.8971143170299736</v>
      </c>
      <c r="AP746">
        <v>52.84</v>
      </c>
      <c r="AQ746">
        <v>4.8843832773442335</v>
      </c>
      <c r="AS746">
        <v>-4.3999999999999997E-2</v>
      </c>
      <c r="AT746">
        <v>4.4999999999999997E-3</v>
      </c>
      <c r="AW746" s="28">
        <f t="shared" si="55"/>
        <v>-0.53412875091344458</v>
      </c>
      <c r="AX746">
        <f t="shared" si="56"/>
        <v>0.8</v>
      </c>
      <c r="AY746" s="62">
        <f t="shared" si="57"/>
        <v>-0.42730300073075567</v>
      </c>
      <c r="AZ746" s="68" t="str">
        <f t="shared" si="58"/>
        <v>No</v>
      </c>
      <c r="BA746" s="68" t="str">
        <f t="shared" si="59"/>
        <v>No</v>
      </c>
    </row>
    <row r="747" spans="1:53" hidden="1">
      <c r="A747" t="s">
        <v>1815</v>
      </c>
      <c r="B747" t="s">
        <v>3306</v>
      </c>
      <c r="C747">
        <v>212</v>
      </c>
      <c r="F747" t="s">
        <v>1241</v>
      </c>
      <c r="G747" t="s">
        <v>1726</v>
      </c>
      <c r="I747">
        <v>2010</v>
      </c>
      <c r="N747" t="s">
        <v>36</v>
      </c>
      <c r="P747" t="s">
        <v>60</v>
      </c>
      <c r="Q747" t="s">
        <v>900</v>
      </c>
      <c r="R747" t="s">
        <v>1741</v>
      </c>
      <c r="S747" t="s">
        <v>1007</v>
      </c>
      <c r="V747" t="s">
        <v>1015</v>
      </c>
      <c r="Z747">
        <v>3</v>
      </c>
      <c r="AA747">
        <v>3</v>
      </c>
      <c r="AC747">
        <v>375</v>
      </c>
      <c r="AD747" s="37">
        <v>18</v>
      </c>
      <c r="AE747">
        <v>600</v>
      </c>
      <c r="AF747" s="37">
        <v>22</v>
      </c>
      <c r="AG747" t="s">
        <v>3425</v>
      </c>
      <c r="AH747">
        <v>2.7781512503836434</v>
      </c>
      <c r="AI747" s="37">
        <v>18</v>
      </c>
      <c r="AJ747" t="s">
        <v>1813</v>
      </c>
      <c r="AK747" t="s">
        <v>59</v>
      </c>
      <c r="AM747"/>
      <c r="AN747">
        <v>55.2</v>
      </c>
      <c r="AO747">
        <v>3.8971143170299736</v>
      </c>
      <c r="AP747">
        <v>55.67</v>
      </c>
      <c r="AQ747">
        <v>6.8242801818213756</v>
      </c>
      <c r="AS747">
        <v>8.9999999999999993E-3</v>
      </c>
      <c r="AT747">
        <v>6.7000000000000002E-3</v>
      </c>
      <c r="AW747" s="28">
        <f t="shared" si="55"/>
        <v>8.4579514784899876E-2</v>
      </c>
      <c r="AX747">
        <f t="shared" si="56"/>
        <v>0.8</v>
      </c>
      <c r="AY747" s="62">
        <f t="shared" si="57"/>
        <v>6.7663611827919898E-2</v>
      </c>
      <c r="AZ747" s="68" t="str">
        <f t="shared" si="58"/>
        <v>No</v>
      </c>
      <c r="BA747" s="68" t="str">
        <f t="shared" si="59"/>
        <v>No</v>
      </c>
    </row>
    <row r="748" spans="1:53" hidden="1">
      <c r="A748" t="s">
        <v>1815</v>
      </c>
      <c r="B748" t="s">
        <v>3307</v>
      </c>
      <c r="C748">
        <v>212</v>
      </c>
      <c r="F748" t="s">
        <v>1241</v>
      </c>
      <c r="G748" t="s">
        <v>1726</v>
      </c>
      <c r="I748">
        <v>2010</v>
      </c>
      <c r="N748" t="s">
        <v>36</v>
      </c>
      <c r="P748" t="s">
        <v>60</v>
      </c>
      <c r="Q748" t="s">
        <v>900</v>
      </c>
      <c r="R748" t="s">
        <v>1741</v>
      </c>
      <c r="S748" t="s">
        <v>1007</v>
      </c>
      <c r="V748" t="s">
        <v>1015</v>
      </c>
      <c r="Z748">
        <v>3</v>
      </c>
      <c r="AA748">
        <v>3</v>
      </c>
      <c r="AC748">
        <v>375</v>
      </c>
      <c r="AD748" s="37">
        <v>18</v>
      </c>
      <c r="AE748">
        <v>750</v>
      </c>
      <c r="AF748" s="37">
        <v>30</v>
      </c>
      <c r="AG748" t="s">
        <v>3425</v>
      </c>
      <c r="AH748">
        <v>2.8750612633917001</v>
      </c>
      <c r="AI748" s="37">
        <v>18</v>
      </c>
      <c r="AJ748" t="s">
        <v>1813</v>
      </c>
      <c r="AK748" t="s">
        <v>59</v>
      </c>
      <c r="AM748"/>
      <c r="AN748">
        <v>55.2</v>
      </c>
      <c r="AO748">
        <v>3.8971143170299736</v>
      </c>
      <c r="AP748">
        <v>57.77</v>
      </c>
      <c r="AQ748">
        <v>1.4549226783578568</v>
      </c>
      <c r="AS748">
        <v>4.4999999999999998E-2</v>
      </c>
      <c r="AT748">
        <v>1.9E-3</v>
      </c>
      <c r="AW748" s="28">
        <f t="shared" si="55"/>
        <v>0.87371763852014228</v>
      </c>
      <c r="AX748">
        <f t="shared" si="56"/>
        <v>0.8</v>
      </c>
      <c r="AY748" s="62">
        <f t="shared" si="57"/>
        <v>0.69897411081611382</v>
      </c>
      <c r="AZ748" s="68" t="str">
        <f t="shared" si="58"/>
        <v>No</v>
      </c>
      <c r="BA748" s="68" t="str">
        <f t="shared" si="59"/>
        <v>No</v>
      </c>
    </row>
    <row r="749" spans="1:53" hidden="1">
      <c r="A749" t="s">
        <v>1815</v>
      </c>
      <c r="B749" t="s">
        <v>3308</v>
      </c>
      <c r="C749">
        <v>212</v>
      </c>
      <c r="F749" t="s">
        <v>1241</v>
      </c>
      <c r="G749" t="s">
        <v>1726</v>
      </c>
      <c r="I749">
        <v>2010</v>
      </c>
      <c r="N749" t="s">
        <v>36</v>
      </c>
      <c r="P749" t="s">
        <v>60</v>
      </c>
      <c r="Q749" t="s">
        <v>900</v>
      </c>
      <c r="R749" t="s">
        <v>1741</v>
      </c>
      <c r="S749" t="s">
        <v>1759</v>
      </c>
      <c r="V749" t="s">
        <v>1015</v>
      </c>
      <c r="Z749">
        <v>3</v>
      </c>
      <c r="AA749">
        <v>3</v>
      </c>
      <c r="AC749">
        <v>375</v>
      </c>
      <c r="AD749" s="37">
        <v>18</v>
      </c>
      <c r="AE749">
        <v>1000</v>
      </c>
      <c r="AF749" s="37">
        <v>26</v>
      </c>
      <c r="AG749" t="s">
        <v>3426</v>
      </c>
      <c r="AH749">
        <v>3</v>
      </c>
      <c r="AI749" s="37">
        <v>18</v>
      </c>
      <c r="AJ749" t="s">
        <v>1813</v>
      </c>
      <c r="AK749" t="s">
        <v>59</v>
      </c>
      <c r="AM749"/>
      <c r="AN749">
        <v>86.8</v>
      </c>
      <c r="AO749">
        <v>5.35203699538783</v>
      </c>
      <c r="AP749">
        <v>58.43</v>
      </c>
      <c r="AQ749">
        <v>4.8670627692685446</v>
      </c>
      <c r="AS749">
        <v>-0.39600000000000002</v>
      </c>
      <c r="AT749">
        <v>3.5999999999999999E-3</v>
      </c>
      <c r="AW749" s="28">
        <f t="shared" si="55"/>
        <v>-5.5461061513757999</v>
      </c>
      <c r="AX749">
        <f t="shared" si="56"/>
        <v>0.8</v>
      </c>
      <c r="AY749" s="62">
        <f t="shared" si="57"/>
        <v>-4.4368849211006403</v>
      </c>
      <c r="AZ749" s="68" t="str">
        <f t="shared" si="58"/>
        <v>No</v>
      </c>
      <c r="BA749" s="68" t="str">
        <f t="shared" si="59"/>
        <v>No</v>
      </c>
    </row>
    <row r="750" spans="1:53" hidden="1">
      <c r="A750" t="s">
        <v>1815</v>
      </c>
      <c r="B750" t="s">
        <v>3309</v>
      </c>
      <c r="C750">
        <v>212</v>
      </c>
      <c r="F750" t="s">
        <v>1241</v>
      </c>
      <c r="G750" t="s">
        <v>1726</v>
      </c>
      <c r="I750">
        <v>2010</v>
      </c>
      <c r="N750" t="s">
        <v>36</v>
      </c>
      <c r="P750" t="s">
        <v>60</v>
      </c>
      <c r="Q750" t="s">
        <v>900</v>
      </c>
      <c r="R750" t="s">
        <v>1741</v>
      </c>
      <c r="S750" t="s">
        <v>1007</v>
      </c>
      <c r="V750" t="s">
        <v>1015</v>
      </c>
      <c r="Z750">
        <v>3</v>
      </c>
      <c r="AA750">
        <v>3</v>
      </c>
      <c r="AC750">
        <v>375</v>
      </c>
      <c r="AD750" s="37">
        <v>18</v>
      </c>
      <c r="AE750">
        <v>1000</v>
      </c>
      <c r="AF750" s="37">
        <v>26</v>
      </c>
      <c r="AG750" t="s">
        <v>3425</v>
      </c>
      <c r="AH750">
        <v>3</v>
      </c>
      <c r="AI750" s="37">
        <v>18</v>
      </c>
      <c r="AJ750" t="s">
        <v>1813</v>
      </c>
      <c r="AK750" t="s">
        <v>59</v>
      </c>
      <c r="AM750"/>
      <c r="AN750">
        <v>55.2</v>
      </c>
      <c r="AO750">
        <v>3.8971143170299736</v>
      </c>
      <c r="AP750">
        <v>60.36</v>
      </c>
      <c r="AQ750">
        <v>3.4121400909106878</v>
      </c>
      <c r="AS750">
        <v>8.8999999999999996E-2</v>
      </c>
      <c r="AT750">
        <v>2.7000000000000001E-3</v>
      </c>
      <c r="AW750" s="28">
        <f t="shared" si="55"/>
        <v>1.4088110340432347</v>
      </c>
      <c r="AX750">
        <f t="shared" si="56"/>
        <v>0.8</v>
      </c>
      <c r="AY750" s="62">
        <f t="shared" si="57"/>
        <v>1.1270488272345878</v>
      </c>
      <c r="AZ750" s="68" t="str">
        <f t="shared" si="58"/>
        <v>No</v>
      </c>
      <c r="BA750" s="68" t="str">
        <f t="shared" si="59"/>
        <v>No</v>
      </c>
    </row>
    <row r="751" spans="1:53" hidden="1">
      <c r="A751" t="s">
        <v>1815</v>
      </c>
      <c r="B751" t="s">
        <v>3310</v>
      </c>
      <c r="C751">
        <v>212</v>
      </c>
      <c r="F751" t="s">
        <v>1241</v>
      </c>
      <c r="G751" t="s">
        <v>1726</v>
      </c>
      <c r="I751">
        <v>2010</v>
      </c>
      <c r="N751" t="s">
        <v>36</v>
      </c>
      <c r="P751" t="s">
        <v>60</v>
      </c>
      <c r="Q751" t="s">
        <v>900</v>
      </c>
      <c r="R751" t="s">
        <v>1741</v>
      </c>
      <c r="S751" t="s">
        <v>1007</v>
      </c>
      <c r="V751" t="s">
        <v>1015</v>
      </c>
      <c r="Z751">
        <v>3</v>
      </c>
      <c r="AA751">
        <v>3</v>
      </c>
      <c r="AC751">
        <v>375</v>
      </c>
      <c r="AD751" s="37">
        <v>18</v>
      </c>
      <c r="AE751">
        <v>600</v>
      </c>
      <c r="AF751" s="37">
        <v>30</v>
      </c>
      <c r="AG751" t="s">
        <v>3425</v>
      </c>
      <c r="AH751">
        <v>2.7781512503836434</v>
      </c>
      <c r="AI751" s="37">
        <v>18</v>
      </c>
      <c r="AJ751" t="s">
        <v>1813</v>
      </c>
      <c r="AK751" t="s">
        <v>59</v>
      </c>
      <c r="AM751"/>
      <c r="AN751">
        <v>55.2</v>
      </c>
      <c r="AO751">
        <v>3.8971143170299736</v>
      </c>
      <c r="AP751">
        <v>60.6</v>
      </c>
      <c r="AQ751">
        <v>3.8971143170299736</v>
      </c>
      <c r="AS751">
        <v>9.2999999999999999E-2</v>
      </c>
      <c r="AT751">
        <v>3.0999999999999999E-3</v>
      </c>
      <c r="AW751" s="28">
        <f t="shared" si="55"/>
        <v>1.3856406460551016</v>
      </c>
      <c r="AX751">
        <f t="shared" si="56"/>
        <v>0.8</v>
      </c>
      <c r="AY751" s="62">
        <f t="shared" si="57"/>
        <v>1.1085125168440813</v>
      </c>
      <c r="AZ751" s="68" t="str">
        <f t="shared" si="58"/>
        <v>No</v>
      </c>
      <c r="BA751" s="68" t="str">
        <f t="shared" si="59"/>
        <v>No</v>
      </c>
    </row>
    <row r="752" spans="1:53" hidden="1">
      <c r="A752" t="s">
        <v>1815</v>
      </c>
      <c r="B752" t="s">
        <v>3311</v>
      </c>
      <c r="C752">
        <v>212</v>
      </c>
      <c r="F752" t="s">
        <v>1241</v>
      </c>
      <c r="G752" t="s">
        <v>1726</v>
      </c>
      <c r="I752">
        <v>2010</v>
      </c>
      <c r="N752" t="s">
        <v>36</v>
      </c>
      <c r="P752" t="s">
        <v>60</v>
      </c>
      <c r="Q752" t="s">
        <v>900</v>
      </c>
      <c r="R752" t="s">
        <v>1741</v>
      </c>
      <c r="S752" t="s">
        <v>1759</v>
      </c>
      <c r="V752" t="s">
        <v>1015</v>
      </c>
      <c r="Z752">
        <v>3</v>
      </c>
      <c r="AA752">
        <v>3</v>
      </c>
      <c r="AC752">
        <v>375</v>
      </c>
      <c r="AD752" s="37">
        <v>18</v>
      </c>
      <c r="AE752">
        <v>1000</v>
      </c>
      <c r="AF752" s="37">
        <v>30</v>
      </c>
      <c r="AG752" t="s">
        <v>3426</v>
      </c>
      <c r="AH752">
        <v>3</v>
      </c>
      <c r="AI752" s="37">
        <v>18</v>
      </c>
      <c r="AJ752" t="s">
        <v>1813</v>
      </c>
      <c r="AK752" t="s">
        <v>59</v>
      </c>
      <c r="AM752"/>
      <c r="AN752">
        <v>86.8</v>
      </c>
      <c r="AO752">
        <v>5.35203699538783</v>
      </c>
      <c r="AP752">
        <v>61.24</v>
      </c>
      <c r="AQ752">
        <v>6.3219854476264015</v>
      </c>
      <c r="AS752">
        <v>-0.34899999999999998</v>
      </c>
      <c r="AT752">
        <v>4.7999999999999996E-3</v>
      </c>
      <c r="AW752" s="28">
        <f t="shared" si="55"/>
        <v>-4.3639165873789141</v>
      </c>
      <c r="AX752">
        <f t="shared" si="56"/>
        <v>0.8</v>
      </c>
      <c r="AY752" s="62">
        <f t="shared" si="57"/>
        <v>-3.4911332699031314</v>
      </c>
      <c r="AZ752" s="68" t="str">
        <f t="shared" si="58"/>
        <v>No</v>
      </c>
      <c r="BA752" s="68" t="str">
        <f t="shared" si="59"/>
        <v>No</v>
      </c>
    </row>
    <row r="753" spans="1:53" hidden="1">
      <c r="A753" t="s">
        <v>1815</v>
      </c>
      <c r="B753" t="s">
        <v>3312</v>
      </c>
      <c r="C753">
        <v>212</v>
      </c>
      <c r="F753" t="s">
        <v>1241</v>
      </c>
      <c r="G753" t="s">
        <v>1726</v>
      </c>
      <c r="I753">
        <v>2010</v>
      </c>
      <c r="N753" t="s">
        <v>36</v>
      </c>
      <c r="P753" t="s">
        <v>60</v>
      </c>
      <c r="Q753" t="s">
        <v>900</v>
      </c>
      <c r="R753" t="s">
        <v>1741</v>
      </c>
      <c r="S753" t="s">
        <v>1759</v>
      </c>
      <c r="V753" t="s">
        <v>1015</v>
      </c>
      <c r="Z753">
        <v>3</v>
      </c>
      <c r="AA753">
        <v>3</v>
      </c>
      <c r="AC753">
        <v>375</v>
      </c>
      <c r="AD753" s="37">
        <v>18</v>
      </c>
      <c r="AE753">
        <v>1000</v>
      </c>
      <c r="AF753" s="37">
        <v>22</v>
      </c>
      <c r="AG753" t="s">
        <v>3426</v>
      </c>
      <c r="AH753">
        <v>3</v>
      </c>
      <c r="AI753" s="37">
        <v>18</v>
      </c>
      <c r="AJ753" t="s">
        <v>1813</v>
      </c>
      <c r="AK753" t="s">
        <v>59</v>
      </c>
      <c r="AM753"/>
      <c r="AN753">
        <v>86.8</v>
      </c>
      <c r="AO753">
        <v>5.35203699538783</v>
      </c>
      <c r="AP753">
        <v>61.8</v>
      </c>
      <c r="AQ753">
        <v>7.7769081259842592</v>
      </c>
      <c r="AS753">
        <v>-0.34</v>
      </c>
      <c r="AT753">
        <v>6.6E-3</v>
      </c>
      <c r="AW753" s="28">
        <f t="shared" si="55"/>
        <v>-3.7450378353870937</v>
      </c>
      <c r="AX753">
        <f t="shared" si="56"/>
        <v>0.8</v>
      </c>
      <c r="AY753" s="62">
        <f t="shared" si="57"/>
        <v>-2.9960302683096751</v>
      </c>
      <c r="AZ753" s="68" t="str">
        <f t="shared" si="58"/>
        <v>No</v>
      </c>
      <c r="BA753" s="68" t="str">
        <f t="shared" si="59"/>
        <v>No</v>
      </c>
    </row>
    <row r="754" spans="1:53" hidden="1">
      <c r="A754" t="s">
        <v>1815</v>
      </c>
      <c r="B754" t="s">
        <v>3313</v>
      </c>
      <c r="C754">
        <v>212</v>
      </c>
      <c r="F754" t="s">
        <v>1241</v>
      </c>
      <c r="G754" t="s">
        <v>1726</v>
      </c>
      <c r="I754">
        <v>2010</v>
      </c>
      <c r="N754" t="s">
        <v>36</v>
      </c>
      <c r="P754" t="s">
        <v>60</v>
      </c>
      <c r="Q754" t="s">
        <v>900</v>
      </c>
      <c r="R754" t="s">
        <v>1741</v>
      </c>
      <c r="S754" t="s">
        <v>1759</v>
      </c>
      <c r="V754" t="s">
        <v>1015</v>
      </c>
      <c r="Z754">
        <v>3</v>
      </c>
      <c r="AA754">
        <v>3</v>
      </c>
      <c r="AC754">
        <v>375</v>
      </c>
      <c r="AD754" s="37">
        <v>18</v>
      </c>
      <c r="AE754">
        <v>750</v>
      </c>
      <c r="AF754" s="37">
        <v>30</v>
      </c>
      <c r="AG754" t="s">
        <v>3426</v>
      </c>
      <c r="AH754">
        <v>2.8750612633917001</v>
      </c>
      <c r="AI754" s="37">
        <v>18</v>
      </c>
      <c r="AJ754" t="s">
        <v>1813</v>
      </c>
      <c r="AK754" t="s">
        <v>59</v>
      </c>
      <c r="AM754"/>
      <c r="AN754">
        <v>86.8</v>
      </c>
      <c r="AO754">
        <v>5.35203699538783</v>
      </c>
      <c r="AP754">
        <v>62.64</v>
      </c>
      <c r="AQ754">
        <v>3.8971143170299736</v>
      </c>
      <c r="AS754">
        <v>-0.32600000000000001</v>
      </c>
      <c r="AT754">
        <v>2.5999999999999999E-3</v>
      </c>
      <c r="AW754" s="28">
        <f t="shared" si="55"/>
        <v>-5.160802923264038</v>
      </c>
      <c r="AX754">
        <f t="shared" si="56"/>
        <v>0.8</v>
      </c>
      <c r="AY754" s="62">
        <f t="shared" si="57"/>
        <v>-4.1286423386112308</v>
      </c>
      <c r="AZ754" s="68" t="str">
        <f t="shared" si="58"/>
        <v>No</v>
      </c>
      <c r="BA754" s="68" t="str">
        <f t="shared" si="59"/>
        <v>No</v>
      </c>
    </row>
    <row r="755" spans="1:53" hidden="1">
      <c r="A755" t="s">
        <v>1815</v>
      </c>
      <c r="B755" t="s">
        <v>3314</v>
      </c>
      <c r="C755">
        <v>212</v>
      </c>
      <c r="F755" t="s">
        <v>1241</v>
      </c>
      <c r="G755" t="s">
        <v>1726</v>
      </c>
      <c r="I755">
        <v>2010</v>
      </c>
      <c r="N755" t="s">
        <v>36</v>
      </c>
      <c r="P755" t="s">
        <v>60</v>
      </c>
      <c r="Q755" t="s">
        <v>900</v>
      </c>
      <c r="R755" t="s">
        <v>1741</v>
      </c>
      <c r="S755" t="s">
        <v>1759</v>
      </c>
      <c r="V755" t="s">
        <v>1015</v>
      </c>
      <c r="Z755">
        <v>3</v>
      </c>
      <c r="AA755">
        <v>3</v>
      </c>
      <c r="AC755">
        <v>375</v>
      </c>
      <c r="AD755" s="37">
        <v>18</v>
      </c>
      <c r="AE755">
        <v>750</v>
      </c>
      <c r="AF755" s="37">
        <v>22</v>
      </c>
      <c r="AG755" t="s">
        <v>3426</v>
      </c>
      <c r="AH755">
        <v>2.8750612633917001</v>
      </c>
      <c r="AI755" s="37">
        <v>18</v>
      </c>
      <c r="AJ755" t="s">
        <v>1813</v>
      </c>
      <c r="AK755" t="s">
        <v>59</v>
      </c>
      <c r="AM755"/>
      <c r="AN755">
        <v>86.8</v>
      </c>
      <c r="AO755">
        <v>5.35203699538783</v>
      </c>
      <c r="AP755">
        <v>63.2</v>
      </c>
      <c r="AQ755">
        <v>5.8370112215071162</v>
      </c>
      <c r="AS755">
        <v>-0.317</v>
      </c>
      <c r="AT755">
        <v>4.1000000000000003E-3</v>
      </c>
      <c r="AW755" s="28">
        <f t="shared" si="55"/>
        <v>-4.2144537044683208</v>
      </c>
      <c r="AX755">
        <f t="shared" si="56"/>
        <v>0.8</v>
      </c>
      <c r="AY755" s="62">
        <f t="shared" si="57"/>
        <v>-3.3715629635746569</v>
      </c>
      <c r="AZ755" s="68" t="str">
        <f t="shared" si="58"/>
        <v>No</v>
      </c>
      <c r="BA755" s="68" t="str">
        <f t="shared" si="59"/>
        <v>No</v>
      </c>
    </row>
    <row r="756" spans="1:53" hidden="1">
      <c r="A756" t="s">
        <v>1815</v>
      </c>
      <c r="B756" t="s">
        <v>3315</v>
      </c>
      <c r="C756">
        <v>212</v>
      </c>
      <c r="F756" t="s">
        <v>1241</v>
      </c>
      <c r="G756" t="s">
        <v>1726</v>
      </c>
      <c r="I756">
        <v>2010</v>
      </c>
      <c r="N756" t="s">
        <v>36</v>
      </c>
      <c r="P756" t="s">
        <v>60</v>
      </c>
      <c r="Q756" t="s">
        <v>900</v>
      </c>
      <c r="R756" t="s">
        <v>1741</v>
      </c>
      <c r="S756" t="s">
        <v>1759</v>
      </c>
      <c r="V756" t="s">
        <v>1015</v>
      </c>
      <c r="Z756">
        <v>3</v>
      </c>
      <c r="AA756">
        <v>3</v>
      </c>
      <c r="AC756">
        <v>375</v>
      </c>
      <c r="AD756" s="37">
        <v>18</v>
      </c>
      <c r="AE756">
        <v>750</v>
      </c>
      <c r="AF756" s="37">
        <v>26</v>
      </c>
      <c r="AG756" t="s">
        <v>3426</v>
      </c>
      <c r="AH756">
        <v>2.8750612633917001</v>
      </c>
      <c r="AI756" s="37">
        <v>18</v>
      </c>
      <c r="AJ756" t="s">
        <v>1813</v>
      </c>
      <c r="AK756" t="s">
        <v>59</v>
      </c>
      <c r="AM756"/>
      <c r="AN756">
        <v>86.8</v>
      </c>
      <c r="AO756">
        <v>5.35203699538783</v>
      </c>
      <c r="AP756">
        <v>65.17</v>
      </c>
      <c r="AQ756">
        <v>6.3219854476264015</v>
      </c>
      <c r="AS756">
        <v>-0.28699999999999998</v>
      </c>
      <c r="AT756">
        <v>4.4000000000000003E-3</v>
      </c>
      <c r="AW756" s="28">
        <f t="shared" si="55"/>
        <v>-3.692938802230278</v>
      </c>
      <c r="AX756">
        <f t="shared" si="56"/>
        <v>0.8</v>
      </c>
      <c r="AY756" s="62">
        <f t="shared" si="57"/>
        <v>-2.9543510417842227</v>
      </c>
      <c r="AZ756" s="68" t="str">
        <f t="shared" si="58"/>
        <v>No</v>
      </c>
      <c r="BA756" s="68" t="str">
        <f t="shared" si="59"/>
        <v>No</v>
      </c>
    </row>
    <row r="757" spans="1:53" hidden="1">
      <c r="A757" t="s">
        <v>1815</v>
      </c>
      <c r="B757" t="s">
        <v>3316</v>
      </c>
      <c r="C757">
        <v>212</v>
      </c>
      <c r="F757" t="s">
        <v>1241</v>
      </c>
      <c r="G757" t="s">
        <v>1726</v>
      </c>
      <c r="I757">
        <v>2010</v>
      </c>
      <c r="N757" t="s">
        <v>36</v>
      </c>
      <c r="P757" t="s">
        <v>60</v>
      </c>
      <c r="Q757" t="s">
        <v>900</v>
      </c>
      <c r="R757" t="s">
        <v>1741</v>
      </c>
      <c r="S757" t="s">
        <v>1007</v>
      </c>
      <c r="V757" t="s">
        <v>1015</v>
      </c>
      <c r="Z757">
        <v>3</v>
      </c>
      <c r="AA757">
        <v>3</v>
      </c>
      <c r="AC757">
        <v>375</v>
      </c>
      <c r="AD757" s="37">
        <v>18</v>
      </c>
      <c r="AE757">
        <v>750</v>
      </c>
      <c r="AF757" s="37">
        <v>26</v>
      </c>
      <c r="AG757" t="s">
        <v>3425</v>
      </c>
      <c r="AH757">
        <v>2.8750612633917001</v>
      </c>
      <c r="AI757" s="37">
        <v>18</v>
      </c>
      <c r="AJ757" t="s">
        <v>1813</v>
      </c>
      <c r="AK757" t="s">
        <v>59</v>
      </c>
      <c r="AM757"/>
      <c r="AN757">
        <v>55.2</v>
      </c>
      <c r="AO757">
        <v>3.8971143170299736</v>
      </c>
      <c r="AP757">
        <v>65.73</v>
      </c>
      <c r="AQ757">
        <v>2.9271658647914025</v>
      </c>
      <c r="AS757">
        <v>0.17499999999999999</v>
      </c>
      <c r="AT757">
        <v>2.3E-3</v>
      </c>
      <c r="AW757" s="28">
        <f t="shared" si="55"/>
        <v>3.0553329160078864</v>
      </c>
      <c r="AX757">
        <f t="shared" si="56"/>
        <v>0.8</v>
      </c>
      <c r="AY757" s="62">
        <f t="shared" si="57"/>
        <v>2.4442663328063094</v>
      </c>
      <c r="AZ757" s="68" t="str">
        <f t="shared" si="58"/>
        <v>No</v>
      </c>
      <c r="BA757" s="68" t="str">
        <f t="shared" si="59"/>
        <v>No</v>
      </c>
    </row>
    <row r="758" spans="1:53" hidden="1">
      <c r="A758" t="s">
        <v>1815</v>
      </c>
      <c r="B758" t="s">
        <v>3317</v>
      </c>
      <c r="C758">
        <v>212</v>
      </c>
      <c r="F758" t="s">
        <v>1241</v>
      </c>
      <c r="G758" t="s">
        <v>1726</v>
      </c>
      <c r="I758">
        <v>2010</v>
      </c>
      <c r="N758" t="s">
        <v>36</v>
      </c>
      <c r="P758" t="s">
        <v>60</v>
      </c>
      <c r="Q758" t="s">
        <v>900</v>
      </c>
      <c r="R758" t="s">
        <v>1741</v>
      </c>
      <c r="S758" t="s">
        <v>1759</v>
      </c>
      <c r="V758" t="s">
        <v>1015</v>
      </c>
      <c r="Z758">
        <v>3</v>
      </c>
      <c r="AA758">
        <v>3</v>
      </c>
      <c r="AC758">
        <v>375</v>
      </c>
      <c r="AD758" s="37">
        <v>18</v>
      </c>
      <c r="AE758">
        <v>600</v>
      </c>
      <c r="AF758" s="37">
        <v>30</v>
      </c>
      <c r="AG758" t="s">
        <v>3426</v>
      </c>
      <c r="AH758">
        <v>2.7781512503836434</v>
      </c>
      <c r="AI758" s="37">
        <v>18</v>
      </c>
      <c r="AJ758" t="s">
        <v>1813</v>
      </c>
      <c r="AK758" t="s">
        <v>59</v>
      </c>
      <c r="AM758"/>
      <c r="AN758">
        <v>86.8</v>
      </c>
      <c r="AO758">
        <v>5.35203699538783</v>
      </c>
      <c r="AP758">
        <v>65.73</v>
      </c>
      <c r="AQ758">
        <v>3.8971143170299736</v>
      </c>
      <c r="AS758">
        <v>-0.27800000000000002</v>
      </c>
      <c r="AT758">
        <v>2.3999999999999998E-3</v>
      </c>
      <c r="AW758" s="28">
        <f t="shared" si="55"/>
        <v>-4.500749900379688</v>
      </c>
      <c r="AX758">
        <f t="shared" si="56"/>
        <v>0.8</v>
      </c>
      <c r="AY758" s="62">
        <f t="shared" si="57"/>
        <v>-3.6005999203037504</v>
      </c>
      <c r="AZ758" s="68" t="str">
        <f t="shared" si="58"/>
        <v>No</v>
      </c>
      <c r="BA758" s="68" t="str">
        <f t="shared" si="59"/>
        <v>No</v>
      </c>
    </row>
    <row r="759" spans="1:53" hidden="1">
      <c r="A759" t="s">
        <v>1815</v>
      </c>
      <c r="B759" t="s">
        <v>3321</v>
      </c>
      <c r="C759">
        <v>212</v>
      </c>
      <c r="F759" t="s">
        <v>1241</v>
      </c>
      <c r="G759" t="s">
        <v>1726</v>
      </c>
      <c r="I759">
        <v>2010</v>
      </c>
      <c r="N759" t="s">
        <v>36</v>
      </c>
      <c r="P759" t="s">
        <v>60</v>
      </c>
      <c r="Q759" t="s">
        <v>900</v>
      </c>
      <c r="R759" t="s">
        <v>1741</v>
      </c>
      <c r="S759" t="s">
        <v>1759</v>
      </c>
      <c r="V759" t="s">
        <v>1015</v>
      </c>
      <c r="Z759">
        <v>3</v>
      </c>
      <c r="AA759">
        <v>3</v>
      </c>
      <c r="AC759">
        <v>375</v>
      </c>
      <c r="AD759" s="37">
        <v>18</v>
      </c>
      <c r="AE759">
        <v>600</v>
      </c>
      <c r="AF759" s="37">
        <v>22</v>
      </c>
      <c r="AG759" t="s">
        <v>3426</v>
      </c>
      <c r="AH759">
        <v>2.7781512503836434</v>
      </c>
      <c r="AI759" s="37">
        <v>18</v>
      </c>
      <c r="AJ759" t="s">
        <v>1813</v>
      </c>
      <c r="AK759" t="s">
        <v>59</v>
      </c>
      <c r="AM759"/>
      <c r="AN759">
        <v>86.8</v>
      </c>
      <c r="AO759">
        <v>5.35203699538783</v>
      </c>
      <c r="AP759">
        <v>71.91</v>
      </c>
      <c r="AQ759">
        <v>1.9398969044771426</v>
      </c>
      <c r="AS759">
        <v>-0.188</v>
      </c>
      <c r="AT759">
        <v>1.5E-3</v>
      </c>
      <c r="AW759" s="28">
        <f t="shared" si="55"/>
        <v>-3.6990221399851877</v>
      </c>
      <c r="AX759">
        <f t="shared" si="56"/>
        <v>0.8</v>
      </c>
      <c r="AY759" s="62">
        <f t="shared" si="57"/>
        <v>-2.9592177119881504</v>
      </c>
      <c r="AZ759" s="68" t="str">
        <f t="shared" si="58"/>
        <v>No</v>
      </c>
      <c r="BA759" s="68" t="str">
        <f t="shared" si="59"/>
        <v>No</v>
      </c>
    </row>
    <row r="760" spans="1:53" hidden="1">
      <c r="A760" t="s">
        <v>1815</v>
      </c>
      <c r="B760" t="s">
        <v>3324</v>
      </c>
      <c r="C760">
        <v>212</v>
      </c>
      <c r="F760" t="s">
        <v>1241</v>
      </c>
      <c r="G760" t="s">
        <v>1726</v>
      </c>
      <c r="I760">
        <v>2021</v>
      </c>
      <c r="N760" t="s">
        <v>36</v>
      </c>
      <c r="P760" t="s">
        <v>60</v>
      </c>
      <c r="Q760" t="s">
        <v>900</v>
      </c>
      <c r="R760" t="s">
        <v>1741</v>
      </c>
      <c r="S760" t="s">
        <v>1007</v>
      </c>
      <c r="V760" t="s">
        <v>1015</v>
      </c>
      <c r="Z760">
        <v>3</v>
      </c>
      <c r="AA760">
        <v>3</v>
      </c>
      <c r="AC760">
        <v>375</v>
      </c>
      <c r="AD760" s="37">
        <v>18</v>
      </c>
      <c r="AE760">
        <v>600</v>
      </c>
      <c r="AF760" s="37">
        <v>26</v>
      </c>
      <c r="AG760" t="s">
        <v>3425</v>
      </c>
      <c r="AH760">
        <v>2.7781512503836434</v>
      </c>
      <c r="AI760" s="37">
        <v>18</v>
      </c>
      <c r="AJ760" t="s">
        <v>1813</v>
      </c>
      <c r="AK760" t="s">
        <v>59</v>
      </c>
      <c r="AM760"/>
      <c r="AN760">
        <v>55.2</v>
      </c>
      <c r="AO760">
        <v>3.8971143170299736</v>
      </c>
      <c r="AP760">
        <v>74.19</v>
      </c>
      <c r="AQ760">
        <v>3.8971143170299736</v>
      </c>
      <c r="AS760">
        <v>0.29599999999999999</v>
      </c>
      <c r="AT760">
        <v>2.5999999999999999E-3</v>
      </c>
      <c r="AW760" s="28">
        <f t="shared" si="55"/>
        <v>4.8728362719604403</v>
      </c>
      <c r="AX760">
        <f t="shared" si="56"/>
        <v>0.8</v>
      </c>
      <c r="AY760" s="62">
        <f t="shared" si="57"/>
        <v>3.8982690175683525</v>
      </c>
      <c r="AZ760" s="68" t="str">
        <f t="shared" si="58"/>
        <v>No</v>
      </c>
      <c r="BA760" s="68" t="str">
        <f t="shared" si="59"/>
        <v>No</v>
      </c>
    </row>
    <row r="761" spans="1:53" hidden="1">
      <c r="A761" t="s">
        <v>1815</v>
      </c>
      <c r="B761" t="s">
        <v>3326</v>
      </c>
      <c r="C761">
        <v>212</v>
      </c>
      <c r="F761" t="s">
        <v>1241</v>
      </c>
      <c r="G761" t="s">
        <v>1726</v>
      </c>
      <c r="I761">
        <v>2021</v>
      </c>
      <c r="N761" t="s">
        <v>36</v>
      </c>
      <c r="P761" t="s">
        <v>60</v>
      </c>
      <c r="Q761" t="s">
        <v>900</v>
      </c>
      <c r="R761" t="s">
        <v>1741</v>
      </c>
      <c r="S761" t="s">
        <v>1759</v>
      </c>
      <c r="V761" t="s">
        <v>1015</v>
      </c>
      <c r="Z761">
        <v>3</v>
      </c>
      <c r="AA761">
        <v>3</v>
      </c>
      <c r="AC761">
        <v>375</v>
      </c>
      <c r="AD761" s="37">
        <v>18</v>
      </c>
      <c r="AE761">
        <v>600</v>
      </c>
      <c r="AF761" s="37">
        <v>26</v>
      </c>
      <c r="AG761" t="s">
        <v>3426</v>
      </c>
      <c r="AH761">
        <v>2.7781512503836434</v>
      </c>
      <c r="AI761" s="37">
        <v>18</v>
      </c>
      <c r="AJ761" t="s">
        <v>1813</v>
      </c>
      <c r="AK761" t="s">
        <v>59</v>
      </c>
      <c r="AM761"/>
      <c r="AN761">
        <v>86.8</v>
      </c>
      <c r="AO761">
        <v>5.35203699538783</v>
      </c>
      <c r="AP761">
        <v>74.72</v>
      </c>
      <c r="AQ761">
        <v>1.4549226783578568</v>
      </c>
      <c r="AS761">
        <v>-0.15</v>
      </c>
      <c r="AT761">
        <v>1.4E-3</v>
      </c>
      <c r="AW761" s="28">
        <f t="shared" si="55"/>
        <v>-3.0802147864779372</v>
      </c>
      <c r="AX761">
        <f t="shared" si="56"/>
        <v>0.8</v>
      </c>
      <c r="AY761" s="62">
        <f t="shared" si="57"/>
        <v>-2.4641718291823498</v>
      </c>
      <c r="AZ761" s="68" t="str">
        <f t="shared" si="58"/>
        <v>No</v>
      </c>
      <c r="BA761" s="68" t="str">
        <f t="shared" si="59"/>
        <v>No</v>
      </c>
    </row>
    <row r="762" spans="1:53" hidden="1">
      <c r="A762" t="s">
        <v>1815</v>
      </c>
      <c r="B762" t="s">
        <v>3037</v>
      </c>
      <c r="C762">
        <v>58</v>
      </c>
      <c r="F762" t="s">
        <v>1241</v>
      </c>
      <c r="G762" t="s">
        <v>1732</v>
      </c>
      <c r="I762">
        <v>2014</v>
      </c>
      <c r="N762" t="s">
        <v>36</v>
      </c>
      <c r="P762" t="s">
        <v>60</v>
      </c>
      <c r="Q762" t="s">
        <v>900</v>
      </c>
      <c r="R762" t="s">
        <v>946</v>
      </c>
      <c r="S762" t="s">
        <v>952</v>
      </c>
      <c r="V762" t="s">
        <v>905</v>
      </c>
      <c r="Z762">
        <v>150</v>
      </c>
      <c r="AA762">
        <v>150</v>
      </c>
      <c r="AC762">
        <v>506</v>
      </c>
      <c r="AD762" s="37">
        <v>21</v>
      </c>
      <c r="AE762">
        <v>6957</v>
      </c>
      <c r="AF762" s="37">
        <v>21</v>
      </c>
      <c r="AG762" t="s">
        <v>3391</v>
      </c>
      <c r="AH762">
        <v>3.8424220033576497</v>
      </c>
      <c r="AI762" s="37">
        <v>21</v>
      </c>
      <c r="AJ762" t="s">
        <v>1811</v>
      </c>
      <c r="AK762" t="s">
        <v>59</v>
      </c>
      <c r="AM762"/>
      <c r="AN762">
        <v>79.55</v>
      </c>
      <c r="AO762">
        <v>59.890024211048697</v>
      </c>
      <c r="AP762">
        <v>0.88</v>
      </c>
      <c r="AQ762">
        <v>16.411581276647293</v>
      </c>
      <c r="AS762">
        <v>-4.5039999999999996</v>
      </c>
      <c r="AT762">
        <v>2.3224999999999998</v>
      </c>
      <c r="AW762" s="28">
        <f t="shared" si="55"/>
        <v>-1.7916241460237348</v>
      </c>
      <c r="AX762">
        <f t="shared" si="56"/>
        <v>0.9974811083123426</v>
      </c>
      <c r="AY762" s="62">
        <f t="shared" si="57"/>
        <v>-1.7871112388549093</v>
      </c>
      <c r="AZ762" s="68" t="str">
        <f t="shared" si="58"/>
        <v>No</v>
      </c>
      <c r="BA762" s="68" t="str">
        <f t="shared" si="59"/>
        <v>No</v>
      </c>
    </row>
    <row r="763" spans="1:53" hidden="1">
      <c r="A763" t="s">
        <v>1815</v>
      </c>
      <c r="B763" t="s">
        <v>3039</v>
      </c>
      <c r="C763">
        <v>58</v>
      </c>
      <c r="F763" t="s">
        <v>1241</v>
      </c>
      <c r="G763" t="s">
        <v>1732</v>
      </c>
      <c r="I763">
        <v>2014</v>
      </c>
      <c r="N763" t="s">
        <v>36</v>
      </c>
      <c r="P763" t="s">
        <v>60</v>
      </c>
      <c r="Q763" t="s">
        <v>900</v>
      </c>
      <c r="R763" t="s">
        <v>946</v>
      </c>
      <c r="S763" t="s">
        <v>952</v>
      </c>
      <c r="V763" t="s">
        <v>905</v>
      </c>
      <c r="Z763">
        <v>200</v>
      </c>
      <c r="AA763">
        <v>200</v>
      </c>
      <c r="AC763">
        <v>506</v>
      </c>
      <c r="AD763" s="37">
        <v>21</v>
      </c>
      <c r="AE763">
        <v>6957</v>
      </c>
      <c r="AF763" s="37">
        <v>21</v>
      </c>
      <c r="AG763" t="s">
        <v>3391</v>
      </c>
      <c r="AH763">
        <v>3.8424220033576497</v>
      </c>
      <c r="AI763" s="37">
        <v>21</v>
      </c>
      <c r="AJ763" t="s">
        <v>1812</v>
      </c>
      <c r="AK763" t="s">
        <v>59</v>
      </c>
      <c r="AM763"/>
      <c r="AN763">
        <v>80.989999999999995</v>
      </c>
      <c r="AO763">
        <v>69.8621499812309</v>
      </c>
      <c r="AP763">
        <v>4.5599999999999996</v>
      </c>
      <c r="AQ763">
        <v>42.99209229614209</v>
      </c>
      <c r="AS763">
        <v>-2.8759999999999999</v>
      </c>
      <c r="AT763">
        <v>0.44819999999999999</v>
      </c>
      <c r="AW763" s="28">
        <f t="shared" si="55"/>
        <v>-1.3176567843264835</v>
      </c>
      <c r="AX763">
        <f t="shared" si="56"/>
        <v>0.99811439346323072</v>
      </c>
      <c r="AY763" s="62">
        <f t="shared" si="57"/>
        <v>-1.315172202080739</v>
      </c>
      <c r="AZ763" s="68" t="str">
        <f t="shared" si="58"/>
        <v>No</v>
      </c>
      <c r="BA763" s="68" t="str">
        <f t="shared" si="59"/>
        <v>No</v>
      </c>
    </row>
    <row r="764" spans="1:53" hidden="1">
      <c r="A764" t="s">
        <v>1815</v>
      </c>
      <c r="B764" t="s">
        <v>3040</v>
      </c>
      <c r="C764">
        <v>58</v>
      </c>
      <c r="F764" t="s">
        <v>1241</v>
      </c>
      <c r="G764" t="s">
        <v>1732</v>
      </c>
      <c r="I764">
        <v>2014</v>
      </c>
      <c r="N764" t="s">
        <v>36</v>
      </c>
      <c r="P764" t="s">
        <v>60</v>
      </c>
      <c r="Q764" t="s">
        <v>900</v>
      </c>
      <c r="R764" t="s">
        <v>946</v>
      </c>
      <c r="S764" t="s">
        <v>952</v>
      </c>
      <c r="V764" t="s">
        <v>905</v>
      </c>
      <c r="Z764">
        <v>200</v>
      </c>
      <c r="AA764">
        <v>200</v>
      </c>
      <c r="AC764">
        <v>506</v>
      </c>
      <c r="AD764" s="37">
        <v>21</v>
      </c>
      <c r="AE764">
        <v>6957</v>
      </c>
      <c r="AF764" s="37">
        <v>21</v>
      </c>
      <c r="AG764" t="s">
        <v>3391</v>
      </c>
      <c r="AH764">
        <v>3.8424220033576497</v>
      </c>
      <c r="AI764" s="37">
        <v>21</v>
      </c>
      <c r="AJ764" t="s">
        <v>1813</v>
      </c>
      <c r="AK764" t="s">
        <v>59</v>
      </c>
      <c r="AM764"/>
      <c r="AN764">
        <v>81.94</v>
      </c>
      <c r="AO764">
        <v>42.850670939904781</v>
      </c>
      <c r="AP764">
        <v>6.69</v>
      </c>
      <c r="AQ764">
        <v>42.850670939904781</v>
      </c>
      <c r="AS764">
        <v>-2.5049999999999999</v>
      </c>
      <c r="AT764">
        <v>0.2064</v>
      </c>
      <c r="AW764" s="28">
        <f t="shared" si="55"/>
        <v>-1.7560985242339175</v>
      </c>
      <c r="AX764">
        <f t="shared" si="56"/>
        <v>0.99811439346323072</v>
      </c>
      <c r="AY764" s="62">
        <f t="shared" si="57"/>
        <v>-1.7527872133774112</v>
      </c>
      <c r="AZ764" s="68" t="str">
        <f t="shared" si="58"/>
        <v>No</v>
      </c>
      <c r="BA764" s="68" t="str">
        <f t="shared" si="59"/>
        <v>No</v>
      </c>
    </row>
    <row r="765" spans="1:53" hidden="1">
      <c r="A765" t="s">
        <v>1815</v>
      </c>
      <c r="B765" t="s">
        <v>3042</v>
      </c>
      <c r="C765">
        <v>58</v>
      </c>
      <c r="F765" t="s">
        <v>1241</v>
      </c>
      <c r="G765" t="s">
        <v>1732</v>
      </c>
      <c r="I765">
        <v>2014</v>
      </c>
      <c r="N765" t="s">
        <v>36</v>
      </c>
      <c r="P765" t="s">
        <v>60</v>
      </c>
      <c r="Q765" t="s">
        <v>900</v>
      </c>
      <c r="R765" t="s">
        <v>946</v>
      </c>
      <c r="S765" t="s">
        <v>952</v>
      </c>
      <c r="V765" t="s">
        <v>905</v>
      </c>
      <c r="Z765">
        <v>200</v>
      </c>
      <c r="AA765">
        <v>200</v>
      </c>
      <c r="AC765">
        <v>468</v>
      </c>
      <c r="AD765" s="37">
        <v>14</v>
      </c>
      <c r="AE765">
        <v>6238</v>
      </c>
      <c r="AF765" s="37">
        <v>14</v>
      </c>
      <c r="AG765" t="s">
        <v>3392</v>
      </c>
      <c r="AH765">
        <v>3.7950453704211249</v>
      </c>
      <c r="AI765" s="37">
        <v>14</v>
      </c>
      <c r="AJ765" t="s">
        <v>1812</v>
      </c>
      <c r="AK765" t="s">
        <v>59</v>
      </c>
      <c r="AM765"/>
      <c r="AN765">
        <v>36.25</v>
      </c>
      <c r="AO765">
        <v>75.236161518248664</v>
      </c>
      <c r="AP765">
        <v>3.68</v>
      </c>
      <c r="AQ765">
        <v>41.295036021294379</v>
      </c>
      <c r="AS765">
        <v>-2.2890000000000001</v>
      </c>
      <c r="AT765">
        <v>0.65059999999999996</v>
      </c>
      <c r="AW765" s="28">
        <f t="shared" si="55"/>
        <v>-0.5366905821769935</v>
      </c>
      <c r="AX765">
        <f t="shared" si="56"/>
        <v>0.99811439346323072</v>
      </c>
      <c r="AY765" s="62">
        <f t="shared" si="57"/>
        <v>-0.53567859490701808</v>
      </c>
      <c r="AZ765" s="68" t="str">
        <f t="shared" si="58"/>
        <v>No</v>
      </c>
      <c r="BA765" s="68" t="str">
        <f t="shared" si="59"/>
        <v>No</v>
      </c>
    </row>
    <row r="766" spans="1:53" hidden="1">
      <c r="A766" t="s">
        <v>1815</v>
      </c>
      <c r="B766" t="s">
        <v>3043</v>
      </c>
      <c r="C766">
        <v>58</v>
      </c>
      <c r="F766" t="s">
        <v>1241</v>
      </c>
      <c r="G766" t="s">
        <v>1732</v>
      </c>
      <c r="I766">
        <v>2014</v>
      </c>
      <c r="N766" t="s">
        <v>36</v>
      </c>
      <c r="P766" t="s">
        <v>60</v>
      </c>
      <c r="Q766" t="s">
        <v>900</v>
      </c>
      <c r="R766" t="s">
        <v>946</v>
      </c>
      <c r="S766" t="s">
        <v>952</v>
      </c>
      <c r="V766" t="s">
        <v>905</v>
      </c>
      <c r="Z766">
        <v>200</v>
      </c>
      <c r="AA766">
        <v>200</v>
      </c>
      <c r="AC766">
        <v>468</v>
      </c>
      <c r="AD766" s="37">
        <v>14</v>
      </c>
      <c r="AE766">
        <v>6238</v>
      </c>
      <c r="AF766" s="37">
        <v>14</v>
      </c>
      <c r="AG766" t="s">
        <v>3392</v>
      </c>
      <c r="AH766">
        <v>3.7950453704211249</v>
      </c>
      <c r="AI766" s="37">
        <v>14</v>
      </c>
      <c r="AJ766" t="s">
        <v>1813</v>
      </c>
      <c r="AK766" t="s">
        <v>59</v>
      </c>
      <c r="AM766"/>
      <c r="AN766">
        <v>97.98</v>
      </c>
      <c r="AO766">
        <v>42.850670939904781</v>
      </c>
      <c r="AP766">
        <v>21.97</v>
      </c>
      <c r="AQ766">
        <v>60.669761825805779</v>
      </c>
      <c r="AS766">
        <v>-1.4950000000000001</v>
      </c>
      <c r="AT766">
        <v>3.9100000000000003E-2</v>
      </c>
      <c r="AW766" s="28">
        <f t="shared" si="55"/>
        <v>-1.4472189427024269</v>
      </c>
      <c r="AX766">
        <f t="shared" si="56"/>
        <v>0.99811439346323072</v>
      </c>
      <c r="AY766" s="62">
        <f t="shared" si="57"/>
        <v>-1.444490057203931</v>
      </c>
      <c r="AZ766" s="68" t="str">
        <f t="shared" si="58"/>
        <v>No</v>
      </c>
      <c r="BA766" s="68" t="str">
        <f t="shared" si="59"/>
        <v>No</v>
      </c>
    </row>
    <row r="767" spans="1:53" hidden="1">
      <c r="A767" t="s">
        <v>1815</v>
      </c>
      <c r="B767" t="s">
        <v>3044</v>
      </c>
      <c r="C767">
        <v>58</v>
      </c>
      <c r="F767" t="s">
        <v>1241</v>
      </c>
      <c r="G767" t="s">
        <v>1732</v>
      </c>
      <c r="I767">
        <v>2014</v>
      </c>
      <c r="N767" t="s">
        <v>36</v>
      </c>
      <c r="P767" t="s">
        <v>60</v>
      </c>
      <c r="Q767" t="s">
        <v>900</v>
      </c>
      <c r="R767" t="s">
        <v>946</v>
      </c>
      <c r="S767" t="s">
        <v>952</v>
      </c>
      <c r="V767" t="s">
        <v>905</v>
      </c>
      <c r="Z767">
        <v>150</v>
      </c>
      <c r="AA767">
        <v>150</v>
      </c>
      <c r="AC767">
        <v>468</v>
      </c>
      <c r="AD767" s="37">
        <v>14</v>
      </c>
      <c r="AE767">
        <v>6238</v>
      </c>
      <c r="AF767" s="37">
        <v>14</v>
      </c>
      <c r="AG767" t="s">
        <v>3392</v>
      </c>
      <c r="AH767">
        <v>3.7950453704211249</v>
      </c>
      <c r="AI767" s="37">
        <v>14</v>
      </c>
      <c r="AJ767" t="s">
        <v>1811</v>
      </c>
      <c r="AK767" t="s">
        <v>59</v>
      </c>
      <c r="AM767"/>
      <c r="AN767">
        <v>76.88</v>
      </c>
      <c r="AO767">
        <v>70.790253566433847</v>
      </c>
      <c r="AP767">
        <v>19.55</v>
      </c>
      <c r="AQ767">
        <v>57.19558549398721</v>
      </c>
      <c r="AS767">
        <v>-1.369</v>
      </c>
      <c r="AT767">
        <v>6.2700000000000006E-2</v>
      </c>
      <c r="AW767" s="28">
        <f t="shared" si="55"/>
        <v>-0.89086875349400207</v>
      </c>
      <c r="AX767">
        <f t="shared" si="56"/>
        <v>0.9974811083123426</v>
      </c>
      <c r="AY767" s="62">
        <f t="shared" si="57"/>
        <v>-0.88862475159603227</v>
      </c>
      <c r="AZ767" s="68" t="str">
        <f t="shared" si="58"/>
        <v>No</v>
      </c>
      <c r="BA767" s="68" t="str">
        <f t="shared" si="59"/>
        <v>No</v>
      </c>
    </row>
    <row r="768" spans="1:53" hidden="1">
      <c r="A768" t="s">
        <v>1815</v>
      </c>
      <c r="B768" t="s">
        <v>3048</v>
      </c>
      <c r="C768">
        <v>58</v>
      </c>
      <c r="F768" t="s">
        <v>1241</v>
      </c>
      <c r="G768" t="s">
        <v>1732</v>
      </c>
      <c r="I768">
        <v>2014</v>
      </c>
      <c r="N768" t="s">
        <v>36</v>
      </c>
      <c r="P768" t="s">
        <v>60</v>
      </c>
      <c r="Q768" t="s">
        <v>900</v>
      </c>
      <c r="R768" t="s">
        <v>946</v>
      </c>
      <c r="S768" t="s">
        <v>952</v>
      </c>
      <c r="V768" t="s">
        <v>905</v>
      </c>
      <c r="Z768">
        <v>200</v>
      </c>
      <c r="AA768">
        <v>200</v>
      </c>
      <c r="AC768">
        <v>506</v>
      </c>
      <c r="AD768" s="37">
        <v>21</v>
      </c>
      <c r="AE768">
        <v>1825</v>
      </c>
      <c r="AF768" s="37">
        <v>21</v>
      </c>
      <c r="AG768" t="s">
        <v>3391</v>
      </c>
      <c r="AH768">
        <v>3.2612628687924934</v>
      </c>
      <c r="AI768" s="37">
        <v>21</v>
      </c>
      <c r="AJ768" t="s">
        <v>1812</v>
      </c>
      <c r="AK768" t="s">
        <v>59</v>
      </c>
      <c r="AM768"/>
      <c r="AN768">
        <v>80.989999999999995</v>
      </c>
      <c r="AO768">
        <v>69.8621499812309</v>
      </c>
      <c r="AP768">
        <v>47.28</v>
      </c>
      <c r="AQ768">
        <v>102.10621920333746</v>
      </c>
      <c r="AS768">
        <v>-0.53800000000000003</v>
      </c>
      <c r="AT768">
        <v>2.7099999999999999E-2</v>
      </c>
      <c r="AW768" s="28">
        <f t="shared" si="55"/>
        <v>-0.38533390272481755</v>
      </c>
      <c r="AX768">
        <f t="shared" si="56"/>
        <v>0.99811439346323072</v>
      </c>
      <c r="AY768" s="62">
        <f t="shared" si="57"/>
        <v>-0.38460731459900083</v>
      </c>
      <c r="AZ768" s="68" t="str">
        <f t="shared" si="58"/>
        <v>No</v>
      </c>
      <c r="BA768" s="68" t="str">
        <f t="shared" si="59"/>
        <v>No</v>
      </c>
    </row>
    <row r="769" spans="1:53" hidden="1">
      <c r="A769" t="s">
        <v>1815</v>
      </c>
      <c r="B769" t="s">
        <v>3051</v>
      </c>
      <c r="C769">
        <v>58</v>
      </c>
      <c r="F769" t="s">
        <v>1241</v>
      </c>
      <c r="G769" t="s">
        <v>1732</v>
      </c>
      <c r="I769">
        <v>2014</v>
      </c>
      <c r="N769" t="s">
        <v>36</v>
      </c>
      <c r="P769" t="s">
        <v>60</v>
      </c>
      <c r="Q769" t="s">
        <v>900</v>
      </c>
      <c r="R769" t="s">
        <v>946</v>
      </c>
      <c r="S769" t="s">
        <v>952</v>
      </c>
      <c r="V769" t="s">
        <v>905</v>
      </c>
      <c r="Z769">
        <v>200</v>
      </c>
      <c r="AA769">
        <v>200</v>
      </c>
      <c r="AC769">
        <v>468</v>
      </c>
      <c r="AD769" s="37">
        <v>14</v>
      </c>
      <c r="AE769">
        <v>1652</v>
      </c>
      <c r="AF769" s="37">
        <v>14</v>
      </c>
      <c r="AG769" t="s">
        <v>3392</v>
      </c>
      <c r="AH769">
        <v>3.2180100429843632</v>
      </c>
      <c r="AI769" s="37">
        <v>14</v>
      </c>
      <c r="AJ769" t="s">
        <v>1812</v>
      </c>
      <c r="AK769" t="s">
        <v>770</v>
      </c>
      <c r="AM769"/>
      <c r="AN769">
        <v>36.25</v>
      </c>
      <c r="AO769">
        <v>75.236161518248664</v>
      </c>
      <c r="AP769">
        <v>24.33</v>
      </c>
      <c r="AQ769">
        <v>52.043059095329902</v>
      </c>
      <c r="AS769">
        <v>-0.39800000000000002</v>
      </c>
      <c r="AT769">
        <v>4.4400000000000002E-2</v>
      </c>
      <c r="AW769" s="28">
        <f t="shared" si="55"/>
        <v>-0.18427036970377694</v>
      </c>
      <c r="AX769">
        <f t="shared" si="56"/>
        <v>0.99811439346323072</v>
      </c>
      <c r="AY769" s="62">
        <f t="shared" si="57"/>
        <v>-0.18392290829013061</v>
      </c>
      <c r="AZ769" s="68" t="str">
        <f t="shared" si="58"/>
        <v>No</v>
      </c>
      <c r="BA769" s="68" t="str">
        <f t="shared" si="59"/>
        <v>No</v>
      </c>
    </row>
    <row r="770" spans="1:53" hidden="1">
      <c r="A770" t="s">
        <v>1815</v>
      </c>
      <c r="B770" t="s">
        <v>3052</v>
      </c>
      <c r="C770">
        <v>58</v>
      </c>
      <c r="F770" t="s">
        <v>1241</v>
      </c>
      <c r="G770" t="s">
        <v>1732</v>
      </c>
      <c r="I770">
        <v>2014</v>
      </c>
      <c r="N770" t="s">
        <v>36</v>
      </c>
      <c r="P770" t="s">
        <v>60</v>
      </c>
      <c r="Q770" t="s">
        <v>900</v>
      </c>
      <c r="R770" t="s">
        <v>946</v>
      </c>
      <c r="S770" t="s">
        <v>952</v>
      </c>
      <c r="V770" t="s">
        <v>905</v>
      </c>
      <c r="Z770">
        <v>150</v>
      </c>
      <c r="AA770">
        <v>150</v>
      </c>
      <c r="AC770">
        <v>506</v>
      </c>
      <c r="AD770" s="37">
        <v>21</v>
      </c>
      <c r="AE770">
        <v>6957</v>
      </c>
      <c r="AF770" s="37">
        <v>21</v>
      </c>
      <c r="AG770" t="s">
        <v>3391</v>
      </c>
      <c r="AH770">
        <v>3.8424220033576497</v>
      </c>
      <c r="AI770" s="37">
        <v>21</v>
      </c>
      <c r="AJ770" t="s">
        <v>1790</v>
      </c>
      <c r="AK770" t="s">
        <v>770</v>
      </c>
      <c r="AM770"/>
      <c r="AN770">
        <v>5.77</v>
      </c>
      <c r="AO770">
        <v>27.311810632032437</v>
      </c>
      <c r="AP770">
        <v>36</v>
      </c>
      <c r="AQ770">
        <v>440.90815370097204</v>
      </c>
      <c r="AS770">
        <v>-0.38700000000000001</v>
      </c>
      <c r="AT770">
        <v>0.317</v>
      </c>
      <c r="AW770" s="28">
        <f t="shared" ref="AW770:AW833" si="60">(AP770-$AN770)/SQRT(((AA770-1)*AQ770*AQ770+($Z770-1)*$AO770*$AO770)/(AA770+$Z770-2))</f>
        <v>9.6777275251434466E-2</v>
      </c>
      <c r="AX770">
        <f t="shared" ref="AX770:AX833" si="61">1-(3/(4*(AA770+$Z770-2)-1))</f>
        <v>0.9974811083123426</v>
      </c>
      <c r="AY770" s="62">
        <f t="shared" ref="AY770:AY833" si="62">AX770*AW770</f>
        <v>9.6533503777249494E-2</v>
      </c>
      <c r="AZ770" s="68" t="str">
        <f t="shared" ref="AZ770:AZ833" si="63">IF(AY770&gt;10,"Yes","No")</f>
        <v>No</v>
      </c>
      <c r="BA770" s="68" t="str">
        <f t="shared" ref="BA770:BA833" si="64">IF(AY770&lt;-10,"Yes","No")</f>
        <v>No</v>
      </c>
    </row>
    <row r="771" spans="1:53" hidden="1">
      <c r="A771" t="s">
        <v>1815</v>
      </c>
      <c r="B771" t="s">
        <v>3054</v>
      </c>
      <c r="C771">
        <v>58</v>
      </c>
      <c r="F771" t="s">
        <v>1241</v>
      </c>
      <c r="G771" t="s">
        <v>1732</v>
      </c>
      <c r="I771">
        <v>2014</v>
      </c>
      <c r="N771" t="s">
        <v>36</v>
      </c>
      <c r="P771" t="s">
        <v>60</v>
      </c>
      <c r="Q771" t="s">
        <v>900</v>
      </c>
      <c r="R771" t="s">
        <v>946</v>
      </c>
      <c r="S771" t="s">
        <v>952</v>
      </c>
      <c r="V771" t="s">
        <v>905</v>
      </c>
      <c r="Z771">
        <v>150</v>
      </c>
      <c r="AA771">
        <v>150</v>
      </c>
      <c r="AC771">
        <v>506</v>
      </c>
      <c r="AD771" s="37">
        <v>21</v>
      </c>
      <c r="AE771">
        <v>1825</v>
      </c>
      <c r="AF771" s="37">
        <v>21</v>
      </c>
      <c r="AG771" t="s">
        <v>3391</v>
      </c>
      <c r="AH771">
        <v>3.2612628687924934</v>
      </c>
      <c r="AI771" s="37">
        <v>21</v>
      </c>
      <c r="AJ771" t="s">
        <v>1811</v>
      </c>
      <c r="AK771" t="s">
        <v>69</v>
      </c>
      <c r="AM771"/>
      <c r="AN771">
        <v>79.55</v>
      </c>
      <c r="AO771">
        <v>59.890024211048697</v>
      </c>
      <c r="AP771">
        <v>58.22</v>
      </c>
      <c r="AQ771">
        <v>114.26869650083526</v>
      </c>
      <c r="AS771">
        <v>-0.312</v>
      </c>
      <c r="AT771">
        <v>2.9499999999999998E-2</v>
      </c>
      <c r="AW771" s="28">
        <f t="shared" si="60"/>
        <v>-0.23381643941784569</v>
      </c>
      <c r="AX771">
        <f t="shared" si="61"/>
        <v>0.9974811083123426</v>
      </c>
      <c r="AY771" s="62">
        <f t="shared" si="62"/>
        <v>-0.23322748113215844</v>
      </c>
      <c r="AZ771" s="68" t="str">
        <f t="shared" si="63"/>
        <v>No</v>
      </c>
      <c r="BA771" s="68" t="str">
        <f t="shared" si="64"/>
        <v>No</v>
      </c>
    </row>
    <row r="772" spans="1:53" hidden="1">
      <c r="A772" t="s">
        <v>1815</v>
      </c>
      <c r="B772" t="s">
        <v>3056</v>
      </c>
      <c r="C772">
        <v>58</v>
      </c>
      <c r="F772" t="s">
        <v>1241</v>
      </c>
      <c r="G772" t="s">
        <v>1732</v>
      </c>
      <c r="I772">
        <v>2014</v>
      </c>
      <c r="N772" t="s">
        <v>36</v>
      </c>
      <c r="P772" t="s">
        <v>60</v>
      </c>
      <c r="Q772" t="s">
        <v>900</v>
      </c>
      <c r="R772" t="s">
        <v>946</v>
      </c>
      <c r="S772" t="s">
        <v>952</v>
      </c>
      <c r="V772" t="s">
        <v>905</v>
      </c>
      <c r="Z772">
        <v>150</v>
      </c>
      <c r="AA772">
        <v>150</v>
      </c>
      <c r="AC772">
        <v>468</v>
      </c>
      <c r="AD772" s="37">
        <v>14</v>
      </c>
      <c r="AE772">
        <v>1652</v>
      </c>
      <c r="AF772" s="37">
        <v>14</v>
      </c>
      <c r="AG772" t="s">
        <v>3392</v>
      </c>
      <c r="AH772">
        <v>3.2180100429843632</v>
      </c>
      <c r="AI772" s="37">
        <v>14</v>
      </c>
      <c r="AJ772" t="s">
        <v>1811</v>
      </c>
      <c r="AK772" t="s">
        <v>69</v>
      </c>
      <c r="AM772"/>
      <c r="AN772">
        <v>76.88</v>
      </c>
      <c r="AO772">
        <v>70.790253566433847</v>
      </c>
      <c r="AP772">
        <v>59.11</v>
      </c>
      <c r="AQ772">
        <v>87.079360355941986</v>
      </c>
      <c r="AS772">
        <v>-0.26300000000000001</v>
      </c>
      <c r="AT772">
        <v>2.01E-2</v>
      </c>
      <c r="AW772" s="28">
        <f t="shared" si="60"/>
        <v>-0.22393361342814033</v>
      </c>
      <c r="AX772">
        <f t="shared" si="61"/>
        <v>0.9974811083123426</v>
      </c>
      <c r="AY772" s="62">
        <f t="shared" si="62"/>
        <v>-0.22336954891068911</v>
      </c>
      <c r="AZ772" s="68" t="str">
        <f t="shared" si="63"/>
        <v>No</v>
      </c>
      <c r="BA772" s="68" t="str">
        <f t="shared" si="64"/>
        <v>No</v>
      </c>
    </row>
    <row r="773" spans="1:53" hidden="1">
      <c r="A773" t="s">
        <v>1815</v>
      </c>
      <c r="B773" t="s">
        <v>3058</v>
      </c>
      <c r="C773">
        <v>58</v>
      </c>
      <c r="F773" t="s">
        <v>1241</v>
      </c>
      <c r="G773" t="s">
        <v>1732</v>
      </c>
      <c r="I773">
        <v>2014</v>
      </c>
      <c r="N773" t="s">
        <v>36</v>
      </c>
      <c r="P773" t="s">
        <v>60</v>
      </c>
      <c r="Q773" t="s">
        <v>900</v>
      </c>
      <c r="R773" t="s">
        <v>946</v>
      </c>
      <c r="S773" t="s">
        <v>952</v>
      </c>
      <c r="V773" t="s">
        <v>905</v>
      </c>
      <c r="Z773">
        <v>200</v>
      </c>
      <c r="AA773">
        <v>200</v>
      </c>
      <c r="AC773">
        <v>468</v>
      </c>
      <c r="AD773" s="37">
        <v>14</v>
      </c>
      <c r="AE773">
        <v>1652</v>
      </c>
      <c r="AF773" s="37">
        <v>14</v>
      </c>
      <c r="AG773" t="s">
        <v>3392</v>
      </c>
      <c r="AH773">
        <v>3.2180100429843632</v>
      </c>
      <c r="AI773" s="37">
        <v>14</v>
      </c>
      <c r="AJ773" t="s">
        <v>1813</v>
      </c>
      <c r="AK773" t="s">
        <v>69</v>
      </c>
      <c r="AM773"/>
      <c r="AN773">
        <v>97.98</v>
      </c>
      <c r="AO773">
        <v>42.850670939904781</v>
      </c>
      <c r="AP773">
        <v>78.03</v>
      </c>
      <c r="AQ773">
        <v>107.19738802788061</v>
      </c>
      <c r="AS773">
        <v>-0.22800000000000001</v>
      </c>
      <c r="AT773">
        <v>1.04E-2</v>
      </c>
      <c r="AW773" s="28">
        <f t="shared" si="60"/>
        <v>-0.24439043476488262</v>
      </c>
      <c r="AX773">
        <f t="shared" si="61"/>
        <v>0.99811439346323072</v>
      </c>
      <c r="AY773" s="62">
        <f t="shared" si="62"/>
        <v>-0.24392961056356607</v>
      </c>
      <c r="AZ773" s="68" t="str">
        <f t="shared" si="63"/>
        <v>No</v>
      </c>
      <c r="BA773" s="68" t="str">
        <f t="shared" si="64"/>
        <v>No</v>
      </c>
    </row>
    <row r="774" spans="1:53" hidden="1">
      <c r="A774" t="s">
        <v>1815</v>
      </c>
      <c r="B774" t="s">
        <v>3060</v>
      </c>
      <c r="C774">
        <v>58</v>
      </c>
      <c r="F774" t="s">
        <v>1241</v>
      </c>
      <c r="G774" t="s">
        <v>1732</v>
      </c>
      <c r="I774">
        <v>2014</v>
      </c>
      <c r="N774" t="s">
        <v>36</v>
      </c>
      <c r="P774" t="s">
        <v>60</v>
      </c>
      <c r="Q774" t="s">
        <v>900</v>
      </c>
      <c r="R774" t="s">
        <v>946</v>
      </c>
      <c r="S774" t="s">
        <v>952</v>
      </c>
      <c r="V774" t="s">
        <v>905</v>
      </c>
      <c r="Z774">
        <v>150</v>
      </c>
      <c r="AA774">
        <v>150</v>
      </c>
      <c r="AC774">
        <v>468</v>
      </c>
      <c r="AD774" s="37">
        <v>14</v>
      </c>
      <c r="AE774">
        <v>1652</v>
      </c>
      <c r="AF774" s="37">
        <v>14</v>
      </c>
      <c r="AG774" t="s">
        <v>3392</v>
      </c>
      <c r="AH774">
        <v>3.2180100429843632</v>
      </c>
      <c r="AI774" s="37">
        <v>14</v>
      </c>
      <c r="AJ774" t="s">
        <v>1790</v>
      </c>
      <c r="AK774" t="s">
        <v>904</v>
      </c>
      <c r="AM774"/>
      <c r="AN774">
        <v>6.22</v>
      </c>
      <c r="AO774">
        <v>43.478442934401407</v>
      </c>
      <c r="AP774">
        <v>23.55</v>
      </c>
      <c r="AQ774">
        <v>288.42741721271921</v>
      </c>
      <c r="AS774">
        <v>-0.20399999999999999</v>
      </c>
      <c r="AT774">
        <v>9.6299999999999997E-2</v>
      </c>
      <c r="AW774" s="28">
        <f t="shared" si="60"/>
        <v>8.4022946212480937E-2</v>
      </c>
      <c r="AX774">
        <f t="shared" si="61"/>
        <v>0.9974811083123426</v>
      </c>
      <c r="AY774" s="62">
        <f t="shared" si="62"/>
        <v>8.3811301511693831E-2</v>
      </c>
      <c r="AZ774" s="68" t="str">
        <f t="shared" si="63"/>
        <v>No</v>
      </c>
      <c r="BA774" s="68" t="str">
        <f t="shared" si="64"/>
        <v>No</v>
      </c>
    </row>
    <row r="775" spans="1:53" hidden="1">
      <c r="A775" t="s">
        <v>1815</v>
      </c>
      <c r="B775" t="s">
        <v>3061</v>
      </c>
      <c r="C775">
        <v>58</v>
      </c>
      <c r="F775" t="s">
        <v>1241</v>
      </c>
      <c r="G775" t="s">
        <v>1732</v>
      </c>
      <c r="I775">
        <v>2014</v>
      </c>
      <c r="N775" t="s">
        <v>36</v>
      </c>
      <c r="P775" t="s">
        <v>60</v>
      </c>
      <c r="Q775" t="s">
        <v>900</v>
      </c>
      <c r="R775" t="s">
        <v>946</v>
      </c>
      <c r="S775" t="s">
        <v>952</v>
      </c>
      <c r="V775" t="s">
        <v>905</v>
      </c>
      <c r="Z775">
        <v>150</v>
      </c>
      <c r="AA775">
        <v>150</v>
      </c>
      <c r="AC775">
        <v>506</v>
      </c>
      <c r="AD775" s="37">
        <v>21</v>
      </c>
      <c r="AE775">
        <v>1825</v>
      </c>
      <c r="AF775" s="37">
        <v>21</v>
      </c>
      <c r="AG775" t="s">
        <v>3391</v>
      </c>
      <c r="AH775">
        <v>3.2612628687924934</v>
      </c>
      <c r="AI775" s="37">
        <v>21</v>
      </c>
      <c r="AJ775" t="s">
        <v>1790</v>
      </c>
      <c r="AK775" t="s">
        <v>770</v>
      </c>
      <c r="AM775"/>
      <c r="AN775">
        <v>5.77</v>
      </c>
      <c r="AO775">
        <v>27.311810632032437</v>
      </c>
      <c r="AP775">
        <v>23.11</v>
      </c>
      <c r="AQ775">
        <v>283.0385397785962</v>
      </c>
      <c r="AS775">
        <v>-0.20300000000000001</v>
      </c>
      <c r="AT775">
        <v>9.0899999999999995E-2</v>
      </c>
      <c r="AW775" s="28">
        <f t="shared" si="60"/>
        <v>8.6239444506089794E-2</v>
      </c>
      <c r="AX775">
        <f t="shared" si="61"/>
        <v>0.9974811083123426</v>
      </c>
      <c r="AY775" s="62">
        <f t="shared" si="62"/>
        <v>8.6022216686175212E-2</v>
      </c>
      <c r="AZ775" s="68" t="str">
        <f t="shared" si="63"/>
        <v>No</v>
      </c>
      <c r="BA775" s="68" t="str">
        <f t="shared" si="64"/>
        <v>No</v>
      </c>
    </row>
    <row r="776" spans="1:53" hidden="1">
      <c r="A776" t="s">
        <v>1815</v>
      </c>
      <c r="B776" t="s">
        <v>3062</v>
      </c>
      <c r="C776">
        <v>58</v>
      </c>
      <c r="F776" t="s">
        <v>1241</v>
      </c>
      <c r="G776" t="s">
        <v>1732</v>
      </c>
      <c r="I776">
        <v>2014</v>
      </c>
      <c r="N776" t="s">
        <v>36</v>
      </c>
      <c r="P776" t="s">
        <v>60</v>
      </c>
      <c r="Q776" t="s">
        <v>900</v>
      </c>
      <c r="R776" t="s">
        <v>946</v>
      </c>
      <c r="S776" t="s">
        <v>952</v>
      </c>
      <c r="V776" t="s">
        <v>905</v>
      </c>
      <c r="Z776">
        <v>200</v>
      </c>
      <c r="AA776">
        <v>200</v>
      </c>
      <c r="AC776">
        <v>506</v>
      </c>
      <c r="AD776" s="37">
        <v>21</v>
      </c>
      <c r="AE776">
        <v>1825</v>
      </c>
      <c r="AF776" s="37">
        <v>21</v>
      </c>
      <c r="AG776" t="s">
        <v>3391</v>
      </c>
      <c r="AH776">
        <v>3.2612628687924934</v>
      </c>
      <c r="AI776" s="37">
        <v>21</v>
      </c>
      <c r="AJ776" t="s">
        <v>1813</v>
      </c>
      <c r="AK776" t="s">
        <v>770</v>
      </c>
      <c r="AM776"/>
      <c r="AN776">
        <v>81.94</v>
      </c>
      <c r="AO776">
        <v>42.850670939904781</v>
      </c>
      <c r="AP776">
        <v>67.42</v>
      </c>
      <c r="AQ776">
        <v>74.953318805774032</v>
      </c>
      <c r="AS776">
        <v>-0.19500000000000001</v>
      </c>
      <c r="AT776">
        <v>7.6E-3</v>
      </c>
      <c r="AW776" s="28">
        <f t="shared" si="60"/>
        <v>-0.23783823667050352</v>
      </c>
      <c r="AX776">
        <f t="shared" si="61"/>
        <v>0.99811439346323072</v>
      </c>
      <c r="AY776" s="62">
        <f t="shared" si="62"/>
        <v>-0.23738976733674394</v>
      </c>
      <c r="AZ776" s="68" t="str">
        <f t="shared" si="63"/>
        <v>No</v>
      </c>
      <c r="BA776" s="68" t="str">
        <f t="shared" si="64"/>
        <v>No</v>
      </c>
    </row>
    <row r="777" spans="1:53" hidden="1">
      <c r="A777" t="s">
        <v>1815</v>
      </c>
      <c r="B777" t="s">
        <v>3064</v>
      </c>
      <c r="C777">
        <v>58</v>
      </c>
      <c r="F777" t="s">
        <v>1241</v>
      </c>
      <c r="G777" t="s">
        <v>1732</v>
      </c>
      <c r="I777">
        <v>2014</v>
      </c>
      <c r="N777" t="s">
        <v>36</v>
      </c>
      <c r="P777" t="s">
        <v>60</v>
      </c>
      <c r="Q777" t="s">
        <v>900</v>
      </c>
      <c r="R777" t="s">
        <v>946</v>
      </c>
      <c r="S777" t="s">
        <v>952</v>
      </c>
      <c r="V777" t="s">
        <v>905</v>
      </c>
      <c r="Z777">
        <v>150</v>
      </c>
      <c r="AA777">
        <v>150</v>
      </c>
      <c r="AC777">
        <v>468</v>
      </c>
      <c r="AD777" s="37">
        <v>14</v>
      </c>
      <c r="AE777">
        <v>6238</v>
      </c>
      <c r="AF777" s="37">
        <v>14</v>
      </c>
      <c r="AG777" t="s">
        <v>3392</v>
      </c>
      <c r="AH777">
        <v>3.7950453704211249</v>
      </c>
      <c r="AI777" s="37">
        <v>14</v>
      </c>
      <c r="AJ777" t="s">
        <v>1790</v>
      </c>
      <c r="AK777" t="s">
        <v>770</v>
      </c>
      <c r="AM777"/>
      <c r="AN777">
        <v>6.22</v>
      </c>
      <c r="AO777">
        <v>43.478442934401407</v>
      </c>
      <c r="AP777">
        <v>21.77</v>
      </c>
      <c r="AQ777">
        <v>266.62695850194893</v>
      </c>
      <c r="AS777">
        <v>-0.18099999999999999</v>
      </c>
      <c r="AT777">
        <v>7.8899999999999998E-2</v>
      </c>
      <c r="AW777" s="28">
        <f t="shared" si="60"/>
        <v>8.1403399010877842E-2</v>
      </c>
      <c r="AX777">
        <f t="shared" si="61"/>
        <v>0.9974811083123426</v>
      </c>
      <c r="AY777" s="62">
        <f t="shared" si="62"/>
        <v>8.119835266576228E-2</v>
      </c>
      <c r="AZ777" s="68" t="str">
        <f t="shared" si="63"/>
        <v>No</v>
      </c>
      <c r="BA777" s="68" t="str">
        <f t="shared" si="64"/>
        <v>No</v>
      </c>
    </row>
    <row r="778" spans="1:53" hidden="1">
      <c r="A778" t="s">
        <v>1815</v>
      </c>
      <c r="B778" t="s">
        <v>3068</v>
      </c>
      <c r="C778">
        <v>58</v>
      </c>
      <c r="F778" t="s">
        <v>1241</v>
      </c>
      <c r="G778" t="s">
        <v>1732</v>
      </c>
      <c r="I778">
        <v>2014</v>
      </c>
      <c r="N778" t="s">
        <v>36</v>
      </c>
      <c r="P778" t="s">
        <v>60</v>
      </c>
      <c r="Q778" t="s">
        <v>900</v>
      </c>
      <c r="R778" t="s">
        <v>946</v>
      </c>
      <c r="S778" t="s">
        <v>952</v>
      </c>
      <c r="V778" t="s">
        <v>905</v>
      </c>
      <c r="Z778">
        <v>200</v>
      </c>
      <c r="AA778">
        <v>200</v>
      </c>
      <c r="AC778">
        <v>506</v>
      </c>
      <c r="AD778" s="37">
        <v>21</v>
      </c>
      <c r="AE778">
        <v>1109</v>
      </c>
      <c r="AF778" s="37">
        <v>21</v>
      </c>
      <c r="AG778" t="s">
        <v>3391</v>
      </c>
      <c r="AH778">
        <v>3.0449315461491602</v>
      </c>
      <c r="AI778" s="37">
        <v>21</v>
      </c>
      <c r="AJ778" t="s">
        <v>1812</v>
      </c>
      <c r="AK778" t="s">
        <v>59</v>
      </c>
      <c r="AM778"/>
      <c r="AN778">
        <v>80.989999999999995</v>
      </c>
      <c r="AO778">
        <v>69.8621499812309</v>
      </c>
      <c r="AP778">
        <v>70.22</v>
      </c>
      <c r="AQ778">
        <v>82.448650686351442</v>
      </c>
      <c r="AS778">
        <v>-0.14299999999999999</v>
      </c>
      <c r="AT778">
        <v>1.06E-2</v>
      </c>
      <c r="AW778" s="28">
        <f t="shared" si="60"/>
        <v>-0.14094094159407752</v>
      </c>
      <c r="AX778">
        <f t="shared" si="61"/>
        <v>0.99811439346323072</v>
      </c>
      <c r="AY778" s="62">
        <f t="shared" si="62"/>
        <v>-0.14067518243330931</v>
      </c>
      <c r="AZ778" s="68" t="str">
        <f t="shared" si="63"/>
        <v>No</v>
      </c>
      <c r="BA778" s="68" t="str">
        <f t="shared" si="64"/>
        <v>No</v>
      </c>
    </row>
    <row r="779" spans="1:53" hidden="1">
      <c r="A779" t="s">
        <v>1815</v>
      </c>
      <c r="B779" t="s">
        <v>3071</v>
      </c>
      <c r="C779">
        <v>58</v>
      </c>
      <c r="F779" t="s">
        <v>1241</v>
      </c>
      <c r="G779" t="s">
        <v>1732</v>
      </c>
      <c r="I779">
        <v>2014</v>
      </c>
      <c r="N779" t="s">
        <v>36</v>
      </c>
      <c r="P779" t="s">
        <v>60</v>
      </c>
      <c r="Q779" t="s">
        <v>900</v>
      </c>
      <c r="R779" t="s">
        <v>946</v>
      </c>
      <c r="S779" t="s">
        <v>952</v>
      </c>
      <c r="V779" t="s">
        <v>905</v>
      </c>
      <c r="Z779">
        <v>150</v>
      </c>
      <c r="AA779">
        <v>150</v>
      </c>
      <c r="AC779">
        <v>468</v>
      </c>
      <c r="AD779" s="37">
        <v>14</v>
      </c>
      <c r="AE779">
        <v>1011</v>
      </c>
      <c r="AF779" s="37">
        <v>14</v>
      </c>
      <c r="AG779" t="s">
        <v>3392</v>
      </c>
      <c r="AH779">
        <v>3.0047511555910011</v>
      </c>
      <c r="AI779" s="37">
        <v>14</v>
      </c>
      <c r="AJ779" t="s">
        <v>1811</v>
      </c>
      <c r="AK779" t="s">
        <v>59</v>
      </c>
      <c r="AM779"/>
      <c r="AN779">
        <v>76.88</v>
      </c>
      <c r="AO779">
        <v>70.790253566433847</v>
      </c>
      <c r="AP779">
        <v>68.44</v>
      </c>
      <c r="AQ779">
        <v>87.079360355941986</v>
      </c>
      <c r="AS779">
        <v>-0.11600000000000001</v>
      </c>
      <c r="AT779">
        <v>1.6400000000000001E-2</v>
      </c>
      <c r="AW779" s="28">
        <f t="shared" si="60"/>
        <v>-0.10635901504409141</v>
      </c>
      <c r="AX779">
        <f t="shared" si="61"/>
        <v>0.9974811083123426</v>
      </c>
      <c r="AY779" s="62">
        <f t="shared" si="62"/>
        <v>-0.10609110820518942</v>
      </c>
      <c r="AZ779" s="68" t="str">
        <f t="shared" si="63"/>
        <v>No</v>
      </c>
      <c r="BA779" s="68" t="str">
        <f t="shared" si="64"/>
        <v>No</v>
      </c>
    </row>
    <row r="780" spans="1:53" hidden="1">
      <c r="A780" t="s">
        <v>1815</v>
      </c>
      <c r="B780" t="s">
        <v>3072</v>
      </c>
      <c r="C780">
        <v>58</v>
      </c>
      <c r="F780" t="s">
        <v>1241</v>
      </c>
      <c r="G780" t="s">
        <v>1732</v>
      </c>
      <c r="I780">
        <v>2014</v>
      </c>
      <c r="N780" t="s">
        <v>36</v>
      </c>
      <c r="P780" t="s">
        <v>60</v>
      </c>
      <c r="Q780" t="s">
        <v>900</v>
      </c>
      <c r="R780" t="s">
        <v>946</v>
      </c>
      <c r="S780" t="s">
        <v>952</v>
      </c>
      <c r="V780" t="s">
        <v>905</v>
      </c>
      <c r="Z780">
        <v>200</v>
      </c>
      <c r="AA780">
        <v>200</v>
      </c>
      <c r="AC780">
        <v>468</v>
      </c>
      <c r="AD780" s="37">
        <v>14</v>
      </c>
      <c r="AE780">
        <v>1011</v>
      </c>
      <c r="AF780" s="37">
        <v>14</v>
      </c>
      <c r="AG780" t="s">
        <v>3392</v>
      </c>
      <c r="AH780">
        <v>3.0047511555910011</v>
      </c>
      <c r="AI780" s="37">
        <v>14</v>
      </c>
      <c r="AJ780" t="s">
        <v>1812</v>
      </c>
      <c r="AK780" t="s">
        <v>770</v>
      </c>
      <c r="AM780"/>
      <c r="AN780">
        <v>36.25</v>
      </c>
      <c r="AO780">
        <v>75.236161518248664</v>
      </c>
      <c r="AP780">
        <v>32.700000000000003</v>
      </c>
      <c r="AQ780">
        <v>71.700627612315927</v>
      </c>
      <c r="AS780">
        <v>-0.10299999999999999</v>
      </c>
      <c r="AT780">
        <v>4.5600000000000002E-2</v>
      </c>
      <c r="AW780" s="28">
        <f t="shared" si="60"/>
        <v>-4.8306116012946383E-2</v>
      </c>
      <c r="AX780">
        <f t="shared" si="61"/>
        <v>0.99811439346323072</v>
      </c>
      <c r="AY780" s="62">
        <f t="shared" si="62"/>
        <v>-4.8215029684826438E-2</v>
      </c>
      <c r="AZ780" s="68" t="str">
        <f t="shared" si="63"/>
        <v>No</v>
      </c>
      <c r="BA780" s="68" t="str">
        <f t="shared" si="64"/>
        <v>No</v>
      </c>
    </row>
    <row r="781" spans="1:53" hidden="1">
      <c r="A781" t="s">
        <v>1815</v>
      </c>
      <c r="B781" t="s">
        <v>3073</v>
      </c>
      <c r="C781">
        <v>58</v>
      </c>
      <c r="F781" t="s">
        <v>1241</v>
      </c>
      <c r="G781" t="s">
        <v>1732</v>
      </c>
      <c r="I781">
        <v>2014</v>
      </c>
      <c r="N781" t="s">
        <v>36</v>
      </c>
      <c r="P781" t="s">
        <v>60</v>
      </c>
      <c r="Q781" t="s">
        <v>900</v>
      </c>
      <c r="R781" t="s">
        <v>946</v>
      </c>
      <c r="S781" t="s">
        <v>952</v>
      </c>
      <c r="V781" t="s">
        <v>905</v>
      </c>
      <c r="Z781">
        <v>150</v>
      </c>
      <c r="AA781">
        <v>150</v>
      </c>
      <c r="AC781">
        <v>506</v>
      </c>
      <c r="AD781" s="37">
        <v>21</v>
      </c>
      <c r="AE781">
        <v>1109</v>
      </c>
      <c r="AF781" s="37">
        <v>21</v>
      </c>
      <c r="AG781" t="s">
        <v>3391</v>
      </c>
      <c r="AH781">
        <v>3.0449315461491602</v>
      </c>
      <c r="AI781" s="37">
        <v>21</v>
      </c>
      <c r="AJ781" t="s">
        <v>1811</v>
      </c>
      <c r="AK781" t="s">
        <v>770</v>
      </c>
      <c r="AM781"/>
      <c r="AN781">
        <v>79.55</v>
      </c>
      <c r="AO781">
        <v>59.890024211048697</v>
      </c>
      <c r="AP781">
        <v>72.44</v>
      </c>
      <c r="AQ781">
        <v>87.079360355941986</v>
      </c>
      <c r="AS781">
        <v>-9.4E-2</v>
      </c>
      <c r="AT781">
        <v>1.34E-2</v>
      </c>
      <c r="AW781" s="28">
        <f t="shared" si="60"/>
        <v>-9.5140450825387579E-2</v>
      </c>
      <c r="AX781">
        <f t="shared" si="61"/>
        <v>0.9974811083123426</v>
      </c>
      <c r="AY781" s="62">
        <f t="shared" si="62"/>
        <v>-9.4900802334643528E-2</v>
      </c>
      <c r="AZ781" s="68" t="str">
        <f t="shared" si="63"/>
        <v>No</v>
      </c>
      <c r="BA781" s="68" t="str">
        <f t="shared" si="64"/>
        <v>No</v>
      </c>
    </row>
    <row r="782" spans="1:53" hidden="1">
      <c r="A782" t="s">
        <v>1815</v>
      </c>
      <c r="B782" t="s">
        <v>3074</v>
      </c>
      <c r="C782">
        <v>58</v>
      </c>
      <c r="F782" t="s">
        <v>1241</v>
      </c>
      <c r="G782" t="s">
        <v>1732</v>
      </c>
      <c r="I782">
        <v>2014</v>
      </c>
      <c r="N782" t="s">
        <v>36</v>
      </c>
      <c r="P782" t="s">
        <v>60</v>
      </c>
      <c r="Q782" t="s">
        <v>900</v>
      </c>
      <c r="R782" t="s">
        <v>946</v>
      </c>
      <c r="S782" t="s">
        <v>952</v>
      </c>
      <c r="V782" t="s">
        <v>905</v>
      </c>
      <c r="Z782">
        <v>150</v>
      </c>
      <c r="AA782">
        <v>150</v>
      </c>
      <c r="AC782">
        <v>468</v>
      </c>
      <c r="AD782" s="37">
        <v>14</v>
      </c>
      <c r="AE782">
        <v>1011</v>
      </c>
      <c r="AF782" s="37">
        <v>14</v>
      </c>
      <c r="AG782" t="s">
        <v>3392</v>
      </c>
      <c r="AH782">
        <v>3.0047511555910011</v>
      </c>
      <c r="AI782" s="37">
        <v>14</v>
      </c>
      <c r="AJ782" t="s">
        <v>1790</v>
      </c>
      <c r="AK782" t="s">
        <v>770</v>
      </c>
      <c r="AM782"/>
      <c r="AN782">
        <v>6.22</v>
      </c>
      <c r="AO782">
        <v>43.478442934401407</v>
      </c>
      <c r="AP782">
        <v>14.22</v>
      </c>
      <c r="AQ782">
        <v>174.15872071188397</v>
      </c>
      <c r="AS782">
        <v>-8.8999999999999996E-2</v>
      </c>
      <c r="AT782">
        <v>2.8899999999999999E-2</v>
      </c>
      <c r="AW782" s="28">
        <f t="shared" si="60"/>
        <v>6.302766208768712E-2</v>
      </c>
      <c r="AX782">
        <f t="shared" si="61"/>
        <v>0.9974811083123426</v>
      </c>
      <c r="AY782" s="62">
        <f t="shared" si="62"/>
        <v>6.2868902233561966E-2</v>
      </c>
      <c r="AZ782" s="68" t="str">
        <f t="shared" si="63"/>
        <v>No</v>
      </c>
      <c r="BA782" s="68" t="str">
        <f t="shared" si="64"/>
        <v>No</v>
      </c>
    </row>
    <row r="783" spans="1:53" hidden="1">
      <c r="A783" t="s">
        <v>1815</v>
      </c>
      <c r="B783" t="s">
        <v>3076</v>
      </c>
      <c r="C783">
        <v>58</v>
      </c>
      <c r="F783" t="s">
        <v>1241</v>
      </c>
      <c r="G783" t="s">
        <v>1732</v>
      </c>
      <c r="I783">
        <v>2014</v>
      </c>
      <c r="N783" t="s">
        <v>36</v>
      </c>
      <c r="P783" t="s">
        <v>60</v>
      </c>
      <c r="Q783" t="s">
        <v>900</v>
      </c>
      <c r="R783" t="s">
        <v>946</v>
      </c>
      <c r="S783" t="s">
        <v>952</v>
      </c>
      <c r="V783" t="s">
        <v>905</v>
      </c>
      <c r="Z783">
        <v>150</v>
      </c>
      <c r="AA783">
        <v>150</v>
      </c>
      <c r="AC783">
        <v>506</v>
      </c>
      <c r="AD783" s="37">
        <v>21</v>
      </c>
      <c r="AE783">
        <v>1109</v>
      </c>
      <c r="AF783" s="37">
        <v>21</v>
      </c>
      <c r="AG783" t="s">
        <v>3391</v>
      </c>
      <c r="AH783">
        <v>3.0449315461491602</v>
      </c>
      <c r="AI783" s="37">
        <v>21</v>
      </c>
      <c r="AJ783" t="s">
        <v>1790</v>
      </c>
      <c r="AK783" t="s">
        <v>59</v>
      </c>
      <c r="AM783"/>
      <c r="AN783">
        <v>5.77</v>
      </c>
      <c r="AO783">
        <v>27.311810632032437</v>
      </c>
      <c r="AP783">
        <v>13.33</v>
      </c>
      <c r="AQ783">
        <v>163.25849135649881</v>
      </c>
      <c r="AS783">
        <v>-8.4000000000000005E-2</v>
      </c>
      <c r="AT783">
        <v>2.4199999999999999E-2</v>
      </c>
      <c r="AW783" s="28">
        <f t="shared" si="60"/>
        <v>6.4590299347339328E-2</v>
      </c>
      <c r="AX783">
        <f t="shared" si="61"/>
        <v>0.9974811083123426</v>
      </c>
      <c r="AY783" s="62">
        <f t="shared" si="62"/>
        <v>6.4427603379210011E-2</v>
      </c>
      <c r="AZ783" s="68" t="str">
        <f t="shared" si="63"/>
        <v>No</v>
      </c>
      <c r="BA783" s="68" t="str">
        <f t="shared" si="64"/>
        <v>No</v>
      </c>
    </row>
    <row r="784" spans="1:53" hidden="1">
      <c r="A784" t="s">
        <v>1815</v>
      </c>
      <c r="B784" t="s">
        <v>3080</v>
      </c>
      <c r="C784">
        <v>58</v>
      </c>
      <c r="F784" t="s">
        <v>1241</v>
      </c>
      <c r="G784" t="s">
        <v>1732</v>
      </c>
      <c r="I784">
        <v>2014</v>
      </c>
      <c r="N784" t="s">
        <v>36</v>
      </c>
      <c r="P784" t="s">
        <v>60</v>
      </c>
      <c r="Q784" t="s">
        <v>900</v>
      </c>
      <c r="R784" t="s">
        <v>946</v>
      </c>
      <c r="S784" t="s">
        <v>952</v>
      </c>
      <c r="V784" t="s">
        <v>905</v>
      </c>
      <c r="Z784">
        <v>200</v>
      </c>
      <c r="AA784">
        <v>200</v>
      </c>
      <c r="AC784">
        <v>468</v>
      </c>
      <c r="AD784" s="37">
        <v>14</v>
      </c>
      <c r="AE784">
        <v>1011</v>
      </c>
      <c r="AF784" s="37">
        <v>14</v>
      </c>
      <c r="AG784" t="s">
        <v>3392</v>
      </c>
      <c r="AH784">
        <v>3.0047511555910011</v>
      </c>
      <c r="AI784" s="37">
        <v>14</v>
      </c>
      <c r="AJ784" t="s">
        <v>1813</v>
      </c>
      <c r="AK784" t="s">
        <v>59</v>
      </c>
      <c r="AM784"/>
      <c r="AN784">
        <v>97.98</v>
      </c>
      <c r="AO784">
        <v>42.850670939904781</v>
      </c>
      <c r="AP784">
        <v>95.45</v>
      </c>
      <c r="AQ784">
        <v>48.224682476922546</v>
      </c>
      <c r="AS784">
        <v>-2.5999999999999999E-2</v>
      </c>
      <c r="AT784">
        <v>2.2000000000000001E-3</v>
      </c>
      <c r="AW784" s="28">
        <f t="shared" si="60"/>
        <v>-5.546192204533535E-2</v>
      </c>
      <c r="AX784">
        <f t="shared" si="61"/>
        <v>0.99811439346323072</v>
      </c>
      <c r="AY784" s="62">
        <f t="shared" si="62"/>
        <v>-5.5357342682584874E-2</v>
      </c>
      <c r="AZ784" s="68" t="str">
        <f t="shared" si="63"/>
        <v>No</v>
      </c>
      <c r="BA784" s="68" t="str">
        <f t="shared" si="64"/>
        <v>No</v>
      </c>
    </row>
    <row r="785" spans="1:53" hidden="1">
      <c r="A785" t="s">
        <v>1815</v>
      </c>
      <c r="B785" t="s">
        <v>3081</v>
      </c>
      <c r="C785">
        <v>58</v>
      </c>
      <c r="F785" t="s">
        <v>1241</v>
      </c>
      <c r="G785" t="s">
        <v>1732</v>
      </c>
      <c r="I785">
        <v>2014</v>
      </c>
      <c r="N785" t="s">
        <v>36</v>
      </c>
      <c r="P785" t="s">
        <v>60</v>
      </c>
      <c r="Q785" t="s">
        <v>900</v>
      </c>
      <c r="R785" t="s">
        <v>946</v>
      </c>
      <c r="S785" t="s">
        <v>952</v>
      </c>
      <c r="V785" t="s">
        <v>905</v>
      </c>
      <c r="Z785">
        <v>200</v>
      </c>
      <c r="AA785">
        <v>200</v>
      </c>
      <c r="AC785">
        <v>506</v>
      </c>
      <c r="AD785" s="37">
        <v>21</v>
      </c>
      <c r="AE785">
        <v>1109</v>
      </c>
      <c r="AF785" s="37">
        <v>21</v>
      </c>
      <c r="AG785" t="s">
        <v>3391</v>
      </c>
      <c r="AH785">
        <v>3.0449315461491602</v>
      </c>
      <c r="AI785" s="37">
        <v>21</v>
      </c>
      <c r="AJ785" t="s">
        <v>1813</v>
      </c>
      <c r="AK785" t="s">
        <v>69</v>
      </c>
      <c r="AM785"/>
      <c r="AN785">
        <v>81.94</v>
      </c>
      <c r="AO785">
        <v>42.850670939904781</v>
      </c>
      <c r="AP785">
        <v>80.180000000000007</v>
      </c>
      <c r="AQ785">
        <v>51.760216382855283</v>
      </c>
      <c r="AS785">
        <v>-2.1999999999999999E-2</v>
      </c>
      <c r="AT785">
        <v>3.5000000000000001E-3</v>
      </c>
      <c r="AW785" s="28">
        <f t="shared" si="60"/>
        <v>-3.7041141372625937E-2</v>
      </c>
      <c r="AX785">
        <f t="shared" si="61"/>
        <v>0.99811439346323072</v>
      </c>
      <c r="AY785" s="62">
        <f t="shared" si="62"/>
        <v>-3.6971296354324321E-2</v>
      </c>
      <c r="AZ785" s="68" t="str">
        <f t="shared" si="63"/>
        <v>No</v>
      </c>
      <c r="BA785" s="68" t="str">
        <f t="shared" si="64"/>
        <v>No</v>
      </c>
    </row>
    <row r="786" spans="1:53" hidden="1">
      <c r="A786" t="s">
        <v>1815</v>
      </c>
      <c r="B786" t="s">
        <v>3077</v>
      </c>
      <c r="C786">
        <v>58</v>
      </c>
      <c r="F786" t="s">
        <v>1241</v>
      </c>
      <c r="G786" t="s">
        <v>1732</v>
      </c>
      <c r="I786">
        <v>2014</v>
      </c>
      <c r="N786" t="s">
        <v>36</v>
      </c>
      <c r="P786" t="s">
        <v>60</v>
      </c>
      <c r="Q786" t="s">
        <v>900</v>
      </c>
      <c r="R786" t="s">
        <v>946</v>
      </c>
      <c r="S786" t="s">
        <v>952</v>
      </c>
      <c r="V786" t="s">
        <v>907</v>
      </c>
      <c r="Z786">
        <v>150</v>
      </c>
      <c r="AA786">
        <v>150</v>
      </c>
      <c r="AC786">
        <v>506</v>
      </c>
      <c r="AD786" s="37">
        <v>21</v>
      </c>
      <c r="AE786">
        <v>511</v>
      </c>
      <c r="AF786" s="37">
        <v>24</v>
      </c>
      <c r="AG786" t="s">
        <v>3391</v>
      </c>
      <c r="AH786">
        <v>2.7084209001347128</v>
      </c>
      <c r="AI786" s="37">
        <v>21</v>
      </c>
      <c r="AJ786" t="s">
        <v>1790</v>
      </c>
      <c r="AK786" t="s">
        <v>59</v>
      </c>
      <c r="AM786"/>
      <c r="AN786">
        <v>5.77</v>
      </c>
      <c r="AO786">
        <v>27.311810632032437</v>
      </c>
      <c r="AP786">
        <v>12.44</v>
      </c>
      <c r="AQ786">
        <v>152.35826200111367</v>
      </c>
      <c r="AS786">
        <v>-7.2999999999999995E-2</v>
      </c>
      <c r="AT786">
        <v>2.07E-2</v>
      </c>
      <c r="AW786" s="28">
        <f t="shared" si="60"/>
        <v>6.0940598421019038E-2</v>
      </c>
      <c r="AX786">
        <f t="shared" si="61"/>
        <v>0.9974811083123426</v>
      </c>
      <c r="AY786" s="62">
        <f t="shared" si="62"/>
        <v>6.0787095654215466E-2</v>
      </c>
      <c r="AZ786" s="68" t="str">
        <f t="shared" si="63"/>
        <v>No</v>
      </c>
      <c r="BA786" s="68" t="str">
        <f t="shared" si="64"/>
        <v>No</v>
      </c>
    </row>
    <row r="787" spans="1:53" hidden="1">
      <c r="A787" t="s">
        <v>1815</v>
      </c>
      <c r="B787" t="s">
        <v>3079</v>
      </c>
      <c r="C787">
        <v>58</v>
      </c>
      <c r="F787" t="s">
        <v>1241</v>
      </c>
      <c r="G787" t="s">
        <v>1732</v>
      </c>
      <c r="I787">
        <v>2014</v>
      </c>
      <c r="N787" t="s">
        <v>36</v>
      </c>
      <c r="P787" t="s">
        <v>60</v>
      </c>
      <c r="Q787" t="s">
        <v>900</v>
      </c>
      <c r="R787" t="s">
        <v>946</v>
      </c>
      <c r="S787" t="s">
        <v>952</v>
      </c>
      <c r="V787" t="s">
        <v>907</v>
      </c>
      <c r="Z787">
        <v>150</v>
      </c>
      <c r="AA787">
        <v>150</v>
      </c>
      <c r="AC787">
        <v>468</v>
      </c>
      <c r="AD787" s="37">
        <v>14</v>
      </c>
      <c r="AE787">
        <v>478</v>
      </c>
      <c r="AF787" s="37">
        <v>17</v>
      </c>
      <c r="AG787" t="s">
        <v>3392</v>
      </c>
      <c r="AH787">
        <v>2.6794278966121188</v>
      </c>
      <c r="AI787" s="37">
        <v>14</v>
      </c>
      <c r="AJ787" t="s">
        <v>1790</v>
      </c>
      <c r="AK787" t="s">
        <v>59</v>
      </c>
      <c r="AM787"/>
      <c r="AN787">
        <v>6.22</v>
      </c>
      <c r="AO787">
        <v>43.478442934401407</v>
      </c>
      <c r="AP787">
        <v>9.33</v>
      </c>
      <c r="AQ787">
        <v>114.26869650083526</v>
      </c>
      <c r="AS787">
        <v>-3.4000000000000002E-2</v>
      </c>
      <c r="AT787">
        <v>1.2E-2</v>
      </c>
      <c r="AW787" s="28">
        <f t="shared" si="60"/>
        <v>3.597394406886395E-2</v>
      </c>
      <c r="AX787">
        <f t="shared" si="61"/>
        <v>0.9974811083123426</v>
      </c>
      <c r="AY787" s="62">
        <f t="shared" si="62"/>
        <v>3.5883329600176636E-2</v>
      </c>
      <c r="AZ787" s="68" t="str">
        <f t="shared" si="63"/>
        <v>No</v>
      </c>
      <c r="BA787" s="68" t="str">
        <f t="shared" si="64"/>
        <v>No</v>
      </c>
    </row>
    <row r="788" spans="1:53" hidden="1">
      <c r="A788" t="s">
        <v>1815</v>
      </c>
      <c r="B788" t="s">
        <v>3084</v>
      </c>
      <c r="C788">
        <v>58</v>
      </c>
      <c r="F788" t="s">
        <v>1241</v>
      </c>
      <c r="G788" t="s">
        <v>1732</v>
      </c>
      <c r="I788">
        <v>2014</v>
      </c>
      <c r="N788" t="s">
        <v>36</v>
      </c>
      <c r="P788" t="s">
        <v>60</v>
      </c>
      <c r="Q788" t="s">
        <v>900</v>
      </c>
      <c r="R788" t="s">
        <v>946</v>
      </c>
      <c r="S788" t="s">
        <v>952</v>
      </c>
      <c r="V788" t="s">
        <v>907</v>
      </c>
      <c r="Z788">
        <v>200</v>
      </c>
      <c r="AA788">
        <v>200</v>
      </c>
      <c r="AC788">
        <v>468</v>
      </c>
      <c r="AD788" s="37">
        <v>14</v>
      </c>
      <c r="AE788">
        <v>478</v>
      </c>
      <c r="AF788" s="37">
        <v>17</v>
      </c>
      <c r="AG788" t="s">
        <v>3392</v>
      </c>
      <c r="AH788">
        <v>2.6794278966121188</v>
      </c>
      <c r="AI788" s="37">
        <v>14</v>
      </c>
      <c r="AJ788" t="s">
        <v>1813</v>
      </c>
      <c r="AK788" t="s">
        <v>59</v>
      </c>
      <c r="AM788"/>
      <c r="AN788">
        <v>97.98</v>
      </c>
      <c r="AO788">
        <v>42.850670939904781</v>
      </c>
      <c r="AP788">
        <v>97.22</v>
      </c>
      <c r="AQ788">
        <v>26.728636328851497</v>
      </c>
      <c r="AS788">
        <v>-8.0000000000000002E-3</v>
      </c>
      <c r="AT788">
        <v>1.2999999999999999E-3</v>
      </c>
      <c r="AW788" s="28">
        <f t="shared" si="60"/>
        <v>-2.128175368875905E-2</v>
      </c>
      <c r="AX788">
        <f t="shared" si="61"/>
        <v>0.99811439346323072</v>
      </c>
      <c r="AY788" s="62">
        <f t="shared" si="62"/>
        <v>-2.1241624674889614E-2</v>
      </c>
      <c r="AZ788" s="68" t="str">
        <f t="shared" si="63"/>
        <v>No</v>
      </c>
      <c r="BA788" s="68" t="str">
        <f t="shared" si="64"/>
        <v>No</v>
      </c>
    </row>
    <row r="789" spans="1:53" hidden="1">
      <c r="A789" t="s">
        <v>1815</v>
      </c>
      <c r="B789" t="s">
        <v>3085</v>
      </c>
      <c r="C789">
        <v>58</v>
      </c>
      <c r="F789" t="s">
        <v>1241</v>
      </c>
      <c r="G789" t="s">
        <v>1732</v>
      </c>
      <c r="I789">
        <v>2014</v>
      </c>
      <c r="N789" t="s">
        <v>36</v>
      </c>
      <c r="P789" t="s">
        <v>60</v>
      </c>
      <c r="Q789" t="s">
        <v>900</v>
      </c>
      <c r="R789" t="s">
        <v>946</v>
      </c>
      <c r="S789" t="s">
        <v>952</v>
      </c>
      <c r="V789" t="s">
        <v>907</v>
      </c>
      <c r="Z789">
        <v>200</v>
      </c>
      <c r="AA789">
        <v>200</v>
      </c>
      <c r="AC789">
        <v>506</v>
      </c>
      <c r="AD789" s="37">
        <v>21</v>
      </c>
      <c r="AE789">
        <v>511</v>
      </c>
      <c r="AF789" s="37">
        <v>24</v>
      </c>
      <c r="AG789" t="s">
        <v>3391</v>
      </c>
      <c r="AH789">
        <v>2.7084209001347128</v>
      </c>
      <c r="AI789" s="37">
        <v>21</v>
      </c>
      <c r="AJ789" t="s">
        <v>1812</v>
      </c>
      <c r="AK789" t="s">
        <v>69</v>
      </c>
      <c r="AM789"/>
      <c r="AN789">
        <v>80.989999999999995</v>
      </c>
      <c r="AO789">
        <v>69.8621499812309</v>
      </c>
      <c r="AP789">
        <v>80.989999999999995</v>
      </c>
      <c r="AQ789">
        <v>34.082546853191594</v>
      </c>
      <c r="AS789">
        <v>0</v>
      </c>
      <c r="AT789">
        <v>4.5999999999999999E-3</v>
      </c>
      <c r="AW789" s="28">
        <f t="shared" si="60"/>
        <v>0</v>
      </c>
      <c r="AX789">
        <f t="shared" si="61"/>
        <v>0.99811439346323072</v>
      </c>
      <c r="AY789" s="62">
        <f t="shared" si="62"/>
        <v>0</v>
      </c>
      <c r="AZ789" s="68" t="str">
        <f t="shared" si="63"/>
        <v>No</v>
      </c>
      <c r="BA789" s="68" t="str">
        <f t="shared" si="64"/>
        <v>No</v>
      </c>
    </row>
    <row r="790" spans="1:53" hidden="1">
      <c r="A790" t="s">
        <v>1815</v>
      </c>
      <c r="B790" t="s">
        <v>3086</v>
      </c>
      <c r="C790">
        <v>58</v>
      </c>
      <c r="F790" t="s">
        <v>1241</v>
      </c>
      <c r="G790" t="s">
        <v>1732</v>
      </c>
      <c r="I790">
        <v>2014</v>
      </c>
      <c r="N790" t="s">
        <v>36</v>
      </c>
      <c r="P790" t="s">
        <v>60</v>
      </c>
      <c r="Q790" t="s">
        <v>900</v>
      </c>
      <c r="R790" t="s">
        <v>946</v>
      </c>
      <c r="S790" t="s">
        <v>952</v>
      </c>
      <c r="V790" t="s">
        <v>907</v>
      </c>
      <c r="Z790">
        <v>150</v>
      </c>
      <c r="AA790">
        <v>150</v>
      </c>
      <c r="AC790">
        <v>506</v>
      </c>
      <c r="AD790" s="37">
        <v>21</v>
      </c>
      <c r="AE790">
        <v>511</v>
      </c>
      <c r="AF790" s="37">
        <v>24</v>
      </c>
      <c r="AG790" t="s">
        <v>3391</v>
      </c>
      <c r="AH790">
        <v>2.7084209001347128</v>
      </c>
      <c r="AI790" s="37">
        <v>21</v>
      </c>
      <c r="AJ790" t="s">
        <v>1811</v>
      </c>
      <c r="AK790" t="s">
        <v>59</v>
      </c>
      <c r="AM790"/>
      <c r="AN790">
        <v>79.55</v>
      </c>
      <c r="AO790">
        <v>59.890024211048697</v>
      </c>
      <c r="AP790">
        <v>82.66</v>
      </c>
      <c r="AQ790">
        <v>38.089565500278418</v>
      </c>
      <c r="AS790">
        <v>3.7999999999999999E-2</v>
      </c>
      <c r="AT790">
        <v>5.1999999999999998E-3</v>
      </c>
      <c r="AW790" s="28">
        <f t="shared" si="60"/>
        <v>6.1967254312191196E-2</v>
      </c>
      <c r="AX790">
        <f t="shared" si="61"/>
        <v>0.9974811083123426</v>
      </c>
      <c r="AY790" s="62">
        <f t="shared" si="62"/>
        <v>6.1811165510397267E-2</v>
      </c>
      <c r="AZ790" s="68" t="str">
        <f t="shared" si="63"/>
        <v>No</v>
      </c>
      <c r="BA790" s="68" t="str">
        <f t="shared" si="64"/>
        <v>No</v>
      </c>
    </row>
    <row r="791" spans="1:53" hidden="1">
      <c r="A791" t="s">
        <v>1815</v>
      </c>
      <c r="B791" t="s">
        <v>3087</v>
      </c>
      <c r="C791">
        <v>58</v>
      </c>
      <c r="F791" t="s">
        <v>1241</v>
      </c>
      <c r="G791" t="s">
        <v>1732</v>
      </c>
      <c r="I791">
        <v>2013</v>
      </c>
      <c r="N791" t="s">
        <v>36</v>
      </c>
      <c r="P791" t="s">
        <v>60</v>
      </c>
      <c r="Q791" t="s">
        <v>900</v>
      </c>
      <c r="R791" t="s">
        <v>946</v>
      </c>
      <c r="S791" t="s">
        <v>952</v>
      </c>
      <c r="V791" t="s">
        <v>907</v>
      </c>
      <c r="Z791">
        <v>150</v>
      </c>
      <c r="AA791">
        <v>150</v>
      </c>
      <c r="AC791">
        <v>468</v>
      </c>
      <c r="AD791" s="37">
        <v>14</v>
      </c>
      <c r="AE791">
        <v>478</v>
      </c>
      <c r="AF791" s="37">
        <v>17</v>
      </c>
      <c r="AG791" t="s">
        <v>3392</v>
      </c>
      <c r="AH791">
        <v>2.6794278966121188</v>
      </c>
      <c r="AI791" s="37">
        <v>14</v>
      </c>
      <c r="AJ791" t="s">
        <v>1811</v>
      </c>
      <c r="AK791" t="s">
        <v>59</v>
      </c>
      <c r="AM791"/>
      <c r="AN791">
        <v>76.88</v>
      </c>
      <c r="AO791">
        <v>70.790253566433847</v>
      </c>
      <c r="AP791">
        <v>81.33</v>
      </c>
      <c r="AQ791">
        <v>54.378672289786557</v>
      </c>
      <c r="AS791">
        <v>5.6000000000000001E-2</v>
      </c>
      <c r="AT791">
        <v>8.6E-3</v>
      </c>
      <c r="AW791" s="28">
        <f t="shared" si="60"/>
        <v>7.0500495690273918E-2</v>
      </c>
      <c r="AX791">
        <f t="shared" si="61"/>
        <v>0.9974811083123426</v>
      </c>
      <c r="AY791" s="62">
        <f t="shared" si="62"/>
        <v>7.0322912577703955E-2</v>
      </c>
      <c r="AZ791" s="68" t="str">
        <f t="shared" si="63"/>
        <v>No</v>
      </c>
      <c r="BA791" s="68" t="str">
        <f t="shared" si="64"/>
        <v>No</v>
      </c>
    </row>
    <row r="792" spans="1:53" hidden="1">
      <c r="A792" t="s">
        <v>1815</v>
      </c>
      <c r="B792" t="s">
        <v>3088</v>
      </c>
      <c r="C792">
        <v>58</v>
      </c>
      <c r="F792" t="s">
        <v>1241</v>
      </c>
      <c r="G792" t="s">
        <v>1732</v>
      </c>
      <c r="I792">
        <v>2013</v>
      </c>
      <c r="N792" t="s">
        <v>36</v>
      </c>
      <c r="P792" t="s">
        <v>60</v>
      </c>
      <c r="Q792" t="s">
        <v>900</v>
      </c>
      <c r="R792" t="s">
        <v>946</v>
      </c>
      <c r="S792" t="s">
        <v>952</v>
      </c>
      <c r="V792" t="s">
        <v>907</v>
      </c>
      <c r="Z792">
        <v>200</v>
      </c>
      <c r="AA792">
        <v>200</v>
      </c>
      <c r="AC792">
        <v>506</v>
      </c>
      <c r="AD792" s="37">
        <v>21</v>
      </c>
      <c r="AE792">
        <v>511</v>
      </c>
      <c r="AF792" s="37">
        <v>24</v>
      </c>
      <c r="AG792" t="s">
        <v>3391</v>
      </c>
      <c r="AH792">
        <v>2.7084209001347128</v>
      </c>
      <c r="AI792" s="37">
        <v>21</v>
      </c>
      <c r="AJ792" t="s">
        <v>1813</v>
      </c>
      <c r="AK792" t="s">
        <v>59</v>
      </c>
      <c r="AM792"/>
      <c r="AN792">
        <v>81.94</v>
      </c>
      <c r="AO792">
        <v>42.850670939904781</v>
      </c>
      <c r="AP792">
        <v>90.15</v>
      </c>
      <c r="AQ792">
        <v>67.882250993908556</v>
      </c>
      <c r="AS792">
        <v>9.5000000000000001E-2</v>
      </c>
      <c r="AT792">
        <v>4.1999999999999997E-3</v>
      </c>
      <c r="AW792" s="28">
        <f t="shared" si="60"/>
        <v>0.14463530761443316</v>
      </c>
      <c r="AX792">
        <f t="shared" si="61"/>
        <v>0.99811439346323072</v>
      </c>
      <c r="AY792" s="62">
        <f t="shared" si="62"/>
        <v>0.14436258233294774</v>
      </c>
      <c r="AZ792" s="68" t="str">
        <f t="shared" si="63"/>
        <v>No</v>
      </c>
      <c r="BA792" s="68" t="str">
        <f t="shared" si="64"/>
        <v>No</v>
      </c>
    </row>
    <row r="793" spans="1:53" hidden="1">
      <c r="A793" t="s">
        <v>1815</v>
      </c>
      <c r="B793" t="s">
        <v>3091</v>
      </c>
      <c r="C793">
        <v>58</v>
      </c>
      <c r="F793" t="s">
        <v>1241</v>
      </c>
      <c r="G793" t="s">
        <v>1732</v>
      </c>
      <c r="I793">
        <v>2013</v>
      </c>
      <c r="N793" t="s">
        <v>36</v>
      </c>
      <c r="P793" t="s">
        <v>60</v>
      </c>
      <c r="Q793" t="s">
        <v>900</v>
      </c>
      <c r="R793" t="s">
        <v>946</v>
      </c>
      <c r="S793" t="s">
        <v>952</v>
      </c>
      <c r="V793" t="s">
        <v>907</v>
      </c>
      <c r="Z793">
        <v>200</v>
      </c>
      <c r="AA793">
        <v>200</v>
      </c>
      <c r="AC793">
        <v>468</v>
      </c>
      <c r="AD793" s="37">
        <v>14</v>
      </c>
      <c r="AE793">
        <v>478</v>
      </c>
      <c r="AF793" s="37">
        <v>17</v>
      </c>
      <c r="AG793" t="s">
        <v>3392</v>
      </c>
      <c r="AH793">
        <v>2.6794278966121188</v>
      </c>
      <c r="AI793" s="37">
        <v>14</v>
      </c>
      <c r="AJ793" t="s">
        <v>1812</v>
      </c>
      <c r="AK793" t="s">
        <v>59</v>
      </c>
      <c r="AM793"/>
      <c r="AN793">
        <v>36.25</v>
      </c>
      <c r="AO793">
        <v>75.236161518248664</v>
      </c>
      <c r="AP793">
        <v>82.13</v>
      </c>
      <c r="AQ793">
        <v>57.417070632347652</v>
      </c>
      <c r="AS793">
        <v>0.81799999999999995</v>
      </c>
      <c r="AT793">
        <v>2.4E-2</v>
      </c>
      <c r="AW793" s="28">
        <f t="shared" si="60"/>
        <v>0.68557073625090514</v>
      </c>
      <c r="AX793">
        <f t="shared" si="61"/>
        <v>0.99811439346323072</v>
      </c>
      <c r="AY793" s="62">
        <f t="shared" si="62"/>
        <v>0.68427801958921275</v>
      </c>
      <c r="AZ793" s="68" t="str">
        <f t="shared" si="63"/>
        <v>No</v>
      </c>
      <c r="BA793" s="68" t="str">
        <f t="shared" si="64"/>
        <v>No</v>
      </c>
    </row>
    <row r="794" spans="1:53" hidden="1">
      <c r="A794" t="s">
        <v>1815</v>
      </c>
      <c r="B794" t="s">
        <v>3036</v>
      </c>
      <c r="C794">
        <v>58</v>
      </c>
      <c r="F794" t="s">
        <v>1241</v>
      </c>
      <c r="G794" t="s">
        <v>1732</v>
      </c>
      <c r="I794">
        <v>2014</v>
      </c>
      <c r="N794" t="s">
        <v>36</v>
      </c>
      <c r="P794" t="s">
        <v>60</v>
      </c>
      <c r="Q794" t="s">
        <v>900</v>
      </c>
      <c r="R794" t="s">
        <v>946</v>
      </c>
      <c r="S794" t="s">
        <v>952</v>
      </c>
      <c r="V794" t="s">
        <v>1015</v>
      </c>
      <c r="Z794">
        <v>150</v>
      </c>
      <c r="AA794">
        <v>150</v>
      </c>
      <c r="AC794">
        <v>506</v>
      </c>
      <c r="AD794" s="37">
        <v>21</v>
      </c>
      <c r="AE794">
        <v>7145</v>
      </c>
      <c r="AF794" s="37">
        <v>24</v>
      </c>
      <c r="AG794" t="s">
        <v>3391</v>
      </c>
      <c r="AH794">
        <v>3.8540022331269892</v>
      </c>
      <c r="AI794" s="37">
        <v>21</v>
      </c>
      <c r="AJ794" t="s">
        <v>1811</v>
      </c>
      <c r="AK794" t="s">
        <v>59</v>
      </c>
      <c r="AM794"/>
      <c r="AN794">
        <v>79.55</v>
      </c>
      <c r="AO794">
        <v>59.890024211048697</v>
      </c>
      <c r="AP794">
        <v>0.44</v>
      </c>
      <c r="AQ794">
        <v>5.3888774341229917</v>
      </c>
      <c r="AS794">
        <v>-5.1970000000000001</v>
      </c>
      <c r="AT794">
        <v>1.0038</v>
      </c>
      <c r="AW794" s="28">
        <f t="shared" si="60"/>
        <v>-1.8605480013954339</v>
      </c>
      <c r="AX794">
        <f t="shared" si="61"/>
        <v>0.9974811083123426</v>
      </c>
      <c r="AY794" s="62">
        <f t="shared" si="62"/>
        <v>-1.8558614825002313</v>
      </c>
      <c r="AZ794" s="68" t="str">
        <f t="shared" si="63"/>
        <v>No</v>
      </c>
      <c r="BA794" s="68" t="str">
        <f t="shared" si="64"/>
        <v>No</v>
      </c>
    </row>
    <row r="795" spans="1:53" hidden="1">
      <c r="A795" t="s">
        <v>1815</v>
      </c>
      <c r="B795" t="s">
        <v>3038</v>
      </c>
      <c r="C795">
        <v>58</v>
      </c>
      <c r="F795" t="s">
        <v>1241</v>
      </c>
      <c r="G795" t="s">
        <v>1732</v>
      </c>
      <c r="I795">
        <v>2014</v>
      </c>
      <c r="N795" t="s">
        <v>36</v>
      </c>
      <c r="P795" t="s">
        <v>60</v>
      </c>
      <c r="Q795" t="s">
        <v>900</v>
      </c>
      <c r="R795" t="s">
        <v>946</v>
      </c>
      <c r="S795" t="s">
        <v>952</v>
      </c>
      <c r="V795" t="s">
        <v>1015</v>
      </c>
      <c r="Z795">
        <v>200</v>
      </c>
      <c r="AA795">
        <v>200</v>
      </c>
      <c r="AC795">
        <v>506</v>
      </c>
      <c r="AD795" s="37">
        <v>21</v>
      </c>
      <c r="AE795">
        <v>7145</v>
      </c>
      <c r="AF795" s="37">
        <v>24</v>
      </c>
      <c r="AG795" t="s">
        <v>3391</v>
      </c>
      <c r="AH795">
        <v>3.8540022331269892</v>
      </c>
      <c r="AI795" s="37">
        <v>21</v>
      </c>
      <c r="AJ795" t="s">
        <v>1812</v>
      </c>
      <c r="AK795" t="s">
        <v>59</v>
      </c>
      <c r="AM795"/>
      <c r="AN795">
        <v>80.989999999999995</v>
      </c>
      <c r="AO795">
        <v>69.8621499812309</v>
      </c>
      <c r="AP795">
        <v>4.3099999999999996</v>
      </c>
      <c r="AQ795">
        <v>42.99209229614209</v>
      </c>
      <c r="AS795">
        <v>-2.9340000000000002</v>
      </c>
      <c r="AT795">
        <v>0.502</v>
      </c>
      <c r="AW795" s="28">
        <f t="shared" si="60"/>
        <v>-1.3219667960506969</v>
      </c>
      <c r="AX795">
        <f t="shared" si="61"/>
        <v>0.99811439346323072</v>
      </c>
      <c r="AY795" s="62">
        <f t="shared" si="62"/>
        <v>-1.3194740868186718</v>
      </c>
      <c r="AZ795" s="68" t="str">
        <f t="shared" si="63"/>
        <v>No</v>
      </c>
      <c r="BA795" s="68" t="str">
        <f t="shared" si="64"/>
        <v>No</v>
      </c>
    </row>
    <row r="796" spans="1:53" hidden="1">
      <c r="A796" t="s">
        <v>1815</v>
      </c>
      <c r="B796" t="s">
        <v>3041</v>
      </c>
      <c r="C796">
        <v>58</v>
      </c>
      <c r="F796" t="s">
        <v>1241</v>
      </c>
      <c r="G796" t="s">
        <v>1732</v>
      </c>
      <c r="I796">
        <v>2014</v>
      </c>
      <c r="N796" t="s">
        <v>36</v>
      </c>
      <c r="P796" t="s">
        <v>60</v>
      </c>
      <c r="Q796" t="s">
        <v>900</v>
      </c>
      <c r="R796" t="s">
        <v>946</v>
      </c>
      <c r="S796" t="s">
        <v>952</v>
      </c>
      <c r="V796" t="s">
        <v>1015</v>
      </c>
      <c r="Z796">
        <v>200</v>
      </c>
      <c r="AA796">
        <v>200</v>
      </c>
      <c r="AC796">
        <v>506</v>
      </c>
      <c r="AD796" s="37">
        <v>21</v>
      </c>
      <c r="AE796">
        <v>7145</v>
      </c>
      <c r="AF796" s="37">
        <v>24</v>
      </c>
      <c r="AG796" t="s">
        <v>3391</v>
      </c>
      <c r="AH796">
        <v>3.8540022331269892</v>
      </c>
      <c r="AI796" s="37">
        <v>21</v>
      </c>
      <c r="AJ796" t="s">
        <v>1813</v>
      </c>
      <c r="AK796" t="s">
        <v>59</v>
      </c>
      <c r="AM796"/>
      <c r="AN796">
        <v>81.94</v>
      </c>
      <c r="AO796">
        <v>42.850670939904781</v>
      </c>
      <c r="AP796">
        <v>7.58</v>
      </c>
      <c r="AQ796">
        <v>23.193102422918759</v>
      </c>
      <c r="AS796">
        <v>-2.3809999999999998</v>
      </c>
      <c r="AT796">
        <v>4.8300000000000003E-2</v>
      </c>
      <c r="AW796" s="28">
        <f t="shared" si="60"/>
        <v>-2.1582655315975026</v>
      </c>
      <c r="AX796">
        <f t="shared" si="61"/>
        <v>0.99811439346323072</v>
      </c>
      <c r="AY796" s="62">
        <f t="shared" si="62"/>
        <v>-2.1541958920030386</v>
      </c>
      <c r="AZ796" s="68" t="str">
        <f t="shared" si="63"/>
        <v>No</v>
      </c>
      <c r="BA796" s="68" t="str">
        <f t="shared" si="64"/>
        <v>No</v>
      </c>
    </row>
    <row r="797" spans="1:53" hidden="1">
      <c r="A797" t="s">
        <v>1815</v>
      </c>
      <c r="B797" t="s">
        <v>3045</v>
      </c>
      <c r="C797">
        <v>58</v>
      </c>
      <c r="F797" t="s">
        <v>1241</v>
      </c>
      <c r="G797" t="s">
        <v>1732</v>
      </c>
      <c r="I797">
        <v>2014</v>
      </c>
      <c r="N797" t="s">
        <v>36</v>
      </c>
      <c r="P797" t="s">
        <v>60</v>
      </c>
      <c r="Q797" t="s">
        <v>900</v>
      </c>
      <c r="R797" t="s">
        <v>946</v>
      </c>
      <c r="S797" t="s">
        <v>952</v>
      </c>
      <c r="V797" t="s">
        <v>1015</v>
      </c>
      <c r="Z797">
        <v>200</v>
      </c>
      <c r="AA797">
        <v>200</v>
      </c>
      <c r="AC797">
        <v>468</v>
      </c>
      <c r="AD797" s="37">
        <v>14</v>
      </c>
      <c r="AE797">
        <v>6451</v>
      </c>
      <c r="AF797" s="37">
        <v>17</v>
      </c>
      <c r="AG797" t="s">
        <v>3392</v>
      </c>
      <c r="AH797">
        <v>3.8096270418940499</v>
      </c>
      <c r="AI797" s="37">
        <v>14</v>
      </c>
      <c r="AJ797" t="s">
        <v>1812</v>
      </c>
      <c r="AK797" t="s">
        <v>59</v>
      </c>
      <c r="AM797"/>
      <c r="AN797">
        <v>36.25</v>
      </c>
      <c r="AO797">
        <v>75.236161518248664</v>
      </c>
      <c r="AP797">
        <v>9.6300000000000008</v>
      </c>
      <c r="AQ797">
        <v>78.913116780418704</v>
      </c>
      <c r="AS797">
        <v>-1.325</v>
      </c>
      <c r="AT797">
        <v>0.35670000000000002</v>
      </c>
      <c r="AW797" s="28">
        <f t="shared" si="60"/>
        <v>-0.3452812813347591</v>
      </c>
      <c r="AX797">
        <f t="shared" si="61"/>
        <v>0.99811439346323072</v>
      </c>
      <c r="AY797" s="62">
        <f t="shared" si="62"/>
        <v>-0.34463021669365024</v>
      </c>
      <c r="AZ797" s="68" t="str">
        <f t="shared" si="63"/>
        <v>No</v>
      </c>
      <c r="BA797" s="68" t="str">
        <f t="shared" si="64"/>
        <v>No</v>
      </c>
    </row>
    <row r="798" spans="1:53" hidden="1">
      <c r="A798" t="s">
        <v>1815</v>
      </c>
      <c r="B798" t="s">
        <v>3046</v>
      </c>
      <c r="C798">
        <v>58</v>
      </c>
      <c r="F798" t="s">
        <v>1241</v>
      </c>
      <c r="G798" t="s">
        <v>1732</v>
      </c>
      <c r="I798">
        <v>2014</v>
      </c>
      <c r="N798" t="s">
        <v>36</v>
      </c>
      <c r="P798" t="s">
        <v>60</v>
      </c>
      <c r="Q798" t="s">
        <v>900</v>
      </c>
      <c r="R798" t="s">
        <v>946</v>
      </c>
      <c r="S798" t="s">
        <v>952</v>
      </c>
      <c r="V798" t="s">
        <v>1015</v>
      </c>
      <c r="Z798">
        <v>200</v>
      </c>
      <c r="AA798">
        <v>200</v>
      </c>
      <c r="AC798">
        <v>468</v>
      </c>
      <c r="AD798" s="37">
        <v>14</v>
      </c>
      <c r="AE798">
        <v>6451</v>
      </c>
      <c r="AF798" s="37">
        <v>17</v>
      </c>
      <c r="AG798" t="s">
        <v>3392</v>
      </c>
      <c r="AH798">
        <v>3.8096270418940499</v>
      </c>
      <c r="AI798" s="37">
        <v>14</v>
      </c>
      <c r="AJ798" t="s">
        <v>1813</v>
      </c>
      <c r="AK798" t="s">
        <v>770</v>
      </c>
      <c r="AM798"/>
      <c r="AN798">
        <v>97.98</v>
      </c>
      <c r="AO798">
        <v>42.850670939904781</v>
      </c>
      <c r="AP798">
        <v>27.27</v>
      </c>
      <c r="AQ798">
        <v>85.701341879809561</v>
      </c>
      <c r="AS798">
        <v>-1.2789999999999999</v>
      </c>
      <c r="AT798">
        <v>5.0299999999999997E-2</v>
      </c>
      <c r="AW798" s="28">
        <f t="shared" si="60"/>
        <v>-1.0436459847459416</v>
      </c>
      <c r="AX798">
        <f t="shared" si="61"/>
        <v>0.99811439346323072</v>
      </c>
      <c r="AY798" s="62">
        <f t="shared" si="62"/>
        <v>-1.0416780790550317</v>
      </c>
      <c r="AZ798" s="68" t="str">
        <f t="shared" si="63"/>
        <v>No</v>
      </c>
      <c r="BA798" s="68" t="str">
        <f t="shared" si="64"/>
        <v>No</v>
      </c>
    </row>
    <row r="799" spans="1:53" hidden="1">
      <c r="A799" t="s">
        <v>1815</v>
      </c>
      <c r="B799" t="s">
        <v>3047</v>
      </c>
      <c r="C799">
        <v>58</v>
      </c>
      <c r="F799" t="s">
        <v>1241</v>
      </c>
      <c r="G799" t="s">
        <v>1732</v>
      </c>
      <c r="I799">
        <v>2014</v>
      </c>
      <c r="N799" t="s">
        <v>36</v>
      </c>
      <c r="P799" t="s">
        <v>60</v>
      </c>
      <c r="Q799" t="s">
        <v>900</v>
      </c>
      <c r="R799" t="s">
        <v>946</v>
      </c>
      <c r="S799" t="s">
        <v>952</v>
      </c>
      <c r="V799" t="s">
        <v>1015</v>
      </c>
      <c r="Z799">
        <v>150</v>
      </c>
      <c r="AA799">
        <v>150</v>
      </c>
      <c r="AC799">
        <v>468</v>
      </c>
      <c r="AD799" s="37">
        <v>14</v>
      </c>
      <c r="AE799">
        <v>6451</v>
      </c>
      <c r="AF799" s="37">
        <v>17</v>
      </c>
      <c r="AG799" t="s">
        <v>3392</v>
      </c>
      <c r="AH799">
        <v>3.8096270418940499</v>
      </c>
      <c r="AI799" s="37">
        <v>14</v>
      </c>
      <c r="AJ799" t="s">
        <v>1811</v>
      </c>
      <c r="AK799" t="s">
        <v>59</v>
      </c>
      <c r="AM799"/>
      <c r="AN799">
        <v>76.88</v>
      </c>
      <c r="AO799">
        <v>70.790253566433847</v>
      </c>
      <c r="AP799">
        <v>21.77</v>
      </c>
      <c r="AQ799">
        <v>76.301605487696008</v>
      </c>
      <c r="AS799">
        <v>-1.262</v>
      </c>
      <c r="AT799">
        <v>8.7499999999999994E-2</v>
      </c>
      <c r="AW799" s="28">
        <f t="shared" si="60"/>
        <v>-0.7488022290499976</v>
      </c>
      <c r="AX799">
        <f t="shared" si="61"/>
        <v>0.9974811083123426</v>
      </c>
      <c r="AY799" s="62">
        <f t="shared" si="62"/>
        <v>-0.74691607733954424</v>
      </c>
      <c r="AZ799" s="68" t="str">
        <f t="shared" si="63"/>
        <v>No</v>
      </c>
      <c r="BA799" s="68" t="str">
        <f t="shared" si="64"/>
        <v>No</v>
      </c>
    </row>
    <row r="800" spans="1:53" hidden="1">
      <c r="A800" t="s">
        <v>1815</v>
      </c>
      <c r="B800" t="s">
        <v>3049</v>
      </c>
      <c r="C800">
        <v>58</v>
      </c>
      <c r="F800" t="s">
        <v>1241</v>
      </c>
      <c r="G800" t="s">
        <v>1732</v>
      </c>
      <c r="I800">
        <v>2014</v>
      </c>
      <c r="N800" t="s">
        <v>36</v>
      </c>
      <c r="P800" t="s">
        <v>60</v>
      </c>
      <c r="Q800" t="s">
        <v>900</v>
      </c>
      <c r="R800" t="s">
        <v>946</v>
      </c>
      <c r="S800" t="s">
        <v>952</v>
      </c>
      <c r="V800" t="s">
        <v>1015</v>
      </c>
      <c r="Z800">
        <v>150</v>
      </c>
      <c r="AA800">
        <v>150</v>
      </c>
      <c r="AC800">
        <v>506</v>
      </c>
      <c r="AD800" s="37">
        <v>21</v>
      </c>
      <c r="AE800">
        <v>1867</v>
      </c>
      <c r="AF800" s="37">
        <v>24</v>
      </c>
      <c r="AG800" t="s">
        <v>3391</v>
      </c>
      <c r="AH800">
        <v>3.2711443179490782</v>
      </c>
      <c r="AI800" s="37">
        <v>21</v>
      </c>
      <c r="AJ800" t="s">
        <v>1811</v>
      </c>
      <c r="AK800" t="s">
        <v>40</v>
      </c>
      <c r="AM800"/>
      <c r="AN800">
        <v>79.55</v>
      </c>
      <c r="AO800">
        <v>59.890024211048697</v>
      </c>
      <c r="AP800">
        <v>47.55</v>
      </c>
      <c r="AQ800">
        <v>59.890024211048697</v>
      </c>
      <c r="AS800">
        <v>-0.51500000000000001</v>
      </c>
      <c r="AT800">
        <v>1.44E-2</v>
      </c>
      <c r="AW800" s="28">
        <f t="shared" si="60"/>
        <v>-0.53431269099564904</v>
      </c>
      <c r="AX800">
        <f t="shared" si="61"/>
        <v>0.9974811083123426</v>
      </c>
      <c r="AY800" s="62">
        <f t="shared" si="62"/>
        <v>-0.53296681519969025</v>
      </c>
      <c r="AZ800" s="68" t="str">
        <f t="shared" si="63"/>
        <v>No</v>
      </c>
      <c r="BA800" s="68" t="str">
        <f t="shared" si="64"/>
        <v>No</v>
      </c>
    </row>
    <row r="801" spans="1:53" hidden="1">
      <c r="A801" t="s">
        <v>1815</v>
      </c>
      <c r="B801" t="s">
        <v>3050</v>
      </c>
      <c r="C801">
        <v>58</v>
      </c>
      <c r="F801" t="s">
        <v>1241</v>
      </c>
      <c r="G801" t="s">
        <v>1732</v>
      </c>
      <c r="I801">
        <v>2014</v>
      </c>
      <c r="N801" t="s">
        <v>36</v>
      </c>
      <c r="P801" t="s">
        <v>60</v>
      </c>
      <c r="Q801" t="s">
        <v>900</v>
      </c>
      <c r="R801" t="s">
        <v>946</v>
      </c>
      <c r="S801" t="s">
        <v>952</v>
      </c>
      <c r="V801" t="s">
        <v>1015</v>
      </c>
      <c r="Z801">
        <v>150</v>
      </c>
      <c r="AA801">
        <v>150</v>
      </c>
      <c r="AC801">
        <v>506</v>
      </c>
      <c r="AD801" s="37">
        <v>21</v>
      </c>
      <c r="AE801">
        <v>7145</v>
      </c>
      <c r="AF801" s="37">
        <v>24</v>
      </c>
      <c r="AG801" t="s">
        <v>3391</v>
      </c>
      <c r="AH801">
        <v>3.8540022331269892</v>
      </c>
      <c r="AI801" s="37">
        <v>21</v>
      </c>
      <c r="AJ801" t="s">
        <v>1790</v>
      </c>
      <c r="AK801" t="s">
        <v>40</v>
      </c>
      <c r="AM801"/>
      <c r="AN801">
        <v>5.77</v>
      </c>
      <c r="AO801">
        <v>27.311810632032437</v>
      </c>
      <c r="AP801">
        <v>40.44</v>
      </c>
      <c r="AQ801">
        <v>495.28682599075859</v>
      </c>
      <c r="AS801">
        <v>-0.45900000000000002</v>
      </c>
      <c r="AT801">
        <v>0.46160000000000001</v>
      </c>
      <c r="AW801" s="28">
        <f t="shared" si="60"/>
        <v>9.8844558117626741E-2</v>
      </c>
      <c r="AX801">
        <f t="shared" si="61"/>
        <v>0.9974811083123426</v>
      </c>
      <c r="AY801" s="62">
        <f t="shared" si="62"/>
        <v>9.8595579381814083E-2</v>
      </c>
      <c r="AZ801" s="68" t="str">
        <f t="shared" si="63"/>
        <v>No</v>
      </c>
      <c r="BA801" s="68" t="str">
        <f t="shared" si="64"/>
        <v>No</v>
      </c>
    </row>
    <row r="802" spans="1:53" hidden="1">
      <c r="A802" t="s">
        <v>1815</v>
      </c>
      <c r="B802" t="s">
        <v>3053</v>
      </c>
      <c r="C802">
        <v>58</v>
      </c>
      <c r="F802" t="s">
        <v>1241</v>
      </c>
      <c r="G802" t="s">
        <v>1732</v>
      </c>
      <c r="I802">
        <v>2014</v>
      </c>
      <c r="N802" t="s">
        <v>36</v>
      </c>
      <c r="P802" t="s">
        <v>60</v>
      </c>
      <c r="Q802" t="s">
        <v>900</v>
      </c>
      <c r="R802" t="s">
        <v>946</v>
      </c>
      <c r="S802" t="s">
        <v>952</v>
      </c>
      <c r="V802" t="s">
        <v>1015</v>
      </c>
      <c r="Z802">
        <v>150</v>
      </c>
      <c r="AA802">
        <v>150</v>
      </c>
      <c r="AC802">
        <v>506</v>
      </c>
      <c r="AD802" s="37">
        <v>21</v>
      </c>
      <c r="AE802">
        <v>1867</v>
      </c>
      <c r="AF802" s="37">
        <v>24</v>
      </c>
      <c r="AG802" t="s">
        <v>3391</v>
      </c>
      <c r="AH802">
        <v>3.2711443179490782</v>
      </c>
      <c r="AI802" s="37">
        <v>21</v>
      </c>
      <c r="AJ802" t="s">
        <v>1790</v>
      </c>
      <c r="AK802" t="s">
        <v>770</v>
      </c>
      <c r="AM802"/>
      <c r="AN802">
        <v>5.77</v>
      </c>
      <c r="AO802">
        <v>27.311810632032437</v>
      </c>
      <c r="AP802">
        <v>33.770000000000003</v>
      </c>
      <c r="AQ802">
        <v>413.59634306893963</v>
      </c>
      <c r="AS802">
        <v>-0.35299999999999998</v>
      </c>
      <c r="AT802">
        <v>0.26050000000000001</v>
      </c>
      <c r="AW802" s="28">
        <f t="shared" si="60"/>
        <v>9.5532579046156502E-2</v>
      </c>
      <c r="AX802">
        <f t="shared" si="61"/>
        <v>0.9974811083123426</v>
      </c>
      <c r="AY802" s="62">
        <f t="shared" si="62"/>
        <v>9.5291942826896667E-2</v>
      </c>
      <c r="AZ802" s="68" t="str">
        <f t="shared" si="63"/>
        <v>No</v>
      </c>
      <c r="BA802" s="68" t="str">
        <f t="shared" si="64"/>
        <v>No</v>
      </c>
    </row>
    <row r="803" spans="1:53" hidden="1">
      <c r="A803" t="s">
        <v>1815</v>
      </c>
      <c r="B803" t="s">
        <v>3055</v>
      </c>
      <c r="C803">
        <v>58</v>
      </c>
      <c r="F803" t="s">
        <v>1241</v>
      </c>
      <c r="G803" t="s">
        <v>1732</v>
      </c>
      <c r="I803">
        <v>2014</v>
      </c>
      <c r="N803" t="s">
        <v>36</v>
      </c>
      <c r="P803" t="s">
        <v>60</v>
      </c>
      <c r="Q803" t="s">
        <v>900</v>
      </c>
      <c r="R803" t="s">
        <v>946</v>
      </c>
      <c r="S803" t="s">
        <v>952</v>
      </c>
      <c r="V803" t="s">
        <v>1015</v>
      </c>
      <c r="Z803">
        <v>150</v>
      </c>
      <c r="AA803">
        <v>150</v>
      </c>
      <c r="AC803">
        <v>468</v>
      </c>
      <c r="AD803" s="37">
        <v>14</v>
      </c>
      <c r="AE803">
        <v>6451</v>
      </c>
      <c r="AF803" s="37">
        <v>17</v>
      </c>
      <c r="AG803" t="s">
        <v>3392</v>
      </c>
      <c r="AH803">
        <v>3.8096270418940499</v>
      </c>
      <c r="AI803" s="37">
        <v>14</v>
      </c>
      <c r="AJ803" t="s">
        <v>1790</v>
      </c>
      <c r="AK803" t="s">
        <v>904</v>
      </c>
      <c r="AM803"/>
      <c r="AN803">
        <v>6.22</v>
      </c>
      <c r="AO803">
        <v>43.478442934401407</v>
      </c>
      <c r="AP803">
        <v>29.77</v>
      </c>
      <c r="AQ803">
        <v>364.60654821327603</v>
      </c>
      <c r="AS803">
        <v>-0.28899999999999998</v>
      </c>
      <c r="AT803">
        <v>0.18110000000000001</v>
      </c>
      <c r="AW803" s="28">
        <f t="shared" si="60"/>
        <v>9.0701686807111215E-2</v>
      </c>
      <c r="AX803">
        <f t="shared" si="61"/>
        <v>0.9974811083123426</v>
      </c>
      <c r="AY803" s="62">
        <f t="shared" si="62"/>
        <v>9.0473219082156275E-2</v>
      </c>
      <c r="AZ803" s="68" t="str">
        <f t="shared" si="63"/>
        <v>No</v>
      </c>
      <c r="BA803" s="68" t="str">
        <f t="shared" si="64"/>
        <v>No</v>
      </c>
    </row>
    <row r="804" spans="1:53" hidden="1">
      <c r="A804" t="s">
        <v>1815</v>
      </c>
      <c r="B804" t="s">
        <v>3057</v>
      </c>
      <c r="C804">
        <v>58</v>
      </c>
      <c r="F804" t="s">
        <v>1241</v>
      </c>
      <c r="G804" t="s">
        <v>1732</v>
      </c>
      <c r="I804">
        <v>2014</v>
      </c>
      <c r="N804" t="s">
        <v>36</v>
      </c>
      <c r="P804" t="s">
        <v>60</v>
      </c>
      <c r="Q804" t="s">
        <v>900</v>
      </c>
      <c r="R804" t="s">
        <v>946</v>
      </c>
      <c r="S804" t="s">
        <v>952</v>
      </c>
      <c r="V804" t="s">
        <v>1015</v>
      </c>
      <c r="Z804">
        <v>150</v>
      </c>
      <c r="AA804">
        <v>150</v>
      </c>
      <c r="AC804">
        <v>468</v>
      </c>
      <c r="AD804" s="37">
        <v>14</v>
      </c>
      <c r="AE804">
        <v>1702</v>
      </c>
      <c r="AF804" s="37">
        <v>17</v>
      </c>
      <c r="AG804" t="s">
        <v>3392</v>
      </c>
      <c r="AH804">
        <v>3.2309595557485689</v>
      </c>
      <c r="AI804" s="37">
        <v>14</v>
      </c>
      <c r="AJ804" t="s">
        <v>1790</v>
      </c>
      <c r="AK804" t="s">
        <v>770</v>
      </c>
      <c r="AM804"/>
      <c r="AN804">
        <v>6.22</v>
      </c>
      <c r="AO804">
        <v>43.478442934401407</v>
      </c>
      <c r="AP804">
        <v>27.1</v>
      </c>
      <c r="AQ804">
        <v>331.90586014712062</v>
      </c>
      <c r="AS804">
        <v>-0.252</v>
      </c>
      <c r="AT804">
        <v>0.1396</v>
      </c>
      <c r="AW804" s="28">
        <f t="shared" si="60"/>
        <v>8.8213677609849883E-2</v>
      </c>
      <c r="AX804">
        <f t="shared" si="61"/>
        <v>0.9974811083123426</v>
      </c>
      <c r="AY804" s="62">
        <f t="shared" si="62"/>
        <v>8.7991476910580749E-2</v>
      </c>
      <c r="AZ804" s="68" t="str">
        <f t="shared" si="63"/>
        <v>No</v>
      </c>
      <c r="BA804" s="68" t="str">
        <f t="shared" si="64"/>
        <v>No</v>
      </c>
    </row>
    <row r="805" spans="1:53" hidden="1">
      <c r="A805" t="s">
        <v>1815</v>
      </c>
      <c r="B805" t="s">
        <v>3059</v>
      </c>
      <c r="C805">
        <v>58</v>
      </c>
      <c r="F805" t="s">
        <v>1241</v>
      </c>
      <c r="G805" t="s">
        <v>1732</v>
      </c>
      <c r="I805">
        <v>2014</v>
      </c>
      <c r="N805" t="s">
        <v>36</v>
      </c>
      <c r="P805" t="s">
        <v>60</v>
      </c>
      <c r="Q805" t="s">
        <v>900</v>
      </c>
      <c r="R805" t="s">
        <v>946</v>
      </c>
      <c r="S805" t="s">
        <v>952</v>
      </c>
      <c r="V805" t="s">
        <v>1015</v>
      </c>
      <c r="Z805">
        <v>150</v>
      </c>
      <c r="AA805">
        <v>150</v>
      </c>
      <c r="AC805">
        <v>468</v>
      </c>
      <c r="AD805" s="37">
        <v>14</v>
      </c>
      <c r="AE805">
        <v>1702</v>
      </c>
      <c r="AF805" s="37">
        <v>17</v>
      </c>
      <c r="AG805" t="s">
        <v>3392</v>
      </c>
      <c r="AH805">
        <v>3.2309595557485689</v>
      </c>
      <c r="AI805" s="37">
        <v>14</v>
      </c>
      <c r="AJ805" t="s">
        <v>1811</v>
      </c>
      <c r="AK805" t="s">
        <v>904</v>
      </c>
      <c r="AM805"/>
      <c r="AN805">
        <v>76.88</v>
      </c>
      <c r="AO805">
        <v>70.790253566433847</v>
      </c>
      <c r="AP805">
        <v>61.77</v>
      </c>
      <c r="AQ805">
        <v>76.301605487696008</v>
      </c>
      <c r="AS805">
        <v>-0.219</v>
      </c>
      <c r="AT805">
        <v>1.5800000000000002E-2</v>
      </c>
      <c r="AW805" s="28">
        <f t="shared" si="60"/>
        <v>-0.20530578263374083</v>
      </c>
      <c r="AX805">
        <f t="shared" si="61"/>
        <v>0.9974811083123426</v>
      </c>
      <c r="AY805" s="62">
        <f t="shared" si="62"/>
        <v>-0.20478863960443669</v>
      </c>
      <c r="AZ805" s="68" t="str">
        <f t="shared" si="63"/>
        <v>No</v>
      </c>
      <c r="BA805" s="68" t="str">
        <f t="shared" si="64"/>
        <v>No</v>
      </c>
    </row>
    <row r="806" spans="1:53" hidden="1">
      <c r="A806" t="s">
        <v>1815</v>
      </c>
      <c r="B806" t="s">
        <v>3063</v>
      </c>
      <c r="C806">
        <v>58</v>
      </c>
      <c r="F806" t="s">
        <v>1241</v>
      </c>
      <c r="G806" t="s">
        <v>1732</v>
      </c>
      <c r="I806">
        <v>2014</v>
      </c>
      <c r="N806" t="s">
        <v>36</v>
      </c>
      <c r="P806" t="s">
        <v>60</v>
      </c>
      <c r="Q806" t="s">
        <v>900</v>
      </c>
      <c r="R806" t="s">
        <v>946</v>
      </c>
      <c r="S806" t="s">
        <v>952</v>
      </c>
      <c r="V806" t="s">
        <v>1015</v>
      </c>
      <c r="Z806">
        <v>150</v>
      </c>
      <c r="AA806">
        <v>150</v>
      </c>
      <c r="AC806">
        <v>506</v>
      </c>
      <c r="AD806" s="37">
        <v>21</v>
      </c>
      <c r="AE806">
        <v>1131</v>
      </c>
      <c r="AF806" s="37">
        <v>24</v>
      </c>
      <c r="AG806" t="s">
        <v>3391</v>
      </c>
      <c r="AH806">
        <v>3.0534626049254552</v>
      </c>
      <c r="AI806" s="37">
        <v>21</v>
      </c>
      <c r="AJ806" t="s">
        <v>1790</v>
      </c>
      <c r="AK806" t="s">
        <v>770</v>
      </c>
      <c r="AM806"/>
      <c r="AN806">
        <v>5.77</v>
      </c>
      <c r="AO806">
        <v>27.311810632032437</v>
      </c>
      <c r="AP806">
        <v>21.77</v>
      </c>
      <c r="AQ806">
        <v>266.62695850194893</v>
      </c>
      <c r="AS806">
        <v>-0.186</v>
      </c>
      <c r="AT806">
        <v>7.8E-2</v>
      </c>
      <c r="AW806" s="28">
        <f t="shared" si="60"/>
        <v>8.4423684584370412E-2</v>
      </c>
      <c r="AX806">
        <f t="shared" si="61"/>
        <v>0.9974811083123426</v>
      </c>
      <c r="AY806" s="62">
        <f t="shared" si="62"/>
        <v>8.4211030467029435E-2</v>
      </c>
      <c r="AZ806" s="68" t="str">
        <f t="shared" si="63"/>
        <v>No</v>
      </c>
      <c r="BA806" s="68" t="str">
        <f t="shared" si="64"/>
        <v>No</v>
      </c>
    </row>
    <row r="807" spans="1:53" hidden="1">
      <c r="A807" t="s">
        <v>1815</v>
      </c>
      <c r="B807" t="s">
        <v>3065</v>
      </c>
      <c r="C807">
        <v>58</v>
      </c>
      <c r="F807" t="s">
        <v>1241</v>
      </c>
      <c r="G807" t="s">
        <v>1732</v>
      </c>
      <c r="I807">
        <v>2014</v>
      </c>
      <c r="N807" t="s">
        <v>36</v>
      </c>
      <c r="P807" t="s">
        <v>60</v>
      </c>
      <c r="Q807" t="s">
        <v>900</v>
      </c>
      <c r="R807" t="s">
        <v>946</v>
      </c>
      <c r="S807" t="s">
        <v>952</v>
      </c>
      <c r="V807" t="s">
        <v>1015</v>
      </c>
      <c r="Z807">
        <v>200</v>
      </c>
      <c r="AA807">
        <v>200</v>
      </c>
      <c r="AC807">
        <v>506</v>
      </c>
      <c r="AD807" s="37">
        <v>21</v>
      </c>
      <c r="AE807">
        <v>1867</v>
      </c>
      <c r="AF807" s="37">
        <v>24</v>
      </c>
      <c r="AG807" t="s">
        <v>3391</v>
      </c>
      <c r="AH807">
        <v>3.2711443179490782</v>
      </c>
      <c r="AI807" s="37">
        <v>21</v>
      </c>
      <c r="AJ807" t="s">
        <v>1812</v>
      </c>
      <c r="AK807" t="s">
        <v>770</v>
      </c>
      <c r="AM807"/>
      <c r="AN807">
        <v>80.989999999999995</v>
      </c>
      <c r="AO807">
        <v>69.8621499812309</v>
      </c>
      <c r="AP807">
        <v>67.680000000000007</v>
      </c>
      <c r="AQ807">
        <v>60.95260453828039</v>
      </c>
      <c r="AS807">
        <v>-0.18</v>
      </c>
      <c r="AT807">
        <v>7.7999999999999996E-3</v>
      </c>
      <c r="AW807" s="28">
        <f t="shared" si="60"/>
        <v>-0.2030235257650953</v>
      </c>
      <c r="AX807">
        <f t="shared" si="61"/>
        <v>0.99811439346323072</v>
      </c>
      <c r="AY807" s="62">
        <f t="shared" si="62"/>
        <v>-0.20264070327779468</v>
      </c>
      <c r="AZ807" s="68" t="str">
        <f t="shared" si="63"/>
        <v>No</v>
      </c>
      <c r="BA807" s="68" t="str">
        <f t="shared" si="64"/>
        <v>No</v>
      </c>
    </row>
    <row r="808" spans="1:53" hidden="1">
      <c r="A808" t="s">
        <v>1815</v>
      </c>
      <c r="B808" t="s">
        <v>3066</v>
      </c>
      <c r="C808">
        <v>58</v>
      </c>
      <c r="F808" t="s">
        <v>1241</v>
      </c>
      <c r="G808" t="s">
        <v>1732</v>
      </c>
      <c r="I808">
        <v>2014</v>
      </c>
      <c r="N808" t="s">
        <v>36</v>
      </c>
      <c r="P808" t="s">
        <v>60</v>
      </c>
      <c r="Q808" t="s">
        <v>900</v>
      </c>
      <c r="R808" t="s">
        <v>946</v>
      </c>
      <c r="S808" t="s">
        <v>952</v>
      </c>
      <c r="V808" t="s">
        <v>1015</v>
      </c>
      <c r="Z808">
        <v>150</v>
      </c>
      <c r="AA808">
        <v>150</v>
      </c>
      <c r="AC808">
        <v>506</v>
      </c>
      <c r="AD808" s="37">
        <v>21</v>
      </c>
      <c r="AE808">
        <v>1131</v>
      </c>
      <c r="AF808" s="37">
        <v>24</v>
      </c>
      <c r="AG808" t="s">
        <v>3391</v>
      </c>
      <c r="AH808">
        <v>3.0534626049254552</v>
      </c>
      <c r="AI808" s="37">
        <v>21</v>
      </c>
      <c r="AJ808" t="s">
        <v>1811</v>
      </c>
      <c r="AK808" t="s">
        <v>59</v>
      </c>
      <c r="AM808"/>
      <c r="AN808">
        <v>79.55</v>
      </c>
      <c r="AO808">
        <v>59.890024211048697</v>
      </c>
      <c r="AP808">
        <v>66.66</v>
      </c>
      <c r="AQ808">
        <v>65.401376132310858</v>
      </c>
      <c r="AS808">
        <v>-0.17699999999999999</v>
      </c>
      <c r="AT808">
        <v>1.0200000000000001E-2</v>
      </c>
      <c r="AW808" s="28">
        <f t="shared" si="60"/>
        <v>-0.20556154956587747</v>
      </c>
      <c r="AX808">
        <f t="shared" si="61"/>
        <v>0.9974811083123426</v>
      </c>
      <c r="AY808" s="62">
        <f t="shared" si="62"/>
        <v>-0.205043762287374</v>
      </c>
      <c r="AZ808" s="68" t="str">
        <f t="shared" si="63"/>
        <v>No</v>
      </c>
      <c r="BA808" s="68" t="str">
        <f t="shared" si="64"/>
        <v>No</v>
      </c>
    </row>
    <row r="809" spans="1:53" hidden="1">
      <c r="A809" t="s">
        <v>1815</v>
      </c>
      <c r="B809" t="s">
        <v>3067</v>
      </c>
      <c r="C809">
        <v>58</v>
      </c>
      <c r="F809" t="s">
        <v>1241</v>
      </c>
      <c r="G809" t="s">
        <v>1732</v>
      </c>
      <c r="I809">
        <v>2014</v>
      </c>
      <c r="N809" t="s">
        <v>36</v>
      </c>
      <c r="P809" t="s">
        <v>60</v>
      </c>
      <c r="Q809" t="s">
        <v>900</v>
      </c>
      <c r="R809" t="s">
        <v>946</v>
      </c>
      <c r="S809" t="s">
        <v>952</v>
      </c>
      <c r="V809" t="s">
        <v>1015</v>
      </c>
      <c r="Z809">
        <v>200</v>
      </c>
      <c r="AA809">
        <v>200</v>
      </c>
      <c r="AC809">
        <v>506</v>
      </c>
      <c r="AD809" s="37">
        <v>21</v>
      </c>
      <c r="AE809">
        <v>1867</v>
      </c>
      <c r="AF809" s="37">
        <v>24</v>
      </c>
      <c r="AG809" t="s">
        <v>3391</v>
      </c>
      <c r="AH809">
        <v>3.2711443179490782</v>
      </c>
      <c r="AI809" s="37">
        <v>21</v>
      </c>
      <c r="AJ809" t="s">
        <v>1813</v>
      </c>
      <c r="AK809" t="s">
        <v>59</v>
      </c>
      <c r="AM809"/>
      <c r="AN809">
        <v>81.94</v>
      </c>
      <c r="AO809">
        <v>42.850670939904781</v>
      </c>
      <c r="AP809">
        <v>68.69</v>
      </c>
      <c r="AQ809">
        <v>76.791796436859059</v>
      </c>
      <c r="AS809">
        <v>-0.17599999999999999</v>
      </c>
      <c r="AT809">
        <v>7.6E-3</v>
      </c>
      <c r="AW809" s="28">
        <f t="shared" si="60"/>
        <v>-0.21308475433119153</v>
      </c>
      <c r="AX809">
        <f t="shared" si="61"/>
        <v>0.99811439346323072</v>
      </c>
      <c r="AY809" s="62">
        <f t="shared" si="62"/>
        <v>-0.21268296032553877</v>
      </c>
      <c r="AZ809" s="68" t="str">
        <f t="shared" si="63"/>
        <v>No</v>
      </c>
      <c r="BA809" s="68" t="str">
        <f t="shared" si="64"/>
        <v>No</v>
      </c>
    </row>
    <row r="810" spans="1:53" hidden="1">
      <c r="A810" t="s">
        <v>1815</v>
      </c>
      <c r="B810" t="s">
        <v>3069</v>
      </c>
      <c r="C810">
        <v>58</v>
      </c>
      <c r="F810" t="s">
        <v>1241</v>
      </c>
      <c r="G810" t="s">
        <v>1732</v>
      </c>
      <c r="I810">
        <v>2014</v>
      </c>
      <c r="N810" t="s">
        <v>36</v>
      </c>
      <c r="P810" t="s">
        <v>60</v>
      </c>
      <c r="Q810" t="s">
        <v>900</v>
      </c>
      <c r="R810" t="s">
        <v>946</v>
      </c>
      <c r="S810" t="s">
        <v>952</v>
      </c>
      <c r="V810" t="s">
        <v>1015</v>
      </c>
      <c r="Z810">
        <v>150</v>
      </c>
      <c r="AA810">
        <v>150</v>
      </c>
      <c r="AC810">
        <v>468</v>
      </c>
      <c r="AD810" s="37">
        <v>14</v>
      </c>
      <c r="AE810">
        <v>1038</v>
      </c>
      <c r="AF810" s="37">
        <v>17</v>
      </c>
      <c r="AG810" t="s">
        <v>3392</v>
      </c>
      <c r="AH810">
        <v>3.0161973535124389</v>
      </c>
      <c r="AI810" s="37">
        <v>14</v>
      </c>
      <c r="AJ810" t="s">
        <v>1790</v>
      </c>
      <c r="AK810" t="s">
        <v>59</v>
      </c>
      <c r="AM810"/>
      <c r="AN810">
        <v>6.22</v>
      </c>
      <c r="AO810">
        <v>43.478442934401407</v>
      </c>
      <c r="AP810">
        <v>18.66</v>
      </c>
      <c r="AQ810">
        <v>228.53739300167052</v>
      </c>
      <c r="AS810">
        <v>-0.14199999999999999</v>
      </c>
      <c r="AT810">
        <v>5.4100000000000002E-2</v>
      </c>
      <c r="AW810" s="28">
        <f t="shared" si="60"/>
        <v>7.5623648753979908E-2</v>
      </c>
      <c r="AX810">
        <f t="shared" si="61"/>
        <v>0.9974811083123426</v>
      </c>
      <c r="AY810" s="62">
        <f t="shared" si="62"/>
        <v>7.5433160973743182E-2</v>
      </c>
      <c r="AZ810" s="68" t="str">
        <f t="shared" si="63"/>
        <v>No</v>
      </c>
      <c r="BA810" s="68" t="str">
        <f t="shared" si="64"/>
        <v>No</v>
      </c>
    </row>
    <row r="811" spans="1:53" hidden="1">
      <c r="A811" t="s">
        <v>1815</v>
      </c>
      <c r="B811" t="s">
        <v>3070</v>
      </c>
      <c r="C811">
        <v>58</v>
      </c>
      <c r="F811" t="s">
        <v>1241</v>
      </c>
      <c r="G811" t="s">
        <v>1732</v>
      </c>
      <c r="I811">
        <v>2014</v>
      </c>
      <c r="N811" t="s">
        <v>36</v>
      </c>
      <c r="P811" t="s">
        <v>60</v>
      </c>
      <c r="Q811" t="s">
        <v>900</v>
      </c>
      <c r="R811" t="s">
        <v>946</v>
      </c>
      <c r="S811" t="s">
        <v>952</v>
      </c>
      <c r="V811" t="s">
        <v>1015</v>
      </c>
      <c r="Z811">
        <v>200</v>
      </c>
      <c r="AA811">
        <v>200</v>
      </c>
      <c r="AC811">
        <v>468</v>
      </c>
      <c r="AD811" s="37">
        <v>14</v>
      </c>
      <c r="AE811">
        <v>1702</v>
      </c>
      <c r="AF811" s="37">
        <v>17</v>
      </c>
      <c r="AG811" t="s">
        <v>3392</v>
      </c>
      <c r="AH811">
        <v>3.2309595557485689</v>
      </c>
      <c r="AI811" s="37">
        <v>14</v>
      </c>
      <c r="AJ811" t="s">
        <v>1813</v>
      </c>
      <c r="AK811" t="s">
        <v>59</v>
      </c>
      <c r="AM811"/>
      <c r="AN811">
        <v>97.98</v>
      </c>
      <c r="AO811">
        <v>42.850670939904781</v>
      </c>
      <c r="AP811">
        <v>85.86</v>
      </c>
      <c r="AQ811">
        <v>82.165807973876824</v>
      </c>
      <c r="AS811">
        <v>-0.13200000000000001</v>
      </c>
      <c r="AT811">
        <v>5.4999999999999997E-3</v>
      </c>
      <c r="AW811" s="28">
        <f t="shared" si="60"/>
        <v>-0.18496381365634271</v>
      </c>
      <c r="AX811">
        <f t="shared" si="61"/>
        <v>0.99811439346323072</v>
      </c>
      <c r="AY811" s="62">
        <f t="shared" si="62"/>
        <v>-0.18461504468024653</v>
      </c>
      <c r="AZ811" s="68" t="str">
        <f t="shared" si="63"/>
        <v>No</v>
      </c>
      <c r="BA811" s="68" t="str">
        <f t="shared" si="64"/>
        <v>No</v>
      </c>
    </row>
    <row r="812" spans="1:53" hidden="1">
      <c r="A812" t="s">
        <v>1815</v>
      </c>
      <c r="B812" t="s">
        <v>3075</v>
      </c>
      <c r="C812">
        <v>58</v>
      </c>
      <c r="F812" t="s">
        <v>1241</v>
      </c>
      <c r="G812" t="s">
        <v>1732</v>
      </c>
      <c r="I812">
        <v>2014</v>
      </c>
      <c r="N812" t="s">
        <v>36</v>
      </c>
      <c r="P812" t="s">
        <v>60</v>
      </c>
      <c r="Q812" t="s">
        <v>900</v>
      </c>
      <c r="R812" t="s">
        <v>946</v>
      </c>
      <c r="S812" t="s">
        <v>952</v>
      </c>
      <c r="V812" t="s">
        <v>1015</v>
      </c>
      <c r="Z812">
        <v>200</v>
      </c>
      <c r="AA812">
        <v>200</v>
      </c>
      <c r="AC812">
        <v>506</v>
      </c>
      <c r="AD812" s="37">
        <v>21</v>
      </c>
      <c r="AE812">
        <v>1131</v>
      </c>
      <c r="AF812" s="37">
        <v>24</v>
      </c>
      <c r="AG812" t="s">
        <v>3391</v>
      </c>
      <c r="AH812">
        <v>3.0534626049254552</v>
      </c>
      <c r="AI812" s="37">
        <v>21</v>
      </c>
      <c r="AJ812" t="s">
        <v>1812</v>
      </c>
      <c r="AK812" t="s">
        <v>770</v>
      </c>
      <c r="AM812"/>
      <c r="AN812">
        <v>80.989999999999995</v>
      </c>
      <c r="AO812">
        <v>69.8621499812309</v>
      </c>
      <c r="AP812">
        <v>74.27</v>
      </c>
      <c r="AQ812">
        <v>82.448650686351442</v>
      </c>
      <c r="AS812">
        <v>-8.6999999999999994E-2</v>
      </c>
      <c r="AT812">
        <v>9.9000000000000008E-3</v>
      </c>
      <c r="AW812" s="28">
        <f t="shared" si="60"/>
        <v>-8.7940866064271234E-2</v>
      </c>
      <c r="AX812">
        <f t="shared" si="61"/>
        <v>0.99811439346323072</v>
      </c>
      <c r="AY812" s="62">
        <f t="shared" si="62"/>
        <v>-8.7775044192371296E-2</v>
      </c>
      <c r="AZ812" s="68" t="str">
        <f t="shared" si="63"/>
        <v>No</v>
      </c>
      <c r="BA812" s="68" t="str">
        <f t="shared" si="64"/>
        <v>No</v>
      </c>
    </row>
    <row r="813" spans="1:53" hidden="1">
      <c r="A813" t="s">
        <v>1815</v>
      </c>
      <c r="B813" t="s">
        <v>3078</v>
      </c>
      <c r="C813">
        <v>58</v>
      </c>
      <c r="F813" t="s">
        <v>1241</v>
      </c>
      <c r="G813" t="s">
        <v>1732</v>
      </c>
      <c r="I813">
        <v>2014</v>
      </c>
      <c r="N813" t="s">
        <v>36</v>
      </c>
      <c r="P813" t="s">
        <v>60</v>
      </c>
      <c r="Q813" t="s">
        <v>900</v>
      </c>
      <c r="R813" t="s">
        <v>946</v>
      </c>
      <c r="S813" t="s">
        <v>952</v>
      </c>
      <c r="V813" t="s">
        <v>1015</v>
      </c>
      <c r="Z813">
        <v>150</v>
      </c>
      <c r="AA813">
        <v>150</v>
      </c>
      <c r="AC813">
        <v>468</v>
      </c>
      <c r="AD813" s="37">
        <v>14</v>
      </c>
      <c r="AE813">
        <v>1038</v>
      </c>
      <c r="AF813" s="37">
        <v>17</v>
      </c>
      <c r="AG813" t="s">
        <v>3392</v>
      </c>
      <c r="AH813">
        <v>3.0161973535124389</v>
      </c>
      <c r="AI813" s="37">
        <v>14</v>
      </c>
      <c r="AJ813" t="s">
        <v>1811</v>
      </c>
      <c r="AK813" t="s">
        <v>59</v>
      </c>
      <c r="AM813"/>
      <c r="AN813">
        <v>76.88</v>
      </c>
      <c r="AO813">
        <v>70.790253566433847</v>
      </c>
      <c r="AP813">
        <v>73.77</v>
      </c>
      <c r="AQ813">
        <v>87.079360355941986</v>
      </c>
      <c r="AS813">
        <v>-4.1000000000000002E-2</v>
      </c>
      <c r="AT813">
        <v>1.49E-2</v>
      </c>
      <c r="AW813" s="28">
        <f t="shared" si="60"/>
        <v>-3.919153279468298E-2</v>
      </c>
      <c r="AX813">
        <f t="shared" si="61"/>
        <v>0.9974811083123426</v>
      </c>
      <c r="AY813" s="62">
        <f t="shared" si="62"/>
        <v>-3.9092813568499904E-2</v>
      </c>
      <c r="AZ813" s="68" t="str">
        <f t="shared" si="63"/>
        <v>No</v>
      </c>
      <c r="BA813" s="68" t="str">
        <f t="shared" si="64"/>
        <v>No</v>
      </c>
    </row>
    <row r="814" spans="1:53" hidden="1">
      <c r="A814" t="s">
        <v>1815</v>
      </c>
      <c r="B814" t="s">
        <v>3082</v>
      </c>
      <c r="C814">
        <v>58</v>
      </c>
      <c r="F814" t="s">
        <v>1241</v>
      </c>
      <c r="G814" t="s">
        <v>1732</v>
      </c>
      <c r="I814">
        <v>2014</v>
      </c>
      <c r="N814" t="s">
        <v>36</v>
      </c>
      <c r="P814" t="s">
        <v>60</v>
      </c>
      <c r="Q814" t="s">
        <v>900</v>
      </c>
      <c r="R814" t="s">
        <v>946</v>
      </c>
      <c r="S814" t="s">
        <v>952</v>
      </c>
      <c r="V814" t="s">
        <v>1015</v>
      </c>
      <c r="Z814">
        <v>200</v>
      </c>
      <c r="AA814">
        <v>200</v>
      </c>
      <c r="AC814">
        <v>506</v>
      </c>
      <c r="AD814" s="37">
        <v>21</v>
      </c>
      <c r="AE814">
        <v>1131</v>
      </c>
      <c r="AF814" s="37">
        <v>24</v>
      </c>
      <c r="AG814" t="s">
        <v>3391</v>
      </c>
      <c r="AH814">
        <v>3.0534626049254552</v>
      </c>
      <c r="AI814" s="37">
        <v>21</v>
      </c>
      <c r="AJ814" t="s">
        <v>1813</v>
      </c>
      <c r="AK814" t="s">
        <v>69</v>
      </c>
      <c r="AM814"/>
      <c r="AN814">
        <v>81.94</v>
      </c>
      <c r="AO814">
        <v>42.850670939904781</v>
      </c>
      <c r="AP814">
        <v>80.81</v>
      </c>
      <c r="AQ814">
        <v>57.134227919873041</v>
      </c>
      <c r="AS814">
        <v>-1.4E-2</v>
      </c>
      <c r="AT814">
        <v>3.8999999999999998E-3</v>
      </c>
      <c r="AW814" s="28">
        <f t="shared" si="60"/>
        <v>-2.2376237623762285E-2</v>
      </c>
      <c r="AX814">
        <f t="shared" si="61"/>
        <v>0.99811439346323072</v>
      </c>
      <c r="AY814" s="62">
        <f t="shared" si="62"/>
        <v>-2.2334044843830617E-2</v>
      </c>
      <c r="AZ814" s="68" t="str">
        <f t="shared" si="63"/>
        <v>No</v>
      </c>
      <c r="BA814" s="68" t="str">
        <f t="shared" si="64"/>
        <v>No</v>
      </c>
    </row>
    <row r="815" spans="1:53" hidden="1">
      <c r="A815" t="s">
        <v>1815</v>
      </c>
      <c r="B815" t="s">
        <v>3083</v>
      </c>
      <c r="C815">
        <v>58</v>
      </c>
      <c r="F815" t="s">
        <v>1241</v>
      </c>
      <c r="G815" t="s">
        <v>1732</v>
      </c>
      <c r="I815">
        <v>2014</v>
      </c>
      <c r="N815" t="s">
        <v>36</v>
      </c>
      <c r="P815" t="s">
        <v>60</v>
      </c>
      <c r="Q815" t="s">
        <v>900</v>
      </c>
      <c r="R815" t="s">
        <v>946</v>
      </c>
      <c r="S815" t="s">
        <v>952</v>
      </c>
      <c r="V815" t="s">
        <v>1015</v>
      </c>
      <c r="Z815">
        <v>200</v>
      </c>
      <c r="AA815">
        <v>200</v>
      </c>
      <c r="AC815">
        <v>468</v>
      </c>
      <c r="AD815" s="37">
        <v>14</v>
      </c>
      <c r="AE815">
        <v>1038</v>
      </c>
      <c r="AF815" s="37">
        <v>17</v>
      </c>
      <c r="AG815" t="s">
        <v>3392</v>
      </c>
      <c r="AH815">
        <v>3.0161973535124389</v>
      </c>
      <c r="AI815" s="37">
        <v>14</v>
      </c>
      <c r="AJ815" t="s">
        <v>1813</v>
      </c>
      <c r="AK815" t="s">
        <v>59</v>
      </c>
      <c r="AM815"/>
      <c r="AN815">
        <v>97.98</v>
      </c>
      <c r="AO815">
        <v>42.850670939904781</v>
      </c>
      <c r="AP815">
        <v>96.72</v>
      </c>
      <c r="AQ815">
        <v>73.256262530926321</v>
      </c>
      <c r="AS815">
        <v>-1.2999999999999999E-2</v>
      </c>
      <c r="AT815">
        <v>3.8E-3</v>
      </c>
      <c r="AW815" s="28">
        <f t="shared" si="60"/>
        <v>-2.0996121907855041E-2</v>
      </c>
      <c r="AX815">
        <f t="shared" si="61"/>
        <v>0.99811439346323072</v>
      </c>
      <c r="AY815" s="62">
        <f t="shared" si="62"/>
        <v>-2.0956531483138783E-2</v>
      </c>
      <c r="AZ815" s="68" t="str">
        <f t="shared" si="63"/>
        <v>No</v>
      </c>
      <c r="BA815" s="68" t="str">
        <f t="shared" si="64"/>
        <v>No</v>
      </c>
    </row>
    <row r="816" spans="1:53" hidden="1">
      <c r="A816" t="s">
        <v>1815</v>
      </c>
      <c r="B816" t="s">
        <v>3089</v>
      </c>
      <c r="C816">
        <v>58</v>
      </c>
      <c r="F816" t="s">
        <v>1241</v>
      </c>
      <c r="G816" t="s">
        <v>1732</v>
      </c>
      <c r="I816">
        <v>2013</v>
      </c>
      <c r="N816" t="s">
        <v>36</v>
      </c>
      <c r="P816" t="s">
        <v>60</v>
      </c>
      <c r="Q816" t="s">
        <v>900</v>
      </c>
      <c r="R816" t="s">
        <v>946</v>
      </c>
      <c r="S816" t="s">
        <v>952</v>
      </c>
      <c r="V816" t="s">
        <v>1015</v>
      </c>
      <c r="Z816">
        <v>200</v>
      </c>
      <c r="AA816">
        <v>200</v>
      </c>
      <c r="AC816">
        <v>468</v>
      </c>
      <c r="AD816" s="37">
        <v>14</v>
      </c>
      <c r="AE816">
        <v>1702</v>
      </c>
      <c r="AF816" s="37">
        <v>17</v>
      </c>
      <c r="AG816" t="s">
        <v>3392</v>
      </c>
      <c r="AH816">
        <v>3.2309595557485689</v>
      </c>
      <c r="AI816" s="37">
        <v>14</v>
      </c>
      <c r="AJ816" t="s">
        <v>1812</v>
      </c>
      <c r="AK816" t="s">
        <v>59</v>
      </c>
      <c r="AM816"/>
      <c r="AN816">
        <v>36.25</v>
      </c>
      <c r="AO816">
        <v>75.236161518248664</v>
      </c>
      <c r="AP816">
        <v>63.75</v>
      </c>
      <c r="AQ816">
        <v>78.913116780418704</v>
      </c>
      <c r="AS816">
        <v>0.56499999999999995</v>
      </c>
      <c r="AT816">
        <v>2.92E-2</v>
      </c>
      <c r="AW816" s="28">
        <f t="shared" si="60"/>
        <v>0.35669553856896602</v>
      </c>
      <c r="AX816">
        <f t="shared" si="61"/>
        <v>0.99811439346323072</v>
      </c>
      <c r="AY816" s="62">
        <f t="shared" si="62"/>
        <v>0.35602295112980392</v>
      </c>
      <c r="AZ816" s="68" t="str">
        <f t="shared" si="63"/>
        <v>No</v>
      </c>
      <c r="BA816" s="68" t="str">
        <f t="shared" si="64"/>
        <v>No</v>
      </c>
    </row>
    <row r="817" spans="1:53" hidden="1">
      <c r="A817" t="s">
        <v>1815</v>
      </c>
      <c r="B817" t="s">
        <v>3090</v>
      </c>
      <c r="C817">
        <v>58</v>
      </c>
      <c r="F817" t="s">
        <v>1241</v>
      </c>
      <c r="G817" t="s">
        <v>1732</v>
      </c>
      <c r="I817">
        <v>2013</v>
      </c>
      <c r="N817" t="s">
        <v>36</v>
      </c>
      <c r="P817" t="s">
        <v>60</v>
      </c>
      <c r="Q817" t="s">
        <v>900</v>
      </c>
      <c r="R817" t="s">
        <v>946</v>
      </c>
      <c r="S817" t="s">
        <v>952</v>
      </c>
      <c r="V817" t="s">
        <v>1015</v>
      </c>
      <c r="Z817">
        <v>200</v>
      </c>
      <c r="AA817">
        <v>200</v>
      </c>
      <c r="AC817">
        <v>468</v>
      </c>
      <c r="AD817" s="37">
        <v>14</v>
      </c>
      <c r="AE817">
        <v>1038</v>
      </c>
      <c r="AF817" s="37">
        <v>17</v>
      </c>
      <c r="AG817" t="s">
        <v>3392</v>
      </c>
      <c r="AH817">
        <v>3.0161973535124389</v>
      </c>
      <c r="AI817" s="37">
        <v>14</v>
      </c>
      <c r="AJ817" t="s">
        <v>1812</v>
      </c>
      <c r="AK817" t="s">
        <v>59</v>
      </c>
      <c r="AM817"/>
      <c r="AN817">
        <v>36.25</v>
      </c>
      <c r="AO817">
        <v>75.236161518248664</v>
      </c>
      <c r="AP817">
        <v>72.239999999999995</v>
      </c>
      <c r="AQ817">
        <v>80.610173055266429</v>
      </c>
      <c r="AS817">
        <v>0.69</v>
      </c>
      <c r="AT817">
        <v>2.7799999999999998E-2</v>
      </c>
      <c r="AW817" s="28">
        <f t="shared" si="60"/>
        <v>0.4615908614747517</v>
      </c>
      <c r="AX817">
        <f t="shared" si="61"/>
        <v>0.99811439346323072</v>
      </c>
      <c r="AY817" s="62">
        <f t="shared" si="62"/>
        <v>0.46072048272904192</v>
      </c>
      <c r="AZ817" s="68" t="str">
        <f t="shared" si="63"/>
        <v>No</v>
      </c>
      <c r="BA817" s="68" t="str">
        <f t="shared" si="64"/>
        <v>No</v>
      </c>
    </row>
    <row r="818" spans="1:53" hidden="1">
      <c r="A818" t="s">
        <v>1815</v>
      </c>
      <c r="B818" t="s">
        <v>2217</v>
      </c>
      <c r="C818">
        <v>169</v>
      </c>
      <c r="F818" t="s">
        <v>1241</v>
      </c>
      <c r="G818" t="s">
        <v>1974</v>
      </c>
      <c r="I818">
        <v>2014</v>
      </c>
      <c r="N818" t="s">
        <v>36</v>
      </c>
      <c r="P818" t="s">
        <v>60</v>
      </c>
      <c r="Q818" t="s">
        <v>900</v>
      </c>
      <c r="R818" t="s">
        <v>888</v>
      </c>
      <c r="S818" t="s">
        <v>1993</v>
      </c>
      <c r="V818" t="s">
        <v>905</v>
      </c>
      <c r="Z818">
        <v>30</v>
      </c>
      <c r="AA818">
        <v>30</v>
      </c>
      <c r="AC818">
        <v>400</v>
      </c>
      <c r="AD818">
        <v>18.2</v>
      </c>
      <c r="AE818">
        <v>1608</v>
      </c>
      <c r="AF818">
        <v>18.2</v>
      </c>
      <c r="AG818" t="s">
        <v>3433</v>
      </c>
      <c r="AI818">
        <v>18.2</v>
      </c>
      <c r="AJ818" t="s">
        <v>2008</v>
      </c>
      <c r="AK818" t="s">
        <v>59</v>
      </c>
      <c r="AN818">
        <v>86.516900000000007</v>
      </c>
      <c r="AO818">
        <v>9.9685505465940238E-2</v>
      </c>
      <c r="AP818">
        <v>83.146100000000004</v>
      </c>
      <c r="AQ818">
        <v>0.19334606279932362</v>
      </c>
      <c r="AS818">
        <v>-3.9699999999999999E-2</v>
      </c>
      <c r="AT818">
        <v>1E-4</v>
      </c>
      <c r="AW818" s="28">
        <f t="shared" si="60"/>
        <v>-21.914222861814807</v>
      </c>
      <c r="AX818">
        <f t="shared" si="61"/>
        <v>0.98701298701298701</v>
      </c>
      <c r="AY818" s="62">
        <f t="shared" si="62"/>
        <v>-21.629622564908122</v>
      </c>
      <c r="AZ818" s="68" t="str">
        <f t="shared" si="63"/>
        <v>No</v>
      </c>
      <c r="BA818" s="68" t="str">
        <f t="shared" si="64"/>
        <v>Yes</v>
      </c>
    </row>
    <row r="819" spans="1:53" hidden="1">
      <c r="A819" t="s">
        <v>1815</v>
      </c>
      <c r="B819" t="s">
        <v>2223</v>
      </c>
      <c r="C819">
        <v>169</v>
      </c>
      <c r="F819" t="s">
        <v>1241</v>
      </c>
      <c r="G819" t="s">
        <v>1974</v>
      </c>
      <c r="I819">
        <v>2018</v>
      </c>
      <c r="N819" t="s">
        <v>36</v>
      </c>
      <c r="P819" t="s">
        <v>60</v>
      </c>
      <c r="Q819" t="s">
        <v>900</v>
      </c>
      <c r="R819" t="s">
        <v>888</v>
      </c>
      <c r="S819" t="s">
        <v>1993</v>
      </c>
      <c r="V819" t="s">
        <v>905</v>
      </c>
      <c r="Z819">
        <v>30</v>
      </c>
      <c r="AA819">
        <v>30</v>
      </c>
      <c r="AC819">
        <v>400</v>
      </c>
      <c r="AD819">
        <v>18.2</v>
      </c>
      <c r="AE819">
        <v>1608</v>
      </c>
      <c r="AF819">
        <v>18.2</v>
      </c>
      <c r="AG819" t="s">
        <v>3433</v>
      </c>
      <c r="AI819">
        <v>18.2</v>
      </c>
      <c r="AJ819" t="s">
        <v>2011</v>
      </c>
      <c r="AK819" t="s">
        <v>904</v>
      </c>
      <c r="AN819">
        <v>35.04</v>
      </c>
      <c r="AO819">
        <v>2.4099792530227312E-2</v>
      </c>
      <c r="AP819">
        <v>33.68</v>
      </c>
      <c r="AQ819">
        <v>3.0672463220289301E-2</v>
      </c>
      <c r="AS819">
        <v>-3.9600000000000003E-2</v>
      </c>
      <c r="AT819">
        <v>1E-4</v>
      </c>
      <c r="AW819" s="28">
        <f t="shared" si="60"/>
        <v>-49.30644107457551</v>
      </c>
      <c r="AX819">
        <f t="shared" si="61"/>
        <v>0.98701298701298701</v>
      </c>
      <c r="AY819" s="62">
        <f t="shared" si="62"/>
        <v>-48.666097683996604</v>
      </c>
      <c r="AZ819" s="68" t="str">
        <f t="shared" si="63"/>
        <v>No</v>
      </c>
      <c r="BA819" s="68" t="str">
        <f t="shared" si="64"/>
        <v>Yes</v>
      </c>
    </row>
    <row r="820" spans="1:53" hidden="1">
      <c r="A820" t="s">
        <v>1815</v>
      </c>
      <c r="B820" t="s">
        <v>2226</v>
      </c>
      <c r="C820">
        <v>169</v>
      </c>
      <c r="F820" t="s">
        <v>1241</v>
      </c>
      <c r="G820" t="s">
        <v>1974</v>
      </c>
      <c r="I820">
        <v>2017</v>
      </c>
      <c r="N820" t="s">
        <v>36</v>
      </c>
      <c r="P820" t="s">
        <v>60</v>
      </c>
      <c r="Q820" t="s">
        <v>900</v>
      </c>
      <c r="R820" t="s">
        <v>888</v>
      </c>
      <c r="S820" t="s">
        <v>1993</v>
      </c>
      <c r="V820" t="s">
        <v>905</v>
      </c>
      <c r="Z820">
        <v>9</v>
      </c>
      <c r="AA820">
        <v>9</v>
      </c>
      <c r="AC820">
        <v>400</v>
      </c>
      <c r="AD820">
        <v>18.2</v>
      </c>
      <c r="AE820">
        <v>1608</v>
      </c>
      <c r="AF820">
        <v>18.2</v>
      </c>
      <c r="AG820" t="s">
        <v>3433</v>
      </c>
      <c r="AI820">
        <v>18.2</v>
      </c>
      <c r="AJ820" t="s">
        <v>2012</v>
      </c>
      <c r="AK820" t="s">
        <v>904</v>
      </c>
      <c r="AN820">
        <v>27.7941</v>
      </c>
      <c r="AO820">
        <v>0.09</v>
      </c>
      <c r="AP820">
        <v>21.176500000000001</v>
      </c>
      <c r="AQ820">
        <v>5.16E-2</v>
      </c>
      <c r="AS820">
        <v>-0.27189999999999998</v>
      </c>
      <c r="AT820">
        <v>1E-4</v>
      </c>
      <c r="AW820" s="28">
        <f t="shared" si="60"/>
        <v>-90.210630410318856</v>
      </c>
      <c r="AX820">
        <f t="shared" si="61"/>
        <v>0.95238095238095233</v>
      </c>
      <c r="AY820" s="62">
        <f t="shared" si="62"/>
        <v>-85.914886105065577</v>
      </c>
      <c r="AZ820" s="68" t="str">
        <f t="shared" si="63"/>
        <v>No</v>
      </c>
      <c r="BA820" s="68" t="str">
        <f t="shared" si="64"/>
        <v>Yes</v>
      </c>
    </row>
    <row r="821" spans="1:53" hidden="1">
      <c r="A821" t="s">
        <v>1815</v>
      </c>
      <c r="B821" t="s">
        <v>2237</v>
      </c>
      <c r="C821">
        <v>169</v>
      </c>
      <c r="F821" t="s">
        <v>1241</v>
      </c>
      <c r="G821" t="s">
        <v>3913</v>
      </c>
      <c r="I821">
        <v>2017</v>
      </c>
      <c r="N821" t="s">
        <v>36</v>
      </c>
      <c r="P821" t="s">
        <v>60</v>
      </c>
      <c r="Q821" t="s">
        <v>900</v>
      </c>
      <c r="R821" t="s">
        <v>888</v>
      </c>
      <c r="S821" t="s">
        <v>1993</v>
      </c>
      <c r="V821" t="s">
        <v>905</v>
      </c>
      <c r="Z821">
        <v>60</v>
      </c>
      <c r="AA821">
        <v>60</v>
      </c>
      <c r="AC821">
        <v>400</v>
      </c>
      <c r="AD821">
        <v>18.2</v>
      </c>
      <c r="AE821">
        <v>1608</v>
      </c>
      <c r="AF821">
        <v>18.2</v>
      </c>
      <c r="AG821" t="s">
        <v>3431</v>
      </c>
      <c r="AI821">
        <v>18.2</v>
      </c>
      <c r="AJ821" t="s">
        <v>2006</v>
      </c>
      <c r="AK821" t="s">
        <v>40</v>
      </c>
      <c r="AN821">
        <v>564.51610000000005</v>
      </c>
      <c r="AO821">
        <v>6.7389910224009055</v>
      </c>
      <c r="AP821">
        <v>814.51610000000005</v>
      </c>
      <c r="AQ821">
        <v>7.2579707907927</v>
      </c>
      <c r="AS821">
        <v>0.36659999999999998</v>
      </c>
      <c r="AT821">
        <v>1E-4</v>
      </c>
      <c r="AW821" s="28">
        <f t="shared" si="60"/>
        <v>35.697508185484416</v>
      </c>
      <c r="AX821">
        <f t="shared" si="61"/>
        <v>0.99363057324840764</v>
      </c>
      <c r="AY821" s="62">
        <f t="shared" si="62"/>
        <v>35.470135521882604</v>
      </c>
      <c r="AZ821" s="68" t="str">
        <f t="shared" si="63"/>
        <v>Yes</v>
      </c>
      <c r="BA821" s="68" t="str">
        <f t="shared" si="64"/>
        <v>No</v>
      </c>
    </row>
    <row r="822" spans="1:53" hidden="1">
      <c r="A822" t="s">
        <v>1815</v>
      </c>
      <c r="B822" t="s">
        <v>2379</v>
      </c>
      <c r="C822">
        <v>169</v>
      </c>
      <c r="F822" t="s">
        <v>1241</v>
      </c>
      <c r="G822" t="s">
        <v>1974</v>
      </c>
      <c r="I822">
        <v>2019</v>
      </c>
      <c r="N822" t="s">
        <v>36</v>
      </c>
      <c r="P822" t="s">
        <v>60</v>
      </c>
      <c r="Q822" t="s">
        <v>900</v>
      </c>
      <c r="R822" t="s">
        <v>888</v>
      </c>
      <c r="S822" t="s">
        <v>1993</v>
      </c>
      <c r="V822" t="s">
        <v>905</v>
      </c>
      <c r="Z822">
        <v>30</v>
      </c>
      <c r="AA822">
        <v>30</v>
      </c>
      <c r="AC822">
        <v>400</v>
      </c>
      <c r="AD822">
        <v>18.2</v>
      </c>
      <c r="AE822">
        <v>1608</v>
      </c>
      <c r="AF822">
        <v>18.2</v>
      </c>
      <c r="AG822" t="s">
        <v>3431</v>
      </c>
      <c r="AI822">
        <v>18.2</v>
      </c>
      <c r="AJ822" t="s">
        <v>2037</v>
      </c>
      <c r="AK822" t="s">
        <v>904</v>
      </c>
      <c r="AN822">
        <v>36.96</v>
      </c>
      <c r="AO822">
        <v>5.4772255750516613E-2</v>
      </c>
      <c r="AP822">
        <v>35.44</v>
      </c>
      <c r="AQ822">
        <v>2.0265734627691146E-2</v>
      </c>
      <c r="AS822">
        <v>-4.2000000000000003E-2</v>
      </c>
      <c r="AT822">
        <v>1E-4</v>
      </c>
      <c r="AW822" s="28">
        <f t="shared" si="60"/>
        <v>-36.807542750511068</v>
      </c>
      <c r="AX822">
        <f t="shared" si="61"/>
        <v>0.98701298701298701</v>
      </c>
      <c r="AY822" s="62">
        <f t="shared" si="62"/>
        <v>-36.329522714790144</v>
      </c>
      <c r="AZ822" s="68" t="str">
        <f t="shared" si="63"/>
        <v>No</v>
      </c>
      <c r="BA822" s="68" t="str">
        <f t="shared" si="64"/>
        <v>Yes</v>
      </c>
    </row>
    <row r="823" spans="1:53" hidden="1">
      <c r="A823" t="s">
        <v>1815</v>
      </c>
      <c r="B823" t="s">
        <v>2394</v>
      </c>
      <c r="C823">
        <v>169</v>
      </c>
      <c r="F823" t="s">
        <v>1241</v>
      </c>
      <c r="G823" t="s">
        <v>1974</v>
      </c>
      <c r="I823">
        <v>2018</v>
      </c>
      <c r="N823" t="s">
        <v>36</v>
      </c>
      <c r="P823" t="s">
        <v>60</v>
      </c>
      <c r="Q823" t="s">
        <v>900</v>
      </c>
      <c r="R823" t="s">
        <v>888</v>
      </c>
      <c r="S823" t="s">
        <v>1993</v>
      </c>
      <c r="V823" t="s">
        <v>905</v>
      </c>
      <c r="Z823">
        <v>3</v>
      </c>
      <c r="AA823">
        <v>3</v>
      </c>
      <c r="AC823">
        <v>400</v>
      </c>
      <c r="AD823">
        <v>18.2</v>
      </c>
      <c r="AE823">
        <v>1608</v>
      </c>
      <c r="AF823">
        <v>18.2</v>
      </c>
      <c r="AG823" t="s">
        <v>3431</v>
      </c>
      <c r="AI823">
        <v>18.2</v>
      </c>
      <c r="AJ823" t="s">
        <v>2046</v>
      </c>
      <c r="AK823" t="s">
        <v>69</v>
      </c>
      <c r="AN823">
        <v>45.599299999999999</v>
      </c>
      <c r="AO823">
        <v>3.2735760263051777E-2</v>
      </c>
      <c r="AP823">
        <v>39.232199999999999</v>
      </c>
      <c r="AQ823">
        <v>2.0264994448555864E-2</v>
      </c>
      <c r="AS823">
        <v>-0.15040000000000001</v>
      </c>
      <c r="AT823">
        <v>1E-4</v>
      </c>
      <c r="AW823" s="28">
        <f t="shared" si="60"/>
        <v>-233.87759235584352</v>
      </c>
      <c r="AX823">
        <f t="shared" si="61"/>
        <v>0.8</v>
      </c>
      <c r="AY823" s="62">
        <f t="shared" si="62"/>
        <v>-187.10207388467484</v>
      </c>
      <c r="AZ823" s="68" t="str">
        <f t="shared" si="63"/>
        <v>No</v>
      </c>
      <c r="BA823" s="68" t="str">
        <f t="shared" si="64"/>
        <v>Yes</v>
      </c>
    </row>
    <row r="824" spans="1:53" hidden="1">
      <c r="A824" t="s">
        <v>1815</v>
      </c>
      <c r="B824" t="s">
        <v>2420</v>
      </c>
      <c r="C824">
        <v>169</v>
      </c>
      <c r="F824" t="s">
        <v>1241</v>
      </c>
      <c r="G824" t="s">
        <v>1974</v>
      </c>
      <c r="I824">
        <v>2015</v>
      </c>
      <c r="N824" t="s">
        <v>36</v>
      </c>
      <c r="P824" t="s">
        <v>60</v>
      </c>
      <c r="Q824" t="s">
        <v>900</v>
      </c>
      <c r="R824" t="s">
        <v>888</v>
      </c>
      <c r="S824" t="s">
        <v>1993</v>
      </c>
      <c r="V824" t="s">
        <v>905</v>
      </c>
      <c r="Z824">
        <v>60</v>
      </c>
      <c r="AA824">
        <v>60</v>
      </c>
      <c r="AC824">
        <v>400</v>
      </c>
      <c r="AD824">
        <v>18.2</v>
      </c>
      <c r="AE824">
        <v>1608</v>
      </c>
      <c r="AF824">
        <v>18.2</v>
      </c>
      <c r="AG824" t="s">
        <v>3431</v>
      </c>
      <c r="AI824">
        <v>18.2</v>
      </c>
      <c r="AJ824" t="s">
        <v>1099</v>
      </c>
      <c r="AK824" t="s">
        <v>40</v>
      </c>
      <c r="AN824">
        <v>10.674200000000001</v>
      </c>
      <c r="AO824">
        <v>2.0139513400278568E-2</v>
      </c>
      <c r="AP824">
        <v>8.2396999999999991</v>
      </c>
      <c r="AQ824">
        <v>1.7041126723312636E-2</v>
      </c>
      <c r="AS824">
        <v>-0.25890000000000002</v>
      </c>
      <c r="AT824">
        <v>1E-4</v>
      </c>
      <c r="AW824" s="28">
        <f t="shared" si="60"/>
        <v>-130.50289830313068</v>
      </c>
      <c r="AX824">
        <f t="shared" si="61"/>
        <v>0.99363057324840764</v>
      </c>
      <c r="AY824" s="62">
        <f t="shared" si="62"/>
        <v>-129.67166965151839</v>
      </c>
      <c r="AZ824" s="68" t="str">
        <f t="shared" si="63"/>
        <v>No</v>
      </c>
      <c r="BA824" s="68" t="str">
        <f t="shared" si="64"/>
        <v>Yes</v>
      </c>
    </row>
    <row r="825" spans="1:53" hidden="1">
      <c r="A825" t="s">
        <v>1815</v>
      </c>
      <c r="B825" t="s">
        <v>2435</v>
      </c>
      <c r="C825">
        <v>169</v>
      </c>
      <c r="F825" t="s">
        <v>1241</v>
      </c>
      <c r="G825" t="s">
        <v>1974</v>
      </c>
      <c r="I825">
        <v>2017</v>
      </c>
      <c r="N825" t="s">
        <v>36</v>
      </c>
      <c r="P825" t="s">
        <v>60</v>
      </c>
      <c r="Q825" t="s">
        <v>900</v>
      </c>
      <c r="R825" t="s">
        <v>888</v>
      </c>
      <c r="S825" t="s">
        <v>1993</v>
      </c>
      <c r="V825" t="s">
        <v>905</v>
      </c>
      <c r="Z825">
        <v>9</v>
      </c>
      <c r="AA825">
        <v>9</v>
      </c>
      <c r="AC825">
        <v>400</v>
      </c>
      <c r="AD825">
        <v>18.2</v>
      </c>
      <c r="AE825">
        <v>1608</v>
      </c>
      <c r="AF825">
        <v>18.2</v>
      </c>
      <c r="AG825" t="s">
        <v>3431</v>
      </c>
      <c r="AI825">
        <v>18.2</v>
      </c>
      <c r="AJ825" t="s">
        <v>2016</v>
      </c>
      <c r="AK825" t="s">
        <v>904</v>
      </c>
      <c r="AN825">
        <v>22.941199999999998</v>
      </c>
      <c r="AO825">
        <v>0.09</v>
      </c>
      <c r="AP825">
        <v>16.764700000000001</v>
      </c>
      <c r="AQ825">
        <v>7.350000000000001E-2</v>
      </c>
      <c r="AS825">
        <v>-0.31369999999999998</v>
      </c>
      <c r="AT825">
        <v>1E-4</v>
      </c>
      <c r="AW825" s="28">
        <f t="shared" si="60"/>
        <v>-75.171699873349596</v>
      </c>
      <c r="AX825">
        <f t="shared" si="61"/>
        <v>0.95238095238095233</v>
      </c>
      <c r="AY825" s="62">
        <f t="shared" si="62"/>
        <v>-71.592095117475807</v>
      </c>
      <c r="AZ825" s="68" t="str">
        <f t="shared" si="63"/>
        <v>No</v>
      </c>
      <c r="BA825" s="68" t="str">
        <f t="shared" si="64"/>
        <v>Yes</v>
      </c>
    </row>
    <row r="826" spans="1:53" hidden="1">
      <c r="A826" t="s">
        <v>1815</v>
      </c>
      <c r="B826" t="s">
        <v>2457</v>
      </c>
      <c r="C826">
        <v>169</v>
      </c>
      <c r="F826" t="s">
        <v>1241</v>
      </c>
      <c r="G826" t="s">
        <v>1974</v>
      </c>
      <c r="I826">
        <v>2014</v>
      </c>
      <c r="N826" t="s">
        <v>36</v>
      </c>
      <c r="P826" t="s">
        <v>60</v>
      </c>
      <c r="Q826" t="s">
        <v>900</v>
      </c>
      <c r="R826" t="s">
        <v>888</v>
      </c>
      <c r="S826" t="s">
        <v>1993</v>
      </c>
      <c r="V826" t="s">
        <v>905</v>
      </c>
      <c r="Z826">
        <v>60</v>
      </c>
      <c r="AA826">
        <v>60</v>
      </c>
      <c r="AC826">
        <v>400</v>
      </c>
      <c r="AD826">
        <v>18.2</v>
      </c>
      <c r="AE826">
        <v>1608</v>
      </c>
      <c r="AF826">
        <v>18.2</v>
      </c>
      <c r="AG826" t="s">
        <v>3431</v>
      </c>
      <c r="AI826">
        <v>18.2</v>
      </c>
      <c r="AJ826" t="s">
        <v>2050</v>
      </c>
      <c r="AK826" t="s">
        <v>770</v>
      </c>
      <c r="AN826">
        <v>70.835700000000003</v>
      </c>
      <c r="AO826">
        <v>7.7459666924148338E-2</v>
      </c>
      <c r="AP826">
        <v>86.858800000000002</v>
      </c>
      <c r="AQ826">
        <v>3.6406043454349724E-2</v>
      </c>
      <c r="AS826">
        <v>-0.79720000000000002</v>
      </c>
      <c r="AT826">
        <v>1E-4</v>
      </c>
      <c r="AW826" s="28">
        <f t="shared" si="60"/>
        <v>264.75603527377035</v>
      </c>
      <c r="AX826">
        <f t="shared" si="61"/>
        <v>0.99363057324840764</v>
      </c>
      <c r="AY826" s="62">
        <f t="shared" si="62"/>
        <v>263.06969110005207</v>
      </c>
      <c r="AZ826" s="68" t="str">
        <f t="shared" si="63"/>
        <v>Yes</v>
      </c>
      <c r="BA826" s="68" t="str">
        <f t="shared" si="64"/>
        <v>No</v>
      </c>
    </row>
    <row r="827" spans="1:53" hidden="1">
      <c r="A827" t="s">
        <v>1815</v>
      </c>
      <c r="B827" t="s">
        <v>2216</v>
      </c>
      <c r="C827">
        <v>169</v>
      </c>
      <c r="F827" t="s">
        <v>1241</v>
      </c>
      <c r="G827" t="s">
        <v>1974</v>
      </c>
      <c r="I827">
        <v>2020</v>
      </c>
      <c r="N827" t="s">
        <v>36</v>
      </c>
      <c r="P827" t="s">
        <v>60</v>
      </c>
      <c r="Q827" t="s">
        <v>900</v>
      </c>
      <c r="R827" t="s">
        <v>888</v>
      </c>
      <c r="S827" t="s">
        <v>1993</v>
      </c>
      <c r="V827" t="s">
        <v>907</v>
      </c>
      <c r="Z827">
        <v>30</v>
      </c>
      <c r="AA827">
        <v>30</v>
      </c>
      <c r="AC827">
        <v>400</v>
      </c>
      <c r="AD827">
        <v>18.2</v>
      </c>
      <c r="AE827">
        <v>425</v>
      </c>
      <c r="AF827">
        <v>22</v>
      </c>
      <c r="AG827" t="s">
        <v>3433</v>
      </c>
      <c r="AI827">
        <v>18.2</v>
      </c>
      <c r="AJ827" t="s">
        <v>2008</v>
      </c>
      <c r="AK827" t="s">
        <v>59</v>
      </c>
      <c r="AN827">
        <v>86.516900000000007</v>
      </c>
      <c r="AO827">
        <v>9.9685505465940238E-2</v>
      </c>
      <c r="AP827">
        <v>76.778999999999996</v>
      </c>
      <c r="AQ827">
        <v>8.7635609200826581E-2</v>
      </c>
      <c r="AS827">
        <v>-0.11940000000000001</v>
      </c>
      <c r="AT827">
        <v>1E-4</v>
      </c>
      <c r="AW827" s="28">
        <f t="shared" si="60"/>
        <v>-103.75567637414386</v>
      </c>
      <c r="AX827">
        <f t="shared" si="61"/>
        <v>0.98701298701298701</v>
      </c>
      <c r="AY827" s="62">
        <f t="shared" si="62"/>
        <v>-102.40820005759653</v>
      </c>
      <c r="AZ827" s="68" t="str">
        <f t="shared" si="63"/>
        <v>No</v>
      </c>
      <c r="BA827" s="68" t="str">
        <f t="shared" si="64"/>
        <v>Yes</v>
      </c>
    </row>
    <row r="828" spans="1:53" hidden="1">
      <c r="A828" t="s">
        <v>1815</v>
      </c>
      <c r="B828" t="s">
        <v>2219</v>
      </c>
      <c r="C828">
        <v>169</v>
      </c>
      <c r="F828" t="s">
        <v>1241</v>
      </c>
      <c r="G828" t="s">
        <v>1974</v>
      </c>
      <c r="I828">
        <v>2014</v>
      </c>
      <c r="N828" t="s">
        <v>36</v>
      </c>
      <c r="P828" t="s">
        <v>60</v>
      </c>
      <c r="Q828" t="s">
        <v>900</v>
      </c>
      <c r="R828" t="s">
        <v>888</v>
      </c>
      <c r="S828" t="s">
        <v>1993</v>
      </c>
      <c r="V828" t="s">
        <v>907</v>
      </c>
      <c r="Z828">
        <v>60</v>
      </c>
      <c r="AA828">
        <v>60</v>
      </c>
      <c r="AC828">
        <v>400</v>
      </c>
      <c r="AD828">
        <v>18.2</v>
      </c>
      <c r="AE828">
        <v>425</v>
      </c>
      <c r="AF828">
        <v>22</v>
      </c>
      <c r="AG828" t="s">
        <v>3431</v>
      </c>
      <c r="AI828">
        <v>18.2</v>
      </c>
      <c r="AJ828" t="s">
        <v>2006</v>
      </c>
      <c r="AK828" t="s">
        <v>40</v>
      </c>
      <c r="AN828">
        <v>564.51610000000005</v>
      </c>
      <c r="AO828">
        <v>6.7389910224009055</v>
      </c>
      <c r="AP828">
        <v>1782.2581</v>
      </c>
      <c r="AQ828">
        <v>4.8389053927515473</v>
      </c>
      <c r="AS828">
        <v>1.1496999999999999</v>
      </c>
      <c r="AT828">
        <v>1E-4</v>
      </c>
      <c r="AW828" s="28">
        <f t="shared" si="60"/>
        <v>207.5795356044674</v>
      </c>
      <c r="AX828">
        <f t="shared" si="61"/>
        <v>0.99363057324840764</v>
      </c>
      <c r="AY828" s="62">
        <f t="shared" si="62"/>
        <v>206.25737295730519</v>
      </c>
      <c r="AZ828" s="68" t="str">
        <f t="shared" si="63"/>
        <v>Yes</v>
      </c>
      <c r="BA828" s="68" t="str">
        <f t="shared" si="64"/>
        <v>No</v>
      </c>
    </row>
    <row r="829" spans="1:53" hidden="1">
      <c r="A829" t="s">
        <v>1815</v>
      </c>
      <c r="B829" t="s">
        <v>2222</v>
      </c>
      <c r="C829">
        <v>169</v>
      </c>
      <c r="F829" t="s">
        <v>1241</v>
      </c>
      <c r="G829" t="s">
        <v>1974</v>
      </c>
      <c r="I829">
        <v>2014</v>
      </c>
      <c r="N829" t="s">
        <v>36</v>
      </c>
      <c r="P829" t="s">
        <v>60</v>
      </c>
      <c r="Q829" t="s">
        <v>900</v>
      </c>
      <c r="R829" t="s">
        <v>888</v>
      </c>
      <c r="S829" t="s">
        <v>1993</v>
      </c>
      <c r="V829" t="s">
        <v>907</v>
      </c>
      <c r="Z829">
        <v>30</v>
      </c>
      <c r="AA829">
        <v>30</v>
      </c>
      <c r="AC829">
        <v>400</v>
      </c>
      <c r="AD829">
        <v>18.2</v>
      </c>
      <c r="AE829">
        <v>425</v>
      </c>
      <c r="AF829">
        <v>22</v>
      </c>
      <c r="AG829" t="s">
        <v>3433</v>
      </c>
      <c r="AI829">
        <v>18.2</v>
      </c>
      <c r="AJ829" t="s">
        <v>2011</v>
      </c>
      <c r="AK829" t="s">
        <v>904</v>
      </c>
      <c r="AN829">
        <v>35.04</v>
      </c>
      <c r="AO829">
        <v>2.4099792530227312E-2</v>
      </c>
      <c r="AP829">
        <v>35.64</v>
      </c>
      <c r="AQ829">
        <v>2.7933850432763474E-2</v>
      </c>
      <c r="AS829">
        <v>1.7000000000000001E-2</v>
      </c>
      <c r="AT829">
        <v>1E-4</v>
      </c>
      <c r="AW829" s="28">
        <f t="shared" si="60"/>
        <v>22.999650216312808</v>
      </c>
      <c r="AX829">
        <f t="shared" si="61"/>
        <v>0.98701298701298701</v>
      </c>
      <c r="AY829" s="62">
        <f t="shared" si="62"/>
        <v>22.700953460256798</v>
      </c>
      <c r="AZ829" s="68" t="str">
        <f t="shared" si="63"/>
        <v>Yes</v>
      </c>
      <c r="BA829" s="68" t="str">
        <f t="shared" si="64"/>
        <v>No</v>
      </c>
    </row>
    <row r="830" spans="1:53" hidden="1">
      <c r="A830" t="s">
        <v>1815</v>
      </c>
      <c r="B830" t="s">
        <v>2225</v>
      </c>
      <c r="C830">
        <v>169</v>
      </c>
      <c r="F830" t="s">
        <v>1241</v>
      </c>
      <c r="G830" t="s">
        <v>1974</v>
      </c>
      <c r="I830">
        <v>2020</v>
      </c>
      <c r="N830" t="s">
        <v>36</v>
      </c>
      <c r="P830" t="s">
        <v>60</v>
      </c>
      <c r="Q830" t="s">
        <v>900</v>
      </c>
      <c r="R830" t="s">
        <v>888</v>
      </c>
      <c r="S830" t="s">
        <v>1993</v>
      </c>
      <c r="V830" t="s">
        <v>907</v>
      </c>
      <c r="Z830">
        <v>9</v>
      </c>
      <c r="AA830">
        <v>9</v>
      </c>
      <c r="AC830">
        <v>400</v>
      </c>
      <c r="AD830">
        <v>18.2</v>
      </c>
      <c r="AE830">
        <v>425</v>
      </c>
      <c r="AF830">
        <v>22</v>
      </c>
      <c r="AG830" t="s">
        <v>3433</v>
      </c>
      <c r="AI830">
        <v>18.2</v>
      </c>
      <c r="AJ830" t="s">
        <v>2012</v>
      </c>
      <c r="AK830" t="s">
        <v>904</v>
      </c>
      <c r="AN830">
        <v>27.7941</v>
      </c>
      <c r="AO830">
        <v>0.09</v>
      </c>
      <c r="AP830">
        <v>36.176499999999997</v>
      </c>
      <c r="AQ830">
        <v>5.8799999999999998E-2</v>
      </c>
      <c r="AS830">
        <v>0.2636</v>
      </c>
      <c r="AT830">
        <v>1E-4</v>
      </c>
      <c r="AW830" s="28">
        <f t="shared" si="60"/>
        <v>110.26877633574269</v>
      </c>
      <c r="AX830">
        <f t="shared" si="61"/>
        <v>0.95238095238095233</v>
      </c>
      <c r="AY830" s="62">
        <f t="shared" si="62"/>
        <v>105.01788222451684</v>
      </c>
      <c r="AZ830" s="68" t="str">
        <f t="shared" si="63"/>
        <v>Yes</v>
      </c>
      <c r="BA830" s="68" t="str">
        <f t="shared" si="64"/>
        <v>No</v>
      </c>
    </row>
    <row r="831" spans="1:53" hidden="1">
      <c r="A831" t="s">
        <v>1815</v>
      </c>
      <c r="B831" t="s">
        <v>2235</v>
      </c>
      <c r="C831">
        <v>169</v>
      </c>
      <c r="F831" t="s">
        <v>1241</v>
      </c>
      <c r="G831" t="s">
        <v>1974</v>
      </c>
      <c r="I831">
        <v>2018</v>
      </c>
      <c r="N831" t="s">
        <v>36</v>
      </c>
      <c r="P831" t="s">
        <v>60</v>
      </c>
      <c r="Q831" t="s">
        <v>900</v>
      </c>
      <c r="R831" t="s">
        <v>888</v>
      </c>
      <c r="S831" t="s">
        <v>1993</v>
      </c>
      <c r="V831" t="s">
        <v>907</v>
      </c>
      <c r="Z831">
        <v>9</v>
      </c>
      <c r="AA831">
        <v>9</v>
      </c>
      <c r="AC831">
        <v>400</v>
      </c>
      <c r="AD831">
        <v>18.2</v>
      </c>
      <c r="AE831">
        <v>425</v>
      </c>
      <c r="AF831">
        <v>22</v>
      </c>
      <c r="AG831" t="s">
        <v>3431</v>
      </c>
      <c r="AI831">
        <v>18.2</v>
      </c>
      <c r="AJ831" t="s">
        <v>2016</v>
      </c>
      <c r="AK831" t="s">
        <v>904</v>
      </c>
      <c r="AN831">
        <v>22.941199999999998</v>
      </c>
      <c r="AO831">
        <v>0.09</v>
      </c>
      <c r="AP831">
        <v>34.852899999999998</v>
      </c>
      <c r="AQ831">
        <v>6.6299999999999998E-2</v>
      </c>
      <c r="AS831">
        <v>0.41820000000000002</v>
      </c>
      <c r="AT831">
        <v>1E-4</v>
      </c>
      <c r="AW831" s="28">
        <f t="shared" si="60"/>
        <v>150.69839386150937</v>
      </c>
      <c r="AX831">
        <f t="shared" si="61"/>
        <v>0.95238095238095233</v>
      </c>
      <c r="AY831" s="62">
        <f t="shared" si="62"/>
        <v>143.52227986810416</v>
      </c>
      <c r="AZ831" s="68" t="str">
        <f t="shared" si="63"/>
        <v>Yes</v>
      </c>
      <c r="BA831" s="68" t="str">
        <f t="shared" si="64"/>
        <v>No</v>
      </c>
    </row>
    <row r="832" spans="1:53" hidden="1">
      <c r="A832" t="s">
        <v>1815</v>
      </c>
      <c r="B832" t="s">
        <v>2241</v>
      </c>
      <c r="C832">
        <v>169</v>
      </c>
      <c r="F832" t="s">
        <v>1241</v>
      </c>
      <c r="G832" t="s">
        <v>1974</v>
      </c>
      <c r="I832">
        <v>2018</v>
      </c>
      <c r="N832" t="s">
        <v>36</v>
      </c>
      <c r="P832" t="s">
        <v>60</v>
      </c>
      <c r="Q832" t="s">
        <v>900</v>
      </c>
      <c r="R832" t="s">
        <v>888</v>
      </c>
      <c r="S832" t="s">
        <v>1993</v>
      </c>
      <c r="V832" t="s">
        <v>907</v>
      </c>
      <c r="Z832">
        <v>60</v>
      </c>
      <c r="AA832">
        <v>60</v>
      </c>
      <c r="AC832">
        <v>400</v>
      </c>
      <c r="AD832">
        <v>18.2</v>
      </c>
      <c r="AE832">
        <v>425</v>
      </c>
      <c r="AF832">
        <v>22</v>
      </c>
      <c r="AG832" t="s">
        <v>3431</v>
      </c>
      <c r="AI832">
        <v>18.2</v>
      </c>
      <c r="AJ832" t="s">
        <v>1099</v>
      </c>
      <c r="AK832" t="s">
        <v>40</v>
      </c>
      <c r="AN832">
        <v>10.674200000000001</v>
      </c>
      <c r="AO832">
        <v>2.0139513400278568E-2</v>
      </c>
      <c r="AP832">
        <v>14.7004</v>
      </c>
      <c r="AQ832">
        <v>1.2393546707863735E-2</v>
      </c>
      <c r="AS832">
        <v>0.32</v>
      </c>
      <c r="AT832">
        <v>1E-4</v>
      </c>
      <c r="AW832" s="28">
        <f t="shared" si="60"/>
        <v>240.78352104270434</v>
      </c>
      <c r="AX832">
        <f t="shared" si="61"/>
        <v>0.99363057324840764</v>
      </c>
      <c r="AY832" s="62">
        <f t="shared" si="62"/>
        <v>239.24986804243233</v>
      </c>
      <c r="AZ832" s="68" t="str">
        <f t="shared" si="63"/>
        <v>Yes</v>
      </c>
      <c r="BA832" s="68" t="str">
        <f t="shared" si="64"/>
        <v>No</v>
      </c>
    </row>
    <row r="833" spans="1:53" hidden="1">
      <c r="A833" t="s">
        <v>1815</v>
      </c>
      <c r="B833" t="s">
        <v>2335</v>
      </c>
      <c r="C833">
        <v>169</v>
      </c>
      <c r="F833" t="s">
        <v>1241</v>
      </c>
      <c r="G833" t="s">
        <v>1974</v>
      </c>
      <c r="I833">
        <v>2021</v>
      </c>
      <c r="N833" t="s">
        <v>36</v>
      </c>
      <c r="P833" t="s">
        <v>60</v>
      </c>
      <c r="Q833" t="s">
        <v>900</v>
      </c>
      <c r="R833" t="s">
        <v>888</v>
      </c>
      <c r="S833" t="s">
        <v>1993</v>
      </c>
      <c r="V833" t="s">
        <v>907</v>
      </c>
      <c r="Z833">
        <v>30</v>
      </c>
      <c r="AA833">
        <v>30</v>
      </c>
      <c r="AC833">
        <v>400</v>
      </c>
      <c r="AD833">
        <v>18.2</v>
      </c>
      <c r="AE833">
        <v>425</v>
      </c>
      <c r="AF833">
        <v>22</v>
      </c>
      <c r="AG833" t="s">
        <v>3431</v>
      </c>
      <c r="AI833">
        <v>18.2</v>
      </c>
      <c r="AJ833" t="s">
        <v>2037</v>
      </c>
      <c r="AK833" t="s">
        <v>904</v>
      </c>
      <c r="AN833">
        <v>36.96</v>
      </c>
      <c r="AO833">
        <v>5.4772255750516613E-2</v>
      </c>
      <c r="AP833">
        <v>38.28</v>
      </c>
      <c r="AQ833">
        <v>1.5883954167649816E-2</v>
      </c>
      <c r="AS833">
        <v>3.5099999999999999E-2</v>
      </c>
      <c r="AT833">
        <v>1E-4</v>
      </c>
      <c r="AW833" s="28">
        <f t="shared" si="60"/>
        <v>32.733589325380784</v>
      </c>
      <c r="AX833">
        <f t="shared" si="61"/>
        <v>0.98701298701298701</v>
      </c>
      <c r="AY833" s="62">
        <f t="shared" si="62"/>
        <v>32.308477775700517</v>
      </c>
      <c r="AZ833" s="68" t="str">
        <f t="shared" si="63"/>
        <v>Yes</v>
      </c>
      <c r="BA833" s="68" t="str">
        <f t="shared" si="64"/>
        <v>No</v>
      </c>
    </row>
    <row r="834" spans="1:53" hidden="1">
      <c r="A834" t="s">
        <v>1815</v>
      </c>
      <c r="B834" t="s">
        <v>2400</v>
      </c>
      <c r="C834">
        <v>169</v>
      </c>
      <c r="F834" t="s">
        <v>1241</v>
      </c>
      <c r="G834" t="s">
        <v>1974</v>
      </c>
      <c r="I834">
        <v>2018</v>
      </c>
      <c r="N834" t="s">
        <v>36</v>
      </c>
      <c r="P834" t="s">
        <v>60</v>
      </c>
      <c r="Q834" t="s">
        <v>900</v>
      </c>
      <c r="R834" t="s">
        <v>888</v>
      </c>
      <c r="S834" t="s">
        <v>1993</v>
      </c>
      <c r="V834" t="s">
        <v>907</v>
      </c>
      <c r="Z834">
        <v>3</v>
      </c>
      <c r="AA834">
        <v>3</v>
      </c>
      <c r="AC834">
        <v>400</v>
      </c>
      <c r="AD834">
        <v>18.2</v>
      </c>
      <c r="AE834">
        <v>425</v>
      </c>
      <c r="AF834">
        <v>22</v>
      </c>
      <c r="AG834" t="s">
        <v>3431</v>
      </c>
      <c r="AI834">
        <v>18.2</v>
      </c>
      <c r="AJ834" t="s">
        <v>2046</v>
      </c>
      <c r="AK834" t="s">
        <v>69</v>
      </c>
      <c r="AN834">
        <v>45.599299999999999</v>
      </c>
      <c r="AO834">
        <v>3.2735760263051777E-2</v>
      </c>
      <c r="AP834">
        <v>38.764000000000003</v>
      </c>
      <c r="AQ834">
        <v>2.8059223082615808E-2</v>
      </c>
      <c r="AS834">
        <v>-0.16239999999999999</v>
      </c>
      <c r="AT834">
        <v>1E-4</v>
      </c>
      <c r="AW834" s="28">
        <f t="shared" ref="AW834:AW897" si="65">(AP834-$AN834)/SQRT(((AA834-1)*AQ834*AQ834+($Z834-1)*$AO834*$AO834)/(AA834+$Z834-2))</f>
        <v>-224.2016084123041</v>
      </c>
      <c r="AX834">
        <f t="shared" ref="AX834:AX897" si="66">1-(3/(4*(AA834+$Z834-2)-1))</f>
        <v>0.8</v>
      </c>
      <c r="AY834" s="62">
        <f t="shared" ref="AY834:AY897" si="67">AX834*AW834</f>
        <v>-179.3612867298433</v>
      </c>
      <c r="AZ834" s="68" t="str">
        <f t="shared" ref="AZ834:AZ897" si="68">IF(AY834&gt;10,"Yes","No")</f>
        <v>No</v>
      </c>
      <c r="BA834" s="68" t="str">
        <f t="shared" ref="BA834:BA897" si="69">IF(AY834&lt;-10,"Yes","No")</f>
        <v>Yes</v>
      </c>
    </row>
    <row r="835" spans="1:53" hidden="1">
      <c r="A835" t="s">
        <v>1815</v>
      </c>
      <c r="B835" t="s">
        <v>2439</v>
      </c>
      <c r="C835">
        <v>169</v>
      </c>
      <c r="F835" t="s">
        <v>1241</v>
      </c>
      <c r="G835" t="s">
        <v>1974</v>
      </c>
      <c r="I835">
        <v>2018</v>
      </c>
      <c r="N835" t="s">
        <v>36</v>
      </c>
      <c r="P835" t="s">
        <v>60</v>
      </c>
      <c r="Q835" t="s">
        <v>900</v>
      </c>
      <c r="R835" t="s">
        <v>888</v>
      </c>
      <c r="S835" t="s">
        <v>1993</v>
      </c>
      <c r="V835" t="s">
        <v>907</v>
      </c>
      <c r="Z835">
        <v>60</v>
      </c>
      <c r="AA835">
        <v>60</v>
      </c>
      <c r="AC835">
        <v>400</v>
      </c>
      <c r="AD835">
        <v>18.2</v>
      </c>
      <c r="AE835">
        <v>425</v>
      </c>
      <c r="AF835">
        <v>22</v>
      </c>
      <c r="AG835" t="s">
        <v>3431</v>
      </c>
      <c r="AI835">
        <v>18.2</v>
      </c>
      <c r="AJ835" t="s">
        <v>2050</v>
      </c>
      <c r="AK835" t="s">
        <v>770</v>
      </c>
      <c r="AN835">
        <v>70.835700000000003</v>
      </c>
      <c r="AO835">
        <v>7.7459666924148338E-2</v>
      </c>
      <c r="AP835">
        <v>82.939499999999995</v>
      </c>
      <c r="AQ835">
        <v>5.7320153523869773E-2</v>
      </c>
      <c r="AS835">
        <v>-0.53620000000000001</v>
      </c>
      <c r="AT835">
        <v>1E-4</v>
      </c>
      <c r="AW835" s="28">
        <f t="shared" si="65"/>
        <v>177.63631324391304</v>
      </c>
      <c r="AX835">
        <f t="shared" si="66"/>
        <v>0.99363057324840764</v>
      </c>
      <c r="AY835" s="62">
        <f t="shared" si="67"/>
        <v>176.50487175828303</v>
      </c>
      <c r="AZ835" s="68" t="str">
        <f t="shared" si="68"/>
        <v>Yes</v>
      </c>
      <c r="BA835" s="68" t="str">
        <f t="shared" si="69"/>
        <v>No</v>
      </c>
    </row>
    <row r="836" spans="1:53" hidden="1">
      <c r="A836" t="s">
        <v>1815</v>
      </c>
      <c r="B836" t="s">
        <v>2210</v>
      </c>
      <c r="C836">
        <v>169</v>
      </c>
      <c r="F836" t="s">
        <v>1241</v>
      </c>
      <c r="G836" t="s">
        <v>1974</v>
      </c>
      <c r="I836">
        <v>2015</v>
      </c>
      <c r="N836" t="s">
        <v>36</v>
      </c>
      <c r="P836" t="s">
        <v>60</v>
      </c>
      <c r="Q836" t="s">
        <v>900</v>
      </c>
      <c r="R836" t="s">
        <v>888</v>
      </c>
      <c r="S836" t="s">
        <v>1993</v>
      </c>
      <c r="V836" t="s">
        <v>1015</v>
      </c>
      <c r="Z836">
        <v>60</v>
      </c>
      <c r="AA836">
        <v>60</v>
      </c>
      <c r="AC836">
        <v>400</v>
      </c>
      <c r="AD836">
        <v>18.2</v>
      </c>
      <c r="AE836">
        <v>1654</v>
      </c>
      <c r="AF836">
        <v>22.1</v>
      </c>
      <c r="AG836" t="s">
        <v>3431</v>
      </c>
      <c r="AI836">
        <v>18.2</v>
      </c>
      <c r="AJ836" t="s">
        <v>2006</v>
      </c>
      <c r="AK836" t="s">
        <v>40</v>
      </c>
      <c r="AN836">
        <v>564.51610000000005</v>
      </c>
      <c r="AO836">
        <v>6.7389910224009055</v>
      </c>
      <c r="AP836">
        <v>2072.5805999999998</v>
      </c>
      <c r="AQ836">
        <v>3.494980171617573</v>
      </c>
      <c r="AS836">
        <v>1.3006</v>
      </c>
      <c r="AT836">
        <v>1E-4</v>
      </c>
      <c r="AW836" s="28">
        <f t="shared" si="65"/>
        <v>280.94079096445944</v>
      </c>
      <c r="AX836">
        <f t="shared" si="66"/>
        <v>0.99363057324840764</v>
      </c>
      <c r="AY836" s="62">
        <f t="shared" si="67"/>
        <v>279.15135917487692</v>
      </c>
      <c r="AZ836" s="68" t="str">
        <f t="shared" si="68"/>
        <v>Yes</v>
      </c>
      <c r="BA836" s="68" t="str">
        <f t="shared" si="69"/>
        <v>No</v>
      </c>
    </row>
    <row r="837" spans="1:53" hidden="1">
      <c r="A837" t="s">
        <v>1815</v>
      </c>
      <c r="B837" t="s">
        <v>2218</v>
      </c>
      <c r="C837">
        <v>169</v>
      </c>
      <c r="F837" t="s">
        <v>1241</v>
      </c>
      <c r="G837" t="s">
        <v>1974</v>
      </c>
      <c r="I837">
        <v>2014</v>
      </c>
      <c r="N837" t="s">
        <v>36</v>
      </c>
      <c r="P837" t="s">
        <v>60</v>
      </c>
      <c r="Q837" t="s">
        <v>900</v>
      </c>
      <c r="R837" t="s">
        <v>888</v>
      </c>
      <c r="S837" t="s">
        <v>1993</v>
      </c>
      <c r="V837" t="s">
        <v>1015</v>
      </c>
      <c r="Z837">
        <v>30</v>
      </c>
      <c r="AA837">
        <v>30</v>
      </c>
      <c r="AC837">
        <v>400</v>
      </c>
      <c r="AD837">
        <v>18.2</v>
      </c>
      <c r="AE837">
        <v>1654</v>
      </c>
      <c r="AF837">
        <v>22.1</v>
      </c>
      <c r="AG837" t="s">
        <v>3433</v>
      </c>
      <c r="AI837">
        <v>18.2</v>
      </c>
      <c r="AJ837" t="s">
        <v>2008</v>
      </c>
      <c r="AK837" t="s">
        <v>59</v>
      </c>
      <c r="AN837">
        <v>86.516900000000007</v>
      </c>
      <c r="AO837">
        <v>9.9685505465940238E-2</v>
      </c>
      <c r="AP837">
        <v>69.662899999999993</v>
      </c>
      <c r="AQ837">
        <v>0.16869854771159118</v>
      </c>
      <c r="AS837">
        <v>-0.2167</v>
      </c>
      <c r="AT837">
        <v>1E-4</v>
      </c>
      <c r="AW837" s="28">
        <f t="shared" si="65"/>
        <v>-121.63896992188241</v>
      </c>
      <c r="AX837">
        <f t="shared" si="66"/>
        <v>0.98701298701298701</v>
      </c>
      <c r="AY837" s="62">
        <f t="shared" si="67"/>
        <v>-120.05924303978004</v>
      </c>
      <c r="AZ837" s="68" t="str">
        <f t="shared" si="68"/>
        <v>No</v>
      </c>
      <c r="BA837" s="68" t="str">
        <f t="shared" si="69"/>
        <v>Yes</v>
      </c>
    </row>
    <row r="838" spans="1:53" hidden="1">
      <c r="A838" t="s">
        <v>1815</v>
      </c>
      <c r="B838" t="s">
        <v>2224</v>
      </c>
      <c r="C838">
        <v>169</v>
      </c>
      <c r="F838" t="s">
        <v>1241</v>
      </c>
      <c r="G838" t="s">
        <v>1974</v>
      </c>
      <c r="I838">
        <v>2014</v>
      </c>
      <c r="N838" t="s">
        <v>36</v>
      </c>
      <c r="P838" t="s">
        <v>60</v>
      </c>
      <c r="Q838" t="s">
        <v>900</v>
      </c>
      <c r="R838" t="s">
        <v>888</v>
      </c>
      <c r="S838" t="s">
        <v>1993</v>
      </c>
      <c r="V838" t="s">
        <v>1015</v>
      </c>
      <c r="Z838">
        <v>30</v>
      </c>
      <c r="AA838">
        <v>30</v>
      </c>
      <c r="AC838">
        <v>400</v>
      </c>
      <c r="AD838">
        <v>18.2</v>
      </c>
      <c r="AE838">
        <v>1654</v>
      </c>
      <c r="AF838">
        <v>22.1</v>
      </c>
      <c r="AG838" t="s">
        <v>3433</v>
      </c>
      <c r="AI838">
        <v>18.2</v>
      </c>
      <c r="AJ838" t="s">
        <v>2011</v>
      </c>
      <c r="AK838" t="s">
        <v>904</v>
      </c>
      <c r="AN838">
        <v>35.04</v>
      </c>
      <c r="AO838">
        <v>2.4099792530227312E-2</v>
      </c>
      <c r="AP838">
        <v>34.96</v>
      </c>
      <c r="AQ838">
        <v>3.8888301582866797E-2</v>
      </c>
      <c r="AS838">
        <v>-2.3E-3</v>
      </c>
      <c r="AT838">
        <v>1E-4</v>
      </c>
      <c r="AW838" s="28">
        <f t="shared" si="65"/>
        <v>-2.4729195956884609</v>
      </c>
      <c r="AX838">
        <f t="shared" si="66"/>
        <v>0.98701298701298701</v>
      </c>
      <c r="AY838" s="62">
        <f t="shared" si="67"/>
        <v>-2.4408037567834158</v>
      </c>
      <c r="AZ838" s="68" t="str">
        <f t="shared" si="68"/>
        <v>No</v>
      </c>
      <c r="BA838" s="68" t="str">
        <f t="shared" si="69"/>
        <v>No</v>
      </c>
    </row>
    <row r="839" spans="1:53" hidden="1">
      <c r="A839" t="s">
        <v>1815</v>
      </c>
      <c r="B839" t="s">
        <v>2227</v>
      </c>
      <c r="C839">
        <v>169</v>
      </c>
      <c r="F839" t="s">
        <v>1241</v>
      </c>
      <c r="G839" t="s">
        <v>1974</v>
      </c>
      <c r="I839">
        <v>2018</v>
      </c>
      <c r="N839" t="s">
        <v>36</v>
      </c>
      <c r="P839" t="s">
        <v>60</v>
      </c>
      <c r="Q839" t="s">
        <v>900</v>
      </c>
      <c r="R839" t="s">
        <v>888</v>
      </c>
      <c r="S839" t="s">
        <v>1993</v>
      </c>
      <c r="V839" t="s">
        <v>1015</v>
      </c>
      <c r="Z839">
        <v>9</v>
      </c>
      <c r="AA839">
        <v>9</v>
      </c>
      <c r="AC839">
        <v>400</v>
      </c>
      <c r="AD839">
        <v>18.2</v>
      </c>
      <c r="AE839">
        <v>1654</v>
      </c>
      <c r="AF839">
        <v>22.1</v>
      </c>
      <c r="AG839" t="s">
        <v>3433</v>
      </c>
      <c r="AI839">
        <v>18.2</v>
      </c>
      <c r="AJ839" t="s">
        <v>2012</v>
      </c>
      <c r="AK839" t="s">
        <v>904</v>
      </c>
      <c r="AN839">
        <v>27.7941</v>
      </c>
      <c r="AO839">
        <v>0.09</v>
      </c>
      <c r="AP839">
        <v>31.102900000000002</v>
      </c>
      <c r="AQ839">
        <v>6.6299999999999998E-2</v>
      </c>
      <c r="AS839">
        <v>0.1125</v>
      </c>
      <c r="AT839">
        <v>1E-4</v>
      </c>
      <c r="AW839" s="28">
        <f t="shared" si="65"/>
        <v>41.860594676575339</v>
      </c>
      <c r="AX839">
        <f t="shared" si="66"/>
        <v>0.95238095238095233</v>
      </c>
      <c r="AY839" s="62">
        <f t="shared" si="67"/>
        <v>39.867233025309844</v>
      </c>
      <c r="AZ839" s="68" t="str">
        <f t="shared" si="68"/>
        <v>Yes</v>
      </c>
      <c r="BA839" s="68" t="str">
        <f t="shared" si="69"/>
        <v>No</v>
      </c>
    </row>
    <row r="840" spans="1:53" hidden="1">
      <c r="A840" t="s">
        <v>1815</v>
      </c>
      <c r="B840" t="s">
        <v>2308</v>
      </c>
      <c r="C840">
        <v>169</v>
      </c>
      <c r="F840" t="s">
        <v>1241</v>
      </c>
      <c r="G840" t="s">
        <v>1974</v>
      </c>
      <c r="I840">
        <v>2018</v>
      </c>
      <c r="N840" t="s">
        <v>36</v>
      </c>
      <c r="P840" t="s">
        <v>60</v>
      </c>
      <c r="Q840" t="s">
        <v>900</v>
      </c>
      <c r="R840" t="s">
        <v>888</v>
      </c>
      <c r="S840" t="s">
        <v>1993</v>
      </c>
      <c r="V840" t="s">
        <v>1015</v>
      </c>
      <c r="Z840">
        <v>60</v>
      </c>
      <c r="AA840">
        <v>60</v>
      </c>
      <c r="AC840">
        <v>400</v>
      </c>
      <c r="AD840">
        <v>18.2</v>
      </c>
      <c r="AE840">
        <v>1654</v>
      </c>
      <c r="AF840">
        <v>22.1</v>
      </c>
      <c r="AG840" t="s">
        <v>3431</v>
      </c>
      <c r="AI840">
        <v>18.2</v>
      </c>
      <c r="AJ840" t="s">
        <v>1099</v>
      </c>
      <c r="AK840" t="s">
        <v>40</v>
      </c>
      <c r="AN840">
        <v>10.674200000000001</v>
      </c>
      <c r="AO840">
        <v>2.0139513400278568E-2</v>
      </c>
      <c r="AP840">
        <v>12.0787</v>
      </c>
      <c r="AQ840">
        <v>2.6336286754210434E-2</v>
      </c>
      <c r="AS840">
        <v>0.1236</v>
      </c>
      <c r="AT840">
        <v>1E-4</v>
      </c>
      <c r="AW840" s="28">
        <f t="shared" si="65"/>
        <v>59.909870594203909</v>
      </c>
      <c r="AX840">
        <f t="shared" si="66"/>
        <v>0.99363057324840764</v>
      </c>
      <c r="AY840" s="62">
        <f t="shared" si="67"/>
        <v>59.528279061756749</v>
      </c>
      <c r="AZ840" s="68" t="str">
        <f t="shared" si="68"/>
        <v>Yes</v>
      </c>
      <c r="BA840" s="68" t="str">
        <f t="shared" si="69"/>
        <v>No</v>
      </c>
    </row>
    <row r="841" spans="1:53" hidden="1">
      <c r="A841" t="s">
        <v>1815</v>
      </c>
      <c r="B841" t="s">
        <v>2314</v>
      </c>
      <c r="C841">
        <v>169</v>
      </c>
      <c r="F841" t="s">
        <v>1241</v>
      </c>
      <c r="G841" t="s">
        <v>1974</v>
      </c>
      <c r="I841">
        <v>2018</v>
      </c>
      <c r="N841" t="s">
        <v>36</v>
      </c>
      <c r="P841" t="s">
        <v>60</v>
      </c>
      <c r="Q841" t="s">
        <v>900</v>
      </c>
      <c r="R841" t="s">
        <v>888</v>
      </c>
      <c r="S841" t="s">
        <v>1993</v>
      </c>
      <c r="V841" t="s">
        <v>1015</v>
      </c>
      <c r="Z841">
        <v>9</v>
      </c>
      <c r="AA841">
        <v>9</v>
      </c>
      <c r="AC841">
        <v>400</v>
      </c>
      <c r="AD841">
        <v>18.2</v>
      </c>
      <c r="AE841">
        <v>1654</v>
      </c>
      <c r="AF841">
        <v>22.1</v>
      </c>
      <c r="AG841" t="s">
        <v>3431</v>
      </c>
      <c r="AI841">
        <v>18.2</v>
      </c>
      <c r="AJ841" t="s">
        <v>2016</v>
      </c>
      <c r="AK841" t="s">
        <v>904</v>
      </c>
      <c r="AN841">
        <v>22.941199999999998</v>
      </c>
      <c r="AO841">
        <v>0.09</v>
      </c>
      <c r="AP841">
        <v>25.147099999999998</v>
      </c>
      <c r="AQ841">
        <v>6.6299999999999998E-2</v>
      </c>
      <c r="AS841">
        <v>9.1800000000000007E-2</v>
      </c>
      <c r="AT841">
        <v>1E-4</v>
      </c>
      <c r="AW841" s="28">
        <f t="shared" si="65"/>
        <v>27.907484827447256</v>
      </c>
      <c r="AX841">
        <f t="shared" si="66"/>
        <v>0.95238095238095233</v>
      </c>
      <c r="AY841" s="62">
        <f t="shared" si="67"/>
        <v>26.578556978521195</v>
      </c>
      <c r="AZ841" s="68" t="str">
        <f t="shared" si="68"/>
        <v>Yes</v>
      </c>
      <c r="BA841" s="68" t="str">
        <f t="shared" si="69"/>
        <v>No</v>
      </c>
    </row>
    <row r="842" spans="1:53" hidden="1">
      <c r="A842" t="s">
        <v>1815</v>
      </c>
      <c r="B842" t="s">
        <v>2339</v>
      </c>
      <c r="C842">
        <v>169</v>
      </c>
      <c r="F842" t="s">
        <v>1241</v>
      </c>
      <c r="G842" t="s">
        <v>1974</v>
      </c>
      <c r="I842">
        <v>2018</v>
      </c>
      <c r="N842" t="s">
        <v>36</v>
      </c>
      <c r="P842" t="s">
        <v>60</v>
      </c>
      <c r="Q842" t="s">
        <v>900</v>
      </c>
      <c r="R842" t="s">
        <v>888</v>
      </c>
      <c r="S842" t="s">
        <v>1993</v>
      </c>
      <c r="V842" t="s">
        <v>1015</v>
      </c>
      <c r="Z842">
        <v>30</v>
      </c>
      <c r="AA842">
        <v>30</v>
      </c>
      <c r="AC842">
        <v>400</v>
      </c>
      <c r="AD842">
        <v>18.2</v>
      </c>
      <c r="AE842">
        <v>1654</v>
      </c>
      <c r="AF842">
        <v>22.1</v>
      </c>
      <c r="AG842" t="s">
        <v>3431</v>
      </c>
      <c r="AI842">
        <v>18.2</v>
      </c>
      <c r="AJ842" t="s">
        <v>2037</v>
      </c>
      <c r="AK842" t="s">
        <v>904</v>
      </c>
      <c r="AN842">
        <v>36.96</v>
      </c>
      <c r="AO842">
        <v>5.4772255750516613E-2</v>
      </c>
      <c r="AP842">
        <v>37.32</v>
      </c>
      <c r="AQ842">
        <v>2.4099792530227312E-2</v>
      </c>
      <c r="AS842">
        <v>9.7000000000000003E-3</v>
      </c>
      <c r="AT842">
        <v>1E-4</v>
      </c>
      <c r="AW842" s="28">
        <f t="shared" si="65"/>
        <v>8.507999705056001</v>
      </c>
      <c r="AX842">
        <f t="shared" si="66"/>
        <v>0.98701298701298701</v>
      </c>
      <c r="AY842" s="62">
        <f t="shared" si="67"/>
        <v>8.3975062023929361</v>
      </c>
      <c r="AZ842" s="68" t="str">
        <f t="shared" si="68"/>
        <v>No</v>
      </c>
      <c r="BA842" s="68" t="str">
        <f t="shared" si="69"/>
        <v>No</v>
      </c>
    </row>
    <row r="843" spans="1:53" hidden="1">
      <c r="A843" t="s">
        <v>1815</v>
      </c>
      <c r="B843" t="s">
        <v>2437</v>
      </c>
      <c r="C843">
        <v>169</v>
      </c>
      <c r="F843" t="s">
        <v>1241</v>
      </c>
      <c r="G843" t="s">
        <v>1974</v>
      </c>
      <c r="I843">
        <v>2018</v>
      </c>
      <c r="N843" t="s">
        <v>36</v>
      </c>
      <c r="P843" t="s">
        <v>60</v>
      </c>
      <c r="Q843" t="s">
        <v>900</v>
      </c>
      <c r="R843" t="s">
        <v>888</v>
      </c>
      <c r="S843" t="s">
        <v>1993</v>
      </c>
      <c r="V843" t="s">
        <v>1015</v>
      </c>
      <c r="Z843">
        <v>3</v>
      </c>
      <c r="AA843">
        <v>3</v>
      </c>
      <c r="AC843">
        <v>400</v>
      </c>
      <c r="AD843">
        <v>18.2</v>
      </c>
      <c r="AE843">
        <v>1654</v>
      </c>
      <c r="AF843">
        <v>22.1</v>
      </c>
      <c r="AG843" t="s">
        <v>3431</v>
      </c>
      <c r="AI843">
        <v>18.2</v>
      </c>
      <c r="AJ843" t="s">
        <v>2046</v>
      </c>
      <c r="AK843" t="s">
        <v>69</v>
      </c>
      <c r="AN843">
        <v>45.599299999999999</v>
      </c>
      <c r="AO843">
        <v>3.2735760263051777E-2</v>
      </c>
      <c r="AP843">
        <v>32.677900000000001</v>
      </c>
      <c r="AQ843">
        <v>4.2088834623923717E-2</v>
      </c>
      <c r="AS843">
        <v>-0.3332</v>
      </c>
      <c r="AT843">
        <v>1E-4</v>
      </c>
      <c r="AW843" s="28">
        <f t="shared" si="65"/>
        <v>-342.7113604967825</v>
      </c>
      <c r="AX843">
        <f t="shared" si="66"/>
        <v>0.8</v>
      </c>
      <c r="AY843" s="62">
        <f t="shared" si="67"/>
        <v>-274.16908839742604</v>
      </c>
      <c r="AZ843" s="68" t="str">
        <f t="shared" si="68"/>
        <v>No</v>
      </c>
      <c r="BA843" s="68" t="str">
        <f t="shared" si="69"/>
        <v>Yes</v>
      </c>
    </row>
    <row r="844" spans="1:53" hidden="1">
      <c r="A844" t="s">
        <v>1815</v>
      </c>
      <c r="B844" t="s">
        <v>2462</v>
      </c>
      <c r="C844">
        <v>169</v>
      </c>
      <c r="F844" t="s">
        <v>1241</v>
      </c>
      <c r="G844" t="s">
        <v>1974</v>
      </c>
      <c r="I844">
        <v>2017</v>
      </c>
      <c r="N844" t="s">
        <v>36</v>
      </c>
      <c r="P844" t="s">
        <v>60</v>
      </c>
      <c r="Q844" t="s">
        <v>900</v>
      </c>
      <c r="R844" t="s">
        <v>888</v>
      </c>
      <c r="S844" t="s">
        <v>1993</v>
      </c>
      <c r="V844" t="s">
        <v>1015</v>
      </c>
      <c r="Z844">
        <v>60</v>
      </c>
      <c r="AA844">
        <v>60</v>
      </c>
      <c r="AC844">
        <v>400</v>
      </c>
      <c r="AD844">
        <v>18.2</v>
      </c>
      <c r="AE844">
        <v>1654</v>
      </c>
      <c r="AF844">
        <v>22.1</v>
      </c>
      <c r="AG844" t="s">
        <v>3431</v>
      </c>
      <c r="AI844">
        <v>18.2</v>
      </c>
      <c r="AJ844" t="s">
        <v>2050</v>
      </c>
      <c r="AK844" t="s">
        <v>770</v>
      </c>
      <c r="AN844">
        <v>70.835700000000003</v>
      </c>
      <c r="AO844">
        <v>7.7459666924148338E-2</v>
      </c>
      <c r="AP844">
        <v>93.083600000000004</v>
      </c>
      <c r="AQ844">
        <v>4.4152010146764557E-2</v>
      </c>
      <c r="AS844">
        <v>-1.4390000000000001</v>
      </c>
      <c r="AT844">
        <v>1E-4</v>
      </c>
      <c r="AW844" s="28">
        <f t="shared" si="65"/>
        <v>352.88796425619176</v>
      </c>
      <c r="AX844">
        <f t="shared" si="66"/>
        <v>0.99363057324840764</v>
      </c>
      <c r="AY844" s="62">
        <f t="shared" si="67"/>
        <v>350.64027021634342</v>
      </c>
      <c r="AZ844" s="68" t="str">
        <f t="shared" si="68"/>
        <v>Yes</v>
      </c>
      <c r="BA844" s="68" t="str">
        <f t="shared" si="69"/>
        <v>No</v>
      </c>
    </row>
    <row r="845" spans="1:53" hidden="1">
      <c r="A845" t="s">
        <v>1815</v>
      </c>
      <c r="B845" t="s">
        <v>2408</v>
      </c>
      <c r="C845">
        <v>152</v>
      </c>
      <c r="F845" t="s">
        <v>1241</v>
      </c>
      <c r="G845" t="s">
        <v>1984</v>
      </c>
      <c r="I845">
        <v>2018</v>
      </c>
      <c r="N845" t="s">
        <v>36</v>
      </c>
      <c r="P845" t="s">
        <v>60</v>
      </c>
      <c r="Q845" t="s">
        <v>900</v>
      </c>
      <c r="R845" t="s">
        <v>888</v>
      </c>
      <c r="S845" t="s">
        <v>2000</v>
      </c>
      <c r="V845" t="s">
        <v>905</v>
      </c>
      <c r="Z845">
        <v>9</v>
      </c>
      <c r="AA845">
        <v>9</v>
      </c>
      <c r="AC845">
        <v>342</v>
      </c>
      <c r="AD845">
        <v>18.399999999999999</v>
      </c>
      <c r="AE845">
        <v>1484</v>
      </c>
      <c r="AF845">
        <v>18.2</v>
      </c>
      <c r="AG845" t="s">
        <v>3445</v>
      </c>
      <c r="AI845">
        <v>18.399999999999999</v>
      </c>
      <c r="AJ845" t="s">
        <v>1792</v>
      </c>
      <c r="AK845" t="s">
        <v>904</v>
      </c>
      <c r="AN845">
        <v>29.8</v>
      </c>
      <c r="AO845">
        <v>2.4000000000000004</v>
      </c>
      <c r="AP845">
        <v>23.8</v>
      </c>
      <c r="AQ845">
        <v>1.5</v>
      </c>
      <c r="AS845">
        <v>-0.2248</v>
      </c>
      <c r="AT845">
        <v>1.1999999999999999E-3</v>
      </c>
      <c r="AW845" s="28">
        <f t="shared" si="65"/>
        <v>-2.9981267559834457</v>
      </c>
      <c r="AX845">
        <f t="shared" si="66"/>
        <v>0.95238095238095233</v>
      </c>
      <c r="AY845" s="62">
        <f t="shared" si="67"/>
        <v>-2.855358815222329</v>
      </c>
      <c r="AZ845" s="68" t="str">
        <f t="shared" si="68"/>
        <v>No</v>
      </c>
      <c r="BA845" s="68" t="str">
        <f t="shared" si="69"/>
        <v>No</v>
      </c>
    </row>
    <row r="846" spans="1:53" hidden="1">
      <c r="A846" t="s">
        <v>1815</v>
      </c>
      <c r="B846" t="s">
        <v>2414</v>
      </c>
      <c r="C846">
        <v>152</v>
      </c>
      <c r="F846" t="s">
        <v>1241</v>
      </c>
      <c r="G846" t="s">
        <v>1984</v>
      </c>
      <c r="I846">
        <v>2018</v>
      </c>
      <c r="N846" t="s">
        <v>36</v>
      </c>
      <c r="P846" t="s">
        <v>60</v>
      </c>
      <c r="Q846" t="s">
        <v>900</v>
      </c>
      <c r="R846" t="s">
        <v>888</v>
      </c>
      <c r="S846" t="s">
        <v>2000</v>
      </c>
      <c r="V846" t="s">
        <v>905</v>
      </c>
      <c r="Z846">
        <v>3</v>
      </c>
      <c r="AA846">
        <v>3</v>
      </c>
      <c r="AC846">
        <v>342</v>
      </c>
      <c r="AD846">
        <v>18.399999999999999</v>
      </c>
      <c r="AE846">
        <v>1484</v>
      </c>
      <c r="AF846">
        <v>18.2</v>
      </c>
      <c r="AG846" t="s">
        <v>3445</v>
      </c>
      <c r="AI846">
        <v>18.399999999999999</v>
      </c>
      <c r="AJ846" t="s">
        <v>2032</v>
      </c>
      <c r="AK846" t="s">
        <v>904</v>
      </c>
      <c r="AN846">
        <v>1.85</v>
      </c>
      <c r="AO846">
        <v>0.4330127018922193</v>
      </c>
      <c r="AP846">
        <v>1.44</v>
      </c>
      <c r="AQ846">
        <v>3.4641016151377546E-2</v>
      </c>
      <c r="AS846">
        <v>-0.2505</v>
      </c>
      <c r="AT846">
        <v>3.4099999999999998E-2</v>
      </c>
      <c r="AW846" s="28">
        <f t="shared" si="65"/>
        <v>-1.334789877455675</v>
      </c>
      <c r="AX846">
        <f t="shared" si="66"/>
        <v>0.8</v>
      </c>
      <c r="AY846" s="62">
        <f t="shared" si="67"/>
        <v>-1.0678319019645401</v>
      </c>
      <c r="AZ846" s="68" t="str">
        <f t="shared" si="68"/>
        <v>No</v>
      </c>
      <c r="BA846" s="68" t="str">
        <f t="shared" si="69"/>
        <v>No</v>
      </c>
    </row>
    <row r="847" spans="1:53" hidden="1">
      <c r="A847" t="s">
        <v>1815</v>
      </c>
      <c r="B847" t="s">
        <v>2426</v>
      </c>
      <c r="C847">
        <v>152</v>
      </c>
      <c r="F847" t="s">
        <v>1241</v>
      </c>
      <c r="G847" t="s">
        <v>1984</v>
      </c>
      <c r="I847">
        <v>2017</v>
      </c>
      <c r="N847" t="s">
        <v>36</v>
      </c>
      <c r="P847" t="s">
        <v>60</v>
      </c>
      <c r="Q847" t="s">
        <v>900</v>
      </c>
      <c r="R847" t="s">
        <v>888</v>
      </c>
      <c r="S847" t="s">
        <v>2000</v>
      </c>
      <c r="V847" t="s">
        <v>905</v>
      </c>
      <c r="Z847">
        <v>12</v>
      </c>
      <c r="AA847">
        <v>12</v>
      </c>
      <c r="AC847">
        <v>342</v>
      </c>
      <c r="AD847">
        <v>18.399999999999999</v>
      </c>
      <c r="AE847">
        <v>1484</v>
      </c>
      <c r="AF847">
        <v>18.2</v>
      </c>
      <c r="AG847" t="s">
        <v>3445</v>
      </c>
      <c r="AI847">
        <v>18.399999999999999</v>
      </c>
      <c r="AJ847" t="s">
        <v>2025</v>
      </c>
      <c r="AK847" t="s">
        <v>904</v>
      </c>
      <c r="AN847">
        <v>98.8</v>
      </c>
      <c r="AO847">
        <v>11.085125168440815</v>
      </c>
      <c r="AP847">
        <v>74.3</v>
      </c>
      <c r="AQ847">
        <v>7.6210235533030604</v>
      </c>
      <c r="AS847">
        <v>-0.28499999999999998</v>
      </c>
      <c r="AT847">
        <v>1.9E-3</v>
      </c>
      <c r="AW847" s="28">
        <f t="shared" si="65"/>
        <v>-2.5756674428784776</v>
      </c>
      <c r="AX847">
        <f t="shared" si="66"/>
        <v>0.96551724137931039</v>
      </c>
      <c r="AY847" s="62">
        <f t="shared" si="67"/>
        <v>-2.4868513241585304</v>
      </c>
      <c r="AZ847" s="68" t="str">
        <f t="shared" si="68"/>
        <v>No</v>
      </c>
      <c r="BA847" s="68" t="str">
        <f t="shared" si="69"/>
        <v>No</v>
      </c>
    </row>
    <row r="848" spans="1:53" hidden="1">
      <c r="A848" t="s">
        <v>1815</v>
      </c>
      <c r="B848" t="s">
        <v>2272</v>
      </c>
      <c r="C848">
        <v>152</v>
      </c>
      <c r="F848" t="s">
        <v>1241</v>
      </c>
      <c r="G848" t="s">
        <v>1984</v>
      </c>
      <c r="I848">
        <v>2019</v>
      </c>
      <c r="N848" t="s">
        <v>36</v>
      </c>
      <c r="P848" t="s">
        <v>60</v>
      </c>
      <c r="Q848" t="s">
        <v>900</v>
      </c>
      <c r="R848" t="s">
        <v>888</v>
      </c>
      <c r="S848" t="s">
        <v>2000</v>
      </c>
      <c r="V848" t="s">
        <v>907</v>
      </c>
      <c r="Z848">
        <v>12</v>
      </c>
      <c r="AA848">
        <v>12</v>
      </c>
      <c r="AC848">
        <v>342</v>
      </c>
      <c r="AD848">
        <v>18.399999999999999</v>
      </c>
      <c r="AE848">
        <v>337</v>
      </c>
      <c r="AF848">
        <v>22.3</v>
      </c>
      <c r="AG848" t="s">
        <v>3445</v>
      </c>
      <c r="AI848">
        <v>18.399999999999999</v>
      </c>
      <c r="AJ848" t="s">
        <v>2025</v>
      </c>
      <c r="AK848" t="s">
        <v>904</v>
      </c>
      <c r="AN848">
        <v>98.8</v>
      </c>
      <c r="AO848">
        <v>11.085125168440815</v>
      </c>
      <c r="AP848">
        <v>128.19999999999999</v>
      </c>
      <c r="AQ848">
        <v>7.9674337148168348</v>
      </c>
      <c r="AS848">
        <v>0.26050000000000001</v>
      </c>
      <c r="AT848">
        <v>1.4E-3</v>
      </c>
      <c r="AW848" s="28">
        <f t="shared" si="65"/>
        <v>3.0456919634758193</v>
      </c>
      <c r="AX848">
        <f t="shared" si="66"/>
        <v>0.96551724137931039</v>
      </c>
      <c r="AY848" s="62">
        <f t="shared" si="67"/>
        <v>2.9406681026663084</v>
      </c>
      <c r="AZ848" s="68" t="str">
        <f t="shared" si="68"/>
        <v>No</v>
      </c>
      <c r="BA848" s="68" t="str">
        <f t="shared" si="69"/>
        <v>No</v>
      </c>
    </row>
    <row r="849" spans="1:53" hidden="1">
      <c r="A849" t="s">
        <v>1815</v>
      </c>
      <c r="B849" t="s">
        <v>2290</v>
      </c>
      <c r="C849">
        <v>152</v>
      </c>
      <c r="F849" t="s">
        <v>1241</v>
      </c>
      <c r="G849" t="s">
        <v>1984</v>
      </c>
      <c r="I849">
        <v>2021</v>
      </c>
      <c r="N849" t="s">
        <v>36</v>
      </c>
      <c r="P849" t="s">
        <v>60</v>
      </c>
      <c r="Q849" t="s">
        <v>900</v>
      </c>
      <c r="R849" t="s">
        <v>888</v>
      </c>
      <c r="S849" t="s">
        <v>2000</v>
      </c>
      <c r="V849" t="s">
        <v>907</v>
      </c>
      <c r="Z849">
        <v>9</v>
      </c>
      <c r="AA849">
        <v>9</v>
      </c>
      <c r="AC849">
        <v>342</v>
      </c>
      <c r="AD849">
        <v>18.399999999999999</v>
      </c>
      <c r="AE849">
        <v>337</v>
      </c>
      <c r="AF849">
        <v>22.3</v>
      </c>
      <c r="AG849" t="s">
        <v>3445</v>
      </c>
      <c r="AI849">
        <v>18.399999999999999</v>
      </c>
      <c r="AJ849" t="s">
        <v>1792</v>
      </c>
      <c r="AK849" t="s">
        <v>904</v>
      </c>
      <c r="AN849">
        <v>29.8</v>
      </c>
      <c r="AO849">
        <v>2.4000000000000004</v>
      </c>
      <c r="AP849">
        <v>36.6</v>
      </c>
      <c r="AQ849">
        <v>2.4000000000000004</v>
      </c>
      <c r="AS849">
        <v>0.20549999999999999</v>
      </c>
      <c r="AT849">
        <v>1.1999999999999999E-3</v>
      </c>
      <c r="AW849" s="28">
        <f t="shared" si="65"/>
        <v>2.833333333333333</v>
      </c>
      <c r="AX849">
        <f t="shared" si="66"/>
        <v>0.95238095238095233</v>
      </c>
      <c r="AY849" s="62">
        <f t="shared" si="67"/>
        <v>2.6984126984126982</v>
      </c>
      <c r="AZ849" s="68" t="str">
        <f t="shared" si="68"/>
        <v>No</v>
      </c>
      <c r="BA849" s="68" t="str">
        <f t="shared" si="69"/>
        <v>No</v>
      </c>
    </row>
    <row r="850" spans="1:53" hidden="1">
      <c r="A850" t="s">
        <v>1815</v>
      </c>
      <c r="B850" t="s">
        <v>2309</v>
      </c>
      <c r="C850">
        <v>152</v>
      </c>
      <c r="F850" t="s">
        <v>1241</v>
      </c>
      <c r="G850" t="s">
        <v>1984</v>
      </c>
      <c r="I850">
        <v>2014</v>
      </c>
      <c r="N850" t="s">
        <v>36</v>
      </c>
      <c r="P850" t="s">
        <v>60</v>
      </c>
      <c r="Q850" t="s">
        <v>900</v>
      </c>
      <c r="R850" t="s">
        <v>888</v>
      </c>
      <c r="S850" t="s">
        <v>2000</v>
      </c>
      <c r="V850" t="s">
        <v>907</v>
      </c>
      <c r="Z850">
        <v>3</v>
      </c>
      <c r="AA850">
        <v>3</v>
      </c>
      <c r="AC850">
        <v>342</v>
      </c>
      <c r="AD850">
        <v>18.399999999999999</v>
      </c>
      <c r="AE850">
        <v>337</v>
      </c>
      <c r="AF850">
        <v>22.3</v>
      </c>
      <c r="AG850" t="s">
        <v>3445</v>
      </c>
      <c r="AI850">
        <v>18.399999999999999</v>
      </c>
      <c r="AJ850" t="s">
        <v>2032</v>
      </c>
      <c r="AK850" t="s">
        <v>904</v>
      </c>
      <c r="AN850">
        <v>1.85</v>
      </c>
      <c r="AO850">
        <v>0.4330127018922193</v>
      </c>
      <c r="AP850">
        <v>2.08</v>
      </c>
      <c r="AQ850">
        <v>0.1905255888325765</v>
      </c>
      <c r="AS850">
        <v>0.1172</v>
      </c>
      <c r="AT850">
        <v>3.9600000000000003E-2</v>
      </c>
      <c r="AW850" s="28">
        <f t="shared" si="65"/>
        <v>0.68756346688934378</v>
      </c>
      <c r="AX850">
        <f t="shared" si="66"/>
        <v>0.8</v>
      </c>
      <c r="AY850" s="62">
        <f t="shared" si="67"/>
        <v>0.55005077351147502</v>
      </c>
      <c r="AZ850" s="68" t="str">
        <f t="shared" si="68"/>
        <v>No</v>
      </c>
      <c r="BA850" s="68" t="str">
        <f t="shared" si="69"/>
        <v>No</v>
      </c>
    </row>
    <row r="851" spans="1:53" hidden="1">
      <c r="A851" t="s">
        <v>1815</v>
      </c>
      <c r="B851" t="s">
        <v>2311</v>
      </c>
      <c r="C851">
        <v>152</v>
      </c>
      <c r="F851" t="s">
        <v>1241</v>
      </c>
      <c r="G851" t="s">
        <v>1984</v>
      </c>
      <c r="I851">
        <v>2015</v>
      </c>
      <c r="N851" t="s">
        <v>36</v>
      </c>
      <c r="P851" t="s">
        <v>60</v>
      </c>
      <c r="Q851" t="s">
        <v>900</v>
      </c>
      <c r="R851" t="s">
        <v>888</v>
      </c>
      <c r="S851" t="s">
        <v>2000</v>
      </c>
      <c r="V851" t="s">
        <v>1015</v>
      </c>
      <c r="Z851">
        <v>12</v>
      </c>
      <c r="AA851">
        <v>12</v>
      </c>
      <c r="AC851">
        <v>342</v>
      </c>
      <c r="AD851">
        <v>18.399999999999999</v>
      </c>
      <c r="AE851">
        <v>1473</v>
      </c>
      <c r="AF851">
        <v>22.1</v>
      </c>
      <c r="AG851" t="s">
        <v>3445</v>
      </c>
      <c r="AI851">
        <v>18.399999999999999</v>
      </c>
      <c r="AJ851" t="s">
        <v>2025</v>
      </c>
      <c r="AK851" t="s">
        <v>904</v>
      </c>
      <c r="AN851">
        <v>98.8</v>
      </c>
      <c r="AO851">
        <v>11.085125168440815</v>
      </c>
      <c r="AP851">
        <v>109.7</v>
      </c>
      <c r="AQ851">
        <v>15.588457268119894</v>
      </c>
      <c r="AS851">
        <v>0.1047</v>
      </c>
      <c r="AT851">
        <v>2.7000000000000001E-3</v>
      </c>
      <c r="AW851" s="28">
        <f t="shared" si="65"/>
        <v>0.80588330818885023</v>
      </c>
      <c r="AX851">
        <f t="shared" si="66"/>
        <v>0.96551724137931039</v>
      </c>
      <c r="AY851" s="62">
        <f t="shared" si="67"/>
        <v>0.77809422859613131</v>
      </c>
      <c r="AZ851" s="68" t="str">
        <f t="shared" si="68"/>
        <v>No</v>
      </c>
      <c r="BA851" s="68" t="str">
        <f t="shared" si="69"/>
        <v>No</v>
      </c>
    </row>
    <row r="852" spans="1:53" hidden="1">
      <c r="A852" t="s">
        <v>1815</v>
      </c>
      <c r="B852" t="s">
        <v>2374</v>
      </c>
      <c r="C852">
        <v>152</v>
      </c>
      <c r="F852" t="s">
        <v>1241</v>
      </c>
      <c r="G852" t="s">
        <v>1984</v>
      </c>
      <c r="I852">
        <v>2014</v>
      </c>
      <c r="N852" t="s">
        <v>36</v>
      </c>
      <c r="P852" t="s">
        <v>60</v>
      </c>
      <c r="Q852" t="s">
        <v>900</v>
      </c>
      <c r="R852" t="s">
        <v>888</v>
      </c>
      <c r="S852" t="s">
        <v>2000</v>
      </c>
      <c r="V852" t="s">
        <v>1015</v>
      </c>
      <c r="Z852">
        <v>9</v>
      </c>
      <c r="AA852">
        <v>9</v>
      </c>
      <c r="AC852">
        <v>342</v>
      </c>
      <c r="AD852">
        <v>18.399999999999999</v>
      </c>
      <c r="AE852">
        <v>1473</v>
      </c>
      <c r="AF852">
        <v>22.1</v>
      </c>
      <c r="AG852" t="s">
        <v>3445</v>
      </c>
      <c r="AI852">
        <v>18.399999999999999</v>
      </c>
      <c r="AJ852" t="s">
        <v>1792</v>
      </c>
      <c r="AK852" t="s">
        <v>904</v>
      </c>
      <c r="AN852">
        <v>29.8</v>
      </c>
      <c r="AO852">
        <v>2.4000000000000004</v>
      </c>
      <c r="AP852">
        <v>28.7</v>
      </c>
      <c r="AQ852">
        <v>1.7999999999999998</v>
      </c>
      <c r="AS852">
        <v>-3.7600000000000001E-2</v>
      </c>
      <c r="AT852">
        <v>1.1999999999999999E-3</v>
      </c>
      <c r="AW852" s="28">
        <f t="shared" si="65"/>
        <v>-0.51854497287013557</v>
      </c>
      <c r="AX852">
        <f t="shared" si="66"/>
        <v>0.95238095238095233</v>
      </c>
      <c r="AY852" s="62">
        <f t="shared" si="67"/>
        <v>-0.49385235511441478</v>
      </c>
      <c r="AZ852" s="68" t="str">
        <f t="shared" si="68"/>
        <v>No</v>
      </c>
      <c r="BA852" s="68" t="str">
        <f t="shared" si="69"/>
        <v>No</v>
      </c>
    </row>
    <row r="853" spans="1:53" hidden="1">
      <c r="A853" t="s">
        <v>1815</v>
      </c>
      <c r="B853" t="s">
        <v>2403</v>
      </c>
      <c r="C853">
        <v>152</v>
      </c>
      <c r="F853" t="s">
        <v>1241</v>
      </c>
      <c r="G853" t="s">
        <v>1984</v>
      </c>
      <c r="I853">
        <v>2020</v>
      </c>
      <c r="N853" t="s">
        <v>36</v>
      </c>
      <c r="P853" t="s">
        <v>60</v>
      </c>
      <c r="Q853" t="s">
        <v>900</v>
      </c>
      <c r="R853" t="s">
        <v>888</v>
      </c>
      <c r="S853" t="s">
        <v>2000</v>
      </c>
      <c r="V853" t="s">
        <v>1015</v>
      </c>
      <c r="Z853">
        <v>3</v>
      </c>
      <c r="AA853">
        <v>3</v>
      </c>
      <c r="AC853">
        <v>342</v>
      </c>
      <c r="AD853">
        <v>18.399999999999999</v>
      </c>
      <c r="AE853">
        <v>1473</v>
      </c>
      <c r="AF853">
        <v>22.1</v>
      </c>
      <c r="AG853" t="s">
        <v>3445</v>
      </c>
      <c r="AI853">
        <v>18.399999999999999</v>
      </c>
      <c r="AJ853" t="s">
        <v>2032</v>
      </c>
      <c r="AK853" t="s">
        <v>904</v>
      </c>
      <c r="AN853">
        <v>1.85</v>
      </c>
      <c r="AO853">
        <v>0.4330127018922193</v>
      </c>
      <c r="AP853">
        <v>1.55</v>
      </c>
      <c r="AQ853">
        <v>0.24248711305964282</v>
      </c>
      <c r="AS853">
        <v>-0.1769</v>
      </c>
      <c r="AT853">
        <v>4.6399999999999997E-2</v>
      </c>
      <c r="AW853" s="28">
        <f t="shared" si="65"/>
        <v>-0.85487781463418222</v>
      </c>
      <c r="AX853">
        <f t="shared" si="66"/>
        <v>0.8</v>
      </c>
      <c r="AY853" s="62">
        <f t="shared" si="67"/>
        <v>-0.68390225170734587</v>
      </c>
      <c r="AZ853" s="68" t="str">
        <f t="shared" si="68"/>
        <v>No</v>
      </c>
      <c r="BA853" s="68" t="str">
        <f t="shared" si="69"/>
        <v>No</v>
      </c>
    </row>
    <row r="854" spans="1:53" hidden="1">
      <c r="A854" t="s">
        <v>1815</v>
      </c>
      <c r="B854" t="s">
        <v>2410</v>
      </c>
      <c r="C854">
        <v>177</v>
      </c>
      <c r="F854" t="s">
        <v>1241</v>
      </c>
      <c r="G854" t="s">
        <v>1985</v>
      </c>
      <c r="I854">
        <v>2014</v>
      </c>
      <c r="N854" t="s">
        <v>36</v>
      </c>
      <c r="P854" t="s">
        <v>60</v>
      </c>
      <c r="Q854" t="s">
        <v>900</v>
      </c>
      <c r="R854" t="s">
        <v>888</v>
      </c>
      <c r="S854" t="s">
        <v>2000</v>
      </c>
      <c r="V854" t="s">
        <v>905</v>
      </c>
      <c r="Z854">
        <v>9</v>
      </c>
      <c r="AA854">
        <v>9</v>
      </c>
      <c r="AC854">
        <v>342</v>
      </c>
      <c r="AD854">
        <v>18.399999999999999</v>
      </c>
      <c r="AE854">
        <v>1485</v>
      </c>
      <c r="AF854">
        <v>18.2</v>
      </c>
      <c r="AG854" t="s">
        <v>3446</v>
      </c>
      <c r="AI854">
        <v>18.399999999999999</v>
      </c>
      <c r="AJ854" t="s">
        <v>1792</v>
      </c>
      <c r="AK854" t="s">
        <v>904</v>
      </c>
      <c r="AN854">
        <v>29.771100000000001</v>
      </c>
      <c r="AO854">
        <v>2.58</v>
      </c>
      <c r="AP854">
        <v>23.690999999999999</v>
      </c>
      <c r="AQ854">
        <v>1.7166000000000001</v>
      </c>
      <c r="AS854">
        <v>-0.22839999999999999</v>
      </c>
      <c r="AT854">
        <v>1.4E-3</v>
      </c>
      <c r="AW854" s="28">
        <f t="shared" si="65"/>
        <v>-2.7747230539226391</v>
      </c>
      <c r="AX854">
        <f t="shared" si="66"/>
        <v>0.95238095238095233</v>
      </c>
      <c r="AY854" s="62">
        <f t="shared" si="67"/>
        <v>-2.6425933846882277</v>
      </c>
      <c r="AZ854" s="68" t="str">
        <f t="shared" si="68"/>
        <v>No</v>
      </c>
      <c r="BA854" s="68" t="str">
        <f t="shared" si="69"/>
        <v>No</v>
      </c>
    </row>
    <row r="855" spans="1:53" hidden="1">
      <c r="A855" t="s">
        <v>1815</v>
      </c>
      <c r="B855" t="s">
        <v>2427</v>
      </c>
      <c r="C855">
        <v>177</v>
      </c>
      <c r="F855" t="s">
        <v>1241</v>
      </c>
      <c r="G855" t="s">
        <v>1985</v>
      </c>
      <c r="I855">
        <v>2021</v>
      </c>
      <c r="N855" t="s">
        <v>36</v>
      </c>
      <c r="P855" t="s">
        <v>60</v>
      </c>
      <c r="Q855" t="s">
        <v>900</v>
      </c>
      <c r="R855" t="s">
        <v>888</v>
      </c>
      <c r="S855" t="s">
        <v>2000</v>
      </c>
      <c r="V855" t="s">
        <v>905</v>
      </c>
      <c r="Z855">
        <v>12</v>
      </c>
      <c r="AA855">
        <v>12</v>
      </c>
      <c r="AC855">
        <v>342</v>
      </c>
      <c r="AD855">
        <v>18.399999999999999</v>
      </c>
      <c r="AE855">
        <v>1485</v>
      </c>
      <c r="AF855">
        <v>18.2</v>
      </c>
      <c r="AG855" t="s">
        <v>3446</v>
      </c>
      <c r="AI855">
        <v>18.399999999999999</v>
      </c>
      <c r="AJ855" t="s">
        <v>2027</v>
      </c>
      <c r="AK855" t="s">
        <v>904</v>
      </c>
      <c r="AN855">
        <v>98.4</v>
      </c>
      <c r="AO855">
        <v>3.186973485926734</v>
      </c>
      <c r="AP855">
        <v>73.900000000000006</v>
      </c>
      <c r="AQ855">
        <v>3.2001370720642575</v>
      </c>
      <c r="AS855">
        <v>-0.2863</v>
      </c>
      <c r="AT855">
        <v>2.0000000000000001E-4</v>
      </c>
      <c r="AW855" s="28">
        <f t="shared" si="65"/>
        <v>-7.6716843227013278</v>
      </c>
      <c r="AX855">
        <f t="shared" si="66"/>
        <v>0.96551724137931039</v>
      </c>
      <c r="AY855" s="62">
        <f t="shared" si="67"/>
        <v>-7.4071434839874897</v>
      </c>
      <c r="AZ855" s="68" t="str">
        <f t="shared" si="68"/>
        <v>No</v>
      </c>
      <c r="BA855" s="68" t="str">
        <f t="shared" si="69"/>
        <v>No</v>
      </c>
    </row>
    <row r="856" spans="1:53" hidden="1">
      <c r="A856" t="s">
        <v>1815</v>
      </c>
      <c r="B856" t="s">
        <v>2277</v>
      </c>
      <c r="C856">
        <v>177</v>
      </c>
      <c r="F856" t="s">
        <v>1241</v>
      </c>
      <c r="G856" t="s">
        <v>1985</v>
      </c>
      <c r="I856">
        <v>2018</v>
      </c>
      <c r="N856" t="s">
        <v>36</v>
      </c>
      <c r="P856" t="s">
        <v>60</v>
      </c>
      <c r="Q856" t="s">
        <v>900</v>
      </c>
      <c r="R856" t="s">
        <v>888</v>
      </c>
      <c r="S856" t="s">
        <v>2000</v>
      </c>
      <c r="V856" t="s">
        <v>907</v>
      </c>
      <c r="Z856">
        <v>12</v>
      </c>
      <c r="AA856">
        <v>12</v>
      </c>
      <c r="AC856">
        <v>342</v>
      </c>
      <c r="AD856">
        <v>18.399999999999999</v>
      </c>
      <c r="AE856">
        <v>337</v>
      </c>
      <c r="AF856">
        <v>22.3</v>
      </c>
      <c r="AG856" t="s">
        <v>3446</v>
      </c>
      <c r="AI856">
        <v>18.399999999999999</v>
      </c>
      <c r="AJ856" t="s">
        <v>2027</v>
      </c>
      <c r="AK856" t="s">
        <v>904</v>
      </c>
      <c r="AN856">
        <v>98.4</v>
      </c>
      <c r="AO856">
        <v>3.186973485926734</v>
      </c>
      <c r="AP856">
        <v>127.3</v>
      </c>
      <c r="AQ856">
        <v>3.2001370720642575</v>
      </c>
      <c r="AS856">
        <v>0.25750000000000001</v>
      </c>
      <c r="AT856">
        <v>1E-4</v>
      </c>
      <c r="AW856" s="28">
        <f t="shared" si="65"/>
        <v>9.0494562010640127</v>
      </c>
      <c r="AX856">
        <f t="shared" si="66"/>
        <v>0.96551724137931039</v>
      </c>
      <c r="AY856" s="62">
        <f t="shared" si="67"/>
        <v>8.7374059872342187</v>
      </c>
      <c r="AZ856" s="68" t="str">
        <f t="shared" si="68"/>
        <v>No</v>
      </c>
      <c r="BA856" s="68" t="str">
        <f t="shared" si="69"/>
        <v>No</v>
      </c>
    </row>
    <row r="857" spans="1:53" hidden="1">
      <c r="A857" t="s">
        <v>1815</v>
      </c>
      <c r="B857" t="s">
        <v>2286</v>
      </c>
      <c r="C857">
        <v>177</v>
      </c>
      <c r="F857" t="s">
        <v>1241</v>
      </c>
      <c r="G857" t="s">
        <v>1985</v>
      </c>
      <c r="I857">
        <v>2017</v>
      </c>
      <c r="N857" t="s">
        <v>36</v>
      </c>
      <c r="P857" t="s">
        <v>60</v>
      </c>
      <c r="Q857" t="s">
        <v>900</v>
      </c>
      <c r="R857" t="s">
        <v>888</v>
      </c>
      <c r="S857" t="s">
        <v>2000</v>
      </c>
      <c r="V857" t="s">
        <v>907</v>
      </c>
      <c r="Z857">
        <v>9</v>
      </c>
      <c r="AA857">
        <v>9</v>
      </c>
      <c r="AC857">
        <v>342</v>
      </c>
      <c r="AD857">
        <v>18.399999999999999</v>
      </c>
      <c r="AE857">
        <v>337</v>
      </c>
      <c r="AF857">
        <v>22.3</v>
      </c>
      <c r="AG857" t="s">
        <v>3446</v>
      </c>
      <c r="AI857">
        <v>18.399999999999999</v>
      </c>
      <c r="AJ857" t="s">
        <v>1792</v>
      </c>
      <c r="AK857" t="s">
        <v>904</v>
      </c>
      <c r="AN857">
        <v>29.771100000000001</v>
      </c>
      <c r="AO857">
        <v>2.58</v>
      </c>
      <c r="AP857">
        <v>36.781100000000002</v>
      </c>
      <c r="AQ857">
        <v>2.1459000000000001</v>
      </c>
      <c r="AS857">
        <v>0.2114</v>
      </c>
      <c r="AT857">
        <v>1.1999999999999999E-3</v>
      </c>
      <c r="AW857" s="28">
        <f t="shared" si="65"/>
        <v>2.9541939611705308</v>
      </c>
      <c r="AX857">
        <f t="shared" si="66"/>
        <v>0.95238095238095233</v>
      </c>
      <c r="AY857" s="62">
        <f t="shared" si="67"/>
        <v>2.8135180582576482</v>
      </c>
      <c r="AZ857" s="68" t="str">
        <f t="shared" si="68"/>
        <v>No</v>
      </c>
      <c r="BA857" s="68" t="str">
        <f t="shared" si="69"/>
        <v>No</v>
      </c>
    </row>
    <row r="858" spans="1:53" hidden="1">
      <c r="A858" t="s">
        <v>1815</v>
      </c>
      <c r="B858" t="s">
        <v>2310</v>
      </c>
      <c r="C858">
        <v>177</v>
      </c>
      <c r="F858" t="s">
        <v>1241</v>
      </c>
      <c r="G858" t="s">
        <v>1985</v>
      </c>
      <c r="I858">
        <v>2015</v>
      </c>
      <c r="N858" t="s">
        <v>36</v>
      </c>
      <c r="P858" t="s">
        <v>60</v>
      </c>
      <c r="Q858" t="s">
        <v>900</v>
      </c>
      <c r="R858" t="s">
        <v>888</v>
      </c>
      <c r="S858" t="s">
        <v>2000</v>
      </c>
      <c r="V858" t="s">
        <v>1015</v>
      </c>
      <c r="Z858">
        <v>12</v>
      </c>
      <c r="AA858">
        <v>12</v>
      </c>
      <c r="AC858">
        <v>342</v>
      </c>
      <c r="AD858">
        <v>18.399999999999999</v>
      </c>
      <c r="AE858">
        <v>1473</v>
      </c>
      <c r="AF858">
        <v>22.1</v>
      </c>
      <c r="AG858" t="s">
        <v>3446</v>
      </c>
      <c r="AI858">
        <v>18.399999999999999</v>
      </c>
      <c r="AJ858" t="s">
        <v>2027</v>
      </c>
      <c r="AK858" t="s">
        <v>904</v>
      </c>
      <c r="AN858">
        <v>98.4</v>
      </c>
      <c r="AO858">
        <v>3.186973485926734</v>
      </c>
      <c r="AP858">
        <v>109.7</v>
      </c>
      <c r="AQ858">
        <v>3.2001370720642575</v>
      </c>
      <c r="AS858">
        <v>0.1087</v>
      </c>
      <c r="AT858">
        <v>2.0000000000000001E-4</v>
      </c>
      <c r="AW858" s="28">
        <f t="shared" si="65"/>
        <v>3.5383686876132647</v>
      </c>
      <c r="AX858">
        <f t="shared" si="66"/>
        <v>0.96551724137931039</v>
      </c>
      <c r="AY858" s="62">
        <f t="shared" si="67"/>
        <v>3.4163559742472902</v>
      </c>
      <c r="AZ858" s="68" t="str">
        <f t="shared" si="68"/>
        <v>No</v>
      </c>
      <c r="BA858" s="68" t="str">
        <f t="shared" si="69"/>
        <v>No</v>
      </c>
    </row>
    <row r="859" spans="1:53" hidden="1">
      <c r="A859" t="s">
        <v>1815</v>
      </c>
      <c r="B859" t="s">
        <v>2362</v>
      </c>
      <c r="C859">
        <v>177</v>
      </c>
      <c r="F859" t="s">
        <v>1241</v>
      </c>
      <c r="G859" t="s">
        <v>1985</v>
      </c>
      <c r="I859">
        <v>2017</v>
      </c>
      <c r="N859" t="s">
        <v>36</v>
      </c>
      <c r="P859" t="s">
        <v>60</v>
      </c>
      <c r="Q859" t="s">
        <v>900</v>
      </c>
      <c r="R859" t="s">
        <v>888</v>
      </c>
      <c r="S859" t="s">
        <v>2000</v>
      </c>
      <c r="V859" t="s">
        <v>1015</v>
      </c>
      <c r="Z859">
        <v>9</v>
      </c>
      <c r="AA859">
        <v>9</v>
      </c>
      <c r="AC859">
        <v>342</v>
      </c>
      <c r="AD859">
        <v>18.399999999999999</v>
      </c>
      <c r="AE859">
        <v>1473</v>
      </c>
      <c r="AF859">
        <v>22.1</v>
      </c>
      <c r="AG859" t="s">
        <v>3446</v>
      </c>
      <c r="AI859">
        <v>18.399999999999999</v>
      </c>
      <c r="AJ859" t="s">
        <v>1792</v>
      </c>
      <c r="AK859" t="s">
        <v>904</v>
      </c>
      <c r="AN859">
        <v>29.771100000000001</v>
      </c>
      <c r="AO859">
        <v>2.58</v>
      </c>
      <c r="AP859">
        <v>28.841200000000001</v>
      </c>
      <c r="AQ859">
        <v>1.7166000000000001</v>
      </c>
      <c r="AS859">
        <v>-3.1699999999999999E-2</v>
      </c>
      <c r="AT859">
        <v>1.1999999999999999E-3</v>
      </c>
      <c r="AW859" s="28">
        <f t="shared" si="65"/>
        <v>-0.42437048203856204</v>
      </c>
      <c r="AX859">
        <f t="shared" si="66"/>
        <v>0.95238095238095233</v>
      </c>
      <c r="AY859" s="62">
        <f t="shared" si="67"/>
        <v>-0.40416236384624954</v>
      </c>
      <c r="AZ859" s="68" t="str">
        <f t="shared" si="68"/>
        <v>No</v>
      </c>
      <c r="BA859" s="68" t="str">
        <f t="shared" si="69"/>
        <v>No</v>
      </c>
    </row>
    <row r="860" spans="1:53" hidden="1">
      <c r="A860" t="s">
        <v>1815</v>
      </c>
      <c r="B860" t="s">
        <v>2434</v>
      </c>
      <c r="C860">
        <v>181</v>
      </c>
      <c r="F860" t="s">
        <v>1241</v>
      </c>
      <c r="G860" t="s">
        <v>1980</v>
      </c>
      <c r="I860">
        <v>2014</v>
      </c>
      <c r="N860" t="s">
        <v>36</v>
      </c>
      <c r="P860" t="s">
        <v>60</v>
      </c>
      <c r="Q860" t="s">
        <v>900</v>
      </c>
      <c r="R860" t="s">
        <v>888</v>
      </c>
      <c r="S860" t="s">
        <v>1993</v>
      </c>
      <c r="V860" t="s">
        <v>905</v>
      </c>
      <c r="Z860">
        <v>9</v>
      </c>
      <c r="AA860">
        <v>9</v>
      </c>
      <c r="AC860">
        <v>400</v>
      </c>
      <c r="AD860">
        <v>18.2</v>
      </c>
      <c r="AE860">
        <v>1608</v>
      </c>
      <c r="AF860">
        <v>18.2</v>
      </c>
      <c r="AG860" t="s">
        <v>3438</v>
      </c>
      <c r="AI860">
        <v>18.2</v>
      </c>
      <c r="AJ860" t="s">
        <v>2015</v>
      </c>
      <c r="AK860" t="s">
        <v>904</v>
      </c>
      <c r="AN860">
        <v>22.8</v>
      </c>
      <c r="AO860">
        <v>3.69</v>
      </c>
      <c r="AP860">
        <v>16.7</v>
      </c>
      <c r="AQ860">
        <v>3.3000000000000003</v>
      </c>
      <c r="AS860">
        <v>-0.31140000000000001</v>
      </c>
      <c r="AT860">
        <v>7.3000000000000001E-3</v>
      </c>
      <c r="AW860" s="28">
        <f t="shared" si="65"/>
        <v>-1.7426402154341496</v>
      </c>
      <c r="AX860">
        <f t="shared" si="66"/>
        <v>0.95238095238095233</v>
      </c>
      <c r="AY860" s="62">
        <f t="shared" si="67"/>
        <v>-1.6596573480325234</v>
      </c>
      <c r="AZ860" s="68" t="str">
        <f t="shared" si="68"/>
        <v>No</v>
      </c>
      <c r="BA860" s="68" t="str">
        <f t="shared" si="69"/>
        <v>No</v>
      </c>
    </row>
    <row r="861" spans="1:53" hidden="1">
      <c r="A861" t="s">
        <v>1815</v>
      </c>
      <c r="B861" t="s">
        <v>2234</v>
      </c>
      <c r="C861">
        <v>181</v>
      </c>
      <c r="F861" t="s">
        <v>1241</v>
      </c>
      <c r="G861" t="s">
        <v>1980</v>
      </c>
      <c r="I861">
        <v>2017</v>
      </c>
      <c r="N861" t="s">
        <v>36</v>
      </c>
      <c r="P861" t="s">
        <v>60</v>
      </c>
      <c r="Q861" t="s">
        <v>900</v>
      </c>
      <c r="R861" t="s">
        <v>888</v>
      </c>
      <c r="S861" t="s">
        <v>1993</v>
      </c>
      <c r="V861" t="s">
        <v>907</v>
      </c>
      <c r="Z861">
        <v>9</v>
      </c>
      <c r="AA861">
        <v>9</v>
      </c>
      <c r="AC861">
        <v>400</v>
      </c>
      <c r="AD861">
        <v>18.2</v>
      </c>
      <c r="AE861">
        <v>424</v>
      </c>
      <c r="AF861">
        <v>22</v>
      </c>
      <c r="AG861" t="s">
        <v>3438</v>
      </c>
      <c r="AI861">
        <v>18.2</v>
      </c>
      <c r="AJ861" t="s">
        <v>2015</v>
      </c>
      <c r="AK861" t="s">
        <v>904</v>
      </c>
      <c r="AN861">
        <v>22.8</v>
      </c>
      <c r="AO861">
        <v>3.69</v>
      </c>
      <c r="AP861">
        <v>34.700000000000003</v>
      </c>
      <c r="AQ861">
        <v>3.9000000000000004</v>
      </c>
      <c r="AS861">
        <v>0.42</v>
      </c>
      <c r="AT861">
        <v>4.3E-3</v>
      </c>
      <c r="AW861" s="28">
        <f t="shared" si="65"/>
        <v>3.1345053452452194</v>
      </c>
      <c r="AX861">
        <f t="shared" si="66"/>
        <v>0.95238095238095233</v>
      </c>
      <c r="AY861" s="62">
        <f t="shared" si="67"/>
        <v>2.9852431859478279</v>
      </c>
      <c r="AZ861" s="68" t="str">
        <f t="shared" si="68"/>
        <v>No</v>
      </c>
      <c r="BA861" s="68" t="str">
        <f t="shared" si="69"/>
        <v>No</v>
      </c>
    </row>
    <row r="862" spans="1:53" hidden="1">
      <c r="A862" t="s">
        <v>1815</v>
      </c>
      <c r="B862" t="s">
        <v>2312</v>
      </c>
      <c r="C862">
        <v>181</v>
      </c>
      <c r="F862" t="s">
        <v>1241</v>
      </c>
      <c r="G862" t="s">
        <v>1980</v>
      </c>
      <c r="I862">
        <v>2018</v>
      </c>
      <c r="N862" t="s">
        <v>36</v>
      </c>
      <c r="P862" t="s">
        <v>60</v>
      </c>
      <c r="Q862" t="s">
        <v>900</v>
      </c>
      <c r="R862" t="s">
        <v>888</v>
      </c>
      <c r="S862" t="s">
        <v>1993</v>
      </c>
      <c r="V862" t="s">
        <v>1015</v>
      </c>
      <c r="Z862">
        <v>9</v>
      </c>
      <c r="AA862">
        <v>9</v>
      </c>
      <c r="AC862">
        <v>400</v>
      </c>
      <c r="AD862">
        <v>18.2</v>
      </c>
      <c r="AE862">
        <v>1654</v>
      </c>
      <c r="AF862">
        <v>22.1</v>
      </c>
      <c r="AG862" t="s">
        <v>3438</v>
      </c>
      <c r="AI862">
        <v>18.2</v>
      </c>
      <c r="AJ862" t="s">
        <v>2015</v>
      </c>
      <c r="AK862" t="s">
        <v>904</v>
      </c>
      <c r="AN862">
        <v>22.8</v>
      </c>
      <c r="AO862">
        <v>3.69</v>
      </c>
      <c r="AP862">
        <v>25</v>
      </c>
      <c r="AQ862">
        <v>3.2000999999999999</v>
      </c>
      <c r="AS862">
        <v>9.2100000000000001E-2</v>
      </c>
      <c r="AT862">
        <v>4.7000000000000002E-3</v>
      </c>
      <c r="AW862" s="28">
        <f t="shared" si="65"/>
        <v>0.63698928915734387</v>
      </c>
      <c r="AX862">
        <f t="shared" si="66"/>
        <v>0.95238095238095233</v>
      </c>
      <c r="AY862" s="62">
        <f t="shared" si="67"/>
        <v>0.60665646586413702</v>
      </c>
      <c r="AZ862" s="68" t="str">
        <f t="shared" si="68"/>
        <v>No</v>
      </c>
      <c r="BA862" s="68" t="str">
        <f t="shared" si="69"/>
        <v>No</v>
      </c>
    </row>
    <row r="863" spans="1:53" hidden="1">
      <c r="A863" t="s">
        <v>1815</v>
      </c>
      <c r="B863" t="s">
        <v>2693</v>
      </c>
      <c r="C863">
        <v>74</v>
      </c>
      <c r="F863" t="s">
        <v>1241</v>
      </c>
      <c r="G863" t="s">
        <v>1708</v>
      </c>
      <c r="I863">
        <v>2017</v>
      </c>
      <c r="N863" t="s">
        <v>36</v>
      </c>
      <c r="P863" t="s">
        <v>60</v>
      </c>
      <c r="Q863" t="s">
        <v>900</v>
      </c>
      <c r="R863" t="s">
        <v>911</v>
      </c>
      <c r="S863" t="s">
        <v>1760</v>
      </c>
      <c r="V863" t="s">
        <v>905</v>
      </c>
      <c r="Z863">
        <v>3</v>
      </c>
      <c r="AA863">
        <v>3</v>
      </c>
      <c r="AC863">
        <v>419</v>
      </c>
      <c r="AD863">
        <v>28.3</v>
      </c>
      <c r="AE863">
        <v>641</v>
      </c>
      <c r="AF863">
        <v>28.3</v>
      </c>
      <c r="AG863" t="s">
        <v>3359</v>
      </c>
      <c r="AH863">
        <v>2.8068580295188172</v>
      </c>
      <c r="AI863">
        <v>28.3</v>
      </c>
      <c r="AJ863" t="s">
        <v>1791</v>
      </c>
      <c r="AK863" t="s">
        <v>770</v>
      </c>
      <c r="AM863"/>
      <c r="AN863">
        <v>18.3</v>
      </c>
      <c r="AO863">
        <v>1.2124355652982139</v>
      </c>
      <c r="AP863">
        <v>7.51</v>
      </c>
      <c r="AQ863">
        <v>1.1777945491468367</v>
      </c>
      <c r="AS863">
        <v>-0.89100000000000001</v>
      </c>
      <c r="AT863">
        <v>9.7000000000000003E-3</v>
      </c>
      <c r="AW863" s="28">
        <f t="shared" si="65"/>
        <v>-9.027471412039926</v>
      </c>
      <c r="AX863">
        <f t="shared" si="66"/>
        <v>0.8</v>
      </c>
      <c r="AY863" s="62">
        <f t="shared" si="67"/>
        <v>-7.2219771296319415</v>
      </c>
      <c r="AZ863" s="68" t="str">
        <f t="shared" si="68"/>
        <v>No</v>
      </c>
      <c r="BA863" s="68" t="str">
        <f t="shared" si="69"/>
        <v>No</v>
      </c>
    </row>
    <row r="864" spans="1:53" hidden="1">
      <c r="A864" t="s">
        <v>1815</v>
      </c>
      <c r="B864" t="s">
        <v>2695</v>
      </c>
      <c r="C864">
        <v>74</v>
      </c>
      <c r="F864" t="s">
        <v>1241</v>
      </c>
      <c r="G864" t="s">
        <v>1708</v>
      </c>
      <c r="I864">
        <v>2017</v>
      </c>
      <c r="N864" t="s">
        <v>36</v>
      </c>
      <c r="P864" t="s">
        <v>60</v>
      </c>
      <c r="Q864" t="s">
        <v>900</v>
      </c>
      <c r="R864" t="s">
        <v>911</v>
      </c>
      <c r="S864" t="s">
        <v>1760</v>
      </c>
      <c r="V864" t="s">
        <v>905</v>
      </c>
      <c r="Z864">
        <v>3</v>
      </c>
      <c r="AA864">
        <v>3</v>
      </c>
      <c r="AC864">
        <v>419</v>
      </c>
      <c r="AD864">
        <v>28.3</v>
      </c>
      <c r="AE864">
        <v>641</v>
      </c>
      <c r="AF864">
        <v>28.3</v>
      </c>
      <c r="AG864" t="s">
        <v>3358</v>
      </c>
      <c r="AH864">
        <v>2.8068580295188172</v>
      </c>
      <c r="AI864">
        <v>28.3</v>
      </c>
      <c r="AJ864" t="s">
        <v>69</v>
      </c>
      <c r="AK864" t="s">
        <v>69</v>
      </c>
      <c r="AM864"/>
      <c r="AN864">
        <v>56.2</v>
      </c>
      <c r="AO864">
        <v>2.7712812921102037</v>
      </c>
      <c r="AP864">
        <v>53.7</v>
      </c>
      <c r="AQ864">
        <v>2.7712812921102037</v>
      </c>
      <c r="AS864">
        <v>-4.5999999999999999E-2</v>
      </c>
      <c r="AT864">
        <v>1.6999999999999999E-3</v>
      </c>
      <c r="AW864" s="28">
        <f t="shared" si="65"/>
        <v>-0.90210979560879023</v>
      </c>
      <c r="AX864">
        <f t="shared" si="66"/>
        <v>0.8</v>
      </c>
      <c r="AY864" s="62">
        <f t="shared" si="67"/>
        <v>-0.72168783648703227</v>
      </c>
      <c r="AZ864" s="68" t="str">
        <f t="shared" si="68"/>
        <v>No</v>
      </c>
      <c r="BA864" s="68" t="str">
        <f t="shared" si="69"/>
        <v>No</v>
      </c>
    </row>
    <row r="865" spans="1:53" hidden="1">
      <c r="A865" t="s">
        <v>1815</v>
      </c>
      <c r="B865" t="s">
        <v>3104</v>
      </c>
      <c r="C865">
        <v>74</v>
      </c>
      <c r="F865" t="s">
        <v>1241</v>
      </c>
      <c r="G865" t="s">
        <v>1708</v>
      </c>
      <c r="I865">
        <v>2020</v>
      </c>
      <c r="N865" t="s">
        <v>36</v>
      </c>
      <c r="P865" t="s">
        <v>60</v>
      </c>
      <c r="Q865" t="s">
        <v>900</v>
      </c>
      <c r="R865" t="s">
        <v>911</v>
      </c>
      <c r="S865" t="s">
        <v>1760</v>
      </c>
      <c r="V865" t="s">
        <v>905</v>
      </c>
      <c r="Z865">
        <v>3</v>
      </c>
      <c r="AA865">
        <v>3</v>
      </c>
      <c r="AC865">
        <v>419</v>
      </c>
      <c r="AD865" s="37">
        <v>28.3</v>
      </c>
      <c r="AE865">
        <v>641</v>
      </c>
      <c r="AF865" s="37">
        <v>28.3</v>
      </c>
      <c r="AG865" t="s">
        <v>3395</v>
      </c>
      <c r="AH865">
        <v>2.8068580295188172</v>
      </c>
      <c r="AI865" s="37">
        <v>28.3</v>
      </c>
      <c r="AJ865" t="s">
        <v>1813</v>
      </c>
      <c r="AK865" t="s">
        <v>59</v>
      </c>
      <c r="AM865"/>
      <c r="AN865">
        <v>88.07</v>
      </c>
      <c r="AO865">
        <v>2.8232428163372698</v>
      </c>
      <c r="AP865">
        <v>66.66</v>
      </c>
      <c r="AQ865">
        <v>18.706148721743876</v>
      </c>
      <c r="AS865">
        <v>-0.27900000000000003</v>
      </c>
      <c r="AT865">
        <v>2.6599999999999999E-2</v>
      </c>
      <c r="AW865" s="28">
        <f t="shared" si="65"/>
        <v>-1.6005028748088272</v>
      </c>
      <c r="AX865">
        <f t="shared" si="66"/>
        <v>0.8</v>
      </c>
      <c r="AY865" s="62">
        <f t="shared" si="67"/>
        <v>-1.2804022998470619</v>
      </c>
      <c r="AZ865" s="68" t="str">
        <f t="shared" si="68"/>
        <v>No</v>
      </c>
      <c r="BA865" s="68" t="str">
        <f t="shared" si="69"/>
        <v>No</v>
      </c>
    </row>
    <row r="866" spans="1:53" hidden="1">
      <c r="A866" t="s">
        <v>1815</v>
      </c>
      <c r="B866" t="s">
        <v>2691</v>
      </c>
      <c r="C866">
        <v>74</v>
      </c>
      <c r="F866" t="s">
        <v>1241</v>
      </c>
      <c r="G866" t="s">
        <v>1708</v>
      </c>
      <c r="I866">
        <v>2017</v>
      </c>
      <c r="N866" t="s">
        <v>36</v>
      </c>
      <c r="P866" t="s">
        <v>60</v>
      </c>
      <c r="Q866" t="s">
        <v>900</v>
      </c>
      <c r="R866" t="s">
        <v>911</v>
      </c>
      <c r="S866" t="s">
        <v>1760</v>
      </c>
      <c r="V866" t="s">
        <v>907</v>
      </c>
      <c r="Z866">
        <v>3</v>
      </c>
      <c r="AA866">
        <v>3</v>
      </c>
      <c r="AC866">
        <v>419</v>
      </c>
      <c r="AD866">
        <v>28.3</v>
      </c>
      <c r="AE866">
        <v>415</v>
      </c>
      <c r="AF866">
        <v>29.9</v>
      </c>
      <c r="AG866" t="s">
        <v>3358</v>
      </c>
      <c r="AH866">
        <v>2.6180480967120925</v>
      </c>
      <c r="AI866">
        <v>28.3</v>
      </c>
      <c r="AJ866" t="s">
        <v>69</v>
      </c>
      <c r="AK866" t="s">
        <v>69</v>
      </c>
      <c r="AM866"/>
      <c r="AN866">
        <v>56.2</v>
      </c>
      <c r="AO866">
        <v>2.7712812921102037</v>
      </c>
      <c r="AP866">
        <v>8.3000000000000007</v>
      </c>
      <c r="AQ866">
        <v>2.0784609690826525</v>
      </c>
      <c r="AS866">
        <v>-1.913</v>
      </c>
      <c r="AT866">
        <v>2.1700000000000001E-2</v>
      </c>
      <c r="AW866" s="28">
        <f t="shared" si="65"/>
        <v>-19.555093113219044</v>
      </c>
      <c r="AX866">
        <f t="shared" si="66"/>
        <v>0.8</v>
      </c>
      <c r="AY866" s="62">
        <f t="shared" si="67"/>
        <v>-15.644074490575235</v>
      </c>
      <c r="AZ866" s="68" t="str">
        <f t="shared" si="68"/>
        <v>No</v>
      </c>
      <c r="BA866" s="68" t="str">
        <f t="shared" si="69"/>
        <v>Yes</v>
      </c>
    </row>
    <row r="867" spans="1:53" hidden="1">
      <c r="A867" t="s">
        <v>1815</v>
      </c>
      <c r="B867" t="s">
        <v>3105</v>
      </c>
      <c r="C867">
        <v>74</v>
      </c>
      <c r="F867" t="s">
        <v>1241</v>
      </c>
      <c r="G867" t="s">
        <v>1708</v>
      </c>
      <c r="I867">
        <v>2020</v>
      </c>
      <c r="N867" t="s">
        <v>36</v>
      </c>
      <c r="P867" t="s">
        <v>60</v>
      </c>
      <c r="Q867" t="s">
        <v>900</v>
      </c>
      <c r="R867" t="s">
        <v>911</v>
      </c>
      <c r="S867" t="s">
        <v>1760</v>
      </c>
      <c r="V867" t="s">
        <v>907</v>
      </c>
      <c r="Z867">
        <v>3</v>
      </c>
      <c r="AA867">
        <v>3</v>
      </c>
      <c r="AC867">
        <v>419</v>
      </c>
      <c r="AD867" s="37">
        <v>28.3</v>
      </c>
      <c r="AE867">
        <v>415</v>
      </c>
      <c r="AF867" s="37">
        <v>29.9</v>
      </c>
      <c r="AG867" t="s">
        <v>3395</v>
      </c>
      <c r="AH867">
        <v>2.6180480967120925</v>
      </c>
      <c r="AI867" s="37">
        <v>28.3</v>
      </c>
      <c r="AJ867" t="s">
        <v>1813</v>
      </c>
      <c r="AK867" t="s">
        <v>59</v>
      </c>
      <c r="AM867"/>
      <c r="AN867">
        <v>88.07</v>
      </c>
      <c r="AO867">
        <v>2.8232428163372698</v>
      </c>
      <c r="AP867">
        <v>86.99</v>
      </c>
      <c r="AQ867">
        <v>6.0968188426424481</v>
      </c>
      <c r="AS867">
        <v>-1.2E-2</v>
      </c>
      <c r="AT867">
        <v>2E-3</v>
      </c>
      <c r="AW867" s="28">
        <f t="shared" si="65"/>
        <v>-0.22732585653917925</v>
      </c>
      <c r="AX867">
        <f t="shared" si="66"/>
        <v>0.8</v>
      </c>
      <c r="AY867" s="62">
        <f t="shared" si="67"/>
        <v>-0.18186068523134341</v>
      </c>
      <c r="AZ867" s="68" t="str">
        <f t="shared" si="68"/>
        <v>No</v>
      </c>
      <c r="BA867" s="68" t="str">
        <f t="shared" si="69"/>
        <v>No</v>
      </c>
    </row>
    <row r="868" spans="1:53" hidden="1">
      <c r="A868" t="s">
        <v>1815</v>
      </c>
      <c r="B868" t="s">
        <v>2692</v>
      </c>
      <c r="C868">
        <v>74</v>
      </c>
      <c r="F868" t="s">
        <v>1241</v>
      </c>
      <c r="G868" t="s">
        <v>1708</v>
      </c>
      <c r="I868">
        <v>2017</v>
      </c>
      <c r="N868" t="s">
        <v>36</v>
      </c>
      <c r="P868" t="s">
        <v>60</v>
      </c>
      <c r="Q868" t="s">
        <v>900</v>
      </c>
      <c r="R868" t="s">
        <v>911</v>
      </c>
      <c r="S868" t="s">
        <v>1760</v>
      </c>
      <c r="V868" t="s">
        <v>1015</v>
      </c>
      <c r="Z868">
        <v>3</v>
      </c>
      <c r="AA868">
        <v>3</v>
      </c>
      <c r="AC868">
        <v>419</v>
      </c>
      <c r="AD868">
        <v>28.3</v>
      </c>
      <c r="AE868">
        <v>647</v>
      </c>
      <c r="AF868">
        <v>29.9</v>
      </c>
      <c r="AG868" t="s">
        <v>3359</v>
      </c>
      <c r="AH868">
        <v>2.8109042806687006</v>
      </c>
      <c r="AI868">
        <v>28.3</v>
      </c>
      <c r="AJ868" t="s">
        <v>1791</v>
      </c>
      <c r="AK868" t="s">
        <v>770</v>
      </c>
      <c r="AM868"/>
      <c r="AN868">
        <v>18.3</v>
      </c>
      <c r="AO868">
        <v>1.2124355652982139</v>
      </c>
      <c r="AP868">
        <v>5.97</v>
      </c>
      <c r="AQ868">
        <v>0.95262794416288255</v>
      </c>
      <c r="AS868">
        <v>-1.1200000000000001</v>
      </c>
      <c r="AT868">
        <v>0.01</v>
      </c>
      <c r="AW868" s="28">
        <f t="shared" si="65"/>
        <v>-11.308833542338844</v>
      </c>
      <c r="AX868">
        <f t="shared" si="66"/>
        <v>0.8</v>
      </c>
      <c r="AY868" s="62">
        <f t="shared" si="67"/>
        <v>-9.0470668338710762</v>
      </c>
      <c r="AZ868" s="68" t="str">
        <f t="shared" si="68"/>
        <v>No</v>
      </c>
      <c r="BA868" s="68" t="str">
        <f t="shared" si="69"/>
        <v>No</v>
      </c>
    </row>
    <row r="869" spans="1:53" hidden="1">
      <c r="A869" t="s">
        <v>1815</v>
      </c>
      <c r="B869" t="s">
        <v>2694</v>
      </c>
      <c r="C869">
        <v>74</v>
      </c>
      <c r="F869" t="s">
        <v>1241</v>
      </c>
      <c r="G869" t="s">
        <v>1708</v>
      </c>
      <c r="I869">
        <v>2017</v>
      </c>
      <c r="N869" t="s">
        <v>36</v>
      </c>
      <c r="P869" t="s">
        <v>60</v>
      </c>
      <c r="Q869" t="s">
        <v>900</v>
      </c>
      <c r="R869" t="s">
        <v>911</v>
      </c>
      <c r="S869" t="s">
        <v>1760</v>
      </c>
      <c r="V869" t="s">
        <v>1015</v>
      </c>
      <c r="Z869">
        <v>3</v>
      </c>
      <c r="AA869">
        <v>3</v>
      </c>
      <c r="AC869">
        <v>419</v>
      </c>
      <c r="AD869">
        <v>28.3</v>
      </c>
      <c r="AE869">
        <v>647</v>
      </c>
      <c r="AF869">
        <v>29.9</v>
      </c>
      <c r="AG869" t="s">
        <v>3358</v>
      </c>
      <c r="AH869">
        <v>2.8109042806687006</v>
      </c>
      <c r="AI869">
        <v>28.3</v>
      </c>
      <c r="AJ869" t="s">
        <v>69</v>
      </c>
      <c r="AK869" t="s">
        <v>69</v>
      </c>
      <c r="AM869"/>
      <c r="AN869">
        <v>56.2</v>
      </c>
      <c r="AO869">
        <v>2.7712812921102037</v>
      </c>
      <c r="AP869">
        <v>34.700000000000003</v>
      </c>
      <c r="AQ869">
        <v>2.7712812921102037</v>
      </c>
      <c r="AS869">
        <v>-0.48199999999999998</v>
      </c>
      <c r="AT869">
        <v>2.8999999999999998E-3</v>
      </c>
      <c r="AW869" s="28">
        <f t="shared" si="65"/>
        <v>-7.7581442422355957</v>
      </c>
      <c r="AX869">
        <f t="shared" si="66"/>
        <v>0.8</v>
      </c>
      <c r="AY869" s="62">
        <f t="shared" si="67"/>
        <v>-6.2065153937884769</v>
      </c>
      <c r="AZ869" s="68" t="str">
        <f t="shared" si="68"/>
        <v>No</v>
      </c>
      <c r="BA869" s="68" t="str">
        <f t="shared" si="69"/>
        <v>No</v>
      </c>
    </row>
    <row r="870" spans="1:53" hidden="1">
      <c r="A870" t="s">
        <v>1815</v>
      </c>
      <c r="B870" t="s">
        <v>3106</v>
      </c>
      <c r="C870">
        <v>74</v>
      </c>
      <c r="F870" t="s">
        <v>1241</v>
      </c>
      <c r="G870" t="s">
        <v>1708</v>
      </c>
      <c r="I870">
        <v>2020</v>
      </c>
      <c r="N870" t="s">
        <v>36</v>
      </c>
      <c r="P870" t="s">
        <v>60</v>
      </c>
      <c r="Q870" t="s">
        <v>900</v>
      </c>
      <c r="R870" t="s">
        <v>911</v>
      </c>
      <c r="S870" t="s">
        <v>1760</v>
      </c>
      <c r="V870" t="s">
        <v>1015</v>
      </c>
      <c r="Z870">
        <v>3</v>
      </c>
      <c r="AA870">
        <v>3</v>
      </c>
      <c r="AC870">
        <v>419</v>
      </c>
      <c r="AD870" s="37">
        <v>28.3</v>
      </c>
      <c r="AE870">
        <v>647</v>
      </c>
      <c r="AF870" s="37">
        <v>29.9</v>
      </c>
      <c r="AG870" t="s">
        <v>3395</v>
      </c>
      <c r="AH870">
        <v>2.8109042806687006</v>
      </c>
      <c r="AI870" s="37">
        <v>28.3</v>
      </c>
      <c r="AJ870" t="s">
        <v>1813</v>
      </c>
      <c r="AK870" t="s">
        <v>59</v>
      </c>
      <c r="AM870"/>
      <c r="AN870">
        <v>88.07</v>
      </c>
      <c r="AO870">
        <v>2.8232428163372698</v>
      </c>
      <c r="AP870">
        <v>88.61</v>
      </c>
      <c r="AQ870">
        <v>2.8232428163372698</v>
      </c>
      <c r="AS870">
        <v>6.0000000000000001E-3</v>
      </c>
      <c r="AT870">
        <v>6.9999999999999999E-4</v>
      </c>
      <c r="AW870" s="28">
        <f t="shared" si="65"/>
        <v>0.19126941433276168</v>
      </c>
      <c r="AX870">
        <f t="shared" si="66"/>
        <v>0.8</v>
      </c>
      <c r="AY870" s="62">
        <f t="shared" si="67"/>
        <v>0.15301553146620936</v>
      </c>
      <c r="AZ870" s="68" t="str">
        <f t="shared" si="68"/>
        <v>No</v>
      </c>
      <c r="BA870" s="68" t="str">
        <f t="shared" si="69"/>
        <v>No</v>
      </c>
    </row>
    <row r="871" spans="1:53" hidden="1">
      <c r="A871" t="s">
        <v>1815</v>
      </c>
      <c r="B871" t="s">
        <v>2229</v>
      </c>
      <c r="C871">
        <v>173</v>
      </c>
      <c r="F871" t="s">
        <v>1241</v>
      </c>
      <c r="G871" t="s">
        <v>1973</v>
      </c>
      <c r="I871">
        <v>2015</v>
      </c>
      <c r="N871" t="s">
        <v>36</v>
      </c>
      <c r="P871" t="s">
        <v>60</v>
      </c>
      <c r="Q871" t="s">
        <v>900</v>
      </c>
      <c r="R871" t="s">
        <v>888</v>
      </c>
      <c r="S871" t="s">
        <v>1992</v>
      </c>
      <c r="V871" t="s">
        <v>905</v>
      </c>
      <c r="Z871">
        <v>3</v>
      </c>
      <c r="AA871">
        <v>3</v>
      </c>
      <c r="AC871">
        <v>598.33000000000004</v>
      </c>
      <c r="AD871">
        <v>17</v>
      </c>
      <c r="AE871">
        <v>1004</v>
      </c>
      <c r="AF871">
        <v>17</v>
      </c>
      <c r="AG871" t="s">
        <v>3430</v>
      </c>
      <c r="AI871">
        <v>17</v>
      </c>
      <c r="AJ871" t="s">
        <v>2005</v>
      </c>
      <c r="AK871" t="s">
        <v>69</v>
      </c>
      <c r="AN871">
        <v>6.5600000000000006E-2</v>
      </c>
      <c r="AO871">
        <v>1.9225763964014538E-2</v>
      </c>
      <c r="AP871">
        <v>3.1399999999999997E-2</v>
      </c>
      <c r="AQ871">
        <v>1.7320508075688772E-3</v>
      </c>
      <c r="AS871">
        <v>0.73619999999999997</v>
      </c>
      <c r="AT871">
        <v>2.9399999999999999E-2</v>
      </c>
      <c r="AU871" t="s">
        <v>2002</v>
      </c>
      <c r="AW871" s="28">
        <f t="shared" si="65"/>
        <v>-2.5055449335858775</v>
      </c>
      <c r="AX871">
        <f t="shared" si="66"/>
        <v>0.8</v>
      </c>
      <c r="AY871" s="62">
        <f t="shared" si="67"/>
        <v>-2.0044359468687021</v>
      </c>
      <c r="AZ871" s="68" t="str">
        <f t="shared" si="68"/>
        <v>No</v>
      </c>
      <c r="BA871" s="68" t="str">
        <f t="shared" si="69"/>
        <v>No</v>
      </c>
    </row>
    <row r="872" spans="1:53" hidden="1">
      <c r="A872" t="s">
        <v>1815</v>
      </c>
      <c r="B872" t="s">
        <v>2337</v>
      </c>
      <c r="C872">
        <v>173</v>
      </c>
      <c r="F872" t="s">
        <v>1241</v>
      </c>
      <c r="G872" t="s">
        <v>1973</v>
      </c>
      <c r="I872">
        <v>2021</v>
      </c>
      <c r="N872" t="s">
        <v>36</v>
      </c>
      <c r="P872" t="s">
        <v>60</v>
      </c>
      <c r="Q872" t="s">
        <v>900</v>
      </c>
      <c r="R872" t="s">
        <v>888</v>
      </c>
      <c r="S872" t="s">
        <v>1992</v>
      </c>
      <c r="V872" t="s">
        <v>905</v>
      </c>
      <c r="Z872">
        <v>10</v>
      </c>
      <c r="AA872">
        <v>10</v>
      </c>
      <c r="AC872">
        <v>598.33000000000004</v>
      </c>
      <c r="AD872">
        <v>17</v>
      </c>
      <c r="AE872">
        <v>1004</v>
      </c>
      <c r="AF872">
        <v>17</v>
      </c>
      <c r="AG872" t="s">
        <v>3430</v>
      </c>
      <c r="AI872">
        <v>17</v>
      </c>
      <c r="AJ872" t="s">
        <v>2038</v>
      </c>
      <c r="AK872" t="s">
        <v>904</v>
      </c>
      <c r="AN872">
        <v>3.8458999999999999</v>
      </c>
      <c r="AO872">
        <v>0.47434164902525688</v>
      </c>
      <c r="AP872">
        <v>3.8852000000000002</v>
      </c>
      <c r="AQ872">
        <v>5.1228898094727748E-2</v>
      </c>
      <c r="AS872">
        <v>1.0200000000000001E-2</v>
      </c>
      <c r="AT872">
        <v>1.5E-3</v>
      </c>
      <c r="AW872" s="28">
        <f t="shared" si="65"/>
        <v>0.11649254710145267</v>
      </c>
      <c r="AX872">
        <f t="shared" si="66"/>
        <v>0.95774647887323949</v>
      </c>
      <c r="AY872" s="62">
        <f t="shared" si="67"/>
        <v>0.1115703268013913</v>
      </c>
      <c r="AZ872" s="68" t="str">
        <f t="shared" si="68"/>
        <v>No</v>
      </c>
      <c r="BA872" s="68" t="str">
        <f t="shared" si="69"/>
        <v>No</v>
      </c>
    </row>
    <row r="873" spans="1:53" hidden="1">
      <c r="A873" t="s">
        <v>1815</v>
      </c>
      <c r="B873" t="s">
        <v>2415</v>
      </c>
      <c r="C873">
        <v>173</v>
      </c>
      <c r="F873" t="s">
        <v>1241</v>
      </c>
      <c r="G873" t="s">
        <v>1973</v>
      </c>
      <c r="I873">
        <v>2014</v>
      </c>
      <c r="N873" t="s">
        <v>36</v>
      </c>
      <c r="P873" t="s">
        <v>60</v>
      </c>
      <c r="Q873" t="s">
        <v>900</v>
      </c>
      <c r="R873" t="s">
        <v>888</v>
      </c>
      <c r="S873" t="s">
        <v>1992</v>
      </c>
      <c r="V873" t="s">
        <v>905</v>
      </c>
      <c r="Z873">
        <v>10</v>
      </c>
      <c r="AA873">
        <v>10</v>
      </c>
      <c r="AC873">
        <v>598.33000000000004</v>
      </c>
      <c r="AD873">
        <v>17</v>
      </c>
      <c r="AE873">
        <v>1004</v>
      </c>
      <c r="AF873">
        <v>17</v>
      </c>
      <c r="AG873" t="s">
        <v>3430</v>
      </c>
      <c r="AI873">
        <v>17</v>
      </c>
      <c r="AJ873" t="s">
        <v>2043</v>
      </c>
      <c r="AK873" t="s">
        <v>40</v>
      </c>
      <c r="AN873">
        <v>768</v>
      </c>
      <c r="AO873">
        <v>44.271887242357316</v>
      </c>
      <c r="AP873">
        <v>750</v>
      </c>
      <c r="AQ873">
        <v>88.543774484714632</v>
      </c>
      <c r="AS873">
        <v>-2.3699999999999999E-2</v>
      </c>
      <c r="AT873">
        <v>1.6999999999999999E-3</v>
      </c>
      <c r="AW873" s="28">
        <f t="shared" si="65"/>
        <v>-0.25714285714285712</v>
      </c>
      <c r="AX873">
        <f t="shared" si="66"/>
        <v>0.95774647887323949</v>
      </c>
      <c r="AY873" s="62">
        <f t="shared" si="67"/>
        <v>-0.24627766599597584</v>
      </c>
      <c r="AZ873" s="68" t="str">
        <f t="shared" si="68"/>
        <v>No</v>
      </c>
      <c r="BA873" s="68" t="str">
        <f t="shared" si="69"/>
        <v>No</v>
      </c>
    </row>
    <row r="874" spans="1:53" hidden="1">
      <c r="A874" t="s">
        <v>1815</v>
      </c>
      <c r="B874" t="s">
        <v>2211</v>
      </c>
      <c r="C874">
        <v>173</v>
      </c>
      <c r="F874" t="s">
        <v>1241</v>
      </c>
      <c r="G874" t="s">
        <v>1973</v>
      </c>
      <c r="I874">
        <v>2014</v>
      </c>
      <c r="N874" t="s">
        <v>36</v>
      </c>
      <c r="P874" t="s">
        <v>60</v>
      </c>
      <c r="Q874" t="s">
        <v>900</v>
      </c>
      <c r="R874" t="s">
        <v>888</v>
      </c>
      <c r="S874" t="s">
        <v>1992</v>
      </c>
      <c r="V874" t="s">
        <v>907</v>
      </c>
      <c r="Z874">
        <v>3</v>
      </c>
      <c r="AA874">
        <v>3</v>
      </c>
      <c r="AC874">
        <v>598.33000000000004</v>
      </c>
      <c r="AD874">
        <v>17</v>
      </c>
      <c r="AE874">
        <v>586</v>
      </c>
      <c r="AF874">
        <v>18.899999999999999</v>
      </c>
      <c r="AG874" t="s">
        <v>3430</v>
      </c>
      <c r="AI874">
        <v>17</v>
      </c>
      <c r="AJ874" t="s">
        <v>2005</v>
      </c>
      <c r="AK874" t="s">
        <v>69</v>
      </c>
      <c r="AN874">
        <v>6.5600000000000006E-2</v>
      </c>
      <c r="AO874">
        <v>1.9225763964014538E-2</v>
      </c>
      <c r="AP874">
        <v>2.0400000000000001E-2</v>
      </c>
      <c r="AQ874">
        <v>4.8497422611928562E-3</v>
      </c>
      <c r="AS874">
        <v>1.1700999999999999</v>
      </c>
      <c r="AT874">
        <v>4.6899999999999997E-2</v>
      </c>
      <c r="AU874" t="s">
        <v>2002</v>
      </c>
      <c r="AW874" s="28">
        <f t="shared" si="65"/>
        <v>-3.2238460359306051</v>
      </c>
      <c r="AX874">
        <f t="shared" si="66"/>
        <v>0.8</v>
      </c>
      <c r="AY874" s="62">
        <f t="shared" si="67"/>
        <v>-2.5790768287444843</v>
      </c>
      <c r="AZ874" s="68" t="str">
        <f t="shared" si="68"/>
        <v>No</v>
      </c>
      <c r="BA874" s="68" t="str">
        <f t="shared" si="69"/>
        <v>No</v>
      </c>
    </row>
    <row r="875" spans="1:53" hidden="1">
      <c r="A875" t="s">
        <v>1815</v>
      </c>
      <c r="B875" t="s">
        <v>2382</v>
      </c>
      <c r="C875">
        <v>173</v>
      </c>
      <c r="F875" t="s">
        <v>1241</v>
      </c>
      <c r="G875" t="s">
        <v>1973</v>
      </c>
      <c r="I875">
        <v>2021</v>
      </c>
      <c r="N875" t="s">
        <v>36</v>
      </c>
      <c r="P875" t="s">
        <v>60</v>
      </c>
      <c r="Q875" t="s">
        <v>900</v>
      </c>
      <c r="R875" t="s">
        <v>888</v>
      </c>
      <c r="S875" t="s">
        <v>1992</v>
      </c>
      <c r="V875" t="s">
        <v>907</v>
      </c>
      <c r="Z875">
        <v>10</v>
      </c>
      <c r="AA875">
        <v>10</v>
      </c>
      <c r="AC875">
        <v>598.33000000000004</v>
      </c>
      <c r="AD875">
        <v>17</v>
      </c>
      <c r="AE875">
        <v>586</v>
      </c>
      <c r="AF875">
        <v>18.899999999999999</v>
      </c>
      <c r="AG875" t="s">
        <v>3430</v>
      </c>
      <c r="AI875">
        <v>17</v>
      </c>
      <c r="AJ875" t="s">
        <v>2038</v>
      </c>
      <c r="AK875" t="s">
        <v>904</v>
      </c>
      <c r="AN875">
        <v>3.8458999999999999</v>
      </c>
      <c r="AO875">
        <v>0.47434164902525688</v>
      </c>
      <c r="AP875">
        <v>3.6556999999999999</v>
      </c>
      <c r="AQ875">
        <v>2.9409182239565929E-2</v>
      </c>
      <c r="AS875">
        <v>-5.0700000000000002E-2</v>
      </c>
      <c r="AT875">
        <v>1.5E-3</v>
      </c>
      <c r="AW875" s="28">
        <f t="shared" si="65"/>
        <v>-0.56598006878627416</v>
      </c>
      <c r="AX875">
        <f t="shared" si="66"/>
        <v>0.95774647887323949</v>
      </c>
      <c r="AY875" s="62">
        <f t="shared" si="67"/>
        <v>-0.54206541799248797</v>
      </c>
      <c r="AZ875" s="68" t="str">
        <f t="shared" si="68"/>
        <v>No</v>
      </c>
      <c r="BA875" s="68" t="str">
        <f t="shared" si="69"/>
        <v>No</v>
      </c>
    </row>
    <row r="876" spans="1:53" hidden="1">
      <c r="A876" t="s">
        <v>1815</v>
      </c>
      <c r="B876" t="s">
        <v>2385</v>
      </c>
      <c r="C876">
        <v>173</v>
      </c>
      <c r="F876" t="s">
        <v>1241</v>
      </c>
      <c r="G876" t="s">
        <v>1973</v>
      </c>
      <c r="I876">
        <v>2021</v>
      </c>
      <c r="N876" t="s">
        <v>36</v>
      </c>
      <c r="P876" t="s">
        <v>60</v>
      </c>
      <c r="Q876" t="s">
        <v>900</v>
      </c>
      <c r="R876" t="s">
        <v>888</v>
      </c>
      <c r="S876" t="s">
        <v>1992</v>
      </c>
      <c r="V876" t="s">
        <v>907</v>
      </c>
      <c r="Z876">
        <v>10</v>
      </c>
      <c r="AA876">
        <v>10</v>
      </c>
      <c r="AC876">
        <v>598.33000000000004</v>
      </c>
      <c r="AD876">
        <v>17</v>
      </c>
      <c r="AE876">
        <v>586</v>
      </c>
      <c r="AF876">
        <v>18.899999999999999</v>
      </c>
      <c r="AG876" t="s">
        <v>3430</v>
      </c>
      <c r="AI876">
        <v>17</v>
      </c>
      <c r="AJ876" t="s">
        <v>2043</v>
      </c>
      <c r="AK876" t="s">
        <v>40</v>
      </c>
      <c r="AN876">
        <v>768</v>
      </c>
      <c r="AO876">
        <v>44.271887242357316</v>
      </c>
      <c r="AP876">
        <v>922</v>
      </c>
      <c r="AQ876">
        <v>113.84199576606166</v>
      </c>
      <c r="AS876">
        <v>0.18279999999999999</v>
      </c>
      <c r="AT876">
        <v>1.9E-3</v>
      </c>
      <c r="AW876" s="28">
        <f t="shared" si="65"/>
        <v>1.7829998518928334</v>
      </c>
      <c r="AX876">
        <f t="shared" si="66"/>
        <v>0.95774647887323949</v>
      </c>
      <c r="AY876" s="62">
        <f t="shared" si="67"/>
        <v>1.7076618299818687</v>
      </c>
      <c r="AZ876" s="68" t="str">
        <f t="shared" si="68"/>
        <v>No</v>
      </c>
      <c r="BA876" s="68" t="str">
        <f t="shared" si="69"/>
        <v>No</v>
      </c>
    </row>
    <row r="877" spans="1:53" hidden="1">
      <c r="A877" t="s">
        <v>1815</v>
      </c>
      <c r="B877" t="s">
        <v>2209</v>
      </c>
      <c r="C877">
        <v>173</v>
      </c>
      <c r="F877" t="s">
        <v>1241</v>
      </c>
      <c r="G877" t="s">
        <v>1973</v>
      </c>
      <c r="I877">
        <v>2015</v>
      </c>
      <c r="N877" t="s">
        <v>36</v>
      </c>
      <c r="P877" t="s">
        <v>60</v>
      </c>
      <c r="Q877" t="s">
        <v>900</v>
      </c>
      <c r="R877" t="s">
        <v>888</v>
      </c>
      <c r="S877" t="s">
        <v>1992</v>
      </c>
      <c r="V877" t="s">
        <v>1015</v>
      </c>
      <c r="Z877">
        <v>3</v>
      </c>
      <c r="AA877">
        <v>3</v>
      </c>
      <c r="AC877">
        <v>598.33000000000004</v>
      </c>
      <c r="AD877">
        <v>17</v>
      </c>
      <c r="AE877">
        <v>1030</v>
      </c>
      <c r="AF877">
        <v>18.7</v>
      </c>
      <c r="AG877" t="s">
        <v>3430</v>
      </c>
      <c r="AI877">
        <v>17</v>
      </c>
      <c r="AJ877" t="s">
        <v>2005</v>
      </c>
      <c r="AK877" t="s">
        <v>69</v>
      </c>
      <c r="AN877">
        <v>6.5600000000000006E-2</v>
      </c>
      <c r="AO877">
        <v>1.9225763964014538E-2</v>
      </c>
      <c r="AP877">
        <v>1.6799999999999999E-2</v>
      </c>
      <c r="AQ877">
        <v>7.7942286340599472E-3</v>
      </c>
      <c r="AS877">
        <v>1.3597999999999999</v>
      </c>
      <c r="AT877">
        <v>0.10059999999999999</v>
      </c>
      <c r="AU877" t="s">
        <v>2002</v>
      </c>
      <c r="AW877" s="28">
        <f t="shared" si="65"/>
        <v>-3.3266627804589741</v>
      </c>
      <c r="AX877">
        <f t="shared" si="66"/>
        <v>0.8</v>
      </c>
      <c r="AY877" s="62">
        <f t="shared" si="67"/>
        <v>-2.6613302243671795</v>
      </c>
      <c r="AZ877" s="68" t="str">
        <f t="shared" si="68"/>
        <v>No</v>
      </c>
      <c r="BA877" s="68" t="str">
        <f t="shared" si="69"/>
        <v>No</v>
      </c>
    </row>
    <row r="878" spans="1:53" hidden="1">
      <c r="A878" t="s">
        <v>1815</v>
      </c>
      <c r="B878" t="s">
        <v>2363</v>
      </c>
      <c r="C878">
        <v>173</v>
      </c>
      <c r="F878" t="s">
        <v>1241</v>
      </c>
      <c r="G878" t="s">
        <v>1973</v>
      </c>
      <c r="I878">
        <v>2019</v>
      </c>
      <c r="N878" t="s">
        <v>36</v>
      </c>
      <c r="P878" t="s">
        <v>60</v>
      </c>
      <c r="Q878" t="s">
        <v>900</v>
      </c>
      <c r="R878" t="s">
        <v>888</v>
      </c>
      <c r="S878" t="s">
        <v>1992</v>
      </c>
      <c r="V878" t="s">
        <v>1015</v>
      </c>
      <c r="Z878">
        <v>10</v>
      </c>
      <c r="AA878">
        <v>10</v>
      </c>
      <c r="AC878">
        <v>598.33000000000004</v>
      </c>
      <c r="AD878">
        <v>17</v>
      </c>
      <c r="AE878">
        <v>1030</v>
      </c>
      <c r="AF878">
        <v>18.7</v>
      </c>
      <c r="AG878" t="s">
        <v>3430</v>
      </c>
      <c r="AI878">
        <v>17</v>
      </c>
      <c r="AJ878" t="s">
        <v>2038</v>
      </c>
      <c r="AK878" t="s">
        <v>904</v>
      </c>
      <c r="AN878">
        <v>3.8458999999999999</v>
      </c>
      <c r="AO878">
        <v>0.47434164902525688</v>
      </c>
      <c r="AP878">
        <v>3.7048999999999999</v>
      </c>
      <c r="AQ878">
        <v>8.8543774484714635E-2</v>
      </c>
      <c r="AS878">
        <v>-3.73E-2</v>
      </c>
      <c r="AT878">
        <v>1.5E-3</v>
      </c>
      <c r="AW878" s="28">
        <f t="shared" si="65"/>
        <v>-0.41324281870568463</v>
      </c>
      <c r="AX878">
        <f t="shared" si="66"/>
        <v>0.95774647887323949</v>
      </c>
      <c r="AY878" s="62">
        <f t="shared" si="67"/>
        <v>-0.3957818545350219</v>
      </c>
      <c r="AZ878" s="68" t="str">
        <f t="shared" si="68"/>
        <v>No</v>
      </c>
      <c r="BA878" s="68" t="str">
        <f t="shared" si="69"/>
        <v>No</v>
      </c>
    </row>
    <row r="879" spans="1:53" hidden="1">
      <c r="A879" t="s">
        <v>1815</v>
      </c>
      <c r="B879" t="s">
        <v>2375</v>
      </c>
      <c r="C879">
        <v>173</v>
      </c>
      <c r="F879" t="s">
        <v>1241</v>
      </c>
      <c r="G879" t="s">
        <v>1973</v>
      </c>
      <c r="I879">
        <v>2021</v>
      </c>
      <c r="N879" t="s">
        <v>36</v>
      </c>
      <c r="P879" t="s">
        <v>60</v>
      </c>
      <c r="Q879" t="s">
        <v>900</v>
      </c>
      <c r="R879" t="s">
        <v>888</v>
      </c>
      <c r="S879" t="s">
        <v>1992</v>
      </c>
      <c r="V879" t="s">
        <v>1015</v>
      </c>
      <c r="Z879">
        <v>10</v>
      </c>
      <c r="AA879">
        <v>10</v>
      </c>
      <c r="AC879">
        <v>598.33000000000004</v>
      </c>
      <c r="AD879">
        <v>17</v>
      </c>
      <c r="AE879">
        <v>1030</v>
      </c>
      <c r="AF879">
        <v>18.7</v>
      </c>
      <c r="AG879" t="s">
        <v>3430</v>
      </c>
      <c r="AI879">
        <v>17</v>
      </c>
      <c r="AJ879" t="s">
        <v>2043</v>
      </c>
      <c r="AK879" t="s">
        <v>40</v>
      </c>
      <c r="AN879">
        <v>768</v>
      </c>
      <c r="AO879">
        <v>44.271887242357316</v>
      </c>
      <c r="AP879">
        <v>945</v>
      </c>
      <c r="AQ879">
        <v>85.381496824546247</v>
      </c>
      <c r="AS879">
        <v>0.2074</v>
      </c>
      <c r="AT879">
        <v>1.1000000000000001E-3</v>
      </c>
      <c r="AW879" s="28">
        <f t="shared" si="65"/>
        <v>2.6026597622120788</v>
      </c>
      <c r="AX879">
        <f t="shared" si="66"/>
        <v>0.95774647887323949</v>
      </c>
      <c r="AY879" s="62">
        <f t="shared" si="67"/>
        <v>2.4926882229636811</v>
      </c>
      <c r="AZ879" s="68" t="str">
        <f t="shared" si="68"/>
        <v>No</v>
      </c>
      <c r="BA879" s="68" t="str">
        <f t="shared" si="69"/>
        <v>No</v>
      </c>
    </row>
    <row r="880" spans="1:53" hidden="1">
      <c r="A880" t="s">
        <v>1815</v>
      </c>
      <c r="B880" t="s">
        <v>2489</v>
      </c>
      <c r="C880">
        <v>10</v>
      </c>
      <c r="F880" t="s">
        <v>1241</v>
      </c>
      <c r="G880" t="s">
        <v>1693</v>
      </c>
      <c r="I880">
        <v>2013</v>
      </c>
      <c r="N880" t="s">
        <v>36</v>
      </c>
      <c r="P880" t="s">
        <v>60</v>
      </c>
      <c r="Q880" t="s">
        <v>900</v>
      </c>
      <c r="R880" t="s">
        <v>911</v>
      </c>
      <c r="S880" t="s">
        <v>1748</v>
      </c>
      <c r="V880" t="s">
        <v>905</v>
      </c>
      <c r="Z880">
        <v>4</v>
      </c>
      <c r="AA880">
        <v>4</v>
      </c>
      <c r="AC880">
        <v>420</v>
      </c>
      <c r="AD880">
        <v>25.3</v>
      </c>
      <c r="AE880">
        <v>607</v>
      </c>
      <c r="AF880">
        <v>25.5</v>
      </c>
      <c r="AG880" t="s">
        <v>3337</v>
      </c>
      <c r="AH880">
        <v>2.7831886910752575</v>
      </c>
      <c r="AI880">
        <v>25.3</v>
      </c>
      <c r="AJ880" t="s">
        <v>69</v>
      </c>
      <c r="AK880" t="s">
        <v>69</v>
      </c>
      <c r="AM880"/>
      <c r="AN880">
        <v>87.18</v>
      </c>
      <c r="AO880">
        <v>3.3</v>
      </c>
      <c r="AP880">
        <v>72.52</v>
      </c>
      <c r="AQ880">
        <v>16.7</v>
      </c>
      <c r="AS880">
        <v>-0.184</v>
      </c>
      <c r="AT880">
        <v>1.3599999999999999E-2</v>
      </c>
      <c r="AW880" s="28">
        <f t="shared" si="65"/>
        <v>-1.2179087877054389</v>
      </c>
      <c r="AX880">
        <f t="shared" si="66"/>
        <v>0.86956521739130432</v>
      </c>
      <c r="AY880" s="62">
        <f t="shared" si="67"/>
        <v>-1.0590511197438599</v>
      </c>
      <c r="AZ880" s="68" t="str">
        <f t="shared" si="68"/>
        <v>No</v>
      </c>
      <c r="BA880" s="68" t="str">
        <f t="shared" si="69"/>
        <v>No</v>
      </c>
    </row>
    <row r="881" spans="1:53" hidden="1">
      <c r="A881" t="s">
        <v>1815</v>
      </c>
      <c r="B881" t="s">
        <v>2492</v>
      </c>
      <c r="C881">
        <v>10</v>
      </c>
      <c r="F881" t="s">
        <v>1241</v>
      </c>
      <c r="G881" t="s">
        <v>1693</v>
      </c>
      <c r="I881">
        <v>2013</v>
      </c>
      <c r="N881" t="s">
        <v>36</v>
      </c>
      <c r="P881" t="s">
        <v>60</v>
      </c>
      <c r="Q881" t="s">
        <v>900</v>
      </c>
      <c r="R881" t="s">
        <v>911</v>
      </c>
      <c r="S881" t="s">
        <v>1748</v>
      </c>
      <c r="V881" t="s">
        <v>905</v>
      </c>
      <c r="Z881">
        <v>3</v>
      </c>
      <c r="AA881">
        <v>3</v>
      </c>
      <c r="AC881">
        <v>420</v>
      </c>
      <c r="AD881">
        <v>25.3</v>
      </c>
      <c r="AE881">
        <v>607</v>
      </c>
      <c r="AF881">
        <v>25.5</v>
      </c>
      <c r="AG881" t="s">
        <v>3337</v>
      </c>
      <c r="AH881">
        <v>2.7831886910752575</v>
      </c>
      <c r="AI881">
        <v>25.3</v>
      </c>
      <c r="AJ881" t="s">
        <v>1792</v>
      </c>
      <c r="AK881" t="s">
        <v>904</v>
      </c>
      <c r="AM881"/>
      <c r="AN881">
        <v>0.1</v>
      </c>
      <c r="AO881">
        <v>1.7320508075688773E-2</v>
      </c>
      <c r="AP881">
        <v>0.09</v>
      </c>
      <c r="AQ881">
        <v>1.7320508075688773E-2</v>
      </c>
      <c r="AS881">
        <v>-0.10100000000000001</v>
      </c>
      <c r="AT881">
        <v>3.0599999999999999E-2</v>
      </c>
      <c r="AW881" s="28">
        <f t="shared" si="65"/>
        <v>-0.57735026918962629</v>
      </c>
      <c r="AX881">
        <f t="shared" si="66"/>
        <v>0.8</v>
      </c>
      <c r="AY881" s="62">
        <f t="shared" si="67"/>
        <v>-0.46188021535170104</v>
      </c>
      <c r="AZ881" s="68" t="str">
        <f t="shared" si="68"/>
        <v>No</v>
      </c>
      <c r="BA881" s="68" t="str">
        <f t="shared" si="69"/>
        <v>No</v>
      </c>
    </row>
    <row r="882" spans="1:53" hidden="1">
      <c r="A882" t="s">
        <v>1815</v>
      </c>
      <c r="B882" t="s">
        <v>2494</v>
      </c>
      <c r="C882">
        <v>10</v>
      </c>
      <c r="F882" t="s">
        <v>1241</v>
      </c>
      <c r="G882" t="s">
        <v>1693</v>
      </c>
      <c r="I882">
        <v>2013</v>
      </c>
      <c r="N882" t="s">
        <v>36</v>
      </c>
      <c r="P882" t="s">
        <v>60</v>
      </c>
      <c r="Q882" t="s">
        <v>900</v>
      </c>
      <c r="R882" t="s">
        <v>911</v>
      </c>
      <c r="S882" t="s">
        <v>1748</v>
      </c>
      <c r="V882" t="s">
        <v>905</v>
      </c>
      <c r="Z882">
        <v>3</v>
      </c>
      <c r="AA882">
        <v>3</v>
      </c>
      <c r="AC882">
        <v>420</v>
      </c>
      <c r="AD882">
        <v>25.3</v>
      </c>
      <c r="AE882">
        <v>607</v>
      </c>
      <c r="AF882">
        <v>25.5</v>
      </c>
      <c r="AG882" t="s">
        <v>3337</v>
      </c>
      <c r="AH882">
        <v>2.7831886910752575</v>
      </c>
      <c r="AI882">
        <v>25.3</v>
      </c>
      <c r="AJ882" t="s">
        <v>1794</v>
      </c>
      <c r="AK882" t="s">
        <v>904</v>
      </c>
      <c r="AM882"/>
      <c r="AN882">
        <v>2.94</v>
      </c>
      <c r="AO882">
        <v>1.368320137979413</v>
      </c>
      <c r="AP882">
        <v>2.74</v>
      </c>
      <c r="AQ882">
        <v>0.57157676649772948</v>
      </c>
      <c r="AS882">
        <v>-7.0000000000000007E-2</v>
      </c>
      <c r="AT882">
        <v>8.6300000000000002E-2</v>
      </c>
      <c r="AW882" s="28">
        <f t="shared" si="65"/>
        <v>-0.19073587183804921</v>
      </c>
      <c r="AX882">
        <f t="shared" si="66"/>
        <v>0.8</v>
      </c>
      <c r="AY882" s="62">
        <f t="shared" si="67"/>
        <v>-0.15258869747043938</v>
      </c>
      <c r="AZ882" s="68" t="str">
        <f t="shared" si="68"/>
        <v>No</v>
      </c>
      <c r="BA882" s="68" t="str">
        <f t="shared" si="69"/>
        <v>No</v>
      </c>
    </row>
    <row r="883" spans="1:53" hidden="1">
      <c r="A883" t="s">
        <v>1815</v>
      </c>
      <c r="B883" t="s">
        <v>2500</v>
      </c>
      <c r="C883">
        <v>10</v>
      </c>
      <c r="F883" t="s">
        <v>1241</v>
      </c>
      <c r="G883" t="s">
        <v>1693</v>
      </c>
      <c r="I883">
        <v>2014</v>
      </c>
      <c r="N883" t="s">
        <v>36</v>
      </c>
      <c r="P883" t="s">
        <v>60</v>
      </c>
      <c r="Q883" t="s">
        <v>900</v>
      </c>
      <c r="R883" t="s">
        <v>911</v>
      </c>
      <c r="S883" t="s">
        <v>1748</v>
      </c>
      <c r="V883" t="s">
        <v>905</v>
      </c>
      <c r="Z883">
        <v>3</v>
      </c>
      <c r="AA883">
        <v>3</v>
      </c>
      <c r="AC883">
        <v>420</v>
      </c>
      <c r="AD883">
        <v>25.3</v>
      </c>
      <c r="AE883">
        <v>607</v>
      </c>
      <c r="AF883">
        <v>25.5</v>
      </c>
      <c r="AG883" t="s">
        <v>3337</v>
      </c>
      <c r="AH883">
        <v>2.7831886910752575</v>
      </c>
      <c r="AI883">
        <v>25.3</v>
      </c>
      <c r="AJ883" t="s">
        <v>1205</v>
      </c>
      <c r="AK883" t="s">
        <v>40</v>
      </c>
      <c r="AM883"/>
      <c r="AN883">
        <v>0.57999999999999996</v>
      </c>
      <c r="AO883">
        <v>3.4641016151377546E-2</v>
      </c>
      <c r="AP883">
        <v>0.68</v>
      </c>
      <c r="AQ883">
        <v>3.4641016151377546E-2</v>
      </c>
      <c r="AS883">
        <v>0.16200000000000001</v>
      </c>
      <c r="AT883">
        <v>2.3E-3</v>
      </c>
      <c r="AW883" s="28">
        <f t="shared" si="65"/>
        <v>2.8867513459481313</v>
      </c>
      <c r="AX883">
        <f t="shared" si="66"/>
        <v>0.8</v>
      </c>
      <c r="AY883" s="62">
        <f t="shared" si="67"/>
        <v>2.3094010767585051</v>
      </c>
      <c r="AZ883" s="68" t="str">
        <f t="shared" si="68"/>
        <v>No</v>
      </c>
      <c r="BA883" s="68" t="str">
        <f t="shared" si="69"/>
        <v>No</v>
      </c>
    </row>
    <row r="884" spans="1:53" hidden="1">
      <c r="A884" t="s">
        <v>1815</v>
      </c>
      <c r="B884" t="s">
        <v>2501</v>
      </c>
      <c r="C884">
        <v>10</v>
      </c>
      <c r="F884" t="s">
        <v>1241</v>
      </c>
      <c r="G884" t="s">
        <v>1693</v>
      </c>
      <c r="I884">
        <v>2014</v>
      </c>
      <c r="N884" t="s">
        <v>36</v>
      </c>
      <c r="P884" t="s">
        <v>60</v>
      </c>
      <c r="Q884" t="s">
        <v>900</v>
      </c>
      <c r="R884" t="s">
        <v>911</v>
      </c>
      <c r="S884" t="s">
        <v>1748</v>
      </c>
      <c r="V884" t="s">
        <v>905</v>
      </c>
      <c r="Z884">
        <v>3</v>
      </c>
      <c r="AA884">
        <v>3</v>
      </c>
      <c r="AC884">
        <v>420</v>
      </c>
      <c r="AD884">
        <v>25.3</v>
      </c>
      <c r="AE884">
        <v>607</v>
      </c>
      <c r="AF884">
        <v>25.5</v>
      </c>
      <c r="AG884" t="s">
        <v>3337</v>
      </c>
      <c r="AH884">
        <v>2.7831886910752575</v>
      </c>
      <c r="AI884">
        <v>25.3</v>
      </c>
      <c r="AJ884" t="s">
        <v>1793</v>
      </c>
      <c r="AK884" t="s">
        <v>904</v>
      </c>
      <c r="AM884"/>
      <c r="AN884">
        <v>0.96</v>
      </c>
      <c r="AO884">
        <v>0.74478184725461716</v>
      </c>
      <c r="AP884">
        <v>1.37</v>
      </c>
      <c r="AQ884">
        <v>0.27712812921102037</v>
      </c>
      <c r="AS884">
        <v>0.35599999999999998</v>
      </c>
      <c r="AT884">
        <v>0.21160000000000001</v>
      </c>
      <c r="AW884" s="28">
        <f t="shared" si="65"/>
        <v>0.72964595151928868</v>
      </c>
      <c r="AX884">
        <f t="shared" si="66"/>
        <v>0.8</v>
      </c>
      <c r="AY884" s="62">
        <f t="shared" si="67"/>
        <v>0.58371676121543092</v>
      </c>
      <c r="AZ884" s="68" t="str">
        <f t="shared" si="68"/>
        <v>No</v>
      </c>
      <c r="BA884" s="68" t="str">
        <f t="shared" si="69"/>
        <v>No</v>
      </c>
    </row>
    <row r="885" spans="1:53" hidden="1">
      <c r="A885" t="s">
        <v>1815</v>
      </c>
      <c r="B885" t="s">
        <v>2488</v>
      </c>
      <c r="C885">
        <v>10</v>
      </c>
      <c r="F885" t="s">
        <v>1241</v>
      </c>
      <c r="G885" t="s">
        <v>1693</v>
      </c>
      <c r="I885">
        <v>2013</v>
      </c>
      <c r="N885" t="s">
        <v>36</v>
      </c>
      <c r="P885" t="s">
        <v>60</v>
      </c>
      <c r="Q885" t="s">
        <v>900</v>
      </c>
      <c r="R885" t="s">
        <v>911</v>
      </c>
      <c r="S885" t="s">
        <v>1748</v>
      </c>
      <c r="V885" t="s">
        <v>907</v>
      </c>
      <c r="Z885">
        <v>3</v>
      </c>
      <c r="AA885">
        <v>4</v>
      </c>
      <c r="AC885">
        <v>420</v>
      </c>
      <c r="AD885">
        <v>25.3</v>
      </c>
      <c r="AE885">
        <v>413</v>
      </c>
      <c r="AF885">
        <v>29</v>
      </c>
      <c r="AG885" t="s">
        <v>3337</v>
      </c>
      <c r="AH885">
        <v>2.6159500516564012</v>
      </c>
      <c r="AI885">
        <v>25.3</v>
      </c>
      <c r="AJ885" t="s">
        <v>1792</v>
      </c>
      <c r="AK885" t="s">
        <v>904</v>
      </c>
      <c r="AM885"/>
      <c r="AN885">
        <v>0.1</v>
      </c>
      <c r="AO885">
        <v>1.7320508075688773E-2</v>
      </c>
      <c r="AP885">
        <v>0.08</v>
      </c>
      <c r="AQ885">
        <v>0.02</v>
      </c>
      <c r="AS885">
        <v>-0.30399999999999999</v>
      </c>
      <c r="AT885">
        <v>4.6899999999999997E-2</v>
      </c>
      <c r="AW885" s="28">
        <f t="shared" si="65"/>
        <v>-1.0540925533894601</v>
      </c>
      <c r="AX885">
        <f t="shared" si="66"/>
        <v>0.84210526315789469</v>
      </c>
      <c r="AY885" s="62">
        <f t="shared" si="67"/>
        <v>-0.88765688706480839</v>
      </c>
      <c r="AZ885" s="68" t="str">
        <f t="shared" si="68"/>
        <v>No</v>
      </c>
      <c r="BA885" s="68" t="str">
        <f t="shared" si="69"/>
        <v>No</v>
      </c>
    </row>
    <row r="886" spans="1:53" hidden="1">
      <c r="A886" t="s">
        <v>1815</v>
      </c>
      <c r="B886" t="s">
        <v>2490</v>
      </c>
      <c r="C886">
        <v>10</v>
      </c>
      <c r="F886" t="s">
        <v>1241</v>
      </c>
      <c r="G886" t="s">
        <v>1693</v>
      </c>
      <c r="I886">
        <v>2013</v>
      </c>
      <c r="N886" t="s">
        <v>36</v>
      </c>
      <c r="P886" t="s">
        <v>60</v>
      </c>
      <c r="Q886" t="s">
        <v>900</v>
      </c>
      <c r="R886" t="s">
        <v>911</v>
      </c>
      <c r="S886" t="s">
        <v>1748</v>
      </c>
      <c r="V886" t="s">
        <v>907</v>
      </c>
      <c r="Z886">
        <v>4</v>
      </c>
      <c r="AA886">
        <v>4</v>
      </c>
      <c r="AC886">
        <v>420</v>
      </c>
      <c r="AD886">
        <v>25.3</v>
      </c>
      <c r="AE886">
        <v>413</v>
      </c>
      <c r="AF886">
        <v>29</v>
      </c>
      <c r="AG886" t="s">
        <v>3337</v>
      </c>
      <c r="AH886">
        <v>2.6159500516564012</v>
      </c>
      <c r="AI886">
        <v>25.3</v>
      </c>
      <c r="AJ886" t="s">
        <v>69</v>
      </c>
      <c r="AK886" t="s">
        <v>69</v>
      </c>
      <c r="AM886"/>
      <c r="AN886">
        <v>87.18</v>
      </c>
      <c r="AO886">
        <v>3.3</v>
      </c>
      <c r="AP886">
        <v>73.88</v>
      </c>
      <c r="AQ886">
        <v>1.56</v>
      </c>
      <c r="AS886">
        <v>-0.16600000000000001</v>
      </c>
      <c r="AT886">
        <v>5.0000000000000001E-4</v>
      </c>
      <c r="AW886" s="28">
        <f t="shared" si="65"/>
        <v>-5.1529490202244119</v>
      </c>
      <c r="AX886">
        <f t="shared" si="66"/>
        <v>0.86956521739130432</v>
      </c>
      <c r="AY886" s="62">
        <f t="shared" si="67"/>
        <v>-4.4808252349777495</v>
      </c>
      <c r="AZ886" s="68" t="str">
        <f t="shared" si="68"/>
        <v>No</v>
      </c>
      <c r="BA886" s="68" t="str">
        <f t="shared" si="69"/>
        <v>No</v>
      </c>
    </row>
    <row r="887" spans="1:53" hidden="1">
      <c r="A887" t="s">
        <v>1815</v>
      </c>
      <c r="B887" t="s">
        <v>2491</v>
      </c>
      <c r="C887">
        <v>10</v>
      </c>
      <c r="F887" t="s">
        <v>1241</v>
      </c>
      <c r="G887" t="s">
        <v>1693</v>
      </c>
      <c r="I887">
        <v>2013</v>
      </c>
      <c r="N887" t="s">
        <v>36</v>
      </c>
      <c r="P887" t="s">
        <v>60</v>
      </c>
      <c r="Q887" t="s">
        <v>900</v>
      </c>
      <c r="R887" t="s">
        <v>911</v>
      </c>
      <c r="S887" t="s">
        <v>1748</v>
      </c>
      <c r="V887" t="s">
        <v>907</v>
      </c>
      <c r="Z887">
        <v>3</v>
      </c>
      <c r="AA887">
        <v>4</v>
      </c>
      <c r="AC887">
        <v>420</v>
      </c>
      <c r="AD887">
        <v>25.3</v>
      </c>
      <c r="AE887">
        <v>413</v>
      </c>
      <c r="AF887">
        <v>29</v>
      </c>
      <c r="AG887" t="s">
        <v>3337</v>
      </c>
      <c r="AH887">
        <v>2.6159500516564012</v>
      </c>
      <c r="AI887">
        <v>25.3</v>
      </c>
      <c r="AJ887" t="s">
        <v>1793</v>
      </c>
      <c r="AK887" t="s">
        <v>904</v>
      </c>
      <c r="AM887"/>
      <c r="AN887">
        <v>0.96</v>
      </c>
      <c r="AO887">
        <v>0.74478184725461716</v>
      </c>
      <c r="AP887">
        <v>0.82</v>
      </c>
      <c r="AQ887">
        <v>0.44</v>
      </c>
      <c r="AS887">
        <v>-0.155</v>
      </c>
      <c r="AT887">
        <v>0.27139999999999997</v>
      </c>
      <c r="AW887" s="28">
        <f t="shared" si="65"/>
        <v>-0.24079307296451405</v>
      </c>
      <c r="AX887">
        <f t="shared" si="66"/>
        <v>0.84210526315789469</v>
      </c>
      <c r="AY887" s="62">
        <f t="shared" si="67"/>
        <v>-0.20277311407538023</v>
      </c>
      <c r="AZ887" s="68" t="str">
        <f t="shared" si="68"/>
        <v>No</v>
      </c>
      <c r="BA887" s="68" t="str">
        <f t="shared" si="69"/>
        <v>No</v>
      </c>
    </row>
    <row r="888" spans="1:53" hidden="1">
      <c r="A888" t="s">
        <v>1815</v>
      </c>
      <c r="B888" t="s">
        <v>2496</v>
      </c>
      <c r="C888">
        <v>10</v>
      </c>
      <c r="F888" t="s">
        <v>1241</v>
      </c>
      <c r="G888" t="s">
        <v>1693</v>
      </c>
      <c r="I888">
        <v>2013</v>
      </c>
      <c r="N888" t="s">
        <v>36</v>
      </c>
      <c r="P888" t="s">
        <v>60</v>
      </c>
      <c r="Q888" t="s">
        <v>900</v>
      </c>
      <c r="R888" t="s">
        <v>911</v>
      </c>
      <c r="S888" t="s">
        <v>1748</v>
      </c>
      <c r="V888" t="s">
        <v>907</v>
      </c>
      <c r="Z888">
        <v>3</v>
      </c>
      <c r="AA888">
        <v>4</v>
      </c>
      <c r="AC888">
        <v>420</v>
      </c>
      <c r="AD888">
        <v>25.3</v>
      </c>
      <c r="AE888">
        <v>413</v>
      </c>
      <c r="AF888">
        <v>29</v>
      </c>
      <c r="AG888" t="s">
        <v>3337</v>
      </c>
      <c r="AH888">
        <v>2.6159500516564012</v>
      </c>
      <c r="AI888">
        <v>25.3</v>
      </c>
      <c r="AJ888" t="s">
        <v>1794</v>
      </c>
      <c r="AK888" t="s">
        <v>904</v>
      </c>
      <c r="AM888"/>
      <c r="AN888">
        <v>2.94</v>
      </c>
      <c r="AO888">
        <v>1.368320137979413</v>
      </c>
      <c r="AP888">
        <v>2.88</v>
      </c>
      <c r="AQ888">
        <v>1.32</v>
      </c>
      <c r="AS888">
        <v>-2.1000000000000001E-2</v>
      </c>
      <c r="AT888">
        <v>0.124</v>
      </c>
      <c r="AW888" s="28">
        <f t="shared" si="65"/>
        <v>-4.4791588093528789E-2</v>
      </c>
      <c r="AX888">
        <f t="shared" si="66"/>
        <v>0.84210526315789469</v>
      </c>
      <c r="AY888" s="62">
        <f t="shared" si="67"/>
        <v>-3.7719232078761086E-2</v>
      </c>
      <c r="AZ888" s="68" t="str">
        <f t="shared" si="68"/>
        <v>No</v>
      </c>
      <c r="BA888" s="68" t="str">
        <f t="shared" si="69"/>
        <v>No</v>
      </c>
    </row>
    <row r="889" spans="1:53" hidden="1">
      <c r="A889" t="s">
        <v>1815</v>
      </c>
      <c r="B889" t="s">
        <v>2497</v>
      </c>
      <c r="C889">
        <v>10</v>
      </c>
      <c r="F889" t="s">
        <v>1241</v>
      </c>
      <c r="G889" t="s">
        <v>1693</v>
      </c>
      <c r="I889">
        <v>2014</v>
      </c>
      <c r="N889" t="s">
        <v>36</v>
      </c>
      <c r="P889" t="s">
        <v>60</v>
      </c>
      <c r="Q889" t="s">
        <v>900</v>
      </c>
      <c r="R889" t="s">
        <v>911</v>
      </c>
      <c r="S889" t="s">
        <v>1748</v>
      </c>
      <c r="V889" t="s">
        <v>907</v>
      </c>
      <c r="Z889">
        <v>3</v>
      </c>
      <c r="AA889">
        <v>4</v>
      </c>
      <c r="AC889">
        <v>420</v>
      </c>
      <c r="AD889">
        <v>25.3</v>
      </c>
      <c r="AE889">
        <v>413</v>
      </c>
      <c r="AF889">
        <v>29</v>
      </c>
      <c r="AG889" t="s">
        <v>3337</v>
      </c>
      <c r="AH889">
        <v>2.6159500516564012</v>
      </c>
      <c r="AI889">
        <v>25.3</v>
      </c>
      <c r="AJ889" t="s">
        <v>1205</v>
      </c>
      <c r="AK889" t="s">
        <v>40</v>
      </c>
      <c r="AM889"/>
      <c r="AN889">
        <v>0.57999999999999996</v>
      </c>
      <c r="AO889">
        <v>3.4641016151377546E-2</v>
      </c>
      <c r="AP889">
        <v>0.61</v>
      </c>
      <c r="AQ889">
        <v>0.08</v>
      </c>
      <c r="AS889">
        <v>5.6000000000000001E-2</v>
      </c>
      <c r="AT889">
        <v>5.4999999999999997E-3</v>
      </c>
      <c r="AW889" s="28">
        <f t="shared" si="65"/>
        <v>0.45643546458763889</v>
      </c>
      <c r="AX889">
        <f t="shared" si="66"/>
        <v>0.84210526315789469</v>
      </c>
      <c r="AY889" s="62">
        <f t="shared" si="67"/>
        <v>0.3843667070211696</v>
      </c>
      <c r="AZ889" s="68" t="str">
        <f t="shared" si="68"/>
        <v>No</v>
      </c>
      <c r="BA889" s="68" t="str">
        <f t="shared" si="69"/>
        <v>No</v>
      </c>
    </row>
    <row r="890" spans="1:53" hidden="1">
      <c r="A890" t="s">
        <v>1815</v>
      </c>
      <c r="B890" t="s">
        <v>2487</v>
      </c>
      <c r="C890">
        <v>10</v>
      </c>
      <c r="F890" t="s">
        <v>1241</v>
      </c>
      <c r="G890" t="s">
        <v>1693</v>
      </c>
      <c r="I890">
        <v>2013</v>
      </c>
      <c r="N890" t="s">
        <v>36</v>
      </c>
      <c r="P890" t="s">
        <v>60</v>
      </c>
      <c r="Q890" t="s">
        <v>900</v>
      </c>
      <c r="R890" t="s">
        <v>911</v>
      </c>
      <c r="S890" t="s">
        <v>1748</v>
      </c>
      <c r="V890" t="s">
        <v>1015</v>
      </c>
      <c r="Z890">
        <v>3</v>
      </c>
      <c r="AA890">
        <v>4</v>
      </c>
      <c r="AC890">
        <v>420</v>
      </c>
      <c r="AD890">
        <v>25.3</v>
      </c>
      <c r="AE890">
        <v>656</v>
      </c>
      <c r="AF890">
        <v>29.1</v>
      </c>
      <c r="AG890" t="s">
        <v>3337</v>
      </c>
      <c r="AH890">
        <v>2.8169038393756605</v>
      </c>
      <c r="AI890">
        <v>25.3</v>
      </c>
      <c r="AJ890" t="s">
        <v>1792</v>
      </c>
      <c r="AK890" t="s">
        <v>904</v>
      </c>
      <c r="AM890"/>
      <c r="AN890">
        <v>0.1</v>
      </c>
      <c r="AO890">
        <v>1.7320508075688773E-2</v>
      </c>
      <c r="AP890">
        <v>0.06</v>
      </c>
      <c r="AQ890">
        <v>0.02</v>
      </c>
      <c r="AS890">
        <v>-0.55200000000000005</v>
      </c>
      <c r="AT890">
        <v>5.5E-2</v>
      </c>
      <c r="AW890" s="28">
        <f t="shared" si="65"/>
        <v>-2.1081851067789201</v>
      </c>
      <c r="AX890">
        <f t="shared" si="66"/>
        <v>0.84210526315789469</v>
      </c>
      <c r="AY890" s="62">
        <f t="shared" si="67"/>
        <v>-1.7753137741296168</v>
      </c>
      <c r="AZ890" s="68" t="str">
        <f t="shared" si="68"/>
        <v>No</v>
      </c>
      <c r="BA890" s="68" t="str">
        <f t="shared" si="69"/>
        <v>No</v>
      </c>
    </row>
    <row r="891" spans="1:53" hidden="1">
      <c r="A891" t="s">
        <v>1815</v>
      </c>
      <c r="B891" t="s">
        <v>2493</v>
      </c>
      <c r="C891">
        <v>10</v>
      </c>
      <c r="F891" t="s">
        <v>1241</v>
      </c>
      <c r="G891" t="s">
        <v>1693</v>
      </c>
      <c r="I891">
        <v>2013</v>
      </c>
      <c r="N891" t="s">
        <v>36</v>
      </c>
      <c r="P891" t="s">
        <v>60</v>
      </c>
      <c r="Q891" t="s">
        <v>900</v>
      </c>
      <c r="R891" t="s">
        <v>911</v>
      </c>
      <c r="S891" t="s">
        <v>1748</v>
      </c>
      <c r="V891" t="s">
        <v>1015</v>
      </c>
      <c r="Z891">
        <v>3</v>
      </c>
      <c r="AA891">
        <v>5</v>
      </c>
      <c r="AC891">
        <v>420</v>
      </c>
      <c r="AD891">
        <v>25.3</v>
      </c>
      <c r="AE891">
        <v>656</v>
      </c>
      <c r="AF891">
        <v>29.1</v>
      </c>
      <c r="AG891" t="s">
        <v>3337</v>
      </c>
      <c r="AH891">
        <v>2.8169038393756605</v>
      </c>
      <c r="AI891">
        <v>25.3</v>
      </c>
      <c r="AJ891" t="s">
        <v>1793</v>
      </c>
      <c r="AK891" t="s">
        <v>904</v>
      </c>
      <c r="AM891"/>
      <c r="AN891">
        <v>0.96</v>
      </c>
      <c r="AO891">
        <v>0.74478184725461716</v>
      </c>
      <c r="AP891">
        <v>0.88</v>
      </c>
      <c r="AQ891">
        <v>0.44721359549995798</v>
      </c>
      <c r="AS891">
        <v>-8.3000000000000004E-2</v>
      </c>
      <c r="AT891">
        <v>0.2492</v>
      </c>
      <c r="AW891" s="28">
        <f t="shared" si="65"/>
        <v>-0.14181336200379607</v>
      </c>
      <c r="AX891">
        <f t="shared" si="66"/>
        <v>0.86956521739130432</v>
      </c>
      <c r="AY891" s="62">
        <f t="shared" si="67"/>
        <v>-0.12331596695982266</v>
      </c>
      <c r="AZ891" s="68" t="str">
        <f t="shared" si="68"/>
        <v>No</v>
      </c>
      <c r="BA891" s="68" t="str">
        <f t="shared" si="69"/>
        <v>No</v>
      </c>
    </row>
    <row r="892" spans="1:53" hidden="1">
      <c r="A892" t="s">
        <v>1815</v>
      </c>
      <c r="B892" t="s">
        <v>2495</v>
      </c>
      <c r="C892">
        <v>10</v>
      </c>
      <c r="F892" t="s">
        <v>1241</v>
      </c>
      <c r="G892" t="s">
        <v>1693</v>
      </c>
      <c r="I892">
        <v>2013</v>
      </c>
      <c r="N892" t="s">
        <v>36</v>
      </c>
      <c r="P892" t="s">
        <v>60</v>
      </c>
      <c r="Q892" t="s">
        <v>900</v>
      </c>
      <c r="R892" t="s">
        <v>911</v>
      </c>
      <c r="S892" t="s">
        <v>1748</v>
      </c>
      <c r="V892" t="s">
        <v>1015</v>
      </c>
      <c r="Z892">
        <v>4</v>
      </c>
      <c r="AA892">
        <v>4</v>
      </c>
      <c r="AC892">
        <v>420</v>
      </c>
      <c r="AD892">
        <v>25.3</v>
      </c>
      <c r="AE892">
        <v>656</v>
      </c>
      <c r="AF892">
        <v>29.1</v>
      </c>
      <c r="AG892" t="s">
        <v>3337</v>
      </c>
      <c r="AH892">
        <v>2.8169038393756605</v>
      </c>
      <c r="AI892">
        <v>25.3</v>
      </c>
      <c r="AJ892" t="s">
        <v>69</v>
      </c>
      <c r="AK892" t="s">
        <v>69</v>
      </c>
      <c r="AM892"/>
      <c r="AN892">
        <v>87.18</v>
      </c>
      <c r="AO892">
        <v>3.3</v>
      </c>
      <c r="AP892">
        <v>85.34</v>
      </c>
      <c r="AQ892">
        <v>6.6</v>
      </c>
      <c r="AS892">
        <v>-2.1000000000000001E-2</v>
      </c>
      <c r="AT892">
        <v>1.9E-3</v>
      </c>
      <c r="AW892" s="28">
        <f t="shared" si="65"/>
        <v>-0.35264187240665629</v>
      </c>
      <c r="AX892">
        <f t="shared" si="66"/>
        <v>0.86956521739130432</v>
      </c>
      <c r="AY892" s="62">
        <f t="shared" si="67"/>
        <v>-0.30664510644057069</v>
      </c>
      <c r="AZ892" s="68" t="str">
        <f t="shared" si="68"/>
        <v>No</v>
      </c>
      <c r="BA892" s="68" t="str">
        <f t="shared" si="69"/>
        <v>No</v>
      </c>
    </row>
    <row r="893" spans="1:53" hidden="1">
      <c r="A893" t="s">
        <v>1815</v>
      </c>
      <c r="B893" t="s">
        <v>2498</v>
      </c>
      <c r="C893">
        <v>10</v>
      </c>
      <c r="F893" t="s">
        <v>1241</v>
      </c>
      <c r="G893" t="s">
        <v>1693</v>
      </c>
      <c r="I893">
        <v>2014</v>
      </c>
      <c r="N893" t="s">
        <v>36</v>
      </c>
      <c r="P893" t="s">
        <v>60</v>
      </c>
      <c r="Q893" t="s">
        <v>900</v>
      </c>
      <c r="R893" t="s">
        <v>911</v>
      </c>
      <c r="S893" t="s">
        <v>1748</v>
      </c>
      <c r="V893" t="s">
        <v>1015</v>
      </c>
      <c r="Z893">
        <v>3</v>
      </c>
      <c r="AA893">
        <v>5</v>
      </c>
      <c r="AC893">
        <v>420</v>
      </c>
      <c r="AD893">
        <v>25.3</v>
      </c>
      <c r="AE893">
        <v>656</v>
      </c>
      <c r="AF893">
        <v>29.1</v>
      </c>
      <c r="AG893" t="s">
        <v>3337</v>
      </c>
      <c r="AH893">
        <v>2.8169038393756605</v>
      </c>
      <c r="AI893">
        <v>25.3</v>
      </c>
      <c r="AJ893" t="s">
        <v>1205</v>
      </c>
      <c r="AK893" t="s">
        <v>40</v>
      </c>
      <c r="AM893"/>
      <c r="AN893">
        <v>0.57999999999999996</v>
      </c>
      <c r="AO893">
        <v>3.4641016151377546E-2</v>
      </c>
      <c r="AP893">
        <v>0.63</v>
      </c>
      <c r="AQ893">
        <v>4.4721359549995794E-2</v>
      </c>
      <c r="AS893">
        <v>8.7999999999999995E-2</v>
      </c>
      <c r="AT893">
        <v>3.0000000000000001E-3</v>
      </c>
      <c r="AW893" s="28">
        <f t="shared" si="65"/>
        <v>1.2009611535381546</v>
      </c>
      <c r="AX893">
        <f t="shared" si="66"/>
        <v>0.86956521739130432</v>
      </c>
      <c r="AY893" s="62">
        <f t="shared" si="67"/>
        <v>1.044314046554917</v>
      </c>
      <c r="AZ893" s="68" t="str">
        <f t="shared" si="68"/>
        <v>No</v>
      </c>
      <c r="BA893" s="68" t="str">
        <f t="shared" si="69"/>
        <v>No</v>
      </c>
    </row>
    <row r="894" spans="1:53" hidden="1">
      <c r="A894" t="s">
        <v>1815</v>
      </c>
      <c r="B894" t="s">
        <v>2499</v>
      </c>
      <c r="C894">
        <v>10</v>
      </c>
      <c r="F894" t="s">
        <v>1241</v>
      </c>
      <c r="G894" t="s">
        <v>1693</v>
      </c>
      <c r="I894">
        <v>2014</v>
      </c>
      <c r="N894" t="s">
        <v>36</v>
      </c>
      <c r="P894" t="s">
        <v>60</v>
      </c>
      <c r="Q894" t="s">
        <v>900</v>
      </c>
      <c r="R894" t="s">
        <v>911</v>
      </c>
      <c r="S894" t="s">
        <v>1748</v>
      </c>
      <c r="V894" t="s">
        <v>1015</v>
      </c>
      <c r="Z894">
        <v>3</v>
      </c>
      <c r="AA894">
        <v>5</v>
      </c>
      <c r="AC894">
        <v>420</v>
      </c>
      <c r="AD894">
        <v>25.3</v>
      </c>
      <c r="AE894">
        <v>656</v>
      </c>
      <c r="AF894">
        <v>29.1</v>
      </c>
      <c r="AG894" t="s">
        <v>3337</v>
      </c>
      <c r="AH894">
        <v>2.8169038393756605</v>
      </c>
      <c r="AI894">
        <v>25.3</v>
      </c>
      <c r="AJ894" t="s">
        <v>1794</v>
      </c>
      <c r="AK894" t="s">
        <v>904</v>
      </c>
      <c r="AM894"/>
      <c r="AN894">
        <v>2.94</v>
      </c>
      <c r="AO894">
        <v>1.368320137979413</v>
      </c>
      <c r="AP894">
        <v>3.23</v>
      </c>
      <c r="AQ894">
        <v>0.93914855054991164</v>
      </c>
      <c r="AS894">
        <v>9.5000000000000001E-2</v>
      </c>
      <c r="AT894">
        <v>8.8700000000000001E-2</v>
      </c>
      <c r="AW894" s="28">
        <f t="shared" si="65"/>
        <v>0.26340788563556483</v>
      </c>
      <c r="AX894">
        <f t="shared" si="66"/>
        <v>0.86956521739130432</v>
      </c>
      <c r="AY894" s="62">
        <f t="shared" si="67"/>
        <v>0.22905033533527375</v>
      </c>
      <c r="AZ894" s="68" t="str">
        <f t="shared" si="68"/>
        <v>No</v>
      </c>
      <c r="BA894" s="68" t="str">
        <f t="shared" si="69"/>
        <v>No</v>
      </c>
    </row>
    <row r="895" spans="1:53" hidden="1">
      <c r="A895" t="s">
        <v>1815</v>
      </c>
      <c r="B895" t="s">
        <v>2608</v>
      </c>
      <c r="C895">
        <v>52</v>
      </c>
      <c r="F895" t="s">
        <v>1241</v>
      </c>
      <c r="G895" t="s">
        <v>1702</v>
      </c>
      <c r="I895">
        <v>2017</v>
      </c>
      <c r="N895" t="s">
        <v>36</v>
      </c>
      <c r="P895" t="s">
        <v>60</v>
      </c>
      <c r="Q895" t="s">
        <v>900</v>
      </c>
      <c r="R895" t="s">
        <v>911</v>
      </c>
      <c r="S895" t="s">
        <v>1749</v>
      </c>
      <c r="V895" t="s">
        <v>905</v>
      </c>
      <c r="Z895">
        <v>20</v>
      </c>
      <c r="AA895">
        <v>20</v>
      </c>
      <c r="AC895">
        <v>459</v>
      </c>
      <c r="AD895">
        <v>28</v>
      </c>
      <c r="AE895">
        <v>1002</v>
      </c>
      <c r="AF895">
        <v>28.1</v>
      </c>
      <c r="AG895" t="s">
        <v>3348</v>
      </c>
      <c r="AH895">
        <v>3.0008677215312267</v>
      </c>
      <c r="AI895">
        <v>28</v>
      </c>
      <c r="AJ895" t="s">
        <v>1205</v>
      </c>
      <c r="AK895" t="s">
        <v>40</v>
      </c>
      <c r="AM895"/>
      <c r="AN895">
        <v>-0.05</v>
      </c>
      <c r="AO895">
        <v>0.17888543819998318</v>
      </c>
      <c r="AP895">
        <v>-7.0000000000000007E-2</v>
      </c>
      <c r="AQ895">
        <v>0.17888543819998318</v>
      </c>
      <c r="AS895">
        <v>-0.34300000000000003</v>
      </c>
      <c r="AT895">
        <v>0.87939999999999996</v>
      </c>
      <c r="AW895" s="28">
        <f t="shared" si="65"/>
        <v>-0.11180339887498951</v>
      </c>
      <c r="AX895">
        <f t="shared" si="66"/>
        <v>0.98013245033112584</v>
      </c>
      <c r="AY895" s="62">
        <f t="shared" si="67"/>
        <v>-0.10958213929469171</v>
      </c>
      <c r="AZ895" s="68" t="str">
        <f t="shared" si="68"/>
        <v>No</v>
      </c>
      <c r="BA895" s="68" t="str">
        <f t="shared" si="69"/>
        <v>No</v>
      </c>
    </row>
    <row r="896" spans="1:53" hidden="1">
      <c r="A896" t="s">
        <v>1815</v>
      </c>
      <c r="B896" t="s">
        <v>2609</v>
      </c>
      <c r="C896">
        <v>52</v>
      </c>
      <c r="F896" t="s">
        <v>1241</v>
      </c>
      <c r="G896" t="s">
        <v>1702</v>
      </c>
      <c r="I896">
        <v>2017</v>
      </c>
      <c r="N896" t="s">
        <v>36</v>
      </c>
      <c r="P896" t="s">
        <v>60</v>
      </c>
      <c r="Q896" t="s">
        <v>900</v>
      </c>
      <c r="R896" t="s">
        <v>911</v>
      </c>
      <c r="S896" t="s">
        <v>1749</v>
      </c>
      <c r="V896" t="s">
        <v>905</v>
      </c>
      <c r="Z896">
        <v>4</v>
      </c>
      <c r="AA896">
        <v>4</v>
      </c>
      <c r="AC896">
        <v>494</v>
      </c>
      <c r="AD896">
        <v>27.8</v>
      </c>
      <c r="AE896">
        <v>923</v>
      </c>
      <c r="AF896">
        <v>27.7</v>
      </c>
      <c r="AG896" t="s">
        <v>3349</v>
      </c>
      <c r="AH896">
        <v>2.965201701025912</v>
      </c>
      <c r="AI896">
        <v>27.8</v>
      </c>
      <c r="AJ896" t="s">
        <v>1802</v>
      </c>
      <c r="AK896" t="s">
        <v>904</v>
      </c>
      <c r="AM896"/>
      <c r="AN896">
        <v>0.83</v>
      </c>
      <c r="AO896">
        <v>6.32</v>
      </c>
      <c r="AP896">
        <v>0.83</v>
      </c>
      <c r="AQ896">
        <v>2.62</v>
      </c>
      <c r="AS896">
        <v>0</v>
      </c>
      <c r="AT896">
        <v>16.7471</v>
      </c>
      <c r="AW896" s="28">
        <f t="shared" si="65"/>
        <v>0</v>
      </c>
      <c r="AX896">
        <f t="shared" si="66"/>
        <v>0.86956521739130432</v>
      </c>
      <c r="AY896" s="62">
        <f t="shared" si="67"/>
        <v>0</v>
      </c>
      <c r="AZ896" s="68" t="str">
        <f t="shared" si="68"/>
        <v>No</v>
      </c>
      <c r="BA896" s="68" t="str">
        <f t="shared" si="69"/>
        <v>No</v>
      </c>
    </row>
    <row r="897" spans="1:53" hidden="1">
      <c r="A897" t="s">
        <v>1815</v>
      </c>
      <c r="B897" t="s">
        <v>2613</v>
      </c>
      <c r="C897">
        <v>52</v>
      </c>
      <c r="F897" t="s">
        <v>1241</v>
      </c>
      <c r="G897" t="s">
        <v>1702</v>
      </c>
      <c r="I897">
        <v>2013</v>
      </c>
      <c r="N897" t="s">
        <v>36</v>
      </c>
      <c r="P897" t="s">
        <v>60</v>
      </c>
      <c r="Q897" t="s">
        <v>900</v>
      </c>
      <c r="R897" t="s">
        <v>911</v>
      </c>
      <c r="S897" t="s">
        <v>1749</v>
      </c>
      <c r="V897" t="s">
        <v>905</v>
      </c>
      <c r="Z897">
        <v>20</v>
      </c>
      <c r="AA897">
        <v>20</v>
      </c>
      <c r="AC897">
        <v>494</v>
      </c>
      <c r="AD897">
        <v>27.8</v>
      </c>
      <c r="AE897">
        <v>923</v>
      </c>
      <c r="AF897">
        <v>27.7</v>
      </c>
      <c r="AG897" t="s">
        <v>3349</v>
      </c>
      <c r="AH897">
        <v>2.965201701025912</v>
      </c>
      <c r="AI897">
        <v>27.8</v>
      </c>
      <c r="AJ897" t="s">
        <v>1205</v>
      </c>
      <c r="AK897" t="s">
        <v>40</v>
      </c>
      <c r="AM897"/>
      <c r="AN897">
        <v>-0.39</v>
      </c>
      <c r="AO897">
        <v>0.26832815729997478</v>
      </c>
      <c r="AP897">
        <v>-0.21</v>
      </c>
      <c r="AQ897">
        <v>0.31304951684997062</v>
      </c>
      <c r="AS897">
        <v>0.63300000000000001</v>
      </c>
      <c r="AT897">
        <v>0.1234</v>
      </c>
      <c r="AW897" s="28">
        <f t="shared" si="65"/>
        <v>0.61739490651303175</v>
      </c>
      <c r="AX897">
        <f t="shared" si="66"/>
        <v>0.98013245033112584</v>
      </c>
      <c r="AY897" s="62">
        <f t="shared" si="67"/>
        <v>0.60512878254257418</v>
      </c>
      <c r="AZ897" s="68" t="str">
        <f t="shared" si="68"/>
        <v>No</v>
      </c>
      <c r="BA897" s="68" t="str">
        <f t="shared" si="69"/>
        <v>No</v>
      </c>
    </row>
    <row r="898" spans="1:53" hidden="1">
      <c r="A898" t="s">
        <v>1815</v>
      </c>
      <c r="B898" t="s">
        <v>2614</v>
      </c>
      <c r="C898">
        <v>52</v>
      </c>
      <c r="F898" t="s">
        <v>1241</v>
      </c>
      <c r="G898" t="s">
        <v>1702</v>
      </c>
      <c r="I898">
        <v>2013</v>
      </c>
      <c r="N898" t="s">
        <v>36</v>
      </c>
      <c r="P898" t="s">
        <v>60</v>
      </c>
      <c r="Q898" t="s">
        <v>900</v>
      </c>
      <c r="R898" t="s">
        <v>911</v>
      </c>
      <c r="S898" t="s">
        <v>1749</v>
      </c>
      <c r="V898" t="s">
        <v>905</v>
      </c>
      <c r="Z898">
        <v>4</v>
      </c>
      <c r="AA898">
        <v>4</v>
      </c>
      <c r="AC898">
        <v>494</v>
      </c>
      <c r="AD898">
        <v>27.8</v>
      </c>
      <c r="AE898">
        <v>923</v>
      </c>
      <c r="AF898">
        <v>27.7</v>
      </c>
      <c r="AG898" t="s">
        <v>3349</v>
      </c>
      <c r="AH898">
        <v>2.965201701025912</v>
      </c>
      <c r="AI898">
        <v>27.8</v>
      </c>
      <c r="AJ898" t="s">
        <v>1803</v>
      </c>
      <c r="AK898" t="s">
        <v>904</v>
      </c>
      <c r="AM898"/>
      <c r="AN898">
        <v>-1.24</v>
      </c>
      <c r="AO898">
        <v>4.66</v>
      </c>
      <c r="AP898">
        <v>-3.38</v>
      </c>
      <c r="AQ898">
        <v>2.9</v>
      </c>
      <c r="AS898">
        <v>1.0029999999999999</v>
      </c>
      <c r="AT898">
        <v>3.7084999999999999</v>
      </c>
      <c r="AW898" s="28">
        <f t="shared" ref="AW898:AW961" si="70">(AP898-$AN898)/SQRT(((AA898-1)*AQ898*AQ898+($Z898-1)*$AO898*$AO898)/(AA898+$Z898-2))</f>
        <v>-0.55139258118000056</v>
      </c>
      <c r="AX898">
        <f t="shared" ref="AX898:AX961" si="71">1-(3/(4*(AA898+$Z898-2)-1))</f>
        <v>0.86956521739130432</v>
      </c>
      <c r="AY898" s="62">
        <f t="shared" ref="AY898:AY961" si="72">AX898*AW898</f>
        <v>-0.47947180972173958</v>
      </c>
      <c r="AZ898" s="68" t="str">
        <f t="shared" ref="AZ898:AZ961" si="73">IF(AY898&gt;10,"Yes","No")</f>
        <v>No</v>
      </c>
      <c r="BA898" s="68" t="str">
        <f t="shared" ref="BA898:BA961" si="74">IF(AY898&lt;-10,"Yes","No")</f>
        <v>No</v>
      </c>
    </row>
    <row r="899" spans="1:53" hidden="1">
      <c r="A899" t="s">
        <v>1815</v>
      </c>
      <c r="B899" t="s">
        <v>2616</v>
      </c>
      <c r="C899">
        <v>52</v>
      </c>
      <c r="F899" t="s">
        <v>1241</v>
      </c>
      <c r="G899" t="s">
        <v>1702</v>
      </c>
      <c r="I899">
        <v>2013</v>
      </c>
      <c r="N899" t="s">
        <v>36</v>
      </c>
      <c r="P899" t="s">
        <v>60</v>
      </c>
      <c r="Q899" t="s">
        <v>900</v>
      </c>
      <c r="R899" t="s">
        <v>911</v>
      </c>
      <c r="S899" t="s">
        <v>1749</v>
      </c>
      <c r="V899" t="s">
        <v>905</v>
      </c>
      <c r="Z899">
        <v>4</v>
      </c>
      <c r="AA899">
        <v>4</v>
      </c>
      <c r="AC899">
        <v>459</v>
      </c>
      <c r="AD899">
        <v>28</v>
      </c>
      <c r="AE899">
        <v>1002</v>
      </c>
      <c r="AF899">
        <v>28.1</v>
      </c>
      <c r="AG899" t="s">
        <v>3348</v>
      </c>
      <c r="AH899">
        <v>3.0008677215312267</v>
      </c>
      <c r="AI899">
        <v>28</v>
      </c>
      <c r="AJ899" t="s">
        <v>1802</v>
      </c>
      <c r="AK899" t="s">
        <v>904</v>
      </c>
      <c r="AM899"/>
      <c r="AN899">
        <v>0.11</v>
      </c>
      <c r="AO899">
        <v>1.76</v>
      </c>
      <c r="AP899">
        <v>1.87</v>
      </c>
      <c r="AQ899">
        <v>1.76</v>
      </c>
      <c r="AS899">
        <v>2.8660000000000001</v>
      </c>
      <c r="AT899">
        <v>68.875399999999999</v>
      </c>
      <c r="AW899" s="28">
        <f t="shared" si="70"/>
        <v>1</v>
      </c>
      <c r="AX899">
        <f t="shared" si="71"/>
        <v>0.86956521739130432</v>
      </c>
      <c r="AY899" s="62">
        <f t="shared" si="72"/>
        <v>0.86956521739130432</v>
      </c>
      <c r="AZ899" s="68" t="str">
        <f t="shared" si="73"/>
        <v>No</v>
      </c>
      <c r="BA899" s="68" t="str">
        <f t="shared" si="74"/>
        <v>No</v>
      </c>
    </row>
    <row r="900" spans="1:53" hidden="1">
      <c r="A900" t="s">
        <v>1815</v>
      </c>
      <c r="B900" t="s">
        <v>2610</v>
      </c>
      <c r="C900">
        <v>52</v>
      </c>
      <c r="F900" t="s">
        <v>1241</v>
      </c>
      <c r="G900" t="s">
        <v>1702</v>
      </c>
      <c r="I900">
        <v>2017</v>
      </c>
      <c r="N900" t="s">
        <v>36</v>
      </c>
      <c r="P900" t="s">
        <v>60</v>
      </c>
      <c r="Q900" t="s">
        <v>900</v>
      </c>
      <c r="R900" t="s">
        <v>911</v>
      </c>
      <c r="S900" t="s">
        <v>1749</v>
      </c>
      <c r="V900" t="s">
        <v>907</v>
      </c>
      <c r="Z900">
        <v>20</v>
      </c>
      <c r="AA900">
        <v>20</v>
      </c>
      <c r="AC900">
        <v>494</v>
      </c>
      <c r="AD900">
        <v>27.8</v>
      </c>
      <c r="AE900">
        <v>487</v>
      </c>
      <c r="AF900">
        <v>30.5</v>
      </c>
      <c r="AG900" t="s">
        <v>3349</v>
      </c>
      <c r="AH900">
        <v>2.6875289612146345</v>
      </c>
      <c r="AI900">
        <v>27.8</v>
      </c>
      <c r="AJ900" t="s">
        <v>1205</v>
      </c>
      <c r="AK900" t="s">
        <v>40</v>
      </c>
      <c r="AM900"/>
      <c r="AN900">
        <v>-0.39</v>
      </c>
      <c r="AO900">
        <v>0.26832815729997478</v>
      </c>
      <c r="AP900">
        <v>-0.35</v>
      </c>
      <c r="AQ900">
        <v>0.22360679774997899</v>
      </c>
      <c r="AS900">
        <v>0.113</v>
      </c>
      <c r="AT900">
        <v>4.0399999999999998E-2</v>
      </c>
      <c r="AW900" s="28">
        <f t="shared" si="70"/>
        <v>0.16195526603578334</v>
      </c>
      <c r="AX900">
        <f t="shared" si="71"/>
        <v>0.98013245033112584</v>
      </c>
      <c r="AY900" s="62">
        <f t="shared" si="72"/>
        <v>0.15873761174368167</v>
      </c>
      <c r="AZ900" s="68" t="str">
        <f t="shared" si="73"/>
        <v>No</v>
      </c>
      <c r="BA900" s="68" t="str">
        <f t="shared" si="74"/>
        <v>No</v>
      </c>
    </row>
    <row r="901" spans="1:53" hidden="1">
      <c r="A901" t="s">
        <v>1815</v>
      </c>
      <c r="B901" t="s">
        <v>2617</v>
      </c>
      <c r="C901">
        <v>52</v>
      </c>
      <c r="F901" t="s">
        <v>1241</v>
      </c>
      <c r="G901" t="s">
        <v>1702</v>
      </c>
      <c r="I901">
        <v>2013</v>
      </c>
      <c r="N901" t="s">
        <v>36</v>
      </c>
      <c r="P901" t="s">
        <v>60</v>
      </c>
      <c r="Q901" t="s">
        <v>900</v>
      </c>
      <c r="R901" t="s">
        <v>911</v>
      </c>
      <c r="S901" t="s">
        <v>1749</v>
      </c>
      <c r="V901" t="s">
        <v>907</v>
      </c>
      <c r="Z901">
        <v>4</v>
      </c>
      <c r="AA901">
        <v>4</v>
      </c>
      <c r="AC901">
        <v>459</v>
      </c>
      <c r="AD901">
        <v>28</v>
      </c>
      <c r="AE901">
        <v>496</v>
      </c>
      <c r="AF901">
        <v>30.6</v>
      </c>
      <c r="AG901" t="s">
        <v>3348</v>
      </c>
      <c r="AH901">
        <v>2.6954816764901977</v>
      </c>
      <c r="AI901">
        <v>28</v>
      </c>
      <c r="AJ901" t="s">
        <v>1802</v>
      </c>
      <c r="AK901" t="s">
        <v>904</v>
      </c>
      <c r="AM901"/>
      <c r="AN901">
        <v>0.11</v>
      </c>
      <c r="AO901">
        <v>1.76</v>
      </c>
      <c r="AP901">
        <v>1.93</v>
      </c>
      <c r="AQ901">
        <v>1.34</v>
      </c>
      <c r="AS901">
        <v>2.8980000000000001</v>
      </c>
      <c r="AT901">
        <v>68.773099999999999</v>
      </c>
      <c r="AW901" s="28">
        <f t="shared" si="70"/>
        <v>1.1635629988465614</v>
      </c>
      <c r="AX901">
        <f t="shared" si="71"/>
        <v>0.86956521739130432</v>
      </c>
      <c r="AY901" s="62">
        <f t="shared" si="72"/>
        <v>1.0117939120404882</v>
      </c>
      <c r="AZ901" s="68" t="str">
        <f t="shared" si="73"/>
        <v>No</v>
      </c>
      <c r="BA901" s="68" t="str">
        <f t="shared" si="74"/>
        <v>No</v>
      </c>
    </row>
    <row r="902" spans="1:53" hidden="1">
      <c r="A902" t="s">
        <v>1815</v>
      </c>
      <c r="B902" t="s">
        <v>2611</v>
      </c>
      <c r="C902">
        <v>52</v>
      </c>
      <c r="F902" t="s">
        <v>1241</v>
      </c>
      <c r="G902" t="s">
        <v>1702</v>
      </c>
      <c r="I902">
        <v>2017</v>
      </c>
      <c r="N902" t="s">
        <v>36</v>
      </c>
      <c r="P902" t="s">
        <v>60</v>
      </c>
      <c r="Q902" t="s">
        <v>900</v>
      </c>
      <c r="R902" t="s">
        <v>911</v>
      </c>
      <c r="S902" t="s">
        <v>1749</v>
      </c>
      <c r="V902" t="s">
        <v>1015</v>
      </c>
      <c r="Z902">
        <v>4</v>
      </c>
      <c r="AA902">
        <v>4</v>
      </c>
      <c r="AC902">
        <v>494</v>
      </c>
      <c r="AD902">
        <v>27.8</v>
      </c>
      <c r="AE902">
        <v>900</v>
      </c>
      <c r="AF902">
        <v>30.4</v>
      </c>
      <c r="AG902" t="s">
        <v>3349</v>
      </c>
      <c r="AH902">
        <v>2.9542425094393248</v>
      </c>
      <c r="AI902">
        <v>27.8</v>
      </c>
      <c r="AJ902" t="s">
        <v>1803</v>
      </c>
      <c r="AK902" t="s">
        <v>904</v>
      </c>
      <c r="AM902"/>
      <c r="AN902">
        <v>-1.24</v>
      </c>
      <c r="AO902">
        <v>4.66</v>
      </c>
      <c r="AP902">
        <v>-1.43</v>
      </c>
      <c r="AQ902">
        <v>0.86</v>
      </c>
      <c r="AS902">
        <v>0.14099999999999999</v>
      </c>
      <c r="AT902">
        <v>3.6156999999999999</v>
      </c>
      <c r="AW902" s="28">
        <f t="shared" si="70"/>
        <v>-5.6703535077683026E-2</v>
      </c>
      <c r="AX902">
        <f t="shared" si="71"/>
        <v>0.86956521739130432</v>
      </c>
      <c r="AY902" s="62">
        <f t="shared" si="72"/>
        <v>-4.9307421806680893E-2</v>
      </c>
      <c r="AZ902" s="68" t="str">
        <f t="shared" si="73"/>
        <v>No</v>
      </c>
      <c r="BA902" s="68" t="str">
        <f t="shared" si="74"/>
        <v>No</v>
      </c>
    </row>
    <row r="903" spans="1:53" hidden="1">
      <c r="A903" t="s">
        <v>1815</v>
      </c>
      <c r="B903" t="s">
        <v>2612</v>
      </c>
      <c r="C903">
        <v>52</v>
      </c>
      <c r="F903" t="s">
        <v>1241</v>
      </c>
      <c r="G903" t="s">
        <v>1702</v>
      </c>
      <c r="I903">
        <v>2017</v>
      </c>
      <c r="N903" t="s">
        <v>36</v>
      </c>
      <c r="P903" t="s">
        <v>60</v>
      </c>
      <c r="Q903" t="s">
        <v>900</v>
      </c>
      <c r="R903" t="s">
        <v>911</v>
      </c>
      <c r="S903" t="s">
        <v>1749</v>
      </c>
      <c r="V903" t="s">
        <v>1015</v>
      </c>
      <c r="Z903">
        <v>20</v>
      </c>
      <c r="AA903">
        <v>20</v>
      </c>
      <c r="AC903">
        <v>494</v>
      </c>
      <c r="AD903">
        <v>27.8</v>
      </c>
      <c r="AE903">
        <v>900</v>
      </c>
      <c r="AF903">
        <v>30.4</v>
      </c>
      <c r="AG903" t="s">
        <v>3349</v>
      </c>
      <c r="AH903">
        <v>2.9542425094393248</v>
      </c>
      <c r="AI903">
        <v>27.8</v>
      </c>
      <c r="AJ903" t="s">
        <v>1205</v>
      </c>
      <c r="AK903" t="s">
        <v>40</v>
      </c>
      <c r="AM903"/>
      <c r="AN903">
        <v>-0.39</v>
      </c>
      <c r="AO903">
        <v>0.26832815729997478</v>
      </c>
      <c r="AP903">
        <v>-0.28000000000000003</v>
      </c>
      <c r="AQ903">
        <v>0.26832815729997478</v>
      </c>
      <c r="AS903">
        <v>0.35599999999999998</v>
      </c>
      <c r="AT903">
        <v>6.9099999999999995E-2</v>
      </c>
      <c r="AW903" s="28">
        <f t="shared" si="70"/>
        <v>0.40994579587496138</v>
      </c>
      <c r="AX903">
        <f t="shared" si="71"/>
        <v>0.98013245033112584</v>
      </c>
      <c r="AY903" s="62">
        <f t="shared" si="72"/>
        <v>0.40180117741386945</v>
      </c>
      <c r="AZ903" s="68" t="str">
        <f t="shared" si="73"/>
        <v>No</v>
      </c>
      <c r="BA903" s="68" t="str">
        <f t="shared" si="74"/>
        <v>No</v>
      </c>
    </row>
    <row r="904" spans="1:53" hidden="1">
      <c r="A904" t="s">
        <v>1815</v>
      </c>
      <c r="B904" t="s">
        <v>2615</v>
      </c>
      <c r="C904">
        <v>52</v>
      </c>
      <c r="F904" t="s">
        <v>1241</v>
      </c>
      <c r="G904" t="s">
        <v>1702</v>
      </c>
      <c r="I904">
        <v>2013</v>
      </c>
      <c r="N904" t="s">
        <v>36</v>
      </c>
      <c r="P904" t="s">
        <v>60</v>
      </c>
      <c r="Q904" t="s">
        <v>900</v>
      </c>
      <c r="R904" t="s">
        <v>911</v>
      </c>
      <c r="S904" t="s">
        <v>1749</v>
      </c>
      <c r="V904" t="s">
        <v>1015</v>
      </c>
      <c r="Z904">
        <v>4</v>
      </c>
      <c r="AA904">
        <v>4</v>
      </c>
      <c r="AC904">
        <v>459</v>
      </c>
      <c r="AD904">
        <v>28</v>
      </c>
      <c r="AE904">
        <v>1068</v>
      </c>
      <c r="AF904">
        <v>30.8</v>
      </c>
      <c r="AG904" t="s">
        <v>3348</v>
      </c>
      <c r="AH904">
        <v>3.0285712526925375</v>
      </c>
      <c r="AI904">
        <v>28</v>
      </c>
      <c r="AJ904" t="s">
        <v>1802</v>
      </c>
      <c r="AK904" t="s">
        <v>904</v>
      </c>
      <c r="AM904"/>
      <c r="AN904">
        <v>0.11</v>
      </c>
      <c r="AO904">
        <v>1.76</v>
      </c>
      <c r="AP904">
        <v>0.87</v>
      </c>
      <c r="AQ904">
        <v>0.92</v>
      </c>
      <c r="AS904">
        <v>2.097</v>
      </c>
      <c r="AT904">
        <v>68.930099999999996</v>
      </c>
      <c r="AW904" s="28">
        <f t="shared" si="70"/>
        <v>0.54120292730109076</v>
      </c>
      <c r="AX904">
        <f t="shared" si="71"/>
        <v>0.86956521739130432</v>
      </c>
      <c r="AY904" s="62">
        <f t="shared" si="72"/>
        <v>0.47061124113138325</v>
      </c>
      <c r="AZ904" s="68" t="str">
        <f t="shared" si="73"/>
        <v>No</v>
      </c>
      <c r="BA904" s="68" t="str">
        <f t="shared" si="74"/>
        <v>No</v>
      </c>
    </row>
    <row r="905" spans="1:53" hidden="1">
      <c r="A905" t="s">
        <v>1815</v>
      </c>
      <c r="B905" t="s">
        <v>2502</v>
      </c>
      <c r="C905">
        <v>11</v>
      </c>
      <c r="F905" t="s">
        <v>1241</v>
      </c>
      <c r="G905" t="s">
        <v>1694</v>
      </c>
      <c r="I905">
        <v>2014</v>
      </c>
      <c r="N905" t="s">
        <v>36</v>
      </c>
      <c r="P905" t="s">
        <v>60</v>
      </c>
      <c r="Q905" t="s">
        <v>900</v>
      </c>
      <c r="R905" t="s">
        <v>911</v>
      </c>
      <c r="S905" t="s">
        <v>1749</v>
      </c>
      <c r="V905" t="s">
        <v>905</v>
      </c>
      <c r="Z905">
        <v>6</v>
      </c>
      <c r="AA905">
        <v>6</v>
      </c>
      <c r="AC905">
        <v>436</v>
      </c>
      <c r="AD905">
        <v>27.5</v>
      </c>
      <c r="AE905">
        <v>996</v>
      </c>
      <c r="AF905">
        <v>28.1</v>
      </c>
      <c r="AG905" t="s">
        <v>3338</v>
      </c>
      <c r="AH905">
        <v>2.9982593384236988</v>
      </c>
      <c r="AI905">
        <v>27.5</v>
      </c>
      <c r="AJ905" t="s">
        <v>1792</v>
      </c>
      <c r="AK905" t="s">
        <v>904</v>
      </c>
      <c r="AM905"/>
      <c r="AN905">
        <v>0.09</v>
      </c>
      <c r="AO905">
        <v>2.4494897427831779E-2</v>
      </c>
      <c r="AP905">
        <v>0.08</v>
      </c>
      <c r="AQ905">
        <v>0</v>
      </c>
      <c r="AS905">
        <v>-0.11799999999999999</v>
      </c>
      <c r="AT905">
        <v>6.7000000000000002E-3</v>
      </c>
      <c r="AW905" s="28">
        <f t="shared" si="70"/>
        <v>-0.57735026918962551</v>
      </c>
      <c r="AX905">
        <f t="shared" si="71"/>
        <v>0.92307692307692313</v>
      </c>
      <c r="AY905" s="62">
        <f t="shared" si="72"/>
        <v>-0.53293871002119275</v>
      </c>
      <c r="AZ905" s="68" t="str">
        <f t="shared" si="73"/>
        <v>No</v>
      </c>
      <c r="BA905" s="68" t="str">
        <f t="shared" si="74"/>
        <v>No</v>
      </c>
    </row>
    <row r="906" spans="1:53" hidden="1">
      <c r="A906" t="s">
        <v>1815</v>
      </c>
      <c r="B906" t="s">
        <v>2505</v>
      </c>
      <c r="C906">
        <v>11</v>
      </c>
      <c r="F906" t="s">
        <v>1241</v>
      </c>
      <c r="G906" t="s">
        <v>1694</v>
      </c>
      <c r="I906">
        <v>2015</v>
      </c>
      <c r="N906" t="s">
        <v>36</v>
      </c>
      <c r="P906" t="s">
        <v>60</v>
      </c>
      <c r="Q906" t="s">
        <v>900</v>
      </c>
      <c r="R906" t="s">
        <v>911</v>
      </c>
      <c r="S906" t="s">
        <v>1749</v>
      </c>
      <c r="V906" t="s">
        <v>905</v>
      </c>
      <c r="Z906">
        <v>6</v>
      </c>
      <c r="AA906">
        <v>6</v>
      </c>
      <c r="AC906">
        <v>436</v>
      </c>
      <c r="AD906">
        <v>27.5</v>
      </c>
      <c r="AE906">
        <v>996</v>
      </c>
      <c r="AF906">
        <v>28.1</v>
      </c>
      <c r="AG906" t="s">
        <v>3338</v>
      </c>
      <c r="AH906">
        <v>2.9982593384236988</v>
      </c>
      <c r="AI906">
        <v>27.5</v>
      </c>
      <c r="AJ906" t="s">
        <v>1795</v>
      </c>
      <c r="AK906" t="s">
        <v>904</v>
      </c>
      <c r="AM906"/>
      <c r="AN906">
        <v>8271.34</v>
      </c>
      <c r="AO906">
        <v>1352.7062155545823</v>
      </c>
      <c r="AP906">
        <v>9041.7999999999993</v>
      </c>
      <c r="AQ906">
        <v>767.74357008053141</v>
      </c>
      <c r="AS906">
        <v>8.8999999999999996E-2</v>
      </c>
      <c r="AT906">
        <v>5.7000000000000002E-3</v>
      </c>
      <c r="AW906" s="28">
        <f t="shared" si="70"/>
        <v>0.70052756890947765</v>
      </c>
      <c r="AX906">
        <f t="shared" si="71"/>
        <v>0.92307692307692313</v>
      </c>
      <c r="AY906" s="62">
        <f t="shared" si="72"/>
        <v>0.6466408328395179</v>
      </c>
      <c r="AZ906" s="68" t="str">
        <f t="shared" si="73"/>
        <v>No</v>
      </c>
      <c r="BA906" s="68" t="str">
        <f t="shared" si="74"/>
        <v>No</v>
      </c>
    </row>
    <row r="907" spans="1:53" hidden="1">
      <c r="A907" t="s">
        <v>1815</v>
      </c>
      <c r="B907" t="s">
        <v>2503</v>
      </c>
      <c r="C907">
        <v>11</v>
      </c>
      <c r="F907" t="s">
        <v>1241</v>
      </c>
      <c r="G907" t="s">
        <v>1694</v>
      </c>
      <c r="I907">
        <v>2015</v>
      </c>
      <c r="N907" t="s">
        <v>36</v>
      </c>
      <c r="P907" t="s">
        <v>60</v>
      </c>
      <c r="Q907" t="s">
        <v>900</v>
      </c>
      <c r="R907" t="s">
        <v>911</v>
      </c>
      <c r="S907" t="s">
        <v>1749</v>
      </c>
      <c r="V907" t="s">
        <v>907</v>
      </c>
      <c r="Z907">
        <v>6</v>
      </c>
      <c r="AA907">
        <v>6</v>
      </c>
      <c r="AC907">
        <v>436</v>
      </c>
      <c r="AD907">
        <v>27.5</v>
      </c>
      <c r="AE907">
        <v>477</v>
      </c>
      <c r="AF907">
        <v>30.7</v>
      </c>
      <c r="AG907" t="s">
        <v>3338</v>
      </c>
      <c r="AH907">
        <v>2.6785183790401139</v>
      </c>
      <c r="AI907">
        <v>27.5</v>
      </c>
      <c r="AJ907" t="s">
        <v>1795</v>
      </c>
      <c r="AK907" t="s">
        <v>904</v>
      </c>
      <c r="AM907"/>
      <c r="AN907">
        <v>8271.34</v>
      </c>
      <c r="AO907">
        <v>1352.7062155545823</v>
      </c>
      <c r="AP907">
        <v>8563.8799999999992</v>
      </c>
      <c r="AQ907">
        <v>1096.7835272285956</v>
      </c>
      <c r="AS907">
        <v>3.5000000000000003E-2</v>
      </c>
      <c r="AT907">
        <v>7.1999999999999998E-3</v>
      </c>
      <c r="AW907" s="28">
        <f t="shared" si="70"/>
        <v>0.23756479214921733</v>
      </c>
      <c r="AX907">
        <f t="shared" si="71"/>
        <v>0.92307692307692313</v>
      </c>
      <c r="AY907" s="62">
        <f t="shared" si="72"/>
        <v>0.21929057736850832</v>
      </c>
      <c r="AZ907" s="68" t="str">
        <f t="shared" si="73"/>
        <v>No</v>
      </c>
      <c r="BA907" s="68" t="str">
        <f t="shared" si="74"/>
        <v>No</v>
      </c>
    </row>
    <row r="908" spans="1:53" hidden="1">
      <c r="A908" t="s">
        <v>1815</v>
      </c>
      <c r="B908" t="s">
        <v>2507</v>
      </c>
      <c r="C908">
        <v>11</v>
      </c>
      <c r="F908" t="s">
        <v>1241</v>
      </c>
      <c r="G908" t="s">
        <v>1694</v>
      </c>
      <c r="I908">
        <v>2015</v>
      </c>
      <c r="N908" t="s">
        <v>36</v>
      </c>
      <c r="P908" t="s">
        <v>60</v>
      </c>
      <c r="Q908" t="s">
        <v>900</v>
      </c>
      <c r="R908" t="s">
        <v>911</v>
      </c>
      <c r="S908" t="s">
        <v>1749</v>
      </c>
      <c r="V908" t="s">
        <v>907</v>
      </c>
      <c r="Z908">
        <v>6</v>
      </c>
      <c r="AA908">
        <v>6</v>
      </c>
      <c r="AC908">
        <v>436</v>
      </c>
      <c r="AD908">
        <v>27.5</v>
      </c>
      <c r="AE908">
        <v>477</v>
      </c>
      <c r="AF908">
        <v>30.7</v>
      </c>
      <c r="AG908" t="s">
        <v>3338</v>
      </c>
      <c r="AH908">
        <v>2.6785183790401139</v>
      </c>
      <c r="AI908">
        <v>27.5</v>
      </c>
      <c r="AJ908" t="s">
        <v>1792</v>
      </c>
      <c r="AK908" t="s">
        <v>904</v>
      </c>
      <c r="AM908"/>
      <c r="AN908">
        <v>0.09</v>
      </c>
      <c r="AO908">
        <v>2.4494897427831779E-2</v>
      </c>
      <c r="AP908">
        <v>0.14000000000000001</v>
      </c>
      <c r="AQ908">
        <v>0</v>
      </c>
      <c r="AS908">
        <v>0.371</v>
      </c>
      <c r="AT908">
        <v>4.1000000000000003E-3</v>
      </c>
      <c r="AW908" s="28">
        <f t="shared" si="70"/>
        <v>2.88675134594813</v>
      </c>
      <c r="AX908">
        <f t="shared" si="71"/>
        <v>0.92307692307692313</v>
      </c>
      <c r="AY908" s="62">
        <f t="shared" si="72"/>
        <v>2.6646935501059663</v>
      </c>
      <c r="AZ908" s="68" t="str">
        <f t="shared" si="73"/>
        <v>No</v>
      </c>
      <c r="BA908" s="68" t="str">
        <f t="shared" si="74"/>
        <v>No</v>
      </c>
    </row>
    <row r="909" spans="1:53" hidden="1">
      <c r="A909" t="s">
        <v>1815</v>
      </c>
      <c r="B909" t="s">
        <v>2504</v>
      </c>
      <c r="C909">
        <v>11</v>
      </c>
      <c r="F909" t="s">
        <v>1241</v>
      </c>
      <c r="G909" t="s">
        <v>1694</v>
      </c>
      <c r="I909">
        <v>2015</v>
      </c>
      <c r="N909" t="s">
        <v>36</v>
      </c>
      <c r="P909" t="s">
        <v>60</v>
      </c>
      <c r="Q909" t="s">
        <v>900</v>
      </c>
      <c r="R909" t="s">
        <v>911</v>
      </c>
      <c r="S909" t="s">
        <v>1749</v>
      </c>
      <c r="V909" t="s">
        <v>1015</v>
      </c>
      <c r="Z909">
        <v>6</v>
      </c>
      <c r="AA909">
        <v>6</v>
      </c>
      <c r="AC909">
        <v>436</v>
      </c>
      <c r="AD909">
        <v>27.5</v>
      </c>
      <c r="AE909">
        <v>952</v>
      </c>
      <c r="AF909">
        <v>30.4</v>
      </c>
      <c r="AG909" t="s">
        <v>3338</v>
      </c>
      <c r="AH909">
        <v>2.9786369483844743</v>
      </c>
      <c r="AI909">
        <v>27.5</v>
      </c>
      <c r="AJ909" t="s">
        <v>1795</v>
      </c>
      <c r="AK909" t="s">
        <v>904</v>
      </c>
      <c r="AM909"/>
      <c r="AN909">
        <v>8271.34</v>
      </c>
      <c r="AO909">
        <v>1352.7062155545823</v>
      </c>
      <c r="AP909">
        <v>9027.16</v>
      </c>
      <c r="AQ909">
        <v>182.80541950390855</v>
      </c>
      <c r="AS909">
        <v>8.6999999999999994E-2</v>
      </c>
      <c r="AT909">
        <v>4.4999999999999997E-3</v>
      </c>
      <c r="AW909" s="28">
        <f t="shared" si="70"/>
        <v>0.78306879691221332</v>
      </c>
      <c r="AX909">
        <f t="shared" si="71"/>
        <v>0.92307692307692313</v>
      </c>
      <c r="AY909" s="62">
        <f t="shared" si="72"/>
        <v>0.72283273561127392</v>
      </c>
      <c r="AZ909" s="68" t="str">
        <f t="shared" si="73"/>
        <v>No</v>
      </c>
      <c r="BA909" s="68" t="str">
        <f t="shared" si="74"/>
        <v>No</v>
      </c>
    </row>
    <row r="910" spans="1:53" hidden="1">
      <c r="A910" t="s">
        <v>1815</v>
      </c>
      <c r="B910" t="s">
        <v>2506</v>
      </c>
      <c r="C910">
        <v>11</v>
      </c>
      <c r="F910" t="s">
        <v>1241</v>
      </c>
      <c r="G910" t="s">
        <v>1694</v>
      </c>
      <c r="I910">
        <v>2015</v>
      </c>
      <c r="N910" t="s">
        <v>36</v>
      </c>
      <c r="P910" t="s">
        <v>60</v>
      </c>
      <c r="Q910" t="s">
        <v>900</v>
      </c>
      <c r="R910" t="s">
        <v>911</v>
      </c>
      <c r="S910" t="s">
        <v>1749</v>
      </c>
      <c r="V910" t="s">
        <v>1015</v>
      </c>
      <c r="Z910">
        <v>6</v>
      </c>
      <c r="AA910">
        <v>6</v>
      </c>
      <c r="AC910">
        <v>436</v>
      </c>
      <c r="AD910">
        <v>27.5</v>
      </c>
      <c r="AE910">
        <v>952</v>
      </c>
      <c r="AF910">
        <v>30.4</v>
      </c>
      <c r="AG910" t="s">
        <v>3338</v>
      </c>
      <c r="AH910">
        <v>2.9786369483844743</v>
      </c>
      <c r="AI910">
        <v>27.5</v>
      </c>
      <c r="AJ910" t="s">
        <v>1792</v>
      </c>
      <c r="AK910" t="s">
        <v>904</v>
      </c>
      <c r="AM910"/>
      <c r="AN910">
        <v>0.09</v>
      </c>
      <c r="AO910">
        <v>2.4494897427831779E-2</v>
      </c>
      <c r="AP910">
        <v>0.11</v>
      </c>
      <c r="AQ910">
        <v>2.4494897427831779E-2</v>
      </c>
      <c r="AS910">
        <v>0.16300000000000001</v>
      </c>
      <c r="AT910">
        <v>7.4000000000000003E-3</v>
      </c>
      <c r="AW910" s="28">
        <f t="shared" si="70"/>
        <v>0.81649658092772626</v>
      </c>
      <c r="AX910">
        <f t="shared" si="71"/>
        <v>0.92307692307692313</v>
      </c>
      <c r="AY910" s="62">
        <f t="shared" si="72"/>
        <v>0.75368915162559347</v>
      </c>
      <c r="AZ910" s="68" t="str">
        <f t="shared" si="73"/>
        <v>No</v>
      </c>
      <c r="BA910" s="68" t="str">
        <f t="shared" si="74"/>
        <v>No</v>
      </c>
    </row>
    <row r="911" spans="1:53" hidden="1">
      <c r="A911" t="s">
        <v>1815</v>
      </c>
      <c r="B911" t="s">
        <v>2738</v>
      </c>
      <c r="C911">
        <v>84</v>
      </c>
      <c r="F911" t="s">
        <v>1241</v>
      </c>
      <c r="G911" t="s">
        <v>1712</v>
      </c>
      <c r="I911">
        <v>2018</v>
      </c>
      <c r="N911" t="s">
        <v>36</v>
      </c>
      <c r="P911" t="s">
        <v>60</v>
      </c>
      <c r="Q911" t="s">
        <v>900</v>
      </c>
      <c r="R911" t="s">
        <v>911</v>
      </c>
      <c r="S911" t="s">
        <v>1749</v>
      </c>
      <c r="V911" t="s">
        <v>905</v>
      </c>
      <c r="Z911">
        <v>20</v>
      </c>
      <c r="AA911">
        <v>20</v>
      </c>
      <c r="AC911">
        <v>466</v>
      </c>
      <c r="AD911">
        <v>28.4</v>
      </c>
      <c r="AE911">
        <v>1034</v>
      </c>
      <c r="AF911">
        <v>27.9</v>
      </c>
      <c r="AG911" t="s">
        <v>3363</v>
      </c>
      <c r="AH911">
        <v>3.0145205387579237</v>
      </c>
      <c r="AI911">
        <v>28.4</v>
      </c>
      <c r="AJ911" t="s">
        <v>1205</v>
      </c>
      <c r="AK911" t="s">
        <v>40</v>
      </c>
      <c r="AM911"/>
      <c r="AN911">
        <v>0.65</v>
      </c>
      <c r="AO911">
        <v>0.17888543819998318</v>
      </c>
      <c r="AP911">
        <v>0.72</v>
      </c>
      <c r="AQ911">
        <v>0.22360679774997899</v>
      </c>
      <c r="AS911">
        <v>9.7000000000000003E-2</v>
      </c>
      <c r="AT911">
        <v>7.4000000000000003E-3</v>
      </c>
      <c r="AW911" s="28">
        <f t="shared" si="70"/>
        <v>0.34570535882735609</v>
      </c>
      <c r="AX911">
        <f t="shared" si="71"/>
        <v>0.98013245033112584</v>
      </c>
      <c r="AY911" s="62">
        <f t="shared" si="72"/>
        <v>0.33883704044005764</v>
      </c>
      <c r="AZ911" s="68" t="str">
        <f t="shared" si="73"/>
        <v>No</v>
      </c>
      <c r="BA911" s="68" t="str">
        <f t="shared" si="74"/>
        <v>No</v>
      </c>
    </row>
    <row r="912" spans="1:53" hidden="1">
      <c r="A912" t="s">
        <v>1815</v>
      </c>
      <c r="B912" t="s">
        <v>2741</v>
      </c>
      <c r="C912">
        <v>84</v>
      </c>
      <c r="F912" t="s">
        <v>1241</v>
      </c>
      <c r="G912" t="s">
        <v>1712</v>
      </c>
      <c r="I912">
        <v>2018</v>
      </c>
      <c r="N912" t="s">
        <v>36</v>
      </c>
      <c r="P912" t="s">
        <v>60</v>
      </c>
      <c r="Q912" t="s">
        <v>900</v>
      </c>
      <c r="R912" t="s">
        <v>911</v>
      </c>
      <c r="S912" t="s">
        <v>1749</v>
      </c>
      <c r="V912" t="s">
        <v>905</v>
      </c>
      <c r="Z912">
        <v>4</v>
      </c>
      <c r="AA912">
        <v>4</v>
      </c>
      <c r="AC912">
        <v>466</v>
      </c>
      <c r="AD912">
        <v>28.4</v>
      </c>
      <c r="AE912">
        <v>1034</v>
      </c>
      <c r="AF912">
        <v>27.9</v>
      </c>
      <c r="AG912" t="s">
        <v>3363</v>
      </c>
      <c r="AH912">
        <v>3.0145205387579237</v>
      </c>
      <c r="AI912">
        <v>28.4</v>
      </c>
      <c r="AJ912" t="s">
        <v>1802</v>
      </c>
      <c r="AK912" t="s">
        <v>904</v>
      </c>
      <c r="AM912"/>
      <c r="AN912">
        <v>12.77</v>
      </c>
      <c r="AO912">
        <v>2.44</v>
      </c>
      <c r="AP912">
        <v>16.09</v>
      </c>
      <c r="AQ912">
        <v>2.88</v>
      </c>
      <c r="AS912">
        <v>0.23100000000000001</v>
      </c>
      <c r="AT912">
        <v>1.7100000000000001E-2</v>
      </c>
      <c r="AW912" s="28">
        <f t="shared" si="70"/>
        <v>1.2438732501943797</v>
      </c>
      <c r="AX912">
        <f t="shared" si="71"/>
        <v>0.86956521739130432</v>
      </c>
      <c r="AY912" s="62">
        <f t="shared" si="72"/>
        <v>1.0816289132125041</v>
      </c>
      <c r="AZ912" s="68" t="str">
        <f t="shared" si="73"/>
        <v>No</v>
      </c>
      <c r="BA912" s="68" t="str">
        <f t="shared" si="74"/>
        <v>No</v>
      </c>
    </row>
    <row r="913" spans="1:53" hidden="1">
      <c r="A913" t="s">
        <v>1815</v>
      </c>
      <c r="B913" t="s">
        <v>2743</v>
      </c>
      <c r="C913">
        <v>84</v>
      </c>
      <c r="F913" t="s">
        <v>1241</v>
      </c>
      <c r="G913" t="s">
        <v>1712</v>
      </c>
      <c r="I913">
        <v>2019</v>
      </c>
      <c r="N913" t="s">
        <v>36</v>
      </c>
      <c r="P913" t="s">
        <v>60</v>
      </c>
      <c r="Q913" t="s">
        <v>900</v>
      </c>
      <c r="R913" t="s">
        <v>911</v>
      </c>
      <c r="S913" t="s">
        <v>1749</v>
      </c>
      <c r="V913" t="s">
        <v>905</v>
      </c>
      <c r="Z913">
        <v>4</v>
      </c>
      <c r="AA913">
        <v>4</v>
      </c>
      <c r="AC913">
        <v>466</v>
      </c>
      <c r="AD913">
        <v>28.4</v>
      </c>
      <c r="AE913">
        <v>1034</v>
      </c>
      <c r="AF913">
        <v>27.9</v>
      </c>
      <c r="AG913" t="s">
        <v>3363</v>
      </c>
      <c r="AH913">
        <v>3.0145205387579237</v>
      </c>
      <c r="AI913">
        <v>28.4</v>
      </c>
      <c r="AJ913" t="s">
        <v>1803</v>
      </c>
      <c r="AK913" t="s">
        <v>904</v>
      </c>
      <c r="AM913"/>
      <c r="AN913">
        <v>8.11</v>
      </c>
      <c r="AO913">
        <v>1.48</v>
      </c>
      <c r="AP913">
        <v>12.3</v>
      </c>
      <c r="AQ913">
        <v>2.2999999999999998</v>
      </c>
      <c r="AS913">
        <v>0.41699999999999998</v>
      </c>
      <c r="AT913">
        <v>1.7000000000000001E-2</v>
      </c>
      <c r="AW913" s="28">
        <f t="shared" si="70"/>
        <v>2.1665394929901116</v>
      </c>
      <c r="AX913">
        <f t="shared" si="71"/>
        <v>0.86956521739130432</v>
      </c>
      <c r="AY913" s="62">
        <f t="shared" si="72"/>
        <v>1.8839473852087927</v>
      </c>
      <c r="AZ913" s="68" t="str">
        <f t="shared" si="73"/>
        <v>No</v>
      </c>
      <c r="BA913" s="68" t="str">
        <f t="shared" si="74"/>
        <v>No</v>
      </c>
    </row>
    <row r="914" spans="1:53" hidden="1">
      <c r="A914" t="s">
        <v>1815</v>
      </c>
      <c r="B914" t="s">
        <v>2737</v>
      </c>
      <c r="C914">
        <v>84</v>
      </c>
      <c r="F914" t="s">
        <v>1241</v>
      </c>
      <c r="G914" t="s">
        <v>1712</v>
      </c>
      <c r="I914">
        <v>2018</v>
      </c>
      <c r="N914" t="s">
        <v>36</v>
      </c>
      <c r="P914" t="s">
        <v>60</v>
      </c>
      <c r="Q914" t="s">
        <v>900</v>
      </c>
      <c r="R914" t="s">
        <v>911</v>
      </c>
      <c r="S914" t="s">
        <v>1749</v>
      </c>
      <c r="V914" t="s">
        <v>907</v>
      </c>
      <c r="Z914">
        <v>20</v>
      </c>
      <c r="AA914">
        <v>20</v>
      </c>
      <c r="AC914">
        <v>466</v>
      </c>
      <c r="AD914">
        <v>28.4</v>
      </c>
      <c r="AE914">
        <v>467</v>
      </c>
      <c r="AF914">
        <v>31.1</v>
      </c>
      <c r="AG914" t="s">
        <v>3363</v>
      </c>
      <c r="AH914">
        <v>2.6693168805661123</v>
      </c>
      <c r="AI914">
        <v>28.4</v>
      </c>
      <c r="AJ914" t="s">
        <v>1205</v>
      </c>
      <c r="AK914" t="s">
        <v>40</v>
      </c>
      <c r="AM914"/>
      <c r="AN914">
        <v>0.65</v>
      </c>
      <c r="AO914">
        <v>0.17888543819998318</v>
      </c>
      <c r="AP914">
        <v>0.7</v>
      </c>
      <c r="AQ914">
        <v>0.13416407864998739</v>
      </c>
      <c r="AS914">
        <v>7.3999999999999996E-2</v>
      </c>
      <c r="AT914">
        <v>5.4000000000000003E-3</v>
      </c>
      <c r="AW914" s="28">
        <f t="shared" si="70"/>
        <v>0.3162277660168375</v>
      </c>
      <c r="AX914">
        <f t="shared" si="71"/>
        <v>0.98013245033112584</v>
      </c>
      <c r="AY914" s="62">
        <f t="shared" si="72"/>
        <v>0.30994509516882085</v>
      </c>
      <c r="AZ914" s="68" t="str">
        <f t="shared" si="73"/>
        <v>No</v>
      </c>
      <c r="BA914" s="68" t="str">
        <f t="shared" si="74"/>
        <v>No</v>
      </c>
    </row>
    <row r="915" spans="1:53" hidden="1">
      <c r="A915" t="s">
        <v>1815</v>
      </c>
      <c r="B915" t="s">
        <v>2740</v>
      </c>
      <c r="C915">
        <v>84</v>
      </c>
      <c r="F915" t="s">
        <v>1241</v>
      </c>
      <c r="G915" t="s">
        <v>1712</v>
      </c>
      <c r="I915">
        <v>2018</v>
      </c>
      <c r="N915" t="s">
        <v>36</v>
      </c>
      <c r="P915" t="s">
        <v>60</v>
      </c>
      <c r="Q915" t="s">
        <v>900</v>
      </c>
      <c r="R915" t="s">
        <v>911</v>
      </c>
      <c r="S915" t="s">
        <v>1749</v>
      </c>
      <c r="V915" t="s">
        <v>907</v>
      </c>
      <c r="Z915">
        <v>4</v>
      </c>
      <c r="AA915">
        <v>4</v>
      </c>
      <c r="AC915">
        <v>466</v>
      </c>
      <c r="AD915">
        <v>28.4</v>
      </c>
      <c r="AE915">
        <v>467</v>
      </c>
      <c r="AF915">
        <v>31.1</v>
      </c>
      <c r="AG915" t="s">
        <v>3363</v>
      </c>
      <c r="AH915">
        <v>2.6693168805661123</v>
      </c>
      <c r="AI915">
        <v>28.4</v>
      </c>
      <c r="AJ915" t="s">
        <v>1803</v>
      </c>
      <c r="AK915" t="s">
        <v>904</v>
      </c>
      <c r="AM915"/>
      <c r="AN915">
        <v>8.11</v>
      </c>
      <c r="AO915">
        <v>1.48</v>
      </c>
      <c r="AP915">
        <v>9.6199999999999992</v>
      </c>
      <c r="AQ915">
        <v>2.88</v>
      </c>
      <c r="AS915">
        <v>0.17</v>
      </c>
      <c r="AT915">
        <v>3.0700000000000002E-2</v>
      </c>
      <c r="AW915" s="28">
        <f t="shared" si="70"/>
        <v>0.65949555055318643</v>
      </c>
      <c r="AX915">
        <f t="shared" si="71"/>
        <v>0.86956521739130432</v>
      </c>
      <c r="AY915" s="62">
        <f t="shared" si="72"/>
        <v>0.57347439178537951</v>
      </c>
      <c r="AZ915" s="68" t="str">
        <f t="shared" si="73"/>
        <v>No</v>
      </c>
      <c r="BA915" s="68" t="str">
        <f t="shared" si="74"/>
        <v>No</v>
      </c>
    </row>
    <row r="916" spans="1:53" hidden="1">
      <c r="A916" t="s">
        <v>1815</v>
      </c>
      <c r="B916" t="s">
        <v>2742</v>
      </c>
      <c r="C916">
        <v>84</v>
      </c>
      <c r="F916" t="s">
        <v>1241</v>
      </c>
      <c r="G916" t="s">
        <v>1712</v>
      </c>
      <c r="I916">
        <v>2019</v>
      </c>
      <c r="N916" t="s">
        <v>36</v>
      </c>
      <c r="P916" t="s">
        <v>60</v>
      </c>
      <c r="Q916" t="s">
        <v>900</v>
      </c>
      <c r="R916" t="s">
        <v>911</v>
      </c>
      <c r="S916" t="s">
        <v>1749</v>
      </c>
      <c r="V916" t="s">
        <v>907</v>
      </c>
      <c r="Z916">
        <v>4</v>
      </c>
      <c r="AA916">
        <v>4</v>
      </c>
      <c r="AC916">
        <v>466</v>
      </c>
      <c r="AD916">
        <v>28.4</v>
      </c>
      <c r="AE916">
        <v>467</v>
      </c>
      <c r="AF916">
        <v>31.1</v>
      </c>
      <c r="AG916" t="s">
        <v>3363</v>
      </c>
      <c r="AH916">
        <v>2.6693168805661123</v>
      </c>
      <c r="AI916">
        <v>28.4</v>
      </c>
      <c r="AJ916" t="s">
        <v>1802</v>
      </c>
      <c r="AK916" t="s">
        <v>904</v>
      </c>
      <c r="AM916"/>
      <c r="AN916">
        <v>12.77</v>
      </c>
      <c r="AO916">
        <v>2.44</v>
      </c>
      <c r="AP916">
        <v>18.91</v>
      </c>
      <c r="AQ916">
        <v>7.86</v>
      </c>
      <c r="AS916">
        <v>0.39200000000000002</v>
      </c>
      <c r="AT916">
        <v>5.2200000000000003E-2</v>
      </c>
      <c r="AW916" s="28">
        <f t="shared" si="70"/>
        <v>1.0550731522753656</v>
      </c>
      <c r="AX916">
        <f t="shared" si="71"/>
        <v>0.86956521739130432</v>
      </c>
      <c r="AY916" s="62">
        <f t="shared" si="72"/>
        <v>0.917454915022057</v>
      </c>
      <c r="AZ916" s="68" t="str">
        <f t="shared" si="73"/>
        <v>No</v>
      </c>
      <c r="BA916" s="68" t="str">
        <f t="shared" si="74"/>
        <v>No</v>
      </c>
    </row>
    <row r="917" spans="1:53" hidden="1">
      <c r="A917" t="s">
        <v>1815</v>
      </c>
      <c r="B917" t="s">
        <v>2735</v>
      </c>
      <c r="C917">
        <v>84</v>
      </c>
      <c r="F917" t="s">
        <v>1241</v>
      </c>
      <c r="G917" t="s">
        <v>1712</v>
      </c>
      <c r="I917">
        <v>2018</v>
      </c>
      <c r="N917" t="s">
        <v>36</v>
      </c>
      <c r="P917" t="s">
        <v>60</v>
      </c>
      <c r="Q917" t="s">
        <v>900</v>
      </c>
      <c r="R917" t="s">
        <v>911</v>
      </c>
      <c r="S917" t="s">
        <v>1749</v>
      </c>
      <c r="V917" t="s">
        <v>1015</v>
      </c>
      <c r="Z917">
        <v>20</v>
      </c>
      <c r="AA917">
        <v>20</v>
      </c>
      <c r="AC917">
        <v>466</v>
      </c>
      <c r="AD917">
        <v>28.4</v>
      </c>
      <c r="AE917">
        <v>1007</v>
      </c>
      <c r="AF917">
        <v>30.7</v>
      </c>
      <c r="AG917" t="s">
        <v>3363</v>
      </c>
      <c r="AH917">
        <v>3.003029470553618</v>
      </c>
      <c r="AI917">
        <v>28.4</v>
      </c>
      <c r="AJ917" t="s">
        <v>1205</v>
      </c>
      <c r="AK917" t="s">
        <v>40</v>
      </c>
      <c r="AM917"/>
      <c r="AN917">
        <v>0.65</v>
      </c>
      <c r="AO917">
        <v>0.17888543819998318</v>
      </c>
      <c r="AP917">
        <v>0.64</v>
      </c>
      <c r="AQ917">
        <v>0.13416407864998739</v>
      </c>
      <c r="AS917">
        <v>-2.5000000000000001E-2</v>
      </c>
      <c r="AT917">
        <v>5.4999999999999997E-3</v>
      </c>
      <c r="AW917" s="28">
        <f t="shared" si="70"/>
        <v>-6.3245553203367638E-2</v>
      </c>
      <c r="AX917">
        <f t="shared" si="71"/>
        <v>0.98013245033112584</v>
      </c>
      <c r="AY917" s="62">
        <f t="shared" si="72"/>
        <v>-6.198901903376431E-2</v>
      </c>
      <c r="AZ917" s="68" t="str">
        <f t="shared" si="73"/>
        <v>No</v>
      </c>
      <c r="BA917" s="68" t="str">
        <f t="shared" si="74"/>
        <v>No</v>
      </c>
    </row>
    <row r="918" spans="1:53" hidden="1">
      <c r="A918" t="s">
        <v>1815</v>
      </c>
      <c r="B918" t="s">
        <v>2736</v>
      </c>
      <c r="C918">
        <v>84</v>
      </c>
      <c r="F918" t="s">
        <v>1241</v>
      </c>
      <c r="G918" t="s">
        <v>1712</v>
      </c>
      <c r="I918">
        <v>2018</v>
      </c>
      <c r="N918" t="s">
        <v>36</v>
      </c>
      <c r="P918" t="s">
        <v>60</v>
      </c>
      <c r="Q918" t="s">
        <v>900</v>
      </c>
      <c r="R918" t="s">
        <v>911</v>
      </c>
      <c r="S918" t="s">
        <v>1749</v>
      </c>
      <c r="V918" t="s">
        <v>1015</v>
      </c>
      <c r="Z918">
        <v>4</v>
      </c>
      <c r="AA918">
        <v>4</v>
      </c>
      <c r="AC918">
        <v>466</v>
      </c>
      <c r="AD918">
        <v>28.4</v>
      </c>
      <c r="AE918">
        <v>1007</v>
      </c>
      <c r="AF918">
        <v>30.7</v>
      </c>
      <c r="AG918" t="s">
        <v>3363</v>
      </c>
      <c r="AH918">
        <v>3.003029470553618</v>
      </c>
      <c r="AI918">
        <v>28.4</v>
      </c>
      <c r="AJ918" t="s">
        <v>1803</v>
      </c>
      <c r="AK918" t="s">
        <v>904</v>
      </c>
      <c r="AM918"/>
      <c r="AN918">
        <v>8.11</v>
      </c>
      <c r="AO918">
        <v>1.48</v>
      </c>
      <c r="AP918">
        <v>8.3699999999999992</v>
      </c>
      <c r="AQ918">
        <v>0.9</v>
      </c>
      <c r="AS918">
        <v>3.1E-2</v>
      </c>
      <c r="AT918">
        <v>1.11E-2</v>
      </c>
      <c r="AW918" s="28">
        <f t="shared" si="70"/>
        <v>0.21227495984890937</v>
      </c>
      <c r="AX918">
        <f t="shared" si="71"/>
        <v>0.86956521739130432</v>
      </c>
      <c r="AY918" s="62">
        <f t="shared" si="72"/>
        <v>0.18458692160774728</v>
      </c>
      <c r="AZ918" s="68" t="str">
        <f t="shared" si="73"/>
        <v>No</v>
      </c>
      <c r="BA918" s="68" t="str">
        <f t="shared" si="74"/>
        <v>No</v>
      </c>
    </row>
    <row r="919" spans="1:53" hidden="1">
      <c r="A919" t="s">
        <v>1815</v>
      </c>
      <c r="B919" t="s">
        <v>2739</v>
      </c>
      <c r="C919">
        <v>84</v>
      </c>
      <c r="F919" t="s">
        <v>1241</v>
      </c>
      <c r="G919" t="s">
        <v>1712</v>
      </c>
      <c r="I919">
        <v>2018</v>
      </c>
      <c r="N919" t="s">
        <v>36</v>
      </c>
      <c r="P919" t="s">
        <v>60</v>
      </c>
      <c r="Q919" t="s">
        <v>900</v>
      </c>
      <c r="R919" t="s">
        <v>911</v>
      </c>
      <c r="S919" t="s">
        <v>1749</v>
      </c>
      <c r="V919" t="s">
        <v>1015</v>
      </c>
      <c r="Z919">
        <v>4</v>
      </c>
      <c r="AA919">
        <v>4</v>
      </c>
      <c r="AC919">
        <v>466</v>
      </c>
      <c r="AD919">
        <v>28.4</v>
      </c>
      <c r="AE919">
        <v>1007</v>
      </c>
      <c r="AF919">
        <v>30.7</v>
      </c>
      <c r="AG919" t="s">
        <v>3363</v>
      </c>
      <c r="AH919">
        <v>3.003029470553618</v>
      </c>
      <c r="AI919">
        <v>28.4</v>
      </c>
      <c r="AJ919" t="s">
        <v>1802</v>
      </c>
      <c r="AK919" t="s">
        <v>904</v>
      </c>
      <c r="AM919"/>
      <c r="AN919">
        <v>12.77</v>
      </c>
      <c r="AO919">
        <v>2.44</v>
      </c>
      <c r="AP919">
        <v>14.54</v>
      </c>
      <c r="AQ919">
        <v>3.76</v>
      </c>
      <c r="AS919">
        <v>0.13</v>
      </c>
      <c r="AT919">
        <v>2.58E-2</v>
      </c>
      <c r="AW919" s="28">
        <f t="shared" si="70"/>
        <v>0.55845132505528228</v>
      </c>
      <c r="AX919">
        <f t="shared" si="71"/>
        <v>0.86956521739130432</v>
      </c>
      <c r="AY919" s="62">
        <f t="shared" si="72"/>
        <v>0.48560984787415851</v>
      </c>
      <c r="AZ919" s="68" t="str">
        <f t="shared" si="73"/>
        <v>No</v>
      </c>
      <c r="BA919" s="68" t="str">
        <f t="shared" si="74"/>
        <v>No</v>
      </c>
    </row>
    <row r="920" spans="1:53" hidden="1">
      <c r="A920" t="s">
        <v>1815</v>
      </c>
      <c r="B920" t="s">
        <v>2774</v>
      </c>
      <c r="C920">
        <v>112</v>
      </c>
      <c r="F920" t="s">
        <v>1241</v>
      </c>
      <c r="G920" t="s">
        <v>1716</v>
      </c>
      <c r="I920">
        <v>2014</v>
      </c>
      <c r="N920" t="s">
        <v>36</v>
      </c>
      <c r="P920" t="s">
        <v>60</v>
      </c>
      <c r="Q920" t="s">
        <v>900</v>
      </c>
      <c r="R920" t="s">
        <v>1741</v>
      </c>
      <c r="S920" t="s">
        <v>1765</v>
      </c>
      <c r="V920" t="s">
        <v>905</v>
      </c>
      <c r="Z920">
        <v>45</v>
      </c>
      <c r="AA920">
        <v>45</v>
      </c>
      <c r="AC920">
        <v>433</v>
      </c>
      <c r="AD920">
        <v>13.2</v>
      </c>
      <c r="AE920">
        <v>1682</v>
      </c>
      <c r="AF920">
        <v>13.2</v>
      </c>
      <c r="AG920" t="s">
        <v>3367</v>
      </c>
      <c r="AH920">
        <v>3.2258259914618934</v>
      </c>
      <c r="AI920">
        <v>13.2</v>
      </c>
      <c r="AJ920" t="s">
        <v>1790</v>
      </c>
      <c r="AK920" t="s">
        <v>770</v>
      </c>
      <c r="AM920"/>
      <c r="AN920">
        <v>7.92</v>
      </c>
      <c r="AO920">
        <v>2.0124611797498106</v>
      </c>
      <c r="AP920">
        <v>8.69</v>
      </c>
      <c r="AQ920">
        <v>58.294292173419514</v>
      </c>
      <c r="AS920">
        <v>-8.0000000000000002E-3</v>
      </c>
      <c r="AT920">
        <v>9.1000000000000004E-3</v>
      </c>
      <c r="AW920" s="28">
        <f t="shared" si="70"/>
        <v>1.8668999665951997E-2</v>
      </c>
      <c r="AX920">
        <f t="shared" si="71"/>
        <v>0.99145299145299148</v>
      </c>
      <c r="AY920" s="62">
        <f t="shared" si="72"/>
        <v>1.8509435566243005E-2</v>
      </c>
      <c r="AZ920" s="68" t="str">
        <f t="shared" si="73"/>
        <v>No</v>
      </c>
      <c r="BA920" s="68" t="str">
        <f t="shared" si="74"/>
        <v>No</v>
      </c>
    </row>
    <row r="921" spans="1:53" hidden="1">
      <c r="A921" t="s">
        <v>1815</v>
      </c>
      <c r="B921" t="s">
        <v>2777</v>
      </c>
      <c r="C921">
        <v>112</v>
      </c>
      <c r="F921" t="s">
        <v>1241</v>
      </c>
      <c r="G921" t="s">
        <v>1716</v>
      </c>
      <c r="I921">
        <v>2013</v>
      </c>
      <c r="N921" t="s">
        <v>36</v>
      </c>
      <c r="P921" t="s">
        <v>60</v>
      </c>
      <c r="Q921" t="s">
        <v>900</v>
      </c>
      <c r="R921" t="s">
        <v>1741</v>
      </c>
      <c r="S921" t="s">
        <v>1765</v>
      </c>
      <c r="V921" t="s">
        <v>905</v>
      </c>
      <c r="Z921">
        <v>60</v>
      </c>
      <c r="AA921">
        <v>60</v>
      </c>
      <c r="AC921">
        <v>433</v>
      </c>
      <c r="AD921">
        <v>13.2</v>
      </c>
      <c r="AE921">
        <v>1682</v>
      </c>
      <c r="AF921">
        <v>13.2</v>
      </c>
      <c r="AG921" t="s">
        <v>3367</v>
      </c>
      <c r="AH921">
        <v>3.2258259914618934</v>
      </c>
      <c r="AI921">
        <v>13.2</v>
      </c>
      <c r="AJ921" t="s">
        <v>1809</v>
      </c>
      <c r="AK921" t="s">
        <v>904</v>
      </c>
      <c r="AM921"/>
      <c r="AN921">
        <v>32.9</v>
      </c>
      <c r="AO921">
        <v>0.54221766846903841</v>
      </c>
      <c r="AP921">
        <v>36.32</v>
      </c>
      <c r="AQ921">
        <v>0.6196773353931867</v>
      </c>
      <c r="AS921">
        <v>9.9000000000000005E-2</v>
      </c>
      <c r="AT921">
        <v>1E-4</v>
      </c>
      <c r="AW921" s="28">
        <f t="shared" si="70"/>
        <v>5.8738960551968118</v>
      </c>
      <c r="AX921">
        <f t="shared" si="71"/>
        <v>0.99363057324840764</v>
      </c>
      <c r="AY921" s="62">
        <f t="shared" si="72"/>
        <v>5.8364827045267687</v>
      </c>
      <c r="AZ921" s="68" t="str">
        <f t="shared" si="73"/>
        <v>No</v>
      </c>
      <c r="BA921" s="68" t="str">
        <f t="shared" si="74"/>
        <v>No</v>
      </c>
    </row>
    <row r="922" spans="1:53" hidden="1">
      <c r="A922" t="s">
        <v>1815</v>
      </c>
      <c r="B922" t="s">
        <v>2780</v>
      </c>
      <c r="C922">
        <v>112</v>
      </c>
      <c r="F922" t="s">
        <v>1241</v>
      </c>
      <c r="G922" t="s">
        <v>1716</v>
      </c>
      <c r="I922">
        <v>2013</v>
      </c>
      <c r="N922" t="s">
        <v>36</v>
      </c>
      <c r="P922" t="s">
        <v>60</v>
      </c>
      <c r="Q922" t="s">
        <v>900</v>
      </c>
      <c r="R922" t="s">
        <v>1741</v>
      </c>
      <c r="S922" t="s">
        <v>1765</v>
      </c>
      <c r="V922" t="s">
        <v>905</v>
      </c>
      <c r="Z922">
        <v>3</v>
      </c>
      <c r="AA922">
        <v>3</v>
      </c>
      <c r="AC922">
        <v>433</v>
      </c>
      <c r="AD922">
        <v>13.2</v>
      </c>
      <c r="AE922">
        <v>1682</v>
      </c>
      <c r="AF922">
        <v>13.2</v>
      </c>
      <c r="AG922" t="s">
        <v>3367</v>
      </c>
      <c r="AH922">
        <v>3.2258259914618934</v>
      </c>
      <c r="AI922">
        <v>13.2</v>
      </c>
      <c r="AJ922" t="s">
        <v>1794</v>
      </c>
      <c r="AK922" t="s">
        <v>904</v>
      </c>
      <c r="AM922"/>
      <c r="AN922">
        <v>0.32</v>
      </c>
      <c r="AO922">
        <v>1.7320508075688773E-2</v>
      </c>
      <c r="AP922">
        <v>0.5</v>
      </c>
      <c r="AQ922">
        <v>1.7320508075688773E-2</v>
      </c>
      <c r="AS922">
        <v>0.46</v>
      </c>
      <c r="AT922">
        <v>8.0000000000000004E-4</v>
      </c>
      <c r="AW922" s="28">
        <f t="shared" si="70"/>
        <v>10.392304845413264</v>
      </c>
      <c r="AX922">
        <f t="shared" si="71"/>
        <v>0.8</v>
      </c>
      <c r="AY922" s="62">
        <f t="shared" si="72"/>
        <v>8.3138438763306119</v>
      </c>
      <c r="AZ922" s="68" t="str">
        <f t="shared" si="73"/>
        <v>No</v>
      </c>
      <c r="BA922" s="68" t="str">
        <f t="shared" si="74"/>
        <v>No</v>
      </c>
    </row>
    <row r="923" spans="1:53" hidden="1">
      <c r="A923" t="s">
        <v>1815</v>
      </c>
      <c r="B923" t="s">
        <v>3173</v>
      </c>
      <c r="C923">
        <v>112</v>
      </c>
      <c r="F923" t="s">
        <v>1241</v>
      </c>
      <c r="G923" t="s">
        <v>1716</v>
      </c>
      <c r="I923">
        <v>2014</v>
      </c>
      <c r="N923" t="s">
        <v>36</v>
      </c>
      <c r="P923" t="s">
        <v>60</v>
      </c>
      <c r="Q923" t="s">
        <v>900</v>
      </c>
      <c r="R923" t="s">
        <v>1741</v>
      </c>
      <c r="S923" t="s">
        <v>1765</v>
      </c>
      <c r="V923" t="s">
        <v>905</v>
      </c>
      <c r="Z923">
        <v>45</v>
      </c>
      <c r="AA923">
        <v>45</v>
      </c>
      <c r="AC923">
        <v>433</v>
      </c>
      <c r="AD923" s="37">
        <v>13.2</v>
      </c>
      <c r="AE923">
        <v>1682</v>
      </c>
      <c r="AF923" s="37">
        <v>13.2</v>
      </c>
      <c r="AG923" t="s">
        <v>3409</v>
      </c>
      <c r="AH923">
        <v>3.2258259914618934</v>
      </c>
      <c r="AI923" s="37">
        <v>13.2</v>
      </c>
      <c r="AJ923" t="s">
        <v>1099</v>
      </c>
      <c r="AK923" t="s">
        <v>770</v>
      </c>
      <c r="AM923"/>
      <c r="AN923">
        <v>4.3600000000000003</v>
      </c>
      <c r="AO923">
        <v>0.40249223594996214</v>
      </c>
      <c r="AP923">
        <v>2.78</v>
      </c>
      <c r="AQ923">
        <v>0.13416407864998739</v>
      </c>
      <c r="AS923">
        <v>-0.44900000000000001</v>
      </c>
      <c r="AT923">
        <v>2.9999999999999997E-4</v>
      </c>
      <c r="AW923" s="28">
        <f t="shared" si="70"/>
        <v>-5.2666666666666684</v>
      </c>
      <c r="AX923">
        <f t="shared" si="71"/>
        <v>0.99145299145299148</v>
      </c>
      <c r="AY923" s="62">
        <f t="shared" si="72"/>
        <v>-5.2216524216524238</v>
      </c>
      <c r="AZ923" s="68" t="str">
        <f t="shared" si="73"/>
        <v>No</v>
      </c>
      <c r="BA923" s="68" t="str">
        <f t="shared" si="74"/>
        <v>No</v>
      </c>
    </row>
    <row r="924" spans="1:53" hidden="1">
      <c r="A924" t="s">
        <v>1815</v>
      </c>
      <c r="B924" t="s">
        <v>3179</v>
      </c>
      <c r="C924">
        <v>112</v>
      </c>
      <c r="F924" t="s">
        <v>1241</v>
      </c>
      <c r="G924" t="s">
        <v>1716</v>
      </c>
      <c r="I924">
        <v>2014</v>
      </c>
      <c r="N924" t="s">
        <v>36</v>
      </c>
      <c r="P924" t="s">
        <v>60</v>
      </c>
      <c r="Q924" t="s">
        <v>900</v>
      </c>
      <c r="R924" t="s">
        <v>1741</v>
      </c>
      <c r="S924" t="s">
        <v>1765</v>
      </c>
      <c r="V924" t="s">
        <v>905</v>
      </c>
      <c r="Z924">
        <v>60</v>
      </c>
      <c r="AA924">
        <v>60</v>
      </c>
      <c r="AC924">
        <v>433</v>
      </c>
      <c r="AD924" s="37">
        <v>13.2</v>
      </c>
      <c r="AE924">
        <v>1682</v>
      </c>
      <c r="AF924" s="37">
        <v>13.2</v>
      </c>
      <c r="AG924" t="s">
        <v>3409</v>
      </c>
      <c r="AH924">
        <v>3.2258259914618934</v>
      </c>
      <c r="AI924" s="37">
        <v>13.2</v>
      </c>
      <c r="AJ924" t="s">
        <v>1809</v>
      </c>
      <c r="AK924" t="s">
        <v>59</v>
      </c>
      <c r="AM924"/>
      <c r="AN924">
        <v>35.06</v>
      </c>
      <c r="AO924">
        <v>7.7459666924148338E-2</v>
      </c>
      <c r="AP924">
        <v>34.15</v>
      </c>
      <c r="AQ924">
        <v>0.15491933384829668</v>
      </c>
      <c r="AS924">
        <v>-2.5999999999999999E-2</v>
      </c>
      <c r="AT924">
        <v>1E-4</v>
      </c>
      <c r="AW924" s="28">
        <f t="shared" si="70"/>
        <v>-7.4301188864423366</v>
      </c>
      <c r="AX924">
        <f t="shared" si="71"/>
        <v>0.99363057324840764</v>
      </c>
      <c r="AY924" s="62">
        <f t="shared" si="72"/>
        <v>-7.3827932884395189</v>
      </c>
      <c r="AZ924" s="68" t="str">
        <f t="shared" si="73"/>
        <v>No</v>
      </c>
      <c r="BA924" s="68" t="str">
        <f t="shared" si="74"/>
        <v>No</v>
      </c>
    </row>
    <row r="925" spans="1:53" hidden="1">
      <c r="A925" t="s">
        <v>1815</v>
      </c>
      <c r="B925" t="s">
        <v>3181</v>
      </c>
      <c r="C925">
        <v>112</v>
      </c>
      <c r="F925" t="s">
        <v>1241</v>
      </c>
      <c r="G925" t="s">
        <v>1716</v>
      </c>
      <c r="I925">
        <v>2014</v>
      </c>
      <c r="N925" t="s">
        <v>36</v>
      </c>
      <c r="P925" t="s">
        <v>60</v>
      </c>
      <c r="Q925" t="s">
        <v>900</v>
      </c>
      <c r="R925" t="s">
        <v>1741</v>
      </c>
      <c r="S925" t="s">
        <v>1765</v>
      </c>
      <c r="V925" t="s">
        <v>905</v>
      </c>
      <c r="Z925">
        <v>45</v>
      </c>
      <c r="AA925">
        <v>45</v>
      </c>
      <c r="AC925">
        <v>433</v>
      </c>
      <c r="AD925" s="37">
        <v>13.2</v>
      </c>
      <c r="AE925">
        <v>1682</v>
      </c>
      <c r="AF925" s="37">
        <v>13.2</v>
      </c>
      <c r="AG925" t="s">
        <v>3409</v>
      </c>
      <c r="AH925">
        <v>3.2258259914618934</v>
      </c>
      <c r="AI925" s="37">
        <v>13.2</v>
      </c>
      <c r="AJ925" t="s">
        <v>1790</v>
      </c>
      <c r="AK925" t="s">
        <v>59</v>
      </c>
      <c r="AM925"/>
      <c r="AN925">
        <v>6.83</v>
      </c>
      <c r="AO925">
        <v>2.4820354550247665</v>
      </c>
      <c r="AP925">
        <v>6.36</v>
      </c>
      <c r="AQ925">
        <v>42.664177010695994</v>
      </c>
      <c r="AS925">
        <v>5.0000000000000001E-3</v>
      </c>
      <c r="AT925">
        <v>4.5999999999999999E-3</v>
      </c>
      <c r="AW925" s="28">
        <f t="shared" si="70"/>
        <v>-1.555305823890115E-2</v>
      </c>
      <c r="AX925">
        <f t="shared" si="71"/>
        <v>0.99145299145299148</v>
      </c>
      <c r="AY925" s="62">
        <f t="shared" si="72"/>
        <v>-1.542012611720114E-2</v>
      </c>
      <c r="AZ925" s="68" t="str">
        <f t="shared" si="73"/>
        <v>No</v>
      </c>
      <c r="BA925" s="68" t="str">
        <f t="shared" si="74"/>
        <v>No</v>
      </c>
    </row>
    <row r="926" spans="1:53" hidden="1">
      <c r="A926" t="s">
        <v>1815</v>
      </c>
      <c r="B926" t="s">
        <v>3182</v>
      </c>
      <c r="C926">
        <v>112</v>
      </c>
      <c r="F926" t="s">
        <v>1241</v>
      </c>
      <c r="G926" t="s">
        <v>1716</v>
      </c>
      <c r="I926">
        <v>2014</v>
      </c>
      <c r="N926" t="s">
        <v>36</v>
      </c>
      <c r="P926" t="s">
        <v>60</v>
      </c>
      <c r="Q926" t="s">
        <v>900</v>
      </c>
      <c r="R926" t="s">
        <v>1741</v>
      </c>
      <c r="S926" t="s">
        <v>1765</v>
      </c>
      <c r="V926" t="s">
        <v>905</v>
      </c>
      <c r="Z926">
        <v>45</v>
      </c>
      <c r="AA926">
        <v>45</v>
      </c>
      <c r="AC926">
        <v>433</v>
      </c>
      <c r="AD926" s="37">
        <v>13.2</v>
      </c>
      <c r="AE926">
        <v>1682</v>
      </c>
      <c r="AF926" s="37">
        <v>13.2</v>
      </c>
      <c r="AG926" t="s">
        <v>3409</v>
      </c>
      <c r="AH926">
        <v>3.2258259914618934</v>
      </c>
      <c r="AI926" s="37">
        <v>13.2</v>
      </c>
      <c r="AJ926" t="s">
        <v>69</v>
      </c>
      <c r="AK926" t="s">
        <v>69</v>
      </c>
      <c r="AM926"/>
      <c r="AN926">
        <v>96.29</v>
      </c>
      <c r="AO926">
        <v>0.93914855054991175</v>
      </c>
      <c r="AP926">
        <v>98.71</v>
      </c>
      <c r="AQ926">
        <v>1.9453791404248171</v>
      </c>
      <c r="AS926">
        <v>2.5000000000000001E-2</v>
      </c>
      <c r="AT926">
        <v>1E-4</v>
      </c>
      <c r="AW926" s="28">
        <f t="shared" si="70"/>
        <v>1.5842901742618671</v>
      </c>
      <c r="AX926">
        <f t="shared" si="71"/>
        <v>0.99145299145299148</v>
      </c>
      <c r="AY926" s="62">
        <f t="shared" si="72"/>
        <v>1.5707492326015093</v>
      </c>
      <c r="AZ926" s="68" t="str">
        <f t="shared" si="73"/>
        <v>No</v>
      </c>
      <c r="BA926" s="68" t="str">
        <f t="shared" si="74"/>
        <v>No</v>
      </c>
    </row>
    <row r="927" spans="1:53" hidden="1">
      <c r="A927" t="s">
        <v>1815</v>
      </c>
      <c r="B927" t="s">
        <v>3188</v>
      </c>
      <c r="C927">
        <v>112</v>
      </c>
      <c r="F927" t="s">
        <v>1241</v>
      </c>
      <c r="G927" t="s">
        <v>1716</v>
      </c>
      <c r="I927">
        <v>2013</v>
      </c>
      <c r="N927" t="s">
        <v>36</v>
      </c>
      <c r="P927" t="s">
        <v>60</v>
      </c>
      <c r="Q927" t="s">
        <v>900</v>
      </c>
      <c r="R927" t="s">
        <v>1741</v>
      </c>
      <c r="S927" t="s">
        <v>1765</v>
      </c>
      <c r="V927" t="s">
        <v>905</v>
      </c>
      <c r="Z927">
        <v>45</v>
      </c>
      <c r="AA927">
        <v>45</v>
      </c>
      <c r="AC927">
        <v>433</v>
      </c>
      <c r="AD927" s="37">
        <v>13.2</v>
      </c>
      <c r="AE927">
        <v>1682</v>
      </c>
      <c r="AF927" s="37">
        <v>13.2</v>
      </c>
      <c r="AG927" t="s">
        <v>3409</v>
      </c>
      <c r="AH927">
        <v>3.2258259914618934</v>
      </c>
      <c r="AI927" s="37">
        <v>13.2</v>
      </c>
      <c r="AJ927" t="s">
        <v>1797</v>
      </c>
      <c r="AK927" t="s">
        <v>59</v>
      </c>
      <c r="AM927"/>
      <c r="AN927">
        <v>27.12</v>
      </c>
      <c r="AO927">
        <v>1.0733126291998991</v>
      </c>
      <c r="AP927">
        <v>36.76</v>
      </c>
      <c r="AQ927">
        <v>1.6770509831248424</v>
      </c>
      <c r="AS927">
        <v>0.30399999999999999</v>
      </c>
      <c r="AT927">
        <v>1E-4</v>
      </c>
      <c r="AW927" s="28">
        <f t="shared" si="70"/>
        <v>6.8469604716870514</v>
      </c>
      <c r="AX927">
        <f t="shared" si="71"/>
        <v>0.99145299145299148</v>
      </c>
      <c r="AY927" s="62">
        <f t="shared" si="72"/>
        <v>6.7884394420145124</v>
      </c>
      <c r="AZ927" s="68" t="str">
        <f t="shared" si="73"/>
        <v>No</v>
      </c>
      <c r="BA927" s="68" t="str">
        <f t="shared" si="74"/>
        <v>No</v>
      </c>
    </row>
    <row r="928" spans="1:53" hidden="1">
      <c r="A928" t="s">
        <v>1815</v>
      </c>
      <c r="B928" t="s">
        <v>3189</v>
      </c>
      <c r="C928">
        <v>112</v>
      </c>
      <c r="F928" t="s">
        <v>1241</v>
      </c>
      <c r="G928" t="s">
        <v>1716</v>
      </c>
      <c r="I928">
        <v>2013</v>
      </c>
      <c r="N928" t="s">
        <v>36</v>
      </c>
      <c r="P928" t="s">
        <v>60</v>
      </c>
      <c r="Q928" t="s">
        <v>900</v>
      </c>
      <c r="R928" t="s">
        <v>1741</v>
      </c>
      <c r="S928" t="s">
        <v>1765</v>
      </c>
      <c r="V928" t="s">
        <v>905</v>
      </c>
      <c r="Z928">
        <v>3</v>
      </c>
      <c r="AA928">
        <v>3</v>
      </c>
      <c r="AC928">
        <v>433</v>
      </c>
      <c r="AD928" s="37">
        <v>13.2</v>
      </c>
      <c r="AE928">
        <v>1682</v>
      </c>
      <c r="AF928" s="37">
        <v>13.2</v>
      </c>
      <c r="AG928" t="s">
        <v>3409</v>
      </c>
      <c r="AH928">
        <v>3.2258259914618934</v>
      </c>
      <c r="AI928" s="37">
        <v>13.2</v>
      </c>
      <c r="AJ928" t="s">
        <v>1794</v>
      </c>
      <c r="AK928" t="s">
        <v>59</v>
      </c>
      <c r="AM928"/>
      <c r="AN928">
        <v>0.36</v>
      </c>
      <c r="AO928">
        <v>8.6602540378443865E-2</v>
      </c>
      <c r="AP928">
        <v>0.7</v>
      </c>
      <c r="AQ928">
        <v>1.7320508075688773E-2</v>
      </c>
      <c r="AS928">
        <v>0.65800000000000003</v>
      </c>
      <c r="AT928">
        <v>1.61E-2</v>
      </c>
      <c r="AW928" s="28">
        <f t="shared" si="70"/>
        <v>5.4443572293729625</v>
      </c>
      <c r="AX928">
        <f t="shared" si="71"/>
        <v>0.8</v>
      </c>
      <c r="AY928" s="62">
        <f t="shared" si="72"/>
        <v>4.35548578349837</v>
      </c>
      <c r="AZ928" s="68" t="str">
        <f t="shared" si="73"/>
        <v>No</v>
      </c>
      <c r="BA928" s="68" t="str">
        <f t="shared" si="74"/>
        <v>No</v>
      </c>
    </row>
    <row r="929" spans="1:53" hidden="1">
      <c r="A929" t="s">
        <v>1815</v>
      </c>
      <c r="B929" t="s">
        <v>2773</v>
      </c>
      <c r="C929">
        <v>112</v>
      </c>
      <c r="F929" t="s">
        <v>1241</v>
      </c>
      <c r="G929" t="s">
        <v>1716</v>
      </c>
      <c r="I929">
        <v>2014</v>
      </c>
      <c r="N929" t="s">
        <v>36</v>
      </c>
      <c r="P929" t="s">
        <v>60</v>
      </c>
      <c r="Q929" t="s">
        <v>900</v>
      </c>
      <c r="R929" t="s">
        <v>1741</v>
      </c>
      <c r="S929" t="s">
        <v>1765</v>
      </c>
      <c r="V929" t="s">
        <v>907</v>
      </c>
      <c r="Z929">
        <v>45</v>
      </c>
      <c r="AA929">
        <v>45</v>
      </c>
      <c r="AC929">
        <v>433</v>
      </c>
      <c r="AD929">
        <v>13.2</v>
      </c>
      <c r="AE929">
        <v>440</v>
      </c>
      <c r="AF929">
        <v>15.1</v>
      </c>
      <c r="AG929" t="s">
        <v>3367</v>
      </c>
      <c r="AH929">
        <v>2.6434526764861874</v>
      </c>
      <c r="AI929">
        <v>13.2</v>
      </c>
      <c r="AJ929" t="s">
        <v>1790</v>
      </c>
      <c r="AK929" t="s">
        <v>770</v>
      </c>
      <c r="AM929"/>
      <c r="AN929">
        <v>7.92</v>
      </c>
      <c r="AO929">
        <v>2.0124611797498106</v>
      </c>
      <c r="AP929">
        <v>10.24</v>
      </c>
      <c r="AQ929">
        <v>68.692008268793543</v>
      </c>
      <c r="AS929">
        <v>-2.5999999999999999E-2</v>
      </c>
      <c r="AT929">
        <v>1.2999999999999999E-2</v>
      </c>
      <c r="AW929" s="28">
        <f t="shared" si="70"/>
        <v>4.7743084111163674E-2</v>
      </c>
      <c r="AX929">
        <f t="shared" si="71"/>
        <v>0.99145299145299148</v>
      </c>
      <c r="AY929" s="62">
        <f t="shared" si="72"/>
        <v>4.7335023563205014E-2</v>
      </c>
      <c r="AZ929" s="68" t="str">
        <f t="shared" si="73"/>
        <v>No</v>
      </c>
      <c r="BA929" s="68" t="str">
        <f t="shared" si="74"/>
        <v>No</v>
      </c>
    </row>
    <row r="930" spans="1:53" hidden="1">
      <c r="A930" t="s">
        <v>1815</v>
      </c>
      <c r="B930" t="s">
        <v>2775</v>
      </c>
      <c r="C930">
        <v>112</v>
      </c>
      <c r="F930" t="s">
        <v>1241</v>
      </c>
      <c r="G930" t="s">
        <v>1716</v>
      </c>
      <c r="I930">
        <v>2014</v>
      </c>
      <c r="N930" t="s">
        <v>36</v>
      </c>
      <c r="P930" t="s">
        <v>60</v>
      </c>
      <c r="Q930" t="s">
        <v>900</v>
      </c>
      <c r="R930" t="s">
        <v>1741</v>
      </c>
      <c r="S930" t="s">
        <v>1765</v>
      </c>
      <c r="V930" t="s">
        <v>907</v>
      </c>
      <c r="Z930">
        <v>60</v>
      </c>
      <c r="AA930">
        <v>60</v>
      </c>
      <c r="AC930">
        <v>433</v>
      </c>
      <c r="AD930">
        <v>13.2</v>
      </c>
      <c r="AE930">
        <v>440</v>
      </c>
      <c r="AF930">
        <v>15.1</v>
      </c>
      <c r="AG930" t="s">
        <v>3367</v>
      </c>
      <c r="AH930">
        <v>2.6434526764861874</v>
      </c>
      <c r="AI930">
        <v>13.2</v>
      </c>
      <c r="AJ930" t="s">
        <v>1809</v>
      </c>
      <c r="AK930" t="s">
        <v>904</v>
      </c>
      <c r="AM930"/>
      <c r="AN930">
        <v>32.9</v>
      </c>
      <c r="AO930">
        <v>0.54221766846903841</v>
      </c>
      <c r="AP930">
        <v>33.090000000000003</v>
      </c>
      <c r="AQ930">
        <v>7.7459666924148338E-2</v>
      </c>
      <c r="AS930">
        <v>6.0000000000000001E-3</v>
      </c>
      <c r="AT930">
        <v>1E-4</v>
      </c>
      <c r="AW930" s="28">
        <f t="shared" si="70"/>
        <v>0.49057789051961859</v>
      </c>
      <c r="AX930">
        <f t="shared" si="71"/>
        <v>0.99363057324840764</v>
      </c>
      <c r="AY930" s="62">
        <f t="shared" si="72"/>
        <v>0.48745319058000319</v>
      </c>
      <c r="AZ930" s="68" t="str">
        <f t="shared" si="73"/>
        <v>No</v>
      </c>
      <c r="BA930" s="68" t="str">
        <f t="shared" si="74"/>
        <v>No</v>
      </c>
    </row>
    <row r="931" spans="1:53" hidden="1">
      <c r="A931" t="s">
        <v>1815</v>
      </c>
      <c r="B931" t="s">
        <v>2778</v>
      </c>
      <c r="C931">
        <v>112</v>
      </c>
      <c r="F931" t="s">
        <v>1241</v>
      </c>
      <c r="G931" t="s">
        <v>1716</v>
      </c>
      <c r="I931">
        <v>2013</v>
      </c>
      <c r="N931" t="s">
        <v>36</v>
      </c>
      <c r="P931" t="s">
        <v>60</v>
      </c>
      <c r="Q931" t="s">
        <v>900</v>
      </c>
      <c r="R931" t="s">
        <v>1741</v>
      </c>
      <c r="S931" t="s">
        <v>1765</v>
      </c>
      <c r="V931" t="s">
        <v>907</v>
      </c>
      <c r="Z931">
        <v>3</v>
      </c>
      <c r="AA931">
        <v>3</v>
      </c>
      <c r="AC931">
        <v>433</v>
      </c>
      <c r="AD931">
        <v>13.2</v>
      </c>
      <c r="AE931">
        <v>440</v>
      </c>
      <c r="AF931">
        <v>15.1</v>
      </c>
      <c r="AG931" t="s">
        <v>3367</v>
      </c>
      <c r="AH931">
        <v>2.6434526764861874</v>
      </c>
      <c r="AI931">
        <v>13.2</v>
      </c>
      <c r="AJ931" t="s">
        <v>1794</v>
      </c>
      <c r="AK931" t="s">
        <v>904</v>
      </c>
      <c r="AM931"/>
      <c r="AN931">
        <v>0.32</v>
      </c>
      <c r="AO931">
        <v>1.7320508075688773E-2</v>
      </c>
      <c r="AP931">
        <v>0.44</v>
      </c>
      <c r="AQ931">
        <v>1.7320508075688773E-2</v>
      </c>
      <c r="AS931">
        <v>0.33400000000000002</v>
      </c>
      <c r="AT931">
        <v>4.0000000000000002E-4</v>
      </c>
      <c r="AW931" s="28">
        <f t="shared" si="70"/>
        <v>6.9282032302755088</v>
      </c>
      <c r="AX931">
        <f t="shared" si="71"/>
        <v>0.8</v>
      </c>
      <c r="AY931" s="62">
        <f t="shared" si="72"/>
        <v>5.5425625842204074</v>
      </c>
      <c r="AZ931" s="68" t="str">
        <f t="shared" si="73"/>
        <v>No</v>
      </c>
      <c r="BA931" s="68" t="str">
        <f t="shared" si="74"/>
        <v>No</v>
      </c>
    </row>
    <row r="932" spans="1:53" hidden="1">
      <c r="A932" t="s">
        <v>1815</v>
      </c>
      <c r="B932" t="s">
        <v>3175</v>
      </c>
      <c r="C932">
        <v>112</v>
      </c>
      <c r="F932" t="s">
        <v>1241</v>
      </c>
      <c r="G932" t="s">
        <v>1716</v>
      </c>
      <c r="I932">
        <v>2014</v>
      </c>
      <c r="N932" t="s">
        <v>36</v>
      </c>
      <c r="P932" t="s">
        <v>60</v>
      </c>
      <c r="Q932" t="s">
        <v>900</v>
      </c>
      <c r="R932" t="s">
        <v>1741</v>
      </c>
      <c r="S932" t="s">
        <v>1765</v>
      </c>
      <c r="V932" t="s">
        <v>907</v>
      </c>
      <c r="Z932">
        <v>45</v>
      </c>
      <c r="AA932">
        <v>45</v>
      </c>
      <c r="AC932">
        <v>433</v>
      </c>
      <c r="AD932" s="37">
        <v>13.2</v>
      </c>
      <c r="AE932">
        <v>440</v>
      </c>
      <c r="AF932" s="37">
        <v>15.1</v>
      </c>
      <c r="AG932" t="s">
        <v>3409</v>
      </c>
      <c r="AH932">
        <v>2.6434526764861874</v>
      </c>
      <c r="AI932" s="37">
        <v>13.2</v>
      </c>
      <c r="AJ932" t="s">
        <v>1790</v>
      </c>
      <c r="AK932" t="s">
        <v>770</v>
      </c>
      <c r="AM932"/>
      <c r="AN932">
        <v>6.83</v>
      </c>
      <c r="AO932">
        <v>2.4820354550247665</v>
      </c>
      <c r="AP932">
        <v>32.9</v>
      </c>
      <c r="AQ932">
        <v>220.69990937922924</v>
      </c>
      <c r="AS932">
        <v>-0.32800000000000001</v>
      </c>
      <c r="AT932">
        <v>0.24049999999999999</v>
      </c>
      <c r="AW932" s="28">
        <f t="shared" si="70"/>
        <v>0.16704228100381405</v>
      </c>
      <c r="AX932">
        <f t="shared" si="71"/>
        <v>0.99145299145299148</v>
      </c>
      <c r="AY932" s="62">
        <f t="shared" si="72"/>
        <v>0.16561456920036266</v>
      </c>
      <c r="AZ932" s="68" t="str">
        <f t="shared" si="73"/>
        <v>No</v>
      </c>
      <c r="BA932" s="68" t="str">
        <f t="shared" si="74"/>
        <v>No</v>
      </c>
    </row>
    <row r="933" spans="1:53" hidden="1">
      <c r="A933" t="s">
        <v>1815</v>
      </c>
      <c r="B933" t="s">
        <v>3177</v>
      </c>
      <c r="C933">
        <v>112</v>
      </c>
      <c r="F933" t="s">
        <v>1241</v>
      </c>
      <c r="G933" t="s">
        <v>1716</v>
      </c>
      <c r="I933">
        <v>2014</v>
      </c>
      <c r="N933" t="s">
        <v>36</v>
      </c>
      <c r="P933" t="s">
        <v>60</v>
      </c>
      <c r="Q933" t="s">
        <v>900</v>
      </c>
      <c r="R933" t="s">
        <v>1741</v>
      </c>
      <c r="S933" t="s">
        <v>1765</v>
      </c>
      <c r="V933" t="s">
        <v>907</v>
      </c>
      <c r="Z933">
        <v>45</v>
      </c>
      <c r="AA933">
        <v>45</v>
      </c>
      <c r="AC933">
        <v>433</v>
      </c>
      <c r="AD933" s="37">
        <v>13.2</v>
      </c>
      <c r="AE933">
        <v>440</v>
      </c>
      <c r="AF933" s="37">
        <v>15.1</v>
      </c>
      <c r="AG933" t="s">
        <v>3409</v>
      </c>
      <c r="AH933">
        <v>2.6434526764861874</v>
      </c>
      <c r="AI933" s="37">
        <v>13.2</v>
      </c>
      <c r="AJ933" t="s">
        <v>1797</v>
      </c>
      <c r="AK933" t="s">
        <v>59</v>
      </c>
      <c r="AM933"/>
      <c r="AN933">
        <v>27.12</v>
      </c>
      <c r="AO933">
        <v>1.0733126291998991</v>
      </c>
      <c r="AP933">
        <v>23.63</v>
      </c>
      <c r="AQ933">
        <v>0.87206651122491807</v>
      </c>
      <c r="AS933">
        <v>-0.13800000000000001</v>
      </c>
      <c r="AT933">
        <v>1E-4</v>
      </c>
      <c r="AW933" s="28">
        <f t="shared" si="70"/>
        <v>-3.568943748103099</v>
      </c>
      <c r="AX933">
        <f t="shared" si="71"/>
        <v>0.99145299145299148</v>
      </c>
      <c r="AY933" s="62">
        <f t="shared" si="72"/>
        <v>-3.5384399553842694</v>
      </c>
      <c r="AZ933" s="68" t="str">
        <f t="shared" si="73"/>
        <v>No</v>
      </c>
      <c r="BA933" s="68" t="str">
        <f t="shared" si="74"/>
        <v>No</v>
      </c>
    </row>
    <row r="934" spans="1:53" hidden="1">
      <c r="A934" t="s">
        <v>1815</v>
      </c>
      <c r="B934" t="s">
        <v>3178</v>
      </c>
      <c r="C934">
        <v>112</v>
      </c>
      <c r="F934" t="s">
        <v>1241</v>
      </c>
      <c r="G934" t="s">
        <v>1716</v>
      </c>
      <c r="I934">
        <v>2014</v>
      </c>
      <c r="N934" t="s">
        <v>36</v>
      </c>
      <c r="P934" t="s">
        <v>60</v>
      </c>
      <c r="Q934" t="s">
        <v>900</v>
      </c>
      <c r="R934" t="s">
        <v>1741</v>
      </c>
      <c r="S934" t="s">
        <v>1765</v>
      </c>
      <c r="V934" t="s">
        <v>907</v>
      </c>
      <c r="Z934">
        <v>45</v>
      </c>
      <c r="AA934">
        <v>45</v>
      </c>
      <c r="AC934">
        <v>433</v>
      </c>
      <c r="AD934" s="37">
        <v>13.2</v>
      </c>
      <c r="AE934">
        <v>440</v>
      </c>
      <c r="AF934" s="37">
        <v>15.1</v>
      </c>
      <c r="AG934" t="s">
        <v>3409</v>
      </c>
      <c r="AH934">
        <v>2.6434526764861874</v>
      </c>
      <c r="AI934" s="37">
        <v>13.2</v>
      </c>
      <c r="AJ934" t="s">
        <v>69</v>
      </c>
      <c r="AK934" t="s">
        <v>59</v>
      </c>
      <c r="AM934"/>
      <c r="AN934">
        <v>96.29</v>
      </c>
      <c r="AO934">
        <v>0.93914855054991175</v>
      </c>
      <c r="AP934">
        <v>93.06</v>
      </c>
      <c r="AQ934">
        <v>0.67082039324993703</v>
      </c>
      <c r="AS934">
        <v>-3.4000000000000002E-2</v>
      </c>
      <c r="AT934">
        <v>1E-4</v>
      </c>
      <c r="AW934" s="28">
        <f t="shared" si="70"/>
        <v>-3.9579053822716701</v>
      </c>
      <c r="AX934">
        <f t="shared" si="71"/>
        <v>0.99145299145299148</v>
      </c>
      <c r="AY934" s="62">
        <f t="shared" si="72"/>
        <v>-3.9240771311411433</v>
      </c>
      <c r="AZ934" s="68" t="str">
        <f t="shared" si="73"/>
        <v>No</v>
      </c>
      <c r="BA934" s="68" t="str">
        <f t="shared" si="74"/>
        <v>No</v>
      </c>
    </row>
    <row r="935" spans="1:53" hidden="1">
      <c r="A935" t="s">
        <v>1815</v>
      </c>
      <c r="B935" t="s">
        <v>3184</v>
      </c>
      <c r="C935">
        <v>112</v>
      </c>
      <c r="F935" t="s">
        <v>1241</v>
      </c>
      <c r="G935" t="s">
        <v>1716</v>
      </c>
      <c r="I935">
        <v>2014</v>
      </c>
      <c r="N935" t="s">
        <v>36</v>
      </c>
      <c r="P935" t="s">
        <v>60</v>
      </c>
      <c r="Q935" t="s">
        <v>900</v>
      </c>
      <c r="R935" t="s">
        <v>1741</v>
      </c>
      <c r="S935" t="s">
        <v>1765</v>
      </c>
      <c r="V935" t="s">
        <v>907</v>
      </c>
      <c r="Z935">
        <v>60</v>
      </c>
      <c r="AA935">
        <v>60</v>
      </c>
      <c r="AC935">
        <v>433</v>
      </c>
      <c r="AD935" s="37">
        <v>13.2</v>
      </c>
      <c r="AE935">
        <v>440</v>
      </c>
      <c r="AF935" s="37">
        <v>15.1</v>
      </c>
      <c r="AG935" t="s">
        <v>3409</v>
      </c>
      <c r="AH935">
        <v>2.6434526764861874</v>
      </c>
      <c r="AI935" s="37">
        <v>13.2</v>
      </c>
      <c r="AJ935" t="s">
        <v>1809</v>
      </c>
      <c r="AK935" t="s">
        <v>59</v>
      </c>
      <c r="AM935"/>
      <c r="AN935">
        <v>35.06</v>
      </c>
      <c r="AO935">
        <v>7.7459666924148338E-2</v>
      </c>
      <c r="AP935">
        <v>36.17</v>
      </c>
      <c r="AQ935">
        <v>0.232379000772445</v>
      </c>
      <c r="AS935">
        <v>3.1E-2</v>
      </c>
      <c r="AT935">
        <v>1E-4</v>
      </c>
      <c r="AW935" s="28">
        <f t="shared" si="70"/>
        <v>6.408587988004844</v>
      </c>
      <c r="AX935">
        <f t="shared" si="71"/>
        <v>0.99363057324840764</v>
      </c>
      <c r="AY935" s="62">
        <f t="shared" si="72"/>
        <v>6.3677689562341122</v>
      </c>
      <c r="AZ935" s="68" t="str">
        <f t="shared" si="73"/>
        <v>No</v>
      </c>
      <c r="BA935" s="68" t="str">
        <f t="shared" si="74"/>
        <v>No</v>
      </c>
    </row>
    <row r="936" spans="1:53" hidden="1">
      <c r="A936" t="s">
        <v>1815</v>
      </c>
      <c r="B936" t="s">
        <v>3185</v>
      </c>
      <c r="C936">
        <v>112</v>
      </c>
      <c r="F936" t="s">
        <v>1241</v>
      </c>
      <c r="G936" t="s">
        <v>1716</v>
      </c>
      <c r="I936">
        <v>2014</v>
      </c>
      <c r="N936" t="s">
        <v>36</v>
      </c>
      <c r="P936" t="s">
        <v>60</v>
      </c>
      <c r="Q936" t="s">
        <v>900</v>
      </c>
      <c r="R936" t="s">
        <v>1741</v>
      </c>
      <c r="S936" t="s">
        <v>1765</v>
      </c>
      <c r="V936" t="s">
        <v>907</v>
      </c>
      <c r="Z936">
        <v>45</v>
      </c>
      <c r="AA936">
        <v>45</v>
      </c>
      <c r="AC936">
        <v>433</v>
      </c>
      <c r="AD936" s="37">
        <v>13.2</v>
      </c>
      <c r="AE936">
        <v>440</v>
      </c>
      <c r="AF936" s="37">
        <v>15.1</v>
      </c>
      <c r="AG936" t="s">
        <v>3409</v>
      </c>
      <c r="AH936">
        <v>2.6434526764861874</v>
      </c>
      <c r="AI936" s="37">
        <v>13.2</v>
      </c>
      <c r="AJ936" t="s">
        <v>1099</v>
      </c>
      <c r="AK936" t="s">
        <v>59</v>
      </c>
      <c r="AM936"/>
      <c r="AN936">
        <v>4.3600000000000003</v>
      </c>
      <c r="AO936">
        <v>0.40249223594996214</v>
      </c>
      <c r="AP936">
        <v>5.15</v>
      </c>
      <c r="AQ936">
        <v>0.60373835392494324</v>
      </c>
      <c r="AS936">
        <v>0.16800000000000001</v>
      </c>
      <c r="AT936">
        <v>5.0000000000000001E-4</v>
      </c>
      <c r="AW936" s="28">
        <f t="shared" si="70"/>
        <v>1.5397240783390069</v>
      </c>
      <c r="AX936">
        <f t="shared" si="71"/>
        <v>0.99145299145299148</v>
      </c>
      <c r="AY936" s="62">
        <f t="shared" si="72"/>
        <v>1.5265640434814087</v>
      </c>
      <c r="AZ936" s="68" t="str">
        <f t="shared" si="73"/>
        <v>No</v>
      </c>
      <c r="BA936" s="68" t="str">
        <f t="shared" si="74"/>
        <v>No</v>
      </c>
    </row>
    <row r="937" spans="1:53" hidden="1">
      <c r="A937" t="s">
        <v>1815</v>
      </c>
      <c r="B937" t="s">
        <v>3187</v>
      </c>
      <c r="C937">
        <v>112</v>
      </c>
      <c r="F937" t="s">
        <v>1241</v>
      </c>
      <c r="G937" t="s">
        <v>1716</v>
      </c>
      <c r="I937">
        <v>2013</v>
      </c>
      <c r="N937" t="s">
        <v>36</v>
      </c>
      <c r="P937" t="s">
        <v>60</v>
      </c>
      <c r="Q937" t="s">
        <v>900</v>
      </c>
      <c r="R937" t="s">
        <v>1741</v>
      </c>
      <c r="S937" t="s">
        <v>1765</v>
      </c>
      <c r="V937" t="s">
        <v>907</v>
      </c>
      <c r="Z937">
        <v>3</v>
      </c>
      <c r="AA937">
        <v>3</v>
      </c>
      <c r="AC937">
        <v>433</v>
      </c>
      <c r="AD937" s="37">
        <v>13.2</v>
      </c>
      <c r="AE937">
        <v>440</v>
      </c>
      <c r="AF937" s="37">
        <v>15.1</v>
      </c>
      <c r="AG937" t="s">
        <v>3409</v>
      </c>
      <c r="AH937">
        <v>2.6434526764861874</v>
      </c>
      <c r="AI937" s="37">
        <v>13.2</v>
      </c>
      <c r="AJ937" t="s">
        <v>1794</v>
      </c>
      <c r="AK937" t="s">
        <v>59</v>
      </c>
      <c r="AM937"/>
      <c r="AN937">
        <v>0.36</v>
      </c>
      <c r="AO937">
        <v>8.6602540378443865E-2</v>
      </c>
      <c r="AP937">
        <v>0.44</v>
      </c>
      <c r="AQ937">
        <v>3.4641016151377546E-2</v>
      </c>
      <c r="AS937">
        <v>0.19700000000000001</v>
      </c>
      <c r="AT937">
        <v>1.78E-2</v>
      </c>
      <c r="AW937" s="28">
        <f t="shared" si="70"/>
        <v>1.2129568697262456</v>
      </c>
      <c r="AX937">
        <f t="shared" si="71"/>
        <v>0.8</v>
      </c>
      <c r="AY937" s="62">
        <f t="shared" si="72"/>
        <v>0.97036549578099651</v>
      </c>
      <c r="AZ937" s="68" t="str">
        <f t="shared" si="73"/>
        <v>No</v>
      </c>
      <c r="BA937" s="68" t="str">
        <f t="shared" si="74"/>
        <v>No</v>
      </c>
    </row>
    <row r="938" spans="1:53" hidden="1">
      <c r="A938" t="s">
        <v>1815</v>
      </c>
      <c r="B938" t="s">
        <v>2772</v>
      </c>
      <c r="C938">
        <v>112</v>
      </c>
      <c r="F938" t="s">
        <v>1241</v>
      </c>
      <c r="G938" t="s">
        <v>1716</v>
      </c>
      <c r="I938">
        <v>2014</v>
      </c>
      <c r="N938" t="s">
        <v>36</v>
      </c>
      <c r="P938" t="s">
        <v>60</v>
      </c>
      <c r="Q938" t="s">
        <v>900</v>
      </c>
      <c r="R938" t="s">
        <v>1741</v>
      </c>
      <c r="S938" t="s">
        <v>1765</v>
      </c>
      <c r="V938" t="s">
        <v>1015</v>
      </c>
      <c r="Z938">
        <v>45</v>
      </c>
      <c r="AA938">
        <v>45</v>
      </c>
      <c r="AC938">
        <v>433</v>
      </c>
      <c r="AD938">
        <v>13.2</v>
      </c>
      <c r="AE938">
        <v>1641</v>
      </c>
      <c r="AF938">
        <v>15.3</v>
      </c>
      <c r="AG938" t="s">
        <v>3367</v>
      </c>
      <c r="AH938">
        <v>3.2151085810530931</v>
      </c>
      <c r="AI938">
        <v>13.2</v>
      </c>
      <c r="AJ938" t="s">
        <v>1790</v>
      </c>
      <c r="AK938" t="s">
        <v>770</v>
      </c>
      <c r="AM938"/>
      <c r="AN938">
        <v>7.92</v>
      </c>
      <c r="AO938">
        <v>2.0124611797498106</v>
      </c>
      <c r="AP938">
        <v>11.18</v>
      </c>
      <c r="AQ938">
        <v>74.997719965342952</v>
      </c>
      <c r="AS938">
        <v>-3.5999999999999997E-2</v>
      </c>
      <c r="AT938">
        <v>1.5800000000000002E-2</v>
      </c>
      <c r="AW938" s="28">
        <f t="shared" si="70"/>
        <v>6.1450898631756609E-2</v>
      </c>
      <c r="AX938">
        <f t="shared" si="71"/>
        <v>0.99145299145299148</v>
      </c>
      <c r="AY938" s="62">
        <f t="shared" si="72"/>
        <v>6.0925677275929631E-2</v>
      </c>
      <c r="AZ938" s="68" t="str">
        <f t="shared" si="73"/>
        <v>No</v>
      </c>
      <c r="BA938" s="68" t="str">
        <f t="shared" si="74"/>
        <v>No</v>
      </c>
    </row>
    <row r="939" spans="1:53" hidden="1">
      <c r="A939" t="s">
        <v>1815</v>
      </c>
      <c r="B939" t="s">
        <v>2776</v>
      </c>
      <c r="C939">
        <v>112</v>
      </c>
      <c r="F939" t="s">
        <v>1241</v>
      </c>
      <c r="G939" t="s">
        <v>1716</v>
      </c>
      <c r="I939">
        <v>2013</v>
      </c>
      <c r="N939" t="s">
        <v>36</v>
      </c>
      <c r="P939" t="s">
        <v>60</v>
      </c>
      <c r="Q939" t="s">
        <v>900</v>
      </c>
      <c r="R939" t="s">
        <v>1741</v>
      </c>
      <c r="S939" t="s">
        <v>1765</v>
      </c>
      <c r="V939" t="s">
        <v>1015</v>
      </c>
      <c r="Z939">
        <v>60</v>
      </c>
      <c r="AA939">
        <v>60</v>
      </c>
      <c r="AC939">
        <v>433</v>
      </c>
      <c r="AD939">
        <v>13.2</v>
      </c>
      <c r="AE939">
        <v>1641</v>
      </c>
      <c r="AF939">
        <v>15.3</v>
      </c>
      <c r="AG939" t="s">
        <v>3367</v>
      </c>
      <c r="AH939">
        <v>3.2151085810530931</v>
      </c>
      <c r="AI939">
        <v>13.2</v>
      </c>
      <c r="AJ939" t="s">
        <v>1809</v>
      </c>
      <c r="AK939" t="s">
        <v>904</v>
      </c>
      <c r="AM939"/>
      <c r="AN939">
        <v>32.9</v>
      </c>
      <c r="AO939">
        <v>0.54221766846903841</v>
      </c>
      <c r="AP939">
        <v>36.25</v>
      </c>
      <c r="AQ939">
        <v>0.30983866769659335</v>
      </c>
      <c r="AS939">
        <v>9.7000000000000003E-2</v>
      </c>
      <c r="AT939">
        <v>1E-4</v>
      </c>
      <c r="AW939" s="28">
        <f t="shared" si="70"/>
        <v>7.5862561287687935</v>
      </c>
      <c r="AX939">
        <f t="shared" si="71"/>
        <v>0.99363057324840764</v>
      </c>
      <c r="AY939" s="62">
        <f t="shared" si="72"/>
        <v>7.5379360260377819</v>
      </c>
      <c r="AZ939" s="68" t="str">
        <f t="shared" si="73"/>
        <v>No</v>
      </c>
      <c r="BA939" s="68" t="str">
        <f t="shared" si="74"/>
        <v>No</v>
      </c>
    </row>
    <row r="940" spans="1:53" hidden="1">
      <c r="A940" t="s">
        <v>1815</v>
      </c>
      <c r="B940" t="s">
        <v>2779</v>
      </c>
      <c r="C940">
        <v>112</v>
      </c>
      <c r="F940" t="s">
        <v>1241</v>
      </c>
      <c r="G940" t="s">
        <v>1716</v>
      </c>
      <c r="I940">
        <v>2013</v>
      </c>
      <c r="N940" t="s">
        <v>36</v>
      </c>
      <c r="P940" t="s">
        <v>60</v>
      </c>
      <c r="Q940" t="s">
        <v>900</v>
      </c>
      <c r="R940" t="s">
        <v>1741</v>
      </c>
      <c r="S940" t="s">
        <v>1765</v>
      </c>
      <c r="V940" t="s">
        <v>1015</v>
      </c>
      <c r="Z940">
        <v>3</v>
      </c>
      <c r="AA940">
        <v>3</v>
      </c>
      <c r="AC940">
        <v>433</v>
      </c>
      <c r="AD940">
        <v>13.2</v>
      </c>
      <c r="AE940">
        <v>1641</v>
      </c>
      <c r="AF940">
        <v>15.3</v>
      </c>
      <c r="AG940" t="s">
        <v>3367</v>
      </c>
      <c r="AH940">
        <v>3.2151085810530931</v>
      </c>
      <c r="AI940">
        <v>13.2</v>
      </c>
      <c r="AJ940" t="s">
        <v>1794</v>
      </c>
      <c r="AK940" t="s">
        <v>904</v>
      </c>
      <c r="AM940"/>
      <c r="AN940">
        <v>0.32</v>
      </c>
      <c r="AO940">
        <v>1.7320508075688773E-2</v>
      </c>
      <c r="AP940">
        <v>0.44</v>
      </c>
      <c r="AQ940">
        <v>0</v>
      </c>
      <c r="AS940">
        <v>0.33400000000000002</v>
      </c>
      <c r="AT940">
        <v>4.0000000000000002E-4</v>
      </c>
      <c r="AW940" s="28">
        <f t="shared" si="70"/>
        <v>9.7979589711327115</v>
      </c>
      <c r="AX940">
        <f t="shared" si="71"/>
        <v>0.8</v>
      </c>
      <c r="AY940" s="62">
        <f t="shared" si="72"/>
        <v>7.8383671769061696</v>
      </c>
      <c r="AZ940" s="68" t="str">
        <f t="shared" si="73"/>
        <v>No</v>
      </c>
      <c r="BA940" s="68" t="str">
        <f t="shared" si="74"/>
        <v>No</v>
      </c>
    </row>
    <row r="941" spans="1:53" hidden="1">
      <c r="A941" t="s">
        <v>1815</v>
      </c>
      <c r="B941" t="s">
        <v>3174</v>
      </c>
      <c r="C941">
        <v>112</v>
      </c>
      <c r="F941" t="s">
        <v>1241</v>
      </c>
      <c r="G941" t="s">
        <v>1716</v>
      </c>
      <c r="I941">
        <v>2014</v>
      </c>
      <c r="N941" t="s">
        <v>36</v>
      </c>
      <c r="P941" t="s">
        <v>60</v>
      </c>
      <c r="Q941" t="s">
        <v>900</v>
      </c>
      <c r="R941" t="s">
        <v>1741</v>
      </c>
      <c r="S941" t="s">
        <v>1765</v>
      </c>
      <c r="V941" t="s">
        <v>1015</v>
      </c>
      <c r="Z941">
        <v>45</v>
      </c>
      <c r="AA941">
        <v>45</v>
      </c>
      <c r="AC941">
        <v>433</v>
      </c>
      <c r="AD941" s="37">
        <v>13.2</v>
      </c>
      <c r="AE941">
        <v>1641</v>
      </c>
      <c r="AF941" s="37">
        <v>15.3</v>
      </c>
      <c r="AG941" t="s">
        <v>3409</v>
      </c>
      <c r="AH941">
        <v>3.2151085810530931</v>
      </c>
      <c r="AI941" s="37">
        <v>13.2</v>
      </c>
      <c r="AJ941" t="s">
        <v>1099</v>
      </c>
      <c r="AK941" t="s">
        <v>59</v>
      </c>
      <c r="AM941"/>
      <c r="AN941">
        <v>4.3600000000000003</v>
      </c>
      <c r="AO941">
        <v>0.40249223594996214</v>
      </c>
      <c r="AP941">
        <v>2.82</v>
      </c>
      <c r="AQ941">
        <v>0.20124611797498107</v>
      </c>
      <c r="AS941">
        <v>-0.436</v>
      </c>
      <c r="AT941">
        <v>2.9999999999999997E-4</v>
      </c>
      <c r="AW941" s="28">
        <f t="shared" si="70"/>
        <v>-4.8397530801212607</v>
      </c>
      <c r="AX941">
        <f t="shared" si="71"/>
        <v>0.99145299145299148</v>
      </c>
      <c r="AY941" s="62">
        <f t="shared" si="72"/>
        <v>-4.7983876691800535</v>
      </c>
      <c r="AZ941" s="68" t="str">
        <f t="shared" si="73"/>
        <v>No</v>
      </c>
      <c r="BA941" s="68" t="str">
        <f t="shared" si="74"/>
        <v>No</v>
      </c>
    </row>
    <row r="942" spans="1:53" hidden="1">
      <c r="A942" t="s">
        <v>1815</v>
      </c>
      <c r="B942" t="s">
        <v>3176</v>
      </c>
      <c r="C942">
        <v>112</v>
      </c>
      <c r="F942" t="s">
        <v>1241</v>
      </c>
      <c r="G942" t="s">
        <v>1716</v>
      </c>
      <c r="I942">
        <v>2014</v>
      </c>
      <c r="N942" t="s">
        <v>36</v>
      </c>
      <c r="P942" t="s">
        <v>60</v>
      </c>
      <c r="Q942" t="s">
        <v>900</v>
      </c>
      <c r="R942" t="s">
        <v>1741</v>
      </c>
      <c r="S942" t="s">
        <v>1765</v>
      </c>
      <c r="V942" t="s">
        <v>1015</v>
      </c>
      <c r="Z942">
        <v>45</v>
      </c>
      <c r="AA942">
        <v>45</v>
      </c>
      <c r="AC942">
        <v>433</v>
      </c>
      <c r="AD942" s="37">
        <v>13.2</v>
      </c>
      <c r="AE942">
        <v>1641</v>
      </c>
      <c r="AF942" s="37">
        <v>15.3</v>
      </c>
      <c r="AG942" t="s">
        <v>3409</v>
      </c>
      <c r="AH942">
        <v>3.2151085810530931</v>
      </c>
      <c r="AI942" s="37">
        <v>13.2</v>
      </c>
      <c r="AJ942" t="s">
        <v>1790</v>
      </c>
      <c r="AK942" t="s">
        <v>770</v>
      </c>
      <c r="AM942"/>
      <c r="AN942">
        <v>6.83</v>
      </c>
      <c r="AO942">
        <v>2.4820354550247665</v>
      </c>
      <c r="AP942">
        <v>24.52</v>
      </c>
      <c r="AQ942">
        <v>164.48516042488453</v>
      </c>
      <c r="AS942">
        <v>-0.21099999999999999</v>
      </c>
      <c r="AT942">
        <v>0.1056</v>
      </c>
      <c r="AW942" s="28">
        <f t="shared" si="70"/>
        <v>0.15207809694286997</v>
      </c>
      <c r="AX942">
        <f t="shared" si="71"/>
        <v>0.99145299145299148</v>
      </c>
      <c r="AY942" s="62">
        <f t="shared" si="72"/>
        <v>0.15077828414848649</v>
      </c>
      <c r="AZ942" s="68" t="str">
        <f t="shared" si="73"/>
        <v>No</v>
      </c>
      <c r="BA942" s="68" t="str">
        <f t="shared" si="74"/>
        <v>No</v>
      </c>
    </row>
    <row r="943" spans="1:53" hidden="1">
      <c r="A943" t="s">
        <v>1815</v>
      </c>
      <c r="B943" t="s">
        <v>3180</v>
      </c>
      <c r="C943">
        <v>112</v>
      </c>
      <c r="F943" t="s">
        <v>1241</v>
      </c>
      <c r="G943" t="s">
        <v>1716</v>
      </c>
      <c r="I943">
        <v>2014</v>
      </c>
      <c r="N943" t="s">
        <v>36</v>
      </c>
      <c r="P943" t="s">
        <v>60</v>
      </c>
      <c r="Q943" t="s">
        <v>900</v>
      </c>
      <c r="R943" t="s">
        <v>1741</v>
      </c>
      <c r="S943" t="s">
        <v>1765</v>
      </c>
      <c r="V943" t="s">
        <v>1015</v>
      </c>
      <c r="Z943">
        <v>45</v>
      </c>
      <c r="AA943">
        <v>45</v>
      </c>
      <c r="AC943">
        <v>433</v>
      </c>
      <c r="AD943" s="37">
        <v>13.2</v>
      </c>
      <c r="AE943">
        <v>1641</v>
      </c>
      <c r="AF943" s="37">
        <v>15.3</v>
      </c>
      <c r="AG943" t="s">
        <v>3409</v>
      </c>
      <c r="AH943">
        <v>3.2151085810530931</v>
      </c>
      <c r="AI943" s="37">
        <v>13.2</v>
      </c>
      <c r="AJ943" t="s">
        <v>69</v>
      </c>
      <c r="AK943" t="s">
        <v>59</v>
      </c>
      <c r="AM943"/>
      <c r="AN943">
        <v>96.29</v>
      </c>
      <c r="AO943">
        <v>0.93914855054991175</v>
      </c>
      <c r="AP943">
        <v>94.03</v>
      </c>
      <c r="AQ943">
        <v>0.80498447189992428</v>
      </c>
      <c r="AS943">
        <v>-2.4E-2</v>
      </c>
      <c r="AT943">
        <v>1E-4</v>
      </c>
      <c r="AW943" s="28">
        <f t="shared" si="70"/>
        <v>-2.5839120161471394</v>
      </c>
      <c r="AX943">
        <f t="shared" si="71"/>
        <v>0.99145299145299148</v>
      </c>
      <c r="AY943" s="62">
        <f t="shared" si="72"/>
        <v>-2.561827298060412</v>
      </c>
      <c r="AZ943" s="68" t="str">
        <f t="shared" si="73"/>
        <v>No</v>
      </c>
      <c r="BA943" s="68" t="str">
        <f t="shared" si="74"/>
        <v>No</v>
      </c>
    </row>
    <row r="944" spans="1:53" hidden="1">
      <c r="A944" t="s">
        <v>1815</v>
      </c>
      <c r="B944" t="s">
        <v>3183</v>
      </c>
      <c r="C944">
        <v>112</v>
      </c>
      <c r="F944" t="s">
        <v>1241</v>
      </c>
      <c r="G944" t="s">
        <v>1716</v>
      </c>
      <c r="I944">
        <v>2014</v>
      </c>
      <c r="N944" t="s">
        <v>36</v>
      </c>
      <c r="P944" t="s">
        <v>60</v>
      </c>
      <c r="Q944" t="s">
        <v>900</v>
      </c>
      <c r="R944" t="s">
        <v>1741</v>
      </c>
      <c r="S944" t="s">
        <v>1765</v>
      </c>
      <c r="V944" t="s">
        <v>1015</v>
      </c>
      <c r="Z944">
        <v>60</v>
      </c>
      <c r="AA944">
        <v>60</v>
      </c>
      <c r="AC944">
        <v>433</v>
      </c>
      <c r="AD944" s="37">
        <v>13.2</v>
      </c>
      <c r="AE944">
        <v>1641</v>
      </c>
      <c r="AF944" s="37">
        <v>15.3</v>
      </c>
      <c r="AG944" t="s">
        <v>3409</v>
      </c>
      <c r="AH944">
        <v>3.2151085810530931</v>
      </c>
      <c r="AI944" s="37">
        <v>13.2</v>
      </c>
      <c r="AJ944" t="s">
        <v>1809</v>
      </c>
      <c r="AK944" t="s">
        <v>69</v>
      </c>
      <c r="AM944"/>
      <c r="AN944">
        <v>35.06</v>
      </c>
      <c r="AO944">
        <v>7.7459666924148338E-2</v>
      </c>
      <c r="AP944">
        <v>36</v>
      </c>
      <c r="AQ944">
        <v>7.7459666924148338E-2</v>
      </c>
      <c r="AS944">
        <v>2.5999999999999999E-2</v>
      </c>
      <c r="AT944">
        <v>1E-4</v>
      </c>
      <c r="AW944" s="28">
        <f t="shared" si="70"/>
        <v>12.135347818116543</v>
      </c>
      <c r="AX944">
        <f t="shared" si="71"/>
        <v>0.99363057324840764</v>
      </c>
      <c r="AY944" s="62">
        <f t="shared" si="72"/>
        <v>12.058052609083953</v>
      </c>
      <c r="AZ944" s="68" t="str">
        <f t="shared" si="73"/>
        <v>Yes</v>
      </c>
      <c r="BA944" s="68" t="str">
        <f t="shared" si="74"/>
        <v>No</v>
      </c>
    </row>
    <row r="945" spans="1:53" hidden="1">
      <c r="A945" t="s">
        <v>1815</v>
      </c>
      <c r="B945" t="s">
        <v>3186</v>
      </c>
      <c r="C945">
        <v>112</v>
      </c>
      <c r="F945" t="s">
        <v>1241</v>
      </c>
      <c r="G945" t="s">
        <v>1716</v>
      </c>
      <c r="I945">
        <v>2013</v>
      </c>
      <c r="N945" t="s">
        <v>36</v>
      </c>
      <c r="P945" t="s">
        <v>60</v>
      </c>
      <c r="Q945" t="s">
        <v>900</v>
      </c>
      <c r="R945" t="s">
        <v>1741</v>
      </c>
      <c r="S945" t="s">
        <v>1765</v>
      </c>
      <c r="V945" t="s">
        <v>1015</v>
      </c>
      <c r="Z945">
        <v>45</v>
      </c>
      <c r="AA945">
        <v>45</v>
      </c>
      <c r="AC945">
        <v>433</v>
      </c>
      <c r="AD945" s="37">
        <v>13.2</v>
      </c>
      <c r="AE945">
        <v>1641</v>
      </c>
      <c r="AF945" s="37">
        <v>15.3</v>
      </c>
      <c r="AG945" t="s">
        <v>3409</v>
      </c>
      <c r="AH945">
        <v>3.2151085810530931</v>
      </c>
      <c r="AI945" s="37">
        <v>13.2</v>
      </c>
      <c r="AJ945" t="s">
        <v>1797</v>
      </c>
      <c r="AK945" t="s">
        <v>69</v>
      </c>
      <c r="AM945"/>
      <c r="AN945">
        <v>27.12</v>
      </c>
      <c r="AO945">
        <v>1.0733126291998991</v>
      </c>
      <c r="AP945">
        <v>32.590000000000003</v>
      </c>
      <c r="AQ945">
        <v>0.87206651122491807</v>
      </c>
      <c r="AS945">
        <v>0.184</v>
      </c>
      <c r="AT945">
        <v>1E-4</v>
      </c>
      <c r="AW945" s="28">
        <f t="shared" si="70"/>
        <v>5.5937313186601578</v>
      </c>
      <c r="AX945">
        <f t="shared" si="71"/>
        <v>0.99145299145299148</v>
      </c>
      <c r="AY945" s="62">
        <f t="shared" si="72"/>
        <v>5.5459216492698999</v>
      </c>
      <c r="AZ945" s="68" t="str">
        <f t="shared" si="73"/>
        <v>No</v>
      </c>
      <c r="BA945" s="68" t="str">
        <f t="shared" si="74"/>
        <v>No</v>
      </c>
    </row>
    <row r="946" spans="1:53" hidden="1">
      <c r="A946" t="s">
        <v>1815</v>
      </c>
      <c r="B946" t="s">
        <v>3190</v>
      </c>
      <c r="C946">
        <v>112</v>
      </c>
      <c r="F946" t="s">
        <v>1241</v>
      </c>
      <c r="G946" t="s">
        <v>1716</v>
      </c>
      <c r="I946">
        <v>2013</v>
      </c>
      <c r="N946" t="s">
        <v>36</v>
      </c>
      <c r="P946" t="s">
        <v>60</v>
      </c>
      <c r="Q946" t="s">
        <v>900</v>
      </c>
      <c r="R946" t="s">
        <v>1741</v>
      </c>
      <c r="S946" t="s">
        <v>1765</v>
      </c>
      <c r="V946" t="s">
        <v>1015</v>
      </c>
      <c r="Z946">
        <v>3</v>
      </c>
      <c r="AA946">
        <v>3</v>
      </c>
      <c r="AC946">
        <v>433</v>
      </c>
      <c r="AD946" s="37">
        <v>13.2</v>
      </c>
      <c r="AE946">
        <v>1641</v>
      </c>
      <c r="AF946" s="37">
        <v>15.3</v>
      </c>
      <c r="AG946" t="s">
        <v>3409</v>
      </c>
      <c r="AH946">
        <v>3.2151085810530931</v>
      </c>
      <c r="AI946" s="37">
        <v>13.2</v>
      </c>
      <c r="AJ946" t="s">
        <v>1794</v>
      </c>
      <c r="AK946" t="s">
        <v>59</v>
      </c>
      <c r="AM946"/>
      <c r="AN946">
        <v>0.36</v>
      </c>
      <c r="AO946">
        <v>8.6602540378443865E-2</v>
      </c>
      <c r="AP946">
        <v>0.7</v>
      </c>
      <c r="AQ946">
        <v>3.4641016151377546E-2</v>
      </c>
      <c r="AS946">
        <v>0.65800000000000003</v>
      </c>
      <c r="AT946">
        <v>1.6299999999999999E-2</v>
      </c>
      <c r="AW946" s="28">
        <f t="shared" si="70"/>
        <v>5.1550666963365428</v>
      </c>
      <c r="AX946">
        <f t="shared" si="71"/>
        <v>0.8</v>
      </c>
      <c r="AY946" s="62">
        <f t="shared" si="72"/>
        <v>4.1240533570692346</v>
      </c>
      <c r="AZ946" s="68" t="str">
        <f t="shared" si="73"/>
        <v>No</v>
      </c>
      <c r="BA946" s="68" t="str">
        <f t="shared" si="74"/>
        <v>No</v>
      </c>
    </row>
    <row r="947" spans="1:53" hidden="1">
      <c r="A947" t="s">
        <v>1815</v>
      </c>
      <c r="B947" t="s">
        <v>3028</v>
      </c>
      <c r="C947">
        <v>51</v>
      </c>
      <c r="F947" t="s">
        <v>1241</v>
      </c>
      <c r="G947" t="s">
        <v>1731</v>
      </c>
      <c r="I947">
        <v>2015</v>
      </c>
      <c r="N947" t="s">
        <v>36</v>
      </c>
      <c r="P947" t="s">
        <v>60</v>
      </c>
      <c r="Q947" t="s">
        <v>900</v>
      </c>
      <c r="R947" t="s">
        <v>911</v>
      </c>
      <c r="S947" t="s">
        <v>1777</v>
      </c>
      <c r="V947" t="s">
        <v>905</v>
      </c>
      <c r="Z947">
        <v>5</v>
      </c>
      <c r="AA947">
        <v>5</v>
      </c>
      <c r="AC947">
        <v>478</v>
      </c>
      <c r="AD947" s="37">
        <v>27</v>
      </c>
      <c r="AE947">
        <v>1034</v>
      </c>
      <c r="AF947" s="37">
        <v>27</v>
      </c>
      <c r="AG947" t="s">
        <v>3388</v>
      </c>
      <c r="AH947">
        <v>3.0145205387579237</v>
      </c>
      <c r="AI947" s="37">
        <v>27</v>
      </c>
      <c r="AJ947" t="s">
        <v>1813</v>
      </c>
      <c r="AK947" t="s">
        <v>770</v>
      </c>
      <c r="AM947"/>
      <c r="AN947">
        <v>98.65</v>
      </c>
      <c r="AO947">
        <v>0.89442719099991597</v>
      </c>
      <c r="AP947">
        <v>90.32</v>
      </c>
      <c r="AQ947">
        <v>0.89442719099991597</v>
      </c>
      <c r="AS947">
        <v>-8.7999999999999995E-2</v>
      </c>
      <c r="AT947">
        <v>1E-4</v>
      </c>
      <c r="AW947" s="28">
        <f t="shared" si="70"/>
        <v>-9.313223126286637</v>
      </c>
      <c r="AX947">
        <f t="shared" si="71"/>
        <v>0.90322580645161288</v>
      </c>
      <c r="AY947" s="62">
        <f t="shared" si="72"/>
        <v>-8.4119434689040595</v>
      </c>
      <c r="AZ947" s="68" t="str">
        <f t="shared" si="73"/>
        <v>No</v>
      </c>
      <c r="BA947" s="68" t="str">
        <f t="shared" si="74"/>
        <v>No</v>
      </c>
    </row>
    <row r="948" spans="1:53" hidden="1">
      <c r="A948" t="s">
        <v>1815</v>
      </c>
      <c r="B948" t="s">
        <v>3031</v>
      </c>
      <c r="C948">
        <v>51</v>
      </c>
      <c r="F948" t="s">
        <v>1241</v>
      </c>
      <c r="G948" t="s">
        <v>1731</v>
      </c>
      <c r="I948">
        <v>2014</v>
      </c>
      <c r="N948" t="s">
        <v>36</v>
      </c>
      <c r="P948" t="s">
        <v>60</v>
      </c>
      <c r="Q948" t="s">
        <v>900</v>
      </c>
      <c r="R948" t="s">
        <v>911</v>
      </c>
      <c r="S948" t="s">
        <v>1778</v>
      </c>
      <c r="V948" t="s">
        <v>905</v>
      </c>
      <c r="Z948">
        <v>5</v>
      </c>
      <c r="AA948">
        <v>5</v>
      </c>
      <c r="AC948">
        <v>550</v>
      </c>
      <c r="AD948" s="37">
        <v>27</v>
      </c>
      <c r="AE948">
        <v>1021</v>
      </c>
      <c r="AF948" s="37">
        <v>27</v>
      </c>
      <c r="AG948" t="s">
        <v>3390</v>
      </c>
      <c r="AH948">
        <v>3.0090257420869104</v>
      </c>
      <c r="AI948" s="37">
        <v>27</v>
      </c>
      <c r="AJ948" t="s">
        <v>1813</v>
      </c>
      <c r="AK948" t="s">
        <v>770</v>
      </c>
      <c r="AM948"/>
      <c r="AN948">
        <v>97.3</v>
      </c>
      <c r="AO948">
        <v>1.1180339887498949</v>
      </c>
      <c r="AP948">
        <v>98.42</v>
      </c>
      <c r="AQ948">
        <v>0.67082039324993692</v>
      </c>
      <c r="AS948">
        <v>1.2E-2</v>
      </c>
      <c r="AT948">
        <v>1E-4</v>
      </c>
      <c r="AW948" s="28">
        <f t="shared" si="70"/>
        <v>1.2148105637844795</v>
      </c>
      <c r="AX948">
        <f t="shared" si="71"/>
        <v>0.90322580645161288</v>
      </c>
      <c r="AY948" s="62">
        <f t="shared" si="72"/>
        <v>1.0972482511601751</v>
      </c>
      <c r="AZ948" s="68" t="str">
        <f t="shared" si="73"/>
        <v>No</v>
      </c>
      <c r="BA948" s="68" t="str">
        <f t="shared" si="74"/>
        <v>No</v>
      </c>
    </row>
    <row r="949" spans="1:53" hidden="1">
      <c r="A949" t="s">
        <v>1815</v>
      </c>
      <c r="B949" t="s">
        <v>3032</v>
      </c>
      <c r="C949">
        <v>51</v>
      </c>
      <c r="F949" t="s">
        <v>1241</v>
      </c>
      <c r="G949" t="s">
        <v>1731</v>
      </c>
      <c r="I949">
        <v>2014</v>
      </c>
      <c r="N949" t="s">
        <v>36</v>
      </c>
      <c r="P949" t="s">
        <v>60</v>
      </c>
      <c r="Q949" t="s">
        <v>900</v>
      </c>
      <c r="R949" t="s">
        <v>911</v>
      </c>
      <c r="S949" t="s">
        <v>1777</v>
      </c>
      <c r="V949" t="s">
        <v>905</v>
      </c>
      <c r="Z949">
        <v>5</v>
      </c>
      <c r="AA949">
        <v>5</v>
      </c>
      <c r="AC949">
        <v>404</v>
      </c>
      <c r="AD949" s="37">
        <v>27</v>
      </c>
      <c r="AE949">
        <v>934</v>
      </c>
      <c r="AF949" s="37">
        <v>27</v>
      </c>
      <c r="AG949" t="s">
        <v>3389</v>
      </c>
      <c r="AH949">
        <v>2.9703468762300935</v>
      </c>
      <c r="AI949" s="37">
        <v>27</v>
      </c>
      <c r="AJ949" t="s">
        <v>1790</v>
      </c>
      <c r="AK949" t="s">
        <v>59</v>
      </c>
      <c r="AM949"/>
      <c r="AN949">
        <v>8.09</v>
      </c>
      <c r="AO949">
        <v>4.4050539156745856</v>
      </c>
      <c r="AP949">
        <v>6.62</v>
      </c>
      <c r="AQ949">
        <v>14.802770011048608</v>
      </c>
      <c r="AS949">
        <v>1.6E-2</v>
      </c>
      <c r="AT949">
        <v>5.4999999999999997E-3</v>
      </c>
      <c r="AW949" s="28">
        <f t="shared" si="70"/>
        <v>-0.13460587477327474</v>
      </c>
      <c r="AX949">
        <f t="shared" si="71"/>
        <v>0.90322580645161288</v>
      </c>
      <c r="AY949" s="62">
        <f t="shared" si="72"/>
        <v>-0.12157949979521589</v>
      </c>
      <c r="AZ949" s="68" t="str">
        <f t="shared" si="73"/>
        <v>No</v>
      </c>
      <c r="BA949" s="68" t="str">
        <f t="shared" si="74"/>
        <v>No</v>
      </c>
    </row>
    <row r="950" spans="1:53" hidden="1">
      <c r="A950" t="s">
        <v>1815</v>
      </c>
      <c r="B950" t="s">
        <v>3033</v>
      </c>
      <c r="C950">
        <v>51</v>
      </c>
      <c r="F950" t="s">
        <v>1241</v>
      </c>
      <c r="G950" t="s">
        <v>1731</v>
      </c>
      <c r="I950">
        <v>2014</v>
      </c>
      <c r="N950" t="s">
        <v>36</v>
      </c>
      <c r="P950" t="s">
        <v>60</v>
      </c>
      <c r="Q950" t="s">
        <v>900</v>
      </c>
      <c r="R950" t="s">
        <v>911</v>
      </c>
      <c r="S950" t="s">
        <v>1778</v>
      </c>
      <c r="V950" t="s">
        <v>905</v>
      </c>
      <c r="Z950">
        <v>5</v>
      </c>
      <c r="AA950">
        <v>5</v>
      </c>
      <c r="AC950">
        <v>550</v>
      </c>
      <c r="AD950" s="37">
        <v>27</v>
      </c>
      <c r="AE950">
        <v>1021</v>
      </c>
      <c r="AF950" s="37">
        <v>27</v>
      </c>
      <c r="AG950" t="s">
        <v>3390</v>
      </c>
      <c r="AH950">
        <v>3.0090257420869104</v>
      </c>
      <c r="AI950" s="37">
        <v>27</v>
      </c>
      <c r="AJ950" t="s">
        <v>1790</v>
      </c>
      <c r="AK950" t="s">
        <v>59</v>
      </c>
      <c r="AM950"/>
      <c r="AN950">
        <v>3.68</v>
      </c>
      <c r="AO950">
        <v>1.2298373876248845</v>
      </c>
      <c r="AP950">
        <v>1.72</v>
      </c>
      <c r="AQ950">
        <v>3.8460369212996386</v>
      </c>
      <c r="AS950">
        <v>0.02</v>
      </c>
      <c r="AT950">
        <v>2.9999999999999997E-4</v>
      </c>
      <c r="AW950" s="28">
        <f t="shared" si="70"/>
        <v>-0.68646330455644955</v>
      </c>
      <c r="AX950">
        <f t="shared" si="71"/>
        <v>0.90322580645161288</v>
      </c>
      <c r="AY950" s="62">
        <f t="shared" si="72"/>
        <v>-0.62003137185743828</v>
      </c>
      <c r="AZ950" s="68" t="str">
        <f t="shared" si="73"/>
        <v>No</v>
      </c>
      <c r="BA950" s="68" t="str">
        <f t="shared" si="74"/>
        <v>No</v>
      </c>
    </row>
    <row r="951" spans="1:53" hidden="1">
      <c r="A951" t="s">
        <v>1815</v>
      </c>
      <c r="B951" t="s">
        <v>3034</v>
      </c>
      <c r="C951">
        <v>51</v>
      </c>
      <c r="F951" t="s">
        <v>1241</v>
      </c>
      <c r="G951" t="s">
        <v>1731</v>
      </c>
      <c r="I951">
        <v>2014</v>
      </c>
      <c r="N951" t="s">
        <v>36</v>
      </c>
      <c r="P951" t="s">
        <v>60</v>
      </c>
      <c r="Q951" t="s">
        <v>900</v>
      </c>
      <c r="R951" t="s">
        <v>911</v>
      </c>
      <c r="S951" t="s">
        <v>1777</v>
      </c>
      <c r="V951" t="s">
        <v>905</v>
      </c>
      <c r="Z951">
        <v>5</v>
      </c>
      <c r="AA951">
        <v>5</v>
      </c>
      <c r="AC951">
        <v>478</v>
      </c>
      <c r="AD951" s="37">
        <v>27</v>
      </c>
      <c r="AE951">
        <v>1034</v>
      </c>
      <c r="AF951" s="37">
        <v>27</v>
      </c>
      <c r="AG951" t="s">
        <v>3388</v>
      </c>
      <c r="AH951">
        <v>3.0145205387579237</v>
      </c>
      <c r="AI951" s="37">
        <v>27</v>
      </c>
      <c r="AJ951" t="s">
        <v>1790</v>
      </c>
      <c r="AK951" t="s">
        <v>59</v>
      </c>
      <c r="AM951"/>
      <c r="AN951">
        <v>11.27</v>
      </c>
      <c r="AO951">
        <v>6.3727937358744011</v>
      </c>
      <c r="AP951">
        <v>8.09</v>
      </c>
      <c r="AQ951">
        <v>18.0897899379733</v>
      </c>
      <c r="AS951">
        <v>3.5000000000000003E-2</v>
      </c>
      <c r="AT951">
        <v>8.8000000000000005E-3</v>
      </c>
      <c r="AW951" s="28">
        <f t="shared" si="70"/>
        <v>-0.23447954715623989</v>
      </c>
      <c r="AX951">
        <f t="shared" si="71"/>
        <v>0.90322580645161288</v>
      </c>
      <c r="AY951" s="62">
        <f t="shared" si="72"/>
        <v>-0.21178797807660377</v>
      </c>
      <c r="AZ951" s="68" t="str">
        <f t="shared" si="73"/>
        <v>No</v>
      </c>
      <c r="BA951" s="68" t="str">
        <f t="shared" si="74"/>
        <v>No</v>
      </c>
    </row>
    <row r="952" spans="1:53" hidden="1">
      <c r="A952" t="s">
        <v>1815</v>
      </c>
      <c r="B952" t="s">
        <v>3035</v>
      </c>
      <c r="C952">
        <v>51</v>
      </c>
      <c r="F952" t="s">
        <v>1241</v>
      </c>
      <c r="G952" t="s">
        <v>1731</v>
      </c>
      <c r="I952">
        <v>2014</v>
      </c>
      <c r="N952" t="s">
        <v>36</v>
      </c>
      <c r="P952" t="s">
        <v>60</v>
      </c>
      <c r="Q952" t="s">
        <v>900</v>
      </c>
      <c r="R952" t="s">
        <v>911</v>
      </c>
      <c r="S952" t="s">
        <v>1777</v>
      </c>
      <c r="V952" t="s">
        <v>905</v>
      </c>
      <c r="Z952">
        <v>5</v>
      </c>
      <c r="AA952">
        <v>5</v>
      </c>
      <c r="AC952">
        <v>404</v>
      </c>
      <c r="AD952" s="37">
        <v>27</v>
      </c>
      <c r="AE952">
        <v>934</v>
      </c>
      <c r="AF952" s="37">
        <v>27</v>
      </c>
      <c r="AG952" t="s">
        <v>3389</v>
      </c>
      <c r="AH952">
        <v>2.9703468762300935</v>
      </c>
      <c r="AI952" s="37">
        <v>27</v>
      </c>
      <c r="AJ952" t="s">
        <v>1813</v>
      </c>
      <c r="AK952" t="s">
        <v>59</v>
      </c>
      <c r="AM952"/>
      <c r="AN952">
        <v>41.89</v>
      </c>
      <c r="AO952">
        <v>5.6348913032994705</v>
      </c>
      <c r="AP952">
        <v>47.97</v>
      </c>
      <c r="AQ952">
        <v>4.9640709100495339</v>
      </c>
      <c r="AS952">
        <v>0.13600000000000001</v>
      </c>
      <c r="AT952">
        <v>5.7000000000000002E-3</v>
      </c>
      <c r="AW952" s="28">
        <f t="shared" si="70"/>
        <v>1.1449911426792105</v>
      </c>
      <c r="AX952">
        <f t="shared" si="71"/>
        <v>0.90322580645161288</v>
      </c>
      <c r="AY952" s="62">
        <f t="shared" si="72"/>
        <v>1.0341855482263838</v>
      </c>
      <c r="AZ952" s="68" t="str">
        <f t="shared" si="73"/>
        <v>No</v>
      </c>
      <c r="BA952" s="68" t="str">
        <f t="shared" si="74"/>
        <v>No</v>
      </c>
    </row>
    <row r="953" spans="1:53" hidden="1">
      <c r="A953" t="s">
        <v>1815</v>
      </c>
      <c r="B953" t="s">
        <v>3020</v>
      </c>
      <c r="C953">
        <v>51</v>
      </c>
      <c r="F953" t="s">
        <v>1241</v>
      </c>
      <c r="G953" t="s">
        <v>1731</v>
      </c>
      <c r="I953">
        <v>2015</v>
      </c>
      <c r="N953" t="s">
        <v>36</v>
      </c>
      <c r="P953" t="s">
        <v>60</v>
      </c>
      <c r="Q953" t="s">
        <v>900</v>
      </c>
      <c r="R953" t="s">
        <v>911</v>
      </c>
      <c r="S953" t="s">
        <v>1777</v>
      </c>
      <c r="V953" t="s">
        <v>907</v>
      </c>
      <c r="Z953">
        <v>5</v>
      </c>
      <c r="AA953">
        <v>5</v>
      </c>
      <c r="AC953">
        <v>478</v>
      </c>
      <c r="AD953" s="37">
        <v>27</v>
      </c>
      <c r="AE953">
        <v>526</v>
      </c>
      <c r="AF953" s="37">
        <v>31</v>
      </c>
      <c r="AG953" t="s">
        <v>3388</v>
      </c>
      <c r="AH953">
        <v>2.7209857441537393</v>
      </c>
      <c r="AI953" s="37">
        <v>27</v>
      </c>
      <c r="AJ953" t="s">
        <v>1790</v>
      </c>
      <c r="AK953" t="s">
        <v>770</v>
      </c>
      <c r="AM953"/>
      <c r="AN953">
        <v>11.27</v>
      </c>
      <c r="AO953">
        <v>6.3727937358744011</v>
      </c>
      <c r="AP953">
        <v>93.87</v>
      </c>
      <c r="AQ953">
        <v>209.89970104790527</v>
      </c>
      <c r="AS953">
        <v>-2.673</v>
      </c>
      <c r="AT953">
        <v>234.70339999999999</v>
      </c>
      <c r="AW953" s="28">
        <f t="shared" si="70"/>
        <v>0.55626681385478927</v>
      </c>
      <c r="AX953">
        <f t="shared" si="71"/>
        <v>0.90322580645161288</v>
      </c>
      <c r="AY953" s="62">
        <f t="shared" si="72"/>
        <v>0.50243454154626122</v>
      </c>
      <c r="AZ953" s="68" t="str">
        <f t="shared" si="73"/>
        <v>No</v>
      </c>
      <c r="BA953" s="68" t="str">
        <f t="shared" si="74"/>
        <v>No</v>
      </c>
    </row>
    <row r="954" spans="1:53" hidden="1">
      <c r="A954" t="s">
        <v>1815</v>
      </c>
      <c r="B954" t="s">
        <v>3023</v>
      </c>
      <c r="C954">
        <v>51</v>
      </c>
      <c r="F954" t="s">
        <v>1241</v>
      </c>
      <c r="G954" t="s">
        <v>1731</v>
      </c>
      <c r="I954">
        <v>2015</v>
      </c>
      <c r="N954" t="s">
        <v>36</v>
      </c>
      <c r="P954" t="s">
        <v>60</v>
      </c>
      <c r="Q954" t="s">
        <v>900</v>
      </c>
      <c r="R954" t="s">
        <v>911</v>
      </c>
      <c r="S954" t="s">
        <v>1777</v>
      </c>
      <c r="V954" t="s">
        <v>907</v>
      </c>
      <c r="Z954">
        <v>5</v>
      </c>
      <c r="AA954">
        <v>5</v>
      </c>
      <c r="AC954">
        <v>404</v>
      </c>
      <c r="AD954" s="37">
        <v>27</v>
      </c>
      <c r="AE954">
        <v>446</v>
      </c>
      <c r="AF954" s="37">
        <v>31</v>
      </c>
      <c r="AG954" t="s">
        <v>3389</v>
      </c>
      <c r="AH954">
        <v>2.6493348587121419</v>
      </c>
      <c r="AI954" s="37">
        <v>27</v>
      </c>
      <c r="AJ954" t="s">
        <v>1790</v>
      </c>
      <c r="AK954" t="s">
        <v>770</v>
      </c>
      <c r="AM954"/>
      <c r="AN954">
        <v>8.09</v>
      </c>
      <c r="AO954">
        <v>4.4050539156745856</v>
      </c>
      <c r="AP954">
        <v>70.34</v>
      </c>
      <c r="AQ954">
        <v>157.28502153733521</v>
      </c>
      <c r="AS954">
        <v>-1.131</v>
      </c>
      <c r="AT954">
        <v>5.6264000000000003</v>
      </c>
      <c r="AW954" s="28">
        <f t="shared" si="70"/>
        <v>0.55949566737763401</v>
      </c>
      <c r="AX954">
        <f t="shared" si="71"/>
        <v>0.90322580645161288</v>
      </c>
      <c r="AY954" s="62">
        <f t="shared" si="72"/>
        <v>0.5053509253733468</v>
      </c>
      <c r="AZ954" s="68" t="str">
        <f t="shared" si="73"/>
        <v>No</v>
      </c>
      <c r="BA954" s="68" t="str">
        <f t="shared" si="74"/>
        <v>No</v>
      </c>
    </row>
    <row r="955" spans="1:53" hidden="1">
      <c r="A955" t="s">
        <v>1815</v>
      </c>
      <c r="B955" t="s">
        <v>3024</v>
      </c>
      <c r="C955">
        <v>51</v>
      </c>
      <c r="F955" t="s">
        <v>1241</v>
      </c>
      <c r="G955" t="s">
        <v>1731</v>
      </c>
      <c r="I955">
        <v>2015</v>
      </c>
      <c r="N955" t="s">
        <v>36</v>
      </c>
      <c r="P955" t="s">
        <v>60</v>
      </c>
      <c r="Q955" t="s">
        <v>900</v>
      </c>
      <c r="R955" t="s">
        <v>911</v>
      </c>
      <c r="S955" t="s">
        <v>1777</v>
      </c>
      <c r="V955" t="s">
        <v>907</v>
      </c>
      <c r="Z955">
        <v>5</v>
      </c>
      <c r="AA955">
        <v>5</v>
      </c>
      <c r="AC955">
        <v>404</v>
      </c>
      <c r="AD955" s="37">
        <v>27</v>
      </c>
      <c r="AE955">
        <v>446</v>
      </c>
      <c r="AF955" s="37">
        <v>31</v>
      </c>
      <c r="AG955" t="s">
        <v>3389</v>
      </c>
      <c r="AH955">
        <v>2.6493348587121419</v>
      </c>
      <c r="AI955" s="37">
        <v>27</v>
      </c>
      <c r="AJ955" t="s">
        <v>1813</v>
      </c>
      <c r="AK955" t="s">
        <v>59</v>
      </c>
      <c r="AM955"/>
      <c r="AN955">
        <v>41.89</v>
      </c>
      <c r="AO955">
        <v>5.6348913032994705</v>
      </c>
      <c r="AP955">
        <v>20.72</v>
      </c>
      <c r="AQ955">
        <v>5.1876777077995122</v>
      </c>
      <c r="AS955">
        <v>-0.70399999999999996</v>
      </c>
      <c r="AT955">
        <v>1.61E-2</v>
      </c>
      <c r="AW955" s="28">
        <f t="shared" si="70"/>
        <v>-3.9088591347658612</v>
      </c>
      <c r="AX955">
        <f t="shared" si="71"/>
        <v>0.90322580645161288</v>
      </c>
      <c r="AY955" s="62">
        <f t="shared" si="72"/>
        <v>-3.530582444304649</v>
      </c>
      <c r="AZ955" s="68" t="str">
        <f t="shared" si="73"/>
        <v>No</v>
      </c>
      <c r="BA955" s="68" t="str">
        <f t="shared" si="74"/>
        <v>No</v>
      </c>
    </row>
    <row r="956" spans="1:53" hidden="1">
      <c r="A956" t="s">
        <v>1815</v>
      </c>
      <c r="B956" t="s">
        <v>3025</v>
      </c>
      <c r="C956">
        <v>51</v>
      </c>
      <c r="F956" t="s">
        <v>1241</v>
      </c>
      <c r="G956" t="s">
        <v>1731</v>
      </c>
      <c r="I956">
        <v>2015</v>
      </c>
      <c r="N956" t="s">
        <v>36</v>
      </c>
      <c r="P956" t="s">
        <v>60</v>
      </c>
      <c r="Q956" t="s">
        <v>900</v>
      </c>
      <c r="R956" t="s">
        <v>911</v>
      </c>
      <c r="S956" t="s">
        <v>1778</v>
      </c>
      <c r="V956" t="s">
        <v>907</v>
      </c>
      <c r="Z956">
        <v>5</v>
      </c>
      <c r="AA956">
        <v>5</v>
      </c>
      <c r="AC956">
        <v>550</v>
      </c>
      <c r="AD956" s="37">
        <v>27</v>
      </c>
      <c r="AE956">
        <v>558</v>
      </c>
      <c r="AF956" s="37">
        <v>31</v>
      </c>
      <c r="AG956" t="s">
        <v>3390</v>
      </c>
      <c r="AH956">
        <v>2.7466341989375787</v>
      </c>
      <c r="AI956" s="37">
        <v>27</v>
      </c>
      <c r="AJ956" t="s">
        <v>1813</v>
      </c>
      <c r="AK956" t="s">
        <v>59</v>
      </c>
      <c r="AM956"/>
      <c r="AN956">
        <v>97.3</v>
      </c>
      <c r="AO956">
        <v>1.1180339887498949</v>
      </c>
      <c r="AP956">
        <v>74.55</v>
      </c>
      <c r="AQ956">
        <v>5.1876777077995122</v>
      </c>
      <c r="AS956">
        <v>-0.26600000000000001</v>
      </c>
      <c r="AT956">
        <v>1E-3</v>
      </c>
      <c r="AW956" s="28">
        <f t="shared" si="70"/>
        <v>-6.0626800811482555</v>
      </c>
      <c r="AX956">
        <f t="shared" si="71"/>
        <v>0.90322580645161288</v>
      </c>
      <c r="AY956" s="62">
        <f t="shared" si="72"/>
        <v>-5.4759691055532631</v>
      </c>
      <c r="AZ956" s="68" t="str">
        <f t="shared" si="73"/>
        <v>No</v>
      </c>
      <c r="BA956" s="68" t="str">
        <f t="shared" si="74"/>
        <v>No</v>
      </c>
    </row>
    <row r="957" spans="1:53" hidden="1">
      <c r="A957" t="s">
        <v>1815</v>
      </c>
      <c r="B957" t="s">
        <v>3030</v>
      </c>
      <c r="C957">
        <v>51</v>
      </c>
      <c r="F957" t="s">
        <v>1241</v>
      </c>
      <c r="G957" t="s">
        <v>1731</v>
      </c>
      <c r="I957">
        <v>2015</v>
      </c>
      <c r="N957" t="s">
        <v>36</v>
      </c>
      <c r="P957" t="s">
        <v>60</v>
      </c>
      <c r="Q957" t="s">
        <v>900</v>
      </c>
      <c r="R957" t="s">
        <v>911</v>
      </c>
      <c r="S957" t="s">
        <v>1777</v>
      </c>
      <c r="V957" t="s">
        <v>907</v>
      </c>
      <c r="Z957">
        <v>5</v>
      </c>
      <c r="AA957">
        <v>5</v>
      </c>
      <c r="AC957">
        <v>478</v>
      </c>
      <c r="AD957" s="37">
        <v>27</v>
      </c>
      <c r="AE957">
        <v>526</v>
      </c>
      <c r="AF957" s="37">
        <v>31</v>
      </c>
      <c r="AG957" t="s">
        <v>3388</v>
      </c>
      <c r="AH957">
        <v>2.7209857441537393</v>
      </c>
      <c r="AI957" s="37">
        <v>27</v>
      </c>
      <c r="AJ957" t="s">
        <v>1813</v>
      </c>
      <c r="AK957" t="s">
        <v>770</v>
      </c>
      <c r="AM957"/>
      <c r="AN957">
        <v>98.65</v>
      </c>
      <c r="AO957">
        <v>0.89442719099991597</v>
      </c>
      <c r="AP957">
        <v>98.42</v>
      </c>
      <c r="AQ957">
        <v>0.22360679774997899</v>
      </c>
      <c r="AS957">
        <v>-2E-3</v>
      </c>
      <c r="AT957">
        <v>1E-4</v>
      </c>
      <c r="AW957" s="28">
        <f t="shared" si="70"/>
        <v>-0.35280389486979646</v>
      </c>
      <c r="AX957">
        <f t="shared" si="71"/>
        <v>0.90322580645161288</v>
      </c>
      <c r="AY957" s="62">
        <f t="shared" si="72"/>
        <v>-0.31866158246304194</v>
      </c>
      <c r="AZ957" s="68" t="str">
        <f t="shared" si="73"/>
        <v>No</v>
      </c>
      <c r="BA957" s="68" t="str">
        <f t="shared" si="74"/>
        <v>No</v>
      </c>
    </row>
    <row r="958" spans="1:53" hidden="1">
      <c r="A958" t="s">
        <v>1815</v>
      </c>
      <c r="B958" t="s">
        <v>3019</v>
      </c>
      <c r="C958">
        <v>51</v>
      </c>
      <c r="F958" t="s">
        <v>1241</v>
      </c>
      <c r="G958" t="s">
        <v>1731</v>
      </c>
      <c r="I958">
        <v>2015</v>
      </c>
      <c r="N958" t="s">
        <v>36</v>
      </c>
      <c r="P958" t="s">
        <v>60</v>
      </c>
      <c r="Q958" t="s">
        <v>900</v>
      </c>
      <c r="R958" t="s">
        <v>911</v>
      </c>
      <c r="S958" t="s">
        <v>1777</v>
      </c>
      <c r="V958" t="s">
        <v>1015</v>
      </c>
      <c r="Z958">
        <v>5</v>
      </c>
      <c r="AA958">
        <v>5</v>
      </c>
      <c r="AC958">
        <v>478</v>
      </c>
      <c r="AD958" s="37">
        <v>27</v>
      </c>
      <c r="AE958">
        <v>939</v>
      </c>
      <c r="AF958" s="37">
        <v>31</v>
      </c>
      <c r="AG958" t="s">
        <v>3388</v>
      </c>
      <c r="AH958">
        <v>2.9726655922661109</v>
      </c>
      <c r="AI958" s="37">
        <v>27</v>
      </c>
      <c r="AJ958" t="s">
        <v>1790</v>
      </c>
      <c r="AK958" t="s">
        <v>770</v>
      </c>
      <c r="AM958"/>
      <c r="AN958">
        <v>11.27</v>
      </c>
      <c r="AO958">
        <v>6.3727937358744011</v>
      </c>
      <c r="AP958">
        <v>99.02</v>
      </c>
      <c r="AQ958">
        <v>221.41545113202918</v>
      </c>
      <c r="AS958">
        <v>-4.5049999999999999</v>
      </c>
      <c r="AT958">
        <v>10201.001</v>
      </c>
      <c r="AW958" s="28">
        <f t="shared" si="70"/>
        <v>0.56024035293438124</v>
      </c>
      <c r="AX958">
        <f t="shared" si="71"/>
        <v>0.90322580645161288</v>
      </c>
      <c r="AY958" s="62">
        <f t="shared" si="72"/>
        <v>0.50602354458589272</v>
      </c>
      <c r="AZ958" s="68" t="str">
        <f t="shared" si="73"/>
        <v>No</v>
      </c>
      <c r="BA958" s="68" t="str">
        <f t="shared" si="74"/>
        <v>No</v>
      </c>
    </row>
    <row r="959" spans="1:53" hidden="1">
      <c r="A959" t="s">
        <v>1815</v>
      </c>
      <c r="B959" t="s">
        <v>3021</v>
      </c>
      <c r="C959">
        <v>51</v>
      </c>
      <c r="F959" t="s">
        <v>1241</v>
      </c>
      <c r="G959" t="s">
        <v>1731</v>
      </c>
      <c r="I959">
        <v>2015</v>
      </c>
      <c r="N959" t="s">
        <v>36</v>
      </c>
      <c r="P959" t="s">
        <v>60</v>
      </c>
      <c r="Q959" t="s">
        <v>900</v>
      </c>
      <c r="R959" t="s">
        <v>911</v>
      </c>
      <c r="S959" t="s">
        <v>1777</v>
      </c>
      <c r="V959" t="s">
        <v>1015</v>
      </c>
      <c r="Z959">
        <v>5</v>
      </c>
      <c r="AA959">
        <v>5</v>
      </c>
      <c r="AC959">
        <v>404</v>
      </c>
      <c r="AD959" s="37">
        <v>27</v>
      </c>
      <c r="AE959">
        <v>863</v>
      </c>
      <c r="AF959" s="37">
        <v>31</v>
      </c>
      <c r="AG959" t="s">
        <v>3389</v>
      </c>
      <c r="AH959">
        <v>2.9360107957152097</v>
      </c>
      <c r="AI959" s="37">
        <v>27</v>
      </c>
      <c r="AJ959" t="s">
        <v>1813</v>
      </c>
      <c r="AK959" t="s">
        <v>770</v>
      </c>
      <c r="AM959"/>
      <c r="AN959">
        <v>41.89</v>
      </c>
      <c r="AO959">
        <v>5.6348913032994705</v>
      </c>
      <c r="AP959">
        <v>7.66</v>
      </c>
      <c r="AQ959">
        <v>2.9292490505247248</v>
      </c>
      <c r="AS959">
        <v>-1.6990000000000001</v>
      </c>
      <c r="AT959">
        <v>3.2899999999999999E-2</v>
      </c>
      <c r="AW959" s="28">
        <f t="shared" si="70"/>
        <v>-7.6224454624478826</v>
      </c>
      <c r="AX959">
        <f t="shared" si="71"/>
        <v>0.90322580645161288</v>
      </c>
      <c r="AY959" s="62">
        <f t="shared" si="72"/>
        <v>-6.8847894499529261</v>
      </c>
      <c r="AZ959" s="68" t="str">
        <f t="shared" si="73"/>
        <v>No</v>
      </c>
      <c r="BA959" s="68" t="str">
        <f t="shared" si="74"/>
        <v>No</v>
      </c>
    </row>
    <row r="960" spans="1:53" hidden="1">
      <c r="A960" t="s">
        <v>1815</v>
      </c>
      <c r="B960" t="s">
        <v>3022</v>
      </c>
      <c r="C960">
        <v>51</v>
      </c>
      <c r="F960" t="s">
        <v>1241</v>
      </c>
      <c r="G960" t="s">
        <v>1731</v>
      </c>
      <c r="I960">
        <v>2015</v>
      </c>
      <c r="N960" t="s">
        <v>36</v>
      </c>
      <c r="P960" t="s">
        <v>60</v>
      </c>
      <c r="Q960" t="s">
        <v>900</v>
      </c>
      <c r="R960" t="s">
        <v>911</v>
      </c>
      <c r="S960" t="s">
        <v>1777</v>
      </c>
      <c r="V960" t="s">
        <v>1015</v>
      </c>
      <c r="Z960">
        <v>5</v>
      </c>
      <c r="AA960">
        <v>5</v>
      </c>
      <c r="AC960">
        <v>404</v>
      </c>
      <c r="AD960" s="37">
        <v>27</v>
      </c>
      <c r="AE960">
        <v>863</v>
      </c>
      <c r="AF960" s="37">
        <v>31</v>
      </c>
      <c r="AG960" t="s">
        <v>3389</v>
      </c>
      <c r="AH960">
        <v>2.9360107957152097</v>
      </c>
      <c r="AI960" s="37">
        <v>27</v>
      </c>
      <c r="AJ960" t="s">
        <v>1790</v>
      </c>
      <c r="AK960" t="s">
        <v>770</v>
      </c>
      <c r="AM960"/>
      <c r="AN960">
        <v>8.09</v>
      </c>
      <c r="AO960">
        <v>4.4050539156745856</v>
      </c>
      <c r="AP960">
        <v>77.45</v>
      </c>
      <c r="AQ960">
        <v>173.18346485735873</v>
      </c>
      <c r="AS960">
        <v>-1.405</v>
      </c>
      <c r="AT960">
        <v>11.7982</v>
      </c>
      <c r="AW960" s="28">
        <f t="shared" si="70"/>
        <v>0.56620958103771468</v>
      </c>
      <c r="AX960">
        <f t="shared" si="71"/>
        <v>0.90322580645161288</v>
      </c>
      <c r="AY960" s="62">
        <f t="shared" si="72"/>
        <v>0.51141510545341973</v>
      </c>
      <c r="AZ960" s="68" t="str">
        <f t="shared" si="73"/>
        <v>No</v>
      </c>
      <c r="BA960" s="68" t="str">
        <f t="shared" si="74"/>
        <v>No</v>
      </c>
    </row>
    <row r="961" spans="1:53" hidden="1">
      <c r="A961" t="s">
        <v>1815</v>
      </c>
      <c r="B961" t="s">
        <v>3026</v>
      </c>
      <c r="C961">
        <v>51</v>
      </c>
      <c r="F961" t="s">
        <v>1241</v>
      </c>
      <c r="G961" t="s">
        <v>1731</v>
      </c>
      <c r="I961">
        <v>2015</v>
      </c>
      <c r="N961" t="s">
        <v>36</v>
      </c>
      <c r="P961" t="s">
        <v>60</v>
      </c>
      <c r="Q961" t="s">
        <v>900</v>
      </c>
      <c r="R961" t="s">
        <v>911</v>
      </c>
      <c r="S961" t="s">
        <v>1778</v>
      </c>
      <c r="V961" t="s">
        <v>1015</v>
      </c>
      <c r="Z961">
        <v>5</v>
      </c>
      <c r="AA961">
        <v>5</v>
      </c>
      <c r="AC961">
        <v>550</v>
      </c>
      <c r="AD961" s="37">
        <v>27</v>
      </c>
      <c r="AE961">
        <v>1001</v>
      </c>
      <c r="AF961" s="37">
        <v>31</v>
      </c>
      <c r="AG961" t="s">
        <v>3390</v>
      </c>
      <c r="AH961">
        <v>3.0004340774793188</v>
      </c>
      <c r="AI961" s="37">
        <v>27</v>
      </c>
      <c r="AJ961" t="s">
        <v>1813</v>
      </c>
      <c r="AK961" t="s">
        <v>59</v>
      </c>
      <c r="AM961"/>
      <c r="AN961">
        <v>97.3</v>
      </c>
      <c r="AO961">
        <v>1.1180339887498949</v>
      </c>
      <c r="AP961">
        <v>84.01</v>
      </c>
      <c r="AQ961">
        <v>3.6000694437746619</v>
      </c>
      <c r="AS961">
        <v>-0.14699999999999999</v>
      </c>
      <c r="AT961">
        <v>4.0000000000000002E-4</v>
      </c>
      <c r="AW961" s="28">
        <f t="shared" si="70"/>
        <v>-4.9858051205866367</v>
      </c>
      <c r="AX961">
        <f t="shared" si="71"/>
        <v>0.90322580645161288</v>
      </c>
      <c r="AY961" s="62">
        <f t="shared" si="72"/>
        <v>-4.5033078508524458</v>
      </c>
      <c r="AZ961" s="68" t="str">
        <f t="shared" si="73"/>
        <v>No</v>
      </c>
      <c r="BA961" s="68" t="str">
        <f t="shared" si="74"/>
        <v>No</v>
      </c>
    </row>
    <row r="962" spans="1:53" hidden="1">
      <c r="A962" t="s">
        <v>1815</v>
      </c>
      <c r="B962" t="s">
        <v>3027</v>
      </c>
      <c r="C962">
        <v>51</v>
      </c>
      <c r="F962" t="s">
        <v>1241</v>
      </c>
      <c r="G962" t="s">
        <v>1731</v>
      </c>
      <c r="I962">
        <v>2015</v>
      </c>
      <c r="N962" t="s">
        <v>36</v>
      </c>
      <c r="P962" t="s">
        <v>60</v>
      </c>
      <c r="Q962" t="s">
        <v>900</v>
      </c>
      <c r="R962" t="s">
        <v>911</v>
      </c>
      <c r="S962" t="s">
        <v>1778</v>
      </c>
      <c r="V962" t="s">
        <v>1015</v>
      </c>
      <c r="Z962">
        <v>5</v>
      </c>
      <c r="AA962">
        <v>5</v>
      </c>
      <c r="AC962">
        <v>550</v>
      </c>
      <c r="AD962" s="37">
        <v>27</v>
      </c>
      <c r="AE962">
        <v>1001</v>
      </c>
      <c r="AF962" s="37">
        <v>31</v>
      </c>
      <c r="AG962" t="s">
        <v>3390</v>
      </c>
      <c r="AH962">
        <v>3.0004340774793188</v>
      </c>
      <c r="AI962" s="37">
        <v>27</v>
      </c>
      <c r="AJ962" t="s">
        <v>1790</v>
      </c>
      <c r="AK962" t="s">
        <v>770</v>
      </c>
      <c r="AM962"/>
      <c r="AN962">
        <v>3.68</v>
      </c>
      <c r="AO962">
        <v>1.2298373876248845</v>
      </c>
      <c r="AP962">
        <v>14.95</v>
      </c>
      <c r="AQ962">
        <v>33.429216263621853</v>
      </c>
      <c r="AS962">
        <v>-0.124</v>
      </c>
      <c r="AT962">
        <v>3.09E-2</v>
      </c>
      <c r="AW962" s="28">
        <f t="shared" ref="AW962:AW1025" si="75">(AP962-$AN962)/SQRT(((AA962-1)*AQ962*AQ962+($Z962-1)*$AO962*$AO962)/(AA962+$Z962-2))</f>
        <v>0.47645185186960315</v>
      </c>
      <c r="AX962">
        <f t="shared" ref="AX962:AX1025" si="76">1-(3/(4*(AA962+$Z962-2)-1))</f>
        <v>0.90322580645161288</v>
      </c>
      <c r="AY962" s="62">
        <f t="shared" ref="AY962:AY1025" si="77">AX962*AW962</f>
        <v>0.43034360814028672</v>
      </c>
      <c r="AZ962" s="68" t="str">
        <f t="shared" ref="AZ962:AZ1025" si="78">IF(AY962&gt;10,"Yes","No")</f>
        <v>No</v>
      </c>
      <c r="BA962" s="68" t="str">
        <f t="shared" ref="BA962:BA1025" si="79">IF(AY962&lt;-10,"Yes","No")</f>
        <v>No</v>
      </c>
    </row>
    <row r="963" spans="1:53" hidden="1">
      <c r="A963" t="s">
        <v>1815</v>
      </c>
      <c r="B963" t="s">
        <v>3029</v>
      </c>
      <c r="C963">
        <v>51</v>
      </c>
      <c r="F963" t="s">
        <v>1241</v>
      </c>
      <c r="G963" t="s">
        <v>1731</v>
      </c>
      <c r="I963">
        <v>2015</v>
      </c>
      <c r="N963" t="s">
        <v>36</v>
      </c>
      <c r="P963" t="s">
        <v>60</v>
      </c>
      <c r="Q963" t="s">
        <v>900</v>
      </c>
      <c r="R963" t="s">
        <v>911</v>
      </c>
      <c r="S963" t="s">
        <v>1777</v>
      </c>
      <c r="V963" t="s">
        <v>1015</v>
      </c>
      <c r="Z963">
        <v>5</v>
      </c>
      <c r="AA963">
        <v>5</v>
      </c>
      <c r="AC963">
        <v>478</v>
      </c>
      <c r="AD963" s="37">
        <v>27</v>
      </c>
      <c r="AE963">
        <v>939</v>
      </c>
      <c r="AF963" s="37">
        <v>31</v>
      </c>
      <c r="AG963" t="s">
        <v>3388</v>
      </c>
      <c r="AH963">
        <v>2.9726655922661109</v>
      </c>
      <c r="AI963" s="37">
        <v>27</v>
      </c>
      <c r="AJ963" t="s">
        <v>1813</v>
      </c>
      <c r="AK963" t="s">
        <v>770</v>
      </c>
      <c r="AM963"/>
      <c r="AN963">
        <v>98.65</v>
      </c>
      <c r="AO963">
        <v>0.89442719099991597</v>
      </c>
      <c r="AP963">
        <v>95.05</v>
      </c>
      <c r="AQ963">
        <v>2.2584286572747878</v>
      </c>
      <c r="AS963">
        <v>-3.6999999999999998E-2</v>
      </c>
      <c r="AT963">
        <v>1E-4</v>
      </c>
      <c r="AW963" s="28">
        <f t="shared" si="75"/>
        <v>-2.0959122271038528</v>
      </c>
      <c r="AX963">
        <f t="shared" si="76"/>
        <v>0.90322580645161288</v>
      </c>
      <c r="AY963" s="62">
        <f t="shared" si="77"/>
        <v>-1.8930820115776734</v>
      </c>
      <c r="AZ963" s="68" t="str">
        <f t="shared" si="78"/>
        <v>No</v>
      </c>
      <c r="BA963" s="68" t="str">
        <f t="shared" si="79"/>
        <v>No</v>
      </c>
    </row>
    <row r="964" spans="1:53" hidden="1">
      <c r="A964" t="s">
        <v>1815</v>
      </c>
      <c r="B964" t="s">
        <v>2591</v>
      </c>
      <c r="C964">
        <v>37</v>
      </c>
      <c r="F964" t="s">
        <v>1241</v>
      </c>
      <c r="G964" t="s">
        <v>1700</v>
      </c>
      <c r="I964">
        <v>2010</v>
      </c>
      <c r="N964" t="s">
        <v>36</v>
      </c>
      <c r="P964" t="s">
        <v>60</v>
      </c>
      <c r="Q964" t="s">
        <v>900</v>
      </c>
      <c r="R964" t="s">
        <v>946</v>
      </c>
      <c r="S964" t="s">
        <v>950</v>
      </c>
      <c r="V964" t="s">
        <v>905</v>
      </c>
      <c r="Z964">
        <v>35</v>
      </c>
      <c r="AA964">
        <v>35</v>
      </c>
      <c r="AC964">
        <v>448</v>
      </c>
      <c r="AD964">
        <v>23.5</v>
      </c>
      <c r="AE964">
        <v>1142</v>
      </c>
      <c r="AF964">
        <v>23.5</v>
      </c>
      <c r="AG964" t="s">
        <v>3346</v>
      </c>
      <c r="AH964">
        <v>3.0576661039098294</v>
      </c>
      <c r="AI964">
        <v>23.5</v>
      </c>
      <c r="AJ964" t="s">
        <v>1790</v>
      </c>
      <c r="AK964" t="s">
        <v>770</v>
      </c>
      <c r="AM964"/>
      <c r="AN964">
        <v>7.3</v>
      </c>
      <c r="AO964">
        <v>6.8034917505645582</v>
      </c>
      <c r="AP964">
        <v>9.2799999999999994</v>
      </c>
      <c r="AQ964">
        <v>6.8034917505645582</v>
      </c>
      <c r="AS964">
        <v>-0.24099999999999999</v>
      </c>
      <c r="AT964">
        <v>4.0300000000000002E-2</v>
      </c>
      <c r="AW964" s="28">
        <f t="shared" si="75"/>
        <v>0.29102703032390653</v>
      </c>
      <c r="AX964">
        <f t="shared" si="76"/>
        <v>0.98892988929889303</v>
      </c>
      <c r="AY964" s="62">
        <f t="shared" si="77"/>
        <v>0.28780532888120647</v>
      </c>
      <c r="AZ964" s="68" t="str">
        <f t="shared" si="78"/>
        <v>No</v>
      </c>
      <c r="BA964" s="68" t="str">
        <f t="shared" si="79"/>
        <v>No</v>
      </c>
    </row>
    <row r="965" spans="1:53" hidden="1">
      <c r="A965" t="s">
        <v>1815</v>
      </c>
      <c r="B965" t="s">
        <v>2592</v>
      </c>
      <c r="C965">
        <v>37</v>
      </c>
      <c r="F965" t="s">
        <v>1241</v>
      </c>
      <c r="G965" t="s">
        <v>1700</v>
      </c>
      <c r="I965">
        <v>2010</v>
      </c>
      <c r="N965" t="s">
        <v>36</v>
      </c>
      <c r="P965" t="s">
        <v>60</v>
      </c>
      <c r="Q965" t="s">
        <v>900</v>
      </c>
      <c r="R965" t="s">
        <v>946</v>
      </c>
      <c r="S965" t="s">
        <v>950</v>
      </c>
      <c r="V965" t="s">
        <v>905</v>
      </c>
      <c r="Z965">
        <v>35</v>
      </c>
      <c r="AA965">
        <v>35</v>
      </c>
      <c r="AC965">
        <v>448</v>
      </c>
      <c r="AD965">
        <v>23.5</v>
      </c>
      <c r="AE965">
        <v>1886</v>
      </c>
      <c r="AF965">
        <v>23.5</v>
      </c>
      <c r="AG965" t="s">
        <v>3346</v>
      </c>
      <c r="AH965">
        <v>3.2755416884013098</v>
      </c>
      <c r="AI965">
        <v>23.5</v>
      </c>
      <c r="AJ965" t="s">
        <v>1099</v>
      </c>
      <c r="AK965" t="s">
        <v>40</v>
      </c>
      <c r="AM965"/>
      <c r="AN965">
        <v>138.66999999999999</v>
      </c>
      <c r="AO965">
        <v>47.328638264796929</v>
      </c>
      <c r="AP965">
        <v>110.67</v>
      </c>
      <c r="AQ965">
        <v>39.401091355443441</v>
      </c>
      <c r="AS965">
        <v>-0.22600000000000001</v>
      </c>
      <c r="AT965">
        <v>6.8999999999999999E-3</v>
      </c>
      <c r="AW965" s="28">
        <f t="shared" si="75"/>
        <v>-0.64300348439652322</v>
      </c>
      <c r="AX965">
        <f t="shared" si="76"/>
        <v>0.98892988929889303</v>
      </c>
      <c r="AY965" s="62">
        <f t="shared" si="77"/>
        <v>-0.63588536464305623</v>
      </c>
      <c r="AZ965" s="68" t="str">
        <f t="shared" si="78"/>
        <v>No</v>
      </c>
      <c r="BA965" s="68" t="str">
        <f t="shared" si="79"/>
        <v>No</v>
      </c>
    </row>
    <row r="966" spans="1:53" hidden="1">
      <c r="A966" t="s">
        <v>1815</v>
      </c>
      <c r="B966" t="s">
        <v>2593</v>
      </c>
      <c r="C966">
        <v>37</v>
      </c>
      <c r="F966" t="s">
        <v>1241</v>
      </c>
      <c r="G966" t="s">
        <v>1700</v>
      </c>
      <c r="I966">
        <v>2017</v>
      </c>
      <c r="N966" t="s">
        <v>36</v>
      </c>
      <c r="P966" t="s">
        <v>60</v>
      </c>
      <c r="Q966" t="s">
        <v>900</v>
      </c>
      <c r="R966" t="s">
        <v>946</v>
      </c>
      <c r="S966" t="s">
        <v>950</v>
      </c>
      <c r="V966" t="s">
        <v>905</v>
      </c>
      <c r="Z966">
        <v>35</v>
      </c>
      <c r="AA966">
        <v>35</v>
      </c>
      <c r="AC966">
        <v>448</v>
      </c>
      <c r="AD966">
        <v>23.5</v>
      </c>
      <c r="AE966">
        <v>1142</v>
      </c>
      <c r="AF966">
        <v>23.5</v>
      </c>
      <c r="AG966" t="s">
        <v>3346</v>
      </c>
      <c r="AH966">
        <v>3.0576661039098294</v>
      </c>
      <c r="AI966">
        <v>23.5</v>
      </c>
      <c r="AJ966" t="s">
        <v>1099</v>
      </c>
      <c r="AK966" t="s">
        <v>40</v>
      </c>
      <c r="AM966"/>
      <c r="AN966">
        <v>138.66999999999999</v>
      </c>
      <c r="AO966">
        <v>47.328638264796929</v>
      </c>
      <c r="AP966">
        <v>119.33</v>
      </c>
      <c r="AQ966">
        <v>35.496478698597699</v>
      </c>
      <c r="AS966">
        <v>-0.15</v>
      </c>
      <c r="AT966">
        <v>5.8999999999999999E-3</v>
      </c>
      <c r="AW966" s="28">
        <f t="shared" si="75"/>
        <v>-0.46231442609054318</v>
      </c>
      <c r="AX966">
        <f t="shared" si="76"/>
        <v>0.98892988929889303</v>
      </c>
      <c r="AY966" s="62">
        <f t="shared" si="77"/>
        <v>-0.45719655421500216</v>
      </c>
      <c r="AZ966" s="68" t="str">
        <f t="shared" si="78"/>
        <v>No</v>
      </c>
      <c r="BA966" s="68" t="str">
        <f t="shared" si="79"/>
        <v>No</v>
      </c>
    </row>
    <row r="967" spans="1:53" hidden="1">
      <c r="A967" t="s">
        <v>1815</v>
      </c>
      <c r="B967" t="s">
        <v>2594</v>
      </c>
      <c r="C967">
        <v>37</v>
      </c>
      <c r="F967" t="s">
        <v>1241</v>
      </c>
      <c r="G967" t="s">
        <v>1700</v>
      </c>
      <c r="I967">
        <v>2017</v>
      </c>
      <c r="N967" t="s">
        <v>36</v>
      </c>
      <c r="P967" t="s">
        <v>60</v>
      </c>
      <c r="Q967" t="s">
        <v>900</v>
      </c>
      <c r="R967" t="s">
        <v>946</v>
      </c>
      <c r="S967" t="s">
        <v>950</v>
      </c>
      <c r="V967" t="s">
        <v>905</v>
      </c>
      <c r="Z967">
        <v>35</v>
      </c>
      <c r="AA967">
        <v>35</v>
      </c>
      <c r="AC967">
        <v>448</v>
      </c>
      <c r="AD967">
        <v>23.5</v>
      </c>
      <c r="AE967">
        <v>1886</v>
      </c>
      <c r="AF967">
        <v>23.5</v>
      </c>
      <c r="AG967" t="s">
        <v>3346</v>
      </c>
      <c r="AH967">
        <v>3.2755416884013098</v>
      </c>
      <c r="AI967">
        <v>23.5</v>
      </c>
      <c r="AJ967" t="s">
        <v>1790</v>
      </c>
      <c r="AK967" t="s">
        <v>770</v>
      </c>
      <c r="AM967"/>
      <c r="AN967">
        <v>7.3</v>
      </c>
      <c r="AO967">
        <v>6.8034917505645582</v>
      </c>
      <c r="AP967">
        <v>7.42</v>
      </c>
      <c r="AQ967">
        <v>6.4485269635785825</v>
      </c>
      <c r="AS967">
        <v>-1.7000000000000001E-2</v>
      </c>
      <c r="AT967">
        <v>4.65E-2</v>
      </c>
      <c r="AW967" s="28">
        <f t="shared" si="75"/>
        <v>1.8103954917205418E-2</v>
      </c>
      <c r="AX967">
        <f t="shared" si="76"/>
        <v>0.98892988929889303</v>
      </c>
      <c r="AY967" s="62">
        <f t="shared" si="77"/>
        <v>1.7903542132144103E-2</v>
      </c>
      <c r="AZ967" s="68" t="str">
        <f t="shared" si="78"/>
        <v>No</v>
      </c>
      <c r="BA967" s="68" t="str">
        <f t="shared" si="79"/>
        <v>No</v>
      </c>
    </row>
    <row r="968" spans="1:53" hidden="1">
      <c r="A968" t="s">
        <v>1815</v>
      </c>
      <c r="B968" t="s">
        <v>2590</v>
      </c>
      <c r="C968">
        <v>37</v>
      </c>
      <c r="F968" t="s">
        <v>1241</v>
      </c>
      <c r="G968" t="s">
        <v>1700</v>
      </c>
      <c r="I968">
        <v>2010</v>
      </c>
      <c r="N968" t="s">
        <v>36</v>
      </c>
      <c r="P968" t="s">
        <v>60</v>
      </c>
      <c r="Q968" t="s">
        <v>900</v>
      </c>
      <c r="R968" t="s">
        <v>946</v>
      </c>
      <c r="S968" t="s">
        <v>950</v>
      </c>
      <c r="V968" t="s">
        <v>907</v>
      </c>
      <c r="Z968">
        <v>35</v>
      </c>
      <c r="AA968">
        <v>35</v>
      </c>
      <c r="AC968">
        <v>448</v>
      </c>
      <c r="AD968">
        <v>23.5</v>
      </c>
      <c r="AE968">
        <v>455</v>
      </c>
      <c r="AF968">
        <v>26.1</v>
      </c>
      <c r="AG968" t="s">
        <v>3346</v>
      </c>
      <c r="AH968">
        <v>2.6580113966571126</v>
      </c>
      <c r="AI968">
        <v>23.5</v>
      </c>
      <c r="AJ968" t="s">
        <v>1790</v>
      </c>
      <c r="AK968" t="s">
        <v>770</v>
      </c>
      <c r="AM968"/>
      <c r="AN968">
        <v>7.3</v>
      </c>
      <c r="AO968">
        <v>6.8034917505645582</v>
      </c>
      <c r="AP968">
        <v>12.16</v>
      </c>
      <c r="AQ968">
        <v>6.8034917505645582</v>
      </c>
      <c r="AS968">
        <v>-0.51100000000000001</v>
      </c>
      <c r="AT968">
        <v>3.39E-2</v>
      </c>
      <c r="AW968" s="28">
        <f t="shared" si="75"/>
        <v>0.7143390744314071</v>
      </c>
      <c r="AX968">
        <f t="shared" si="76"/>
        <v>0.98892988929889303</v>
      </c>
      <c r="AY968" s="62">
        <f t="shared" si="77"/>
        <v>0.70643126179932514</v>
      </c>
      <c r="AZ968" s="68" t="str">
        <f t="shared" si="78"/>
        <v>No</v>
      </c>
      <c r="BA968" s="68" t="str">
        <f t="shared" si="79"/>
        <v>No</v>
      </c>
    </row>
    <row r="969" spans="1:53" hidden="1">
      <c r="A969" t="s">
        <v>1815</v>
      </c>
      <c r="B969" t="s">
        <v>2597</v>
      </c>
      <c r="C969">
        <v>37</v>
      </c>
      <c r="F969" t="s">
        <v>1241</v>
      </c>
      <c r="G969" t="s">
        <v>1700</v>
      </c>
      <c r="I969">
        <v>2017</v>
      </c>
      <c r="N969" t="s">
        <v>36</v>
      </c>
      <c r="P969" t="s">
        <v>60</v>
      </c>
      <c r="Q969" t="s">
        <v>900</v>
      </c>
      <c r="R969" t="s">
        <v>946</v>
      </c>
      <c r="S969" t="s">
        <v>950</v>
      </c>
      <c r="V969" t="s">
        <v>907</v>
      </c>
      <c r="Z969">
        <v>35</v>
      </c>
      <c r="AA969">
        <v>35</v>
      </c>
      <c r="AC969">
        <v>448</v>
      </c>
      <c r="AD969">
        <v>23.5</v>
      </c>
      <c r="AE969">
        <v>455</v>
      </c>
      <c r="AF969">
        <v>26.1</v>
      </c>
      <c r="AG969" t="s">
        <v>3346</v>
      </c>
      <c r="AH969">
        <v>2.6580113966571126</v>
      </c>
      <c r="AI969">
        <v>23.5</v>
      </c>
      <c r="AJ969" t="s">
        <v>1099</v>
      </c>
      <c r="AK969" t="s">
        <v>40</v>
      </c>
      <c r="AM969"/>
      <c r="AN969">
        <v>138.66999999999999</v>
      </c>
      <c r="AO969">
        <v>47.328638264796929</v>
      </c>
      <c r="AP969">
        <v>178.67</v>
      </c>
      <c r="AQ969">
        <v>23.664319132398465</v>
      </c>
      <c r="AS969">
        <v>0.253</v>
      </c>
      <c r="AT969">
        <v>3.8E-3</v>
      </c>
      <c r="AW969" s="28">
        <f t="shared" si="75"/>
        <v>1.0690449676496976</v>
      </c>
      <c r="AX969">
        <f t="shared" si="76"/>
        <v>0.98892988929889303</v>
      </c>
      <c r="AY969" s="62">
        <f t="shared" si="77"/>
        <v>1.057210521513354</v>
      </c>
      <c r="AZ969" s="68" t="str">
        <f t="shared" si="78"/>
        <v>No</v>
      </c>
      <c r="BA969" s="68" t="str">
        <f t="shared" si="79"/>
        <v>No</v>
      </c>
    </row>
    <row r="970" spans="1:53" hidden="1">
      <c r="A970" t="s">
        <v>1815</v>
      </c>
      <c r="B970" t="s">
        <v>2588</v>
      </c>
      <c r="C970">
        <v>37</v>
      </c>
      <c r="F970" t="s">
        <v>1241</v>
      </c>
      <c r="G970" t="s">
        <v>1700</v>
      </c>
      <c r="I970">
        <v>2010</v>
      </c>
      <c r="N970" t="s">
        <v>36</v>
      </c>
      <c r="P970" t="s">
        <v>60</v>
      </c>
      <c r="Q970" t="s">
        <v>900</v>
      </c>
      <c r="R970" t="s">
        <v>946</v>
      </c>
      <c r="S970" t="s">
        <v>950</v>
      </c>
      <c r="V970" t="s">
        <v>1015</v>
      </c>
      <c r="Z970">
        <v>35</v>
      </c>
      <c r="AA970">
        <v>35</v>
      </c>
      <c r="AC970">
        <v>448</v>
      </c>
      <c r="AD970">
        <v>23.5</v>
      </c>
      <c r="AE970">
        <v>1169</v>
      </c>
      <c r="AF970">
        <v>26.1</v>
      </c>
      <c r="AG970" t="s">
        <v>3346</v>
      </c>
      <c r="AH970">
        <v>3.0678145111618402</v>
      </c>
      <c r="AI970">
        <v>23.5</v>
      </c>
      <c r="AJ970" t="s">
        <v>1790</v>
      </c>
      <c r="AK970" t="s">
        <v>770</v>
      </c>
      <c r="AM970"/>
      <c r="AN970">
        <v>7.3</v>
      </c>
      <c r="AO970">
        <v>6.8034917505645582</v>
      </c>
      <c r="AP970">
        <v>12.74</v>
      </c>
      <c r="AQ970">
        <v>7.1584565375505349</v>
      </c>
      <c r="AS970">
        <v>-0.55700000000000005</v>
      </c>
      <c r="AT970">
        <v>3.4000000000000002E-2</v>
      </c>
      <c r="AW970" s="28">
        <f t="shared" si="75"/>
        <v>0.77900915031692108</v>
      </c>
      <c r="AX970">
        <f t="shared" si="76"/>
        <v>0.98892988929889303</v>
      </c>
      <c r="AY970" s="62">
        <f t="shared" si="77"/>
        <v>0.77038543278573746</v>
      </c>
      <c r="AZ970" s="68" t="str">
        <f t="shared" si="78"/>
        <v>No</v>
      </c>
      <c r="BA970" s="68" t="str">
        <f t="shared" si="79"/>
        <v>No</v>
      </c>
    </row>
    <row r="971" spans="1:53" hidden="1">
      <c r="A971" t="s">
        <v>1815</v>
      </c>
      <c r="B971" t="s">
        <v>2589</v>
      </c>
      <c r="C971">
        <v>37</v>
      </c>
      <c r="F971" t="s">
        <v>1241</v>
      </c>
      <c r="G971" t="s">
        <v>1700</v>
      </c>
      <c r="I971">
        <v>2010</v>
      </c>
      <c r="N971" t="s">
        <v>36</v>
      </c>
      <c r="P971" t="s">
        <v>60</v>
      </c>
      <c r="Q971" t="s">
        <v>900</v>
      </c>
      <c r="R971" t="s">
        <v>946</v>
      </c>
      <c r="S971" t="s">
        <v>950</v>
      </c>
      <c r="V971" t="s">
        <v>1015</v>
      </c>
      <c r="Z971">
        <v>35</v>
      </c>
      <c r="AA971">
        <v>35</v>
      </c>
      <c r="AC971">
        <v>448</v>
      </c>
      <c r="AD971">
        <v>23.5</v>
      </c>
      <c r="AE971">
        <v>1938</v>
      </c>
      <c r="AF971">
        <v>26.1</v>
      </c>
      <c r="AG971" t="s">
        <v>3346</v>
      </c>
      <c r="AH971">
        <v>3.2873537727147464</v>
      </c>
      <c r="AI971">
        <v>23.5</v>
      </c>
      <c r="AJ971" t="s">
        <v>1790</v>
      </c>
      <c r="AK971" t="s">
        <v>770</v>
      </c>
      <c r="AM971"/>
      <c r="AN971">
        <v>7.3</v>
      </c>
      <c r="AO971">
        <v>6.8034917505645582</v>
      </c>
      <c r="AP971">
        <v>12.67</v>
      </c>
      <c r="AQ971">
        <v>7.5725821223675087</v>
      </c>
      <c r="AS971">
        <v>-0.55200000000000005</v>
      </c>
      <c r="AT971">
        <v>3.5099999999999999E-2</v>
      </c>
      <c r="AW971" s="28">
        <f t="shared" si="75"/>
        <v>0.74600783956640682</v>
      </c>
      <c r="AX971">
        <f t="shared" si="76"/>
        <v>0.98892988929889303</v>
      </c>
      <c r="AY971" s="62">
        <f t="shared" si="77"/>
        <v>0.73774945019851301</v>
      </c>
      <c r="AZ971" s="68" t="str">
        <f t="shared" si="78"/>
        <v>No</v>
      </c>
      <c r="BA971" s="68" t="str">
        <f t="shared" si="79"/>
        <v>No</v>
      </c>
    </row>
    <row r="972" spans="1:53" hidden="1">
      <c r="A972" t="s">
        <v>1815</v>
      </c>
      <c r="B972" t="s">
        <v>2595</v>
      </c>
      <c r="C972">
        <v>37</v>
      </c>
      <c r="F972" t="s">
        <v>1241</v>
      </c>
      <c r="G972" t="s">
        <v>1700</v>
      </c>
      <c r="I972">
        <v>2017</v>
      </c>
      <c r="N972" t="s">
        <v>36</v>
      </c>
      <c r="P972" t="s">
        <v>60</v>
      </c>
      <c r="Q972" t="s">
        <v>900</v>
      </c>
      <c r="R972" t="s">
        <v>946</v>
      </c>
      <c r="S972" t="s">
        <v>950</v>
      </c>
      <c r="V972" t="s">
        <v>1015</v>
      </c>
      <c r="Z972">
        <v>35</v>
      </c>
      <c r="AA972">
        <v>35</v>
      </c>
      <c r="AC972">
        <v>448</v>
      </c>
      <c r="AD972">
        <v>23.5</v>
      </c>
      <c r="AE972">
        <v>1169</v>
      </c>
      <c r="AF972">
        <v>26.1</v>
      </c>
      <c r="AG972" t="s">
        <v>3346</v>
      </c>
      <c r="AH972">
        <v>3.0678145111618402</v>
      </c>
      <c r="AI972">
        <v>23.5</v>
      </c>
      <c r="AJ972" t="s">
        <v>1099</v>
      </c>
      <c r="AK972" t="s">
        <v>40</v>
      </c>
      <c r="AM972"/>
      <c r="AN972">
        <v>138.66999999999999</v>
      </c>
      <c r="AO972">
        <v>47.328638264796929</v>
      </c>
      <c r="AP972">
        <v>137.33000000000001</v>
      </c>
      <c r="AQ972">
        <v>23.664319132398465</v>
      </c>
      <c r="AS972">
        <v>-0.01</v>
      </c>
      <c r="AT972">
        <v>4.1999999999999997E-3</v>
      </c>
      <c r="AW972" s="28">
        <f t="shared" si="75"/>
        <v>-3.5813006416264198E-2</v>
      </c>
      <c r="AX972">
        <f t="shared" si="76"/>
        <v>0.98892988929889303</v>
      </c>
      <c r="AY972" s="62">
        <f t="shared" si="77"/>
        <v>-3.5416552470696701E-2</v>
      </c>
      <c r="AZ972" s="68" t="str">
        <f t="shared" si="78"/>
        <v>No</v>
      </c>
      <c r="BA972" s="68" t="str">
        <f t="shared" si="79"/>
        <v>No</v>
      </c>
    </row>
    <row r="973" spans="1:53" hidden="1">
      <c r="A973" t="s">
        <v>1815</v>
      </c>
      <c r="B973" t="s">
        <v>2596</v>
      </c>
      <c r="C973">
        <v>37</v>
      </c>
      <c r="F973" t="s">
        <v>1241</v>
      </c>
      <c r="G973" t="s">
        <v>1700</v>
      </c>
      <c r="I973">
        <v>2017</v>
      </c>
      <c r="N973" t="s">
        <v>36</v>
      </c>
      <c r="P973" t="s">
        <v>60</v>
      </c>
      <c r="Q973" t="s">
        <v>900</v>
      </c>
      <c r="R973" t="s">
        <v>946</v>
      </c>
      <c r="S973" t="s">
        <v>950</v>
      </c>
      <c r="V973" t="s">
        <v>1015</v>
      </c>
      <c r="Z973">
        <v>35</v>
      </c>
      <c r="AA973">
        <v>35</v>
      </c>
      <c r="AC973">
        <v>448</v>
      </c>
      <c r="AD973">
        <v>23.5</v>
      </c>
      <c r="AE973">
        <v>1938</v>
      </c>
      <c r="AF973">
        <v>26.1</v>
      </c>
      <c r="AG973" t="s">
        <v>3346</v>
      </c>
      <c r="AH973">
        <v>3.2873537727147464</v>
      </c>
      <c r="AI973">
        <v>23.5</v>
      </c>
      <c r="AJ973" t="s">
        <v>1099</v>
      </c>
      <c r="AK973" t="s">
        <v>40</v>
      </c>
      <c r="AM973"/>
      <c r="AN973">
        <v>138.66999999999999</v>
      </c>
      <c r="AO973">
        <v>47.328638264796929</v>
      </c>
      <c r="AP973">
        <v>138.66999999999999</v>
      </c>
      <c r="AQ973">
        <v>31.532705243920955</v>
      </c>
      <c r="AS973">
        <v>0</v>
      </c>
      <c r="AT973">
        <v>4.7999999999999996E-3</v>
      </c>
      <c r="AW973" s="28">
        <f t="shared" si="75"/>
        <v>0</v>
      </c>
      <c r="AX973">
        <f t="shared" si="76"/>
        <v>0.98892988929889303</v>
      </c>
      <c r="AY973" s="62">
        <f t="shared" si="77"/>
        <v>0</v>
      </c>
      <c r="AZ973" s="68" t="str">
        <f t="shared" si="78"/>
        <v>No</v>
      </c>
      <c r="BA973" s="68" t="str">
        <f t="shared" si="79"/>
        <v>No</v>
      </c>
    </row>
    <row r="974" spans="1:53" hidden="1">
      <c r="A974" t="s">
        <v>1815</v>
      </c>
      <c r="B974" t="s">
        <v>2511</v>
      </c>
      <c r="C974">
        <v>14</v>
      </c>
      <c r="F974" t="s">
        <v>1241</v>
      </c>
      <c r="G974" t="s">
        <v>1695</v>
      </c>
      <c r="I974">
        <v>2015</v>
      </c>
      <c r="N974" t="s">
        <v>36</v>
      </c>
      <c r="P974" t="s">
        <v>60</v>
      </c>
      <c r="Q974" t="s">
        <v>900</v>
      </c>
      <c r="R974" t="s">
        <v>1742</v>
      </c>
      <c r="S974" t="s">
        <v>1750</v>
      </c>
      <c r="V974" t="s">
        <v>905</v>
      </c>
      <c r="Z974">
        <v>6</v>
      </c>
      <c r="AA974">
        <v>6</v>
      </c>
      <c r="AC974">
        <v>454</v>
      </c>
      <c r="AD974">
        <v>17.2</v>
      </c>
      <c r="AE974">
        <v>1154</v>
      </c>
      <c r="AF974">
        <v>17.2</v>
      </c>
      <c r="AG974" t="s">
        <v>3339</v>
      </c>
      <c r="AH974">
        <v>3.0622058088197126</v>
      </c>
      <c r="AI974">
        <v>17.2</v>
      </c>
      <c r="AJ974" t="s">
        <v>69</v>
      </c>
      <c r="AK974" t="s">
        <v>69</v>
      </c>
      <c r="AM974"/>
      <c r="AN974">
        <v>7.77</v>
      </c>
      <c r="AO974">
        <v>4.0661529730200749</v>
      </c>
      <c r="AP974">
        <v>7.28</v>
      </c>
      <c r="AQ974">
        <v>5.4133723315508231</v>
      </c>
      <c r="AS974">
        <v>-6.4000000000000001E-2</v>
      </c>
      <c r="AT974">
        <v>0.1376</v>
      </c>
      <c r="AW974" s="28">
        <f t="shared" si="75"/>
        <v>-0.10235222787336455</v>
      </c>
      <c r="AX974">
        <f t="shared" si="76"/>
        <v>0.92307692307692313</v>
      </c>
      <c r="AY974" s="62">
        <f t="shared" si="77"/>
        <v>-9.4478979575413444E-2</v>
      </c>
      <c r="AZ974" s="68" t="str">
        <f t="shared" si="78"/>
        <v>No</v>
      </c>
      <c r="BA974" s="68" t="str">
        <f t="shared" si="79"/>
        <v>No</v>
      </c>
    </row>
    <row r="975" spans="1:53" hidden="1">
      <c r="A975" t="s">
        <v>1815</v>
      </c>
      <c r="B975" t="s">
        <v>2512</v>
      </c>
      <c r="C975">
        <v>14</v>
      </c>
      <c r="F975" t="s">
        <v>1241</v>
      </c>
      <c r="G975" t="s">
        <v>1695</v>
      </c>
      <c r="I975">
        <v>2010</v>
      </c>
      <c r="N975" t="s">
        <v>36</v>
      </c>
      <c r="P975" t="s">
        <v>60</v>
      </c>
      <c r="Q975" t="s">
        <v>900</v>
      </c>
      <c r="R975" t="s">
        <v>1742</v>
      </c>
      <c r="S975" t="s">
        <v>1750</v>
      </c>
      <c r="V975" t="s">
        <v>905</v>
      </c>
      <c r="Z975">
        <v>18</v>
      </c>
      <c r="AA975">
        <v>18</v>
      </c>
      <c r="AC975">
        <v>454</v>
      </c>
      <c r="AD975">
        <v>17.2</v>
      </c>
      <c r="AE975">
        <v>1154</v>
      </c>
      <c r="AF975">
        <v>17.2</v>
      </c>
      <c r="AG975" t="s">
        <v>3339</v>
      </c>
      <c r="AH975">
        <v>3.0622058088197126</v>
      </c>
      <c r="AI975">
        <v>17.2</v>
      </c>
      <c r="AJ975" t="s">
        <v>1205</v>
      </c>
      <c r="AK975" t="s">
        <v>40</v>
      </c>
      <c r="AM975"/>
      <c r="AN975">
        <v>13.31</v>
      </c>
      <c r="AO975">
        <v>1.5273506473629426</v>
      </c>
      <c r="AP975">
        <v>13.2</v>
      </c>
      <c r="AQ975">
        <v>1.654629867976521</v>
      </c>
      <c r="AS975">
        <v>-8.0000000000000002E-3</v>
      </c>
      <c r="AT975">
        <v>1.6000000000000001E-3</v>
      </c>
      <c r="AW975" s="28">
        <f t="shared" si="75"/>
        <v>-6.9084084537627835E-2</v>
      </c>
      <c r="AX975">
        <f t="shared" si="76"/>
        <v>0.97777777777777775</v>
      </c>
      <c r="AY975" s="62">
        <f t="shared" si="77"/>
        <v>-6.7548882659013876E-2</v>
      </c>
      <c r="AZ975" s="68" t="str">
        <f t="shared" si="78"/>
        <v>No</v>
      </c>
      <c r="BA975" s="68" t="str">
        <f t="shared" si="79"/>
        <v>No</v>
      </c>
    </row>
    <row r="976" spans="1:53" hidden="1">
      <c r="A976" t="s">
        <v>1815</v>
      </c>
      <c r="B976" t="s">
        <v>2514</v>
      </c>
      <c r="C976">
        <v>14</v>
      </c>
      <c r="F976" t="s">
        <v>1241</v>
      </c>
      <c r="G976" t="s">
        <v>1695</v>
      </c>
      <c r="I976">
        <v>2010</v>
      </c>
      <c r="N976" t="s">
        <v>36</v>
      </c>
      <c r="P976" t="s">
        <v>60</v>
      </c>
      <c r="Q976" t="s">
        <v>900</v>
      </c>
      <c r="R976" t="s">
        <v>1742</v>
      </c>
      <c r="S976" t="s">
        <v>1750</v>
      </c>
      <c r="V976" t="s">
        <v>905</v>
      </c>
      <c r="Z976">
        <v>9</v>
      </c>
      <c r="AA976">
        <v>9</v>
      </c>
      <c r="AC976">
        <v>454</v>
      </c>
      <c r="AD976">
        <v>17.2</v>
      </c>
      <c r="AE976">
        <v>1154</v>
      </c>
      <c r="AF976">
        <v>17.2</v>
      </c>
      <c r="AG976" t="s">
        <v>3339</v>
      </c>
      <c r="AH976">
        <v>3.0622058088197126</v>
      </c>
      <c r="AI976">
        <v>17.2</v>
      </c>
      <c r="AJ976" t="s">
        <v>1796</v>
      </c>
      <c r="AK976" t="s">
        <v>904</v>
      </c>
      <c r="AM976"/>
      <c r="AN976">
        <v>3.81</v>
      </c>
      <c r="AO976">
        <v>0.92999999999999994</v>
      </c>
      <c r="AP976">
        <v>4.04</v>
      </c>
      <c r="AQ976">
        <v>0.99</v>
      </c>
      <c r="AS976">
        <v>5.8999999999999997E-2</v>
      </c>
      <c r="AT976">
        <v>1.3299999999999999E-2</v>
      </c>
      <c r="AW976" s="28">
        <f t="shared" si="75"/>
        <v>0.23946643489586264</v>
      </c>
      <c r="AX976">
        <f t="shared" si="76"/>
        <v>0.95238095238095233</v>
      </c>
      <c r="AY976" s="62">
        <f t="shared" si="77"/>
        <v>0.22806327132939297</v>
      </c>
      <c r="AZ976" s="68" t="str">
        <f t="shared" si="78"/>
        <v>No</v>
      </c>
      <c r="BA976" s="68" t="str">
        <f t="shared" si="79"/>
        <v>No</v>
      </c>
    </row>
    <row r="977" spans="1:53" hidden="1">
      <c r="A977" t="s">
        <v>1815</v>
      </c>
      <c r="B977" t="s">
        <v>2509</v>
      </c>
      <c r="C977">
        <v>14</v>
      </c>
      <c r="F977" t="s">
        <v>1241</v>
      </c>
      <c r="G977" t="s">
        <v>1695</v>
      </c>
      <c r="I977">
        <v>2015</v>
      </c>
      <c r="N977" t="s">
        <v>36</v>
      </c>
      <c r="P977" t="s">
        <v>60</v>
      </c>
      <c r="Q977" t="s">
        <v>900</v>
      </c>
      <c r="R977" t="s">
        <v>1742</v>
      </c>
      <c r="S977" t="s">
        <v>1750</v>
      </c>
      <c r="V977" t="s">
        <v>907</v>
      </c>
      <c r="Z977">
        <v>18</v>
      </c>
      <c r="AA977">
        <v>18</v>
      </c>
      <c r="AC977">
        <v>454</v>
      </c>
      <c r="AD977">
        <v>17.2</v>
      </c>
      <c r="AE977">
        <v>426</v>
      </c>
      <c r="AF977">
        <v>21.3</v>
      </c>
      <c r="AG977" t="s">
        <v>3339</v>
      </c>
      <c r="AH977">
        <v>2.6294095991027189</v>
      </c>
      <c r="AI977">
        <v>17.2</v>
      </c>
      <c r="AJ977" t="s">
        <v>1205</v>
      </c>
      <c r="AK977" t="s">
        <v>40</v>
      </c>
      <c r="AM977"/>
      <c r="AN977">
        <v>13.31</v>
      </c>
      <c r="AO977">
        <v>1.5273506473629426</v>
      </c>
      <c r="AP977">
        <v>12.15</v>
      </c>
      <c r="AQ977">
        <v>0.67882250993908555</v>
      </c>
      <c r="AS977">
        <v>-9.0999999999999998E-2</v>
      </c>
      <c r="AT977">
        <v>8.9999999999999998E-4</v>
      </c>
      <c r="AW977" s="28">
        <f t="shared" si="75"/>
        <v>-0.98150129296249866</v>
      </c>
      <c r="AX977">
        <f t="shared" si="76"/>
        <v>0.97777777777777775</v>
      </c>
      <c r="AY977" s="62">
        <f t="shared" si="77"/>
        <v>-0.9596901531188875</v>
      </c>
      <c r="AZ977" s="68" t="str">
        <f t="shared" si="78"/>
        <v>No</v>
      </c>
      <c r="BA977" s="68" t="str">
        <f t="shared" si="79"/>
        <v>No</v>
      </c>
    </row>
    <row r="978" spans="1:53" hidden="1">
      <c r="A978" t="s">
        <v>1815</v>
      </c>
      <c r="B978" t="s">
        <v>2513</v>
      </c>
      <c r="C978">
        <v>14</v>
      </c>
      <c r="F978" t="s">
        <v>1241</v>
      </c>
      <c r="G978" t="s">
        <v>1695</v>
      </c>
      <c r="I978">
        <v>2010</v>
      </c>
      <c r="N978" t="s">
        <v>36</v>
      </c>
      <c r="P978" t="s">
        <v>60</v>
      </c>
      <c r="Q978" t="s">
        <v>900</v>
      </c>
      <c r="R978" t="s">
        <v>1742</v>
      </c>
      <c r="S978" t="s">
        <v>1750</v>
      </c>
      <c r="V978" t="s">
        <v>907</v>
      </c>
      <c r="Z978">
        <v>9</v>
      </c>
      <c r="AA978">
        <v>9</v>
      </c>
      <c r="AC978">
        <v>454</v>
      </c>
      <c r="AD978">
        <v>17.2</v>
      </c>
      <c r="AE978">
        <v>426</v>
      </c>
      <c r="AF978">
        <v>21.3</v>
      </c>
      <c r="AG978" t="s">
        <v>3339</v>
      </c>
      <c r="AH978">
        <v>2.6294095991027189</v>
      </c>
      <c r="AI978">
        <v>17.2</v>
      </c>
      <c r="AJ978" t="s">
        <v>1796</v>
      </c>
      <c r="AK978" t="s">
        <v>904</v>
      </c>
      <c r="AM978"/>
      <c r="AN978">
        <v>3.81</v>
      </c>
      <c r="AO978">
        <v>0.92999999999999994</v>
      </c>
      <c r="AP978">
        <v>4.03</v>
      </c>
      <c r="AQ978">
        <v>0.48</v>
      </c>
      <c r="AS978">
        <v>5.7000000000000002E-2</v>
      </c>
      <c r="AT978">
        <v>8.0999999999999996E-3</v>
      </c>
      <c r="AW978" s="28">
        <f t="shared" si="75"/>
        <v>0.29728372548668142</v>
      </c>
      <c r="AX978">
        <f t="shared" si="76"/>
        <v>0.95238095238095233</v>
      </c>
      <c r="AY978" s="62">
        <f t="shared" si="77"/>
        <v>0.28312735760636326</v>
      </c>
      <c r="AZ978" s="68" t="str">
        <f t="shared" si="78"/>
        <v>No</v>
      </c>
      <c r="BA978" s="68" t="str">
        <f t="shared" si="79"/>
        <v>No</v>
      </c>
    </row>
    <row r="979" spans="1:53" hidden="1">
      <c r="A979" t="s">
        <v>1815</v>
      </c>
      <c r="B979" t="s">
        <v>2515</v>
      </c>
      <c r="C979">
        <v>14</v>
      </c>
      <c r="F979" t="s">
        <v>1241</v>
      </c>
      <c r="G979" t="s">
        <v>1695</v>
      </c>
      <c r="I979">
        <v>2010</v>
      </c>
      <c r="N979" t="s">
        <v>36</v>
      </c>
      <c r="P979" t="s">
        <v>60</v>
      </c>
      <c r="Q979" t="s">
        <v>900</v>
      </c>
      <c r="R979" t="s">
        <v>1742</v>
      </c>
      <c r="S979" t="s">
        <v>1750</v>
      </c>
      <c r="V979" t="s">
        <v>907</v>
      </c>
      <c r="Z979">
        <v>6</v>
      </c>
      <c r="AA979">
        <v>6</v>
      </c>
      <c r="AC979">
        <v>454</v>
      </c>
      <c r="AD979">
        <v>17.2</v>
      </c>
      <c r="AE979">
        <v>426</v>
      </c>
      <c r="AF979">
        <v>21.3</v>
      </c>
      <c r="AG979" t="s">
        <v>3339</v>
      </c>
      <c r="AH979">
        <v>2.6294095991027189</v>
      </c>
      <c r="AI979">
        <v>17.2</v>
      </c>
      <c r="AJ979" t="s">
        <v>69</v>
      </c>
      <c r="AK979" t="s">
        <v>69</v>
      </c>
      <c r="AM979"/>
      <c r="AN979">
        <v>7.77</v>
      </c>
      <c r="AO979">
        <v>4.0661529730200749</v>
      </c>
      <c r="AP979">
        <v>19.510000000000002</v>
      </c>
      <c r="AQ979">
        <v>12.173964021632393</v>
      </c>
      <c r="AS979">
        <v>0.92100000000000004</v>
      </c>
      <c r="AT979">
        <v>0.1105</v>
      </c>
      <c r="AW979" s="28">
        <f t="shared" si="75"/>
        <v>1.2935549495311918</v>
      </c>
      <c r="AX979">
        <f t="shared" si="76"/>
        <v>0.92307692307692313</v>
      </c>
      <c r="AY979" s="62">
        <f t="shared" si="77"/>
        <v>1.194050722644177</v>
      </c>
      <c r="AZ979" s="68" t="str">
        <f t="shared" si="78"/>
        <v>No</v>
      </c>
      <c r="BA979" s="68" t="str">
        <f t="shared" si="79"/>
        <v>No</v>
      </c>
    </row>
    <row r="980" spans="1:53" hidden="1">
      <c r="A980" t="s">
        <v>1815</v>
      </c>
      <c r="B980" t="s">
        <v>2508</v>
      </c>
      <c r="C980">
        <v>14</v>
      </c>
      <c r="F980" t="s">
        <v>1241</v>
      </c>
      <c r="G980" t="s">
        <v>1695</v>
      </c>
      <c r="I980">
        <v>2015</v>
      </c>
      <c r="N980" t="s">
        <v>36</v>
      </c>
      <c r="P980" t="s">
        <v>60</v>
      </c>
      <c r="Q980" t="s">
        <v>900</v>
      </c>
      <c r="R980" t="s">
        <v>1742</v>
      </c>
      <c r="S980" t="s">
        <v>1750</v>
      </c>
      <c r="V980" t="s">
        <v>1015</v>
      </c>
      <c r="Z980">
        <v>9</v>
      </c>
      <c r="AA980">
        <v>9</v>
      </c>
      <c r="AC980">
        <v>454</v>
      </c>
      <c r="AD980">
        <v>17.2</v>
      </c>
      <c r="AE980">
        <v>1181</v>
      </c>
      <c r="AF980">
        <v>21.3</v>
      </c>
      <c r="AG980" t="s">
        <v>3339</v>
      </c>
      <c r="AH980">
        <v>3.0722498976135149</v>
      </c>
      <c r="AI980">
        <v>17.2</v>
      </c>
      <c r="AJ980" t="s">
        <v>1796</v>
      </c>
      <c r="AK980" t="s">
        <v>904</v>
      </c>
      <c r="AM980"/>
      <c r="AN980">
        <v>3.81</v>
      </c>
      <c r="AO980">
        <v>0.92999999999999994</v>
      </c>
      <c r="AP980">
        <v>2.8</v>
      </c>
      <c r="AQ980">
        <v>1.17</v>
      </c>
      <c r="AS980">
        <v>-0.307</v>
      </c>
      <c r="AT980">
        <v>2.6200000000000001E-2</v>
      </c>
      <c r="AW980" s="28">
        <f t="shared" si="75"/>
        <v>-0.95568380893616045</v>
      </c>
      <c r="AX980">
        <f t="shared" si="76"/>
        <v>0.95238095238095233</v>
      </c>
      <c r="AY980" s="62">
        <f t="shared" si="77"/>
        <v>-0.91017505612967653</v>
      </c>
      <c r="AZ980" s="68" t="str">
        <f t="shared" si="78"/>
        <v>No</v>
      </c>
      <c r="BA980" s="68" t="str">
        <f t="shared" si="79"/>
        <v>No</v>
      </c>
    </row>
    <row r="981" spans="1:53" hidden="1">
      <c r="A981" t="s">
        <v>1815</v>
      </c>
      <c r="B981" t="s">
        <v>2510</v>
      </c>
      <c r="C981">
        <v>14</v>
      </c>
      <c r="F981" t="s">
        <v>1241</v>
      </c>
      <c r="G981" t="s">
        <v>1695</v>
      </c>
      <c r="I981">
        <v>2015</v>
      </c>
      <c r="N981" t="s">
        <v>36</v>
      </c>
      <c r="P981" t="s">
        <v>60</v>
      </c>
      <c r="Q981" t="s">
        <v>900</v>
      </c>
      <c r="R981" t="s">
        <v>1742</v>
      </c>
      <c r="S981" t="s">
        <v>1750</v>
      </c>
      <c r="V981" t="s">
        <v>1015</v>
      </c>
      <c r="Z981">
        <v>18</v>
      </c>
      <c r="AA981">
        <v>18</v>
      </c>
      <c r="AC981">
        <v>454</v>
      </c>
      <c r="AD981">
        <v>17.2</v>
      </c>
      <c r="AE981">
        <v>1181</v>
      </c>
      <c r="AF981">
        <v>21.3</v>
      </c>
      <c r="AG981" t="s">
        <v>3339</v>
      </c>
      <c r="AH981">
        <v>3.0722498976135149</v>
      </c>
      <c r="AI981">
        <v>17.2</v>
      </c>
      <c r="AJ981" t="s">
        <v>1205</v>
      </c>
      <c r="AK981" t="s">
        <v>40</v>
      </c>
      <c r="AM981"/>
      <c r="AN981">
        <v>13.31</v>
      </c>
      <c r="AO981">
        <v>1.5273506473629426</v>
      </c>
      <c r="AP981">
        <v>12.42</v>
      </c>
      <c r="AQ981">
        <v>0.67882250993908555</v>
      </c>
      <c r="AS981">
        <v>-6.9000000000000006E-2</v>
      </c>
      <c r="AT981">
        <v>8.9999999999999998E-4</v>
      </c>
      <c r="AW981" s="28">
        <f t="shared" si="75"/>
        <v>-0.75304840580743471</v>
      </c>
      <c r="AX981">
        <f t="shared" si="76"/>
        <v>0.97777777777777775</v>
      </c>
      <c r="AY981" s="62">
        <f t="shared" si="77"/>
        <v>-0.73631399678949172</v>
      </c>
      <c r="AZ981" s="68" t="str">
        <f t="shared" si="78"/>
        <v>No</v>
      </c>
      <c r="BA981" s="68" t="str">
        <f t="shared" si="79"/>
        <v>No</v>
      </c>
    </row>
    <row r="982" spans="1:53" hidden="1">
      <c r="A982" t="s">
        <v>1815</v>
      </c>
      <c r="B982" t="s">
        <v>2516</v>
      </c>
      <c r="C982">
        <v>14</v>
      </c>
      <c r="F982" t="s">
        <v>1241</v>
      </c>
      <c r="G982" t="s">
        <v>1695</v>
      </c>
      <c r="I982">
        <v>2010</v>
      </c>
      <c r="N982" t="s">
        <v>36</v>
      </c>
      <c r="P982" t="s">
        <v>60</v>
      </c>
      <c r="Q982" t="s">
        <v>900</v>
      </c>
      <c r="R982" t="s">
        <v>1742</v>
      </c>
      <c r="S982" t="s">
        <v>1750</v>
      </c>
      <c r="V982" t="s">
        <v>1015</v>
      </c>
      <c r="Z982">
        <v>6</v>
      </c>
      <c r="AA982">
        <v>6</v>
      </c>
      <c r="AC982">
        <v>454</v>
      </c>
      <c r="AD982">
        <v>17.2</v>
      </c>
      <c r="AE982">
        <v>1181</v>
      </c>
      <c r="AF982">
        <v>21.3</v>
      </c>
      <c r="AG982" t="s">
        <v>3339</v>
      </c>
      <c r="AH982">
        <v>3.0722498976135149</v>
      </c>
      <c r="AI982">
        <v>17.2</v>
      </c>
      <c r="AJ982" t="s">
        <v>69</v>
      </c>
      <c r="AK982" t="s">
        <v>69</v>
      </c>
      <c r="AM982"/>
      <c r="AN982">
        <v>7.77</v>
      </c>
      <c r="AO982">
        <v>4.0661529730200749</v>
      </c>
      <c r="AP982">
        <v>25.38</v>
      </c>
      <c r="AQ982">
        <v>23.000708684734043</v>
      </c>
      <c r="AS982">
        <v>1.1839999999999999</v>
      </c>
      <c r="AT982">
        <v>0.1825</v>
      </c>
      <c r="AW982" s="28">
        <f t="shared" si="75"/>
        <v>1.0662293317251177</v>
      </c>
      <c r="AX982">
        <f t="shared" si="76"/>
        <v>0.92307692307692313</v>
      </c>
      <c r="AY982" s="62">
        <f t="shared" si="77"/>
        <v>0.9842116908231856</v>
      </c>
      <c r="AZ982" s="68" t="str">
        <f t="shared" si="78"/>
        <v>No</v>
      </c>
      <c r="BA982" s="68" t="str">
        <f t="shared" si="79"/>
        <v>No</v>
      </c>
    </row>
    <row r="983" spans="1:53" hidden="1">
      <c r="A983" t="s">
        <v>1815</v>
      </c>
      <c r="B983" t="s">
        <v>2946</v>
      </c>
      <c r="C983">
        <v>236</v>
      </c>
      <c r="F983" t="s">
        <v>1241</v>
      </c>
      <c r="G983" t="s">
        <v>1727</v>
      </c>
      <c r="I983">
        <v>2010</v>
      </c>
      <c r="N983" t="s">
        <v>36</v>
      </c>
      <c r="P983" t="s">
        <v>60</v>
      </c>
      <c r="Q983" t="s">
        <v>900</v>
      </c>
      <c r="R983" t="s">
        <v>946</v>
      </c>
      <c r="S983" t="s">
        <v>1771</v>
      </c>
      <c r="V983" t="s">
        <v>905</v>
      </c>
      <c r="Z983">
        <v>75</v>
      </c>
      <c r="AA983">
        <v>75</v>
      </c>
      <c r="AC983">
        <v>491</v>
      </c>
      <c r="AD983">
        <v>28</v>
      </c>
      <c r="AE983">
        <v>902</v>
      </c>
      <c r="AF983">
        <v>27</v>
      </c>
      <c r="AG983" t="s">
        <v>3382</v>
      </c>
      <c r="AH983">
        <v>2.9552065375419416</v>
      </c>
      <c r="AI983">
        <v>28</v>
      </c>
      <c r="AJ983" t="s">
        <v>1811</v>
      </c>
      <c r="AK983" t="s">
        <v>770</v>
      </c>
      <c r="AM983"/>
      <c r="AN983">
        <v>69.865319869999993</v>
      </c>
      <c r="AO983">
        <v>1.1858035867220513</v>
      </c>
      <c r="AP983">
        <v>64.309764310000006</v>
      </c>
      <c r="AQ983">
        <v>2.5465617900614617</v>
      </c>
      <c r="AS983">
        <v>-8.3000000000000004E-2</v>
      </c>
      <c r="AT983">
        <v>0</v>
      </c>
      <c r="AW983" s="28">
        <f t="shared" si="75"/>
        <v>-2.7968780093068815</v>
      </c>
      <c r="AX983">
        <f t="shared" si="76"/>
        <v>0.99492385786802029</v>
      </c>
      <c r="AY983" s="62">
        <f t="shared" si="77"/>
        <v>-2.7826806590058313</v>
      </c>
      <c r="AZ983" s="68" t="str">
        <f t="shared" si="78"/>
        <v>No</v>
      </c>
      <c r="BA983" s="68" t="str">
        <f t="shared" si="79"/>
        <v>No</v>
      </c>
    </row>
    <row r="984" spans="1:53" hidden="1">
      <c r="A984" t="s">
        <v>1815</v>
      </c>
      <c r="B984" t="s">
        <v>2918</v>
      </c>
      <c r="C984">
        <v>236</v>
      </c>
      <c r="F984" t="s">
        <v>1241</v>
      </c>
      <c r="G984" t="s">
        <v>1727</v>
      </c>
      <c r="I984">
        <v>2010</v>
      </c>
      <c r="N984" t="s">
        <v>36</v>
      </c>
      <c r="P984" t="s">
        <v>60</v>
      </c>
      <c r="Q984" t="s">
        <v>900</v>
      </c>
      <c r="R984" t="s">
        <v>946</v>
      </c>
      <c r="S984" t="s">
        <v>1771</v>
      </c>
      <c r="V984" t="s">
        <v>907</v>
      </c>
      <c r="Z984">
        <v>75</v>
      </c>
      <c r="AA984">
        <v>75</v>
      </c>
      <c r="AC984">
        <v>491</v>
      </c>
      <c r="AD984">
        <v>28</v>
      </c>
      <c r="AE984">
        <v>564</v>
      </c>
      <c r="AF984">
        <v>30</v>
      </c>
      <c r="AG984" t="s">
        <v>3382</v>
      </c>
      <c r="AH984">
        <v>2.7512791039833422</v>
      </c>
      <c r="AI984">
        <v>28</v>
      </c>
      <c r="AJ984" t="s">
        <v>1811</v>
      </c>
      <c r="AK984" t="s">
        <v>770</v>
      </c>
      <c r="AM984"/>
      <c r="AN984">
        <v>69.865319869999993</v>
      </c>
      <c r="AO984">
        <v>1.1858035867220513</v>
      </c>
      <c r="AP984">
        <v>28.619528620000001</v>
      </c>
      <c r="AQ984">
        <v>0.56374268337458744</v>
      </c>
      <c r="AS984">
        <v>-0.89200000000000002</v>
      </c>
      <c r="AT984">
        <v>0</v>
      </c>
      <c r="AW984" s="28">
        <f t="shared" si="75"/>
        <v>-44.425678864171275</v>
      </c>
      <c r="AX984">
        <f t="shared" si="76"/>
        <v>0.99492385786802029</v>
      </c>
      <c r="AY984" s="62">
        <f t="shared" si="77"/>
        <v>-44.200167803947053</v>
      </c>
      <c r="AZ984" s="68" t="str">
        <f t="shared" si="78"/>
        <v>No</v>
      </c>
      <c r="BA984" s="68" t="str">
        <f t="shared" si="79"/>
        <v>Yes</v>
      </c>
    </row>
    <row r="985" spans="1:53" hidden="1">
      <c r="A985" t="s">
        <v>1815</v>
      </c>
      <c r="B985" t="s">
        <v>2942</v>
      </c>
      <c r="C985">
        <v>236</v>
      </c>
      <c r="F985" t="s">
        <v>1241</v>
      </c>
      <c r="G985" t="s">
        <v>1727</v>
      </c>
      <c r="I985">
        <v>2018</v>
      </c>
      <c r="N985" t="s">
        <v>36</v>
      </c>
      <c r="P985" t="s">
        <v>60</v>
      </c>
      <c r="Q985" t="s">
        <v>900</v>
      </c>
      <c r="R985" t="s">
        <v>946</v>
      </c>
      <c r="S985" t="s">
        <v>1771</v>
      </c>
      <c r="V985" t="s">
        <v>907</v>
      </c>
      <c r="Z985">
        <v>75</v>
      </c>
      <c r="AA985">
        <v>75</v>
      </c>
      <c r="AC985">
        <v>491</v>
      </c>
      <c r="AD985">
        <v>28</v>
      </c>
      <c r="AE985">
        <v>518</v>
      </c>
      <c r="AF985">
        <v>30</v>
      </c>
      <c r="AG985" t="s">
        <v>3382</v>
      </c>
      <c r="AH985">
        <v>2.7143297597452332</v>
      </c>
      <c r="AI985">
        <v>28</v>
      </c>
      <c r="AJ985" t="s">
        <v>1811</v>
      </c>
      <c r="AK985" t="s">
        <v>770</v>
      </c>
      <c r="AM985"/>
      <c r="AN985">
        <v>69.865319869999993</v>
      </c>
      <c r="AO985">
        <v>1.1858035867220513</v>
      </c>
      <c r="AP985">
        <v>59.25925926</v>
      </c>
      <c r="AQ985">
        <v>0.89421253881919349</v>
      </c>
      <c r="AS985">
        <v>-0.16500000000000001</v>
      </c>
      <c r="AT985">
        <v>0</v>
      </c>
      <c r="AW985" s="28">
        <f t="shared" si="75"/>
        <v>-10.099301358524372</v>
      </c>
      <c r="AX985">
        <f t="shared" si="76"/>
        <v>0.99492385786802029</v>
      </c>
      <c r="AY985" s="62">
        <f t="shared" si="77"/>
        <v>-10.048035869394806</v>
      </c>
      <c r="AZ985" s="68" t="str">
        <f t="shared" si="78"/>
        <v>No</v>
      </c>
      <c r="BA985" s="68" t="str">
        <f t="shared" si="79"/>
        <v>Yes</v>
      </c>
    </row>
    <row r="986" spans="1:53" hidden="1">
      <c r="A986" t="s">
        <v>1815</v>
      </c>
      <c r="B986" t="s">
        <v>2924</v>
      </c>
      <c r="C986">
        <v>236</v>
      </c>
      <c r="F986" t="s">
        <v>1241</v>
      </c>
      <c r="G986" t="s">
        <v>1727</v>
      </c>
      <c r="I986">
        <v>2010</v>
      </c>
      <c r="N986" t="s">
        <v>36</v>
      </c>
      <c r="P986" t="s">
        <v>60</v>
      </c>
      <c r="Q986" t="s">
        <v>900</v>
      </c>
      <c r="R986" t="s">
        <v>946</v>
      </c>
      <c r="S986" t="s">
        <v>1771</v>
      </c>
      <c r="V986" t="s">
        <v>1015</v>
      </c>
      <c r="Z986">
        <v>75</v>
      </c>
      <c r="AA986">
        <v>75</v>
      </c>
      <c r="AC986">
        <v>491</v>
      </c>
      <c r="AD986">
        <v>28</v>
      </c>
      <c r="AE986">
        <v>915</v>
      </c>
      <c r="AF986">
        <v>31</v>
      </c>
      <c r="AG986" t="s">
        <v>3382</v>
      </c>
      <c r="AH986">
        <v>2.9614210940664485</v>
      </c>
      <c r="AI986">
        <v>28</v>
      </c>
      <c r="AJ986" t="s">
        <v>1811</v>
      </c>
      <c r="AK986" t="s">
        <v>770</v>
      </c>
      <c r="AM986"/>
      <c r="AN986">
        <v>69.865319869999993</v>
      </c>
      <c r="AO986">
        <v>1.1858035867220513</v>
      </c>
      <c r="AP986">
        <v>35.858585859999998</v>
      </c>
      <c r="AQ986">
        <v>1.6134704523607739</v>
      </c>
      <c r="AS986">
        <v>-0.66700000000000004</v>
      </c>
      <c r="AT986">
        <v>0</v>
      </c>
      <c r="AW986" s="28">
        <f t="shared" si="75"/>
        <v>-24.018136355493034</v>
      </c>
      <c r="AX986">
        <f t="shared" si="76"/>
        <v>0.99492385786802029</v>
      </c>
      <c r="AY986" s="62">
        <f t="shared" si="77"/>
        <v>-23.896216881607284</v>
      </c>
      <c r="AZ986" s="68" t="str">
        <f t="shared" si="78"/>
        <v>No</v>
      </c>
      <c r="BA986" s="68" t="str">
        <f t="shared" si="79"/>
        <v>Yes</v>
      </c>
    </row>
    <row r="987" spans="1:53" hidden="1">
      <c r="A987" t="s">
        <v>1815</v>
      </c>
      <c r="B987" t="s">
        <v>2941</v>
      </c>
      <c r="C987">
        <v>236</v>
      </c>
      <c r="F987" t="s">
        <v>1241</v>
      </c>
      <c r="G987" t="s">
        <v>1727</v>
      </c>
      <c r="I987">
        <v>2017</v>
      </c>
      <c r="N987" t="s">
        <v>36</v>
      </c>
      <c r="P987" t="s">
        <v>60</v>
      </c>
      <c r="Q987" t="s">
        <v>900</v>
      </c>
      <c r="R987" t="s">
        <v>946</v>
      </c>
      <c r="S987" t="s">
        <v>1771</v>
      </c>
      <c r="V987" t="s">
        <v>1015</v>
      </c>
      <c r="Z987">
        <v>75</v>
      </c>
      <c r="AA987">
        <v>75</v>
      </c>
      <c r="AC987">
        <v>491</v>
      </c>
      <c r="AD987">
        <v>28</v>
      </c>
      <c r="AE987">
        <v>950</v>
      </c>
      <c r="AF987">
        <v>30</v>
      </c>
      <c r="AG987" t="s">
        <v>3382</v>
      </c>
      <c r="AH987">
        <v>2.9777236052888476</v>
      </c>
      <c r="AI987">
        <v>28</v>
      </c>
      <c r="AJ987" t="s">
        <v>1811</v>
      </c>
      <c r="AK987" t="s">
        <v>770</v>
      </c>
      <c r="AM987"/>
      <c r="AN987">
        <v>69.865319869999993</v>
      </c>
      <c r="AO987">
        <v>1.1858035867220513</v>
      </c>
      <c r="AP987">
        <v>57.912457910000001</v>
      </c>
      <c r="AQ987">
        <v>3.732365376783513</v>
      </c>
      <c r="AS987">
        <v>-0.188</v>
      </c>
      <c r="AT987">
        <v>1E-4</v>
      </c>
      <c r="AW987" s="28">
        <f t="shared" si="75"/>
        <v>-4.3163952228628713</v>
      </c>
      <c r="AX987">
        <f t="shared" si="76"/>
        <v>0.99492385786802029</v>
      </c>
      <c r="AY987" s="62">
        <f t="shared" si="77"/>
        <v>-4.2944845872138213</v>
      </c>
      <c r="AZ987" s="68" t="str">
        <f t="shared" si="78"/>
        <v>No</v>
      </c>
      <c r="BA987" s="68" t="str">
        <f t="shared" si="79"/>
        <v>No</v>
      </c>
    </row>
    <row r="988" spans="1:53" hidden="1">
      <c r="A988" t="s">
        <v>1815</v>
      </c>
      <c r="B988" t="s">
        <v>2405</v>
      </c>
      <c r="C988">
        <v>168</v>
      </c>
      <c r="F988" t="s">
        <v>1241</v>
      </c>
      <c r="G988" t="s">
        <v>1976</v>
      </c>
      <c r="I988">
        <v>2019</v>
      </c>
      <c r="N988" t="s">
        <v>36</v>
      </c>
      <c r="P988" t="s">
        <v>60</v>
      </c>
      <c r="Q988" t="s">
        <v>900</v>
      </c>
      <c r="R988" t="s">
        <v>888</v>
      </c>
      <c r="S988" t="s">
        <v>1995</v>
      </c>
      <c r="V988" t="s">
        <v>905</v>
      </c>
      <c r="Z988">
        <v>30</v>
      </c>
      <c r="AA988">
        <v>30</v>
      </c>
      <c r="AC988">
        <v>475</v>
      </c>
      <c r="AD988">
        <v>10.4</v>
      </c>
      <c r="AE988">
        <v>877</v>
      </c>
      <c r="AF988">
        <v>10.5</v>
      </c>
      <c r="AG988" t="s">
        <v>3434</v>
      </c>
      <c r="AI988">
        <v>10.4</v>
      </c>
      <c r="AJ988" t="s">
        <v>2009</v>
      </c>
      <c r="AK988" t="s">
        <v>40</v>
      </c>
      <c r="AN988">
        <v>1.23E-2</v>
      </c>
      <c r="AO988">
        <v>2.1908902300206644E-3</v>
      </c>
      <c r="AP988">
        <v>0.01</v>
      </c>
      <c r="AQ988">
        <v>5.4772255750516611E-4</v>
      </c>
      <c r="AS988">
        <v>-0.2077</v>
      </c>
      <c r="AT988">
        <v>1E-3</v>
      </c>
      <c r="AW988" s="28">
        <f t="shared" si="75"/>
        <v>-1.4403158694958438</v>
      </c>
      <c r="AX988">
        <f t="shared" si="76"/>
        <v>0.98701298701298701</v>
      </c>
      <c r="AY988" s="62">
        <f t="shared" si="77"/>
        <v>-1.4216104685933004</v>
      </c>
      <c r="AZ988" s="68" t="str">
        <f t="shared" si="78"/>
        <v>No</v>
      </c>
      <c r="BA988" s="68" t="str">
        <f t="shared" si="79"/>
        <v>No</v>
      </c>
    </row>
    <row r="989" spans="1:53" hidden="1">
      <c r="A989" t="s">
        <v>1815</v>
      </c>
      <c r="B989" t="s">
        <v>2220</v>
      </c>
      <c r="C989">
        <v>168</v>
      </c>
      <c r="F989" t="s">
        <v>1241</v>
      </c>
      <c r="G989" t="s">
        <v>1976</v>
      </c>
      <c r="I989">
        <v>2014</v>
      </c>
      <c r="N989" t="s">
        <v>36</v>
      </c>
      <c r="P989" t="s">
        <v>60</v>
      </c>
      <c r="Q989" t="s">
        <v>900</v>
      </c>
      <c r="R989" t="s">
        <v>888</v>
      </c>
      <c r="S989" t="s">
        <v>1995</v>
      </c>
      <c r="V989" t="s">
        <v>907</v>
      </c>
      <c r="Z989">
        <v>30</v>
      </c>
      <c r="AA989">
        <v>30</v>
      </c>
      <c r="AC989">
        <v>475</v>
      </c>
      <c r="AD989">
        <v>10.4</v>
      </c>
      <c r="AE989">
        <v>479</v>
      </c>
      <c r="AF989">
        <v>12.4</v>
      </c>
      <c r="AG989" t="s">
        <v>3434</v>
      </c>
      <c r="AI989">
        <v>10.4</v>
      </c>
      <c r="AJ989" t="s">
        <v>2009</v>
      </c>
      <c r="AK989" t="s">
        <v>40</v>
      </c>
      <c r="AN989">
        <v>1.23E-2</v>
      </c>
      <c r="AO989">
        <v>2.1908902300206644E-3</v>
      </c>
      <c r="AP989">
        <v>2.8400000000000002E-2</v>
      </c>
      <c r="AQ989">
        <v>4.9295030175464946E-3</v>
      </c>
      <c r="AS989">
        <v>0.83289999999999997</v>
      </c>
      <c r="AT989">
        <v>2E-3</v>
      </c>
      <c r="AW989" s="28">
        <f t="shared" si="75"/>
        <v>4.220796165999265</v>
      </c>
      <c r="AX989">
        <f t="shared" si="76"/>
        <v>0.98701298701298701</v>
      </c>
      <c r="AY989" s="62">
        <f t="shared" si="77"/>
        <v>4.1659806313758976</v>
      </c>
      <c r="AZ989" s="68" t="str">
        <f t="shared" si="78"/>
        <v>No</v>
      </c>
      <c r="BA989" s="68" t="str">
        <f t="shared" si="79"/>
        <v>No</v>
      </c>
    </row>
    <row r="990" spans="1:53" hidden="1">
      <c r="A990" t="s">
        <v>1815</v>
      </c>
      <c r="B990" t="s">
        <v>2228</v>
      </c>
      <c r="C990">
        <v>168</v>
      </c>
      <c r="F990" t="s">
        <v>1241</v>
      </c>
      <c r="G990" t="s">
        <v>1976</v>
      </c>
      <c r="I990">
        <v>2018</v>
      </c>
      <c r="N990" t="s">
        <v>36</v>
      </c>
      <c r="P990" t="s">
        <v>60</v>
      </c>
      <c r="Q990" t="s">
        <v>900</v>
      </c>
      <c r="R990" t="s">
        <v>888</v>
      </c>
      <c r="S990" t="s">
        <v>1995</v>
      </c>
      <c r="V990" t="s">
        <v>1015</v>
      </c>
      <c r="Z990">
        <v>30</v>
      </c>
      <c r="AA990">
        <v>30</v>
      </c>
      <c r="AC990">
        <v>475</v>
      </c>
      <c r="AD990">
        <v>10.4</v>
      </c>
      <c r="AE990">
        <v>938</v>
      </c>
      <c r="AF990">
        <v>12.7</v>
      </c>
      <c r="AG990" t="s">
        <v>3434</v>
      </c>
      <c r="AI990">
        <v>10.4</v>
      </c>
      <c r="AJ990" t="s">
        <v>2009</v>
      </c>
      <c r="AK990" t="s">
        <v>40</v>
      </c>
      <c r="AN990">
        <v>1.23E-2</v>
      </c>
      <c r="AO990">
        <v>2.1908902300206644E-3</v>
      </c>
      <c r="AP990">
        <v>2.5999999999999999E-2</v>
      </c>
      <c r="AQ990">
        <v>1.6431676725154982E-3</v>
      </c>
      <c r="AS990">
        <v>0.74780000000000002</v>
      </c>
      <c r="AT990">
        <v>1.1000000000000001E-3</v>
      </c>
      <c r="AW990" s="28">
        <f t="shared" si="75"/>
        <v>7.0746495790722141</v>
      </c>
      <c r="AX990">
        <f t="shared" si="76"/>
        <v>0.98701298701298701</v>
      </c>
      <c r="AY990" s="62">
        <f t="shared" si="77"/>
        <v>6.982771013110237</v>
      </c>
      <c r="AZ990" s="68" t="str">
        <f t="shared" si="78"/>
        <v>No</v>
      </c>
      <c r="BA990" s="68" t="str">
        <f t="shared" si="79"/>
        <v>No</v>
      </c>
    </row>
    <row r="991" spans="1:53" hidden="1">
      <c r="A991" t="s">
        <v>1815</v>
      </c>
      <c r="B991" t="s">
        <v>2965</v>
      </c>
      <c r="C991">
        <v>49</v>
      </c>
      <c r="F991" t="s">
        <v>1241</v>
      </c>
      <c r="G991" t="s">
        <v>1730</v>
      </c>
      <c r="I991">
        <v>2018</v>
      </c>
      <c r="N991" t="s">
        <v>36</v>
      </c>
      <c r="P991" t="s">
        <v>60</v>
      </c>
      <c r="Q991" t="s">
        <v>900</v>
      </c>
      <c r="R991" t="s">
        <v>1741</v>
      </c>
      <c r="S991" t="s">
        <v>1776</v>
      </c>
      <c r="V991" t="s">
        <v>905</v>
      </c>
      <c r="Z991">
        <v>5</v>
      </c>
      <c r="AA991">
        <v>5</v>
      </c>
      <c r="AC991">
        <v>681</v>
      </c>
      <c r="AD991" s="37">
        <v>15</v>
      </c>
      <c r="AE991">
        <v>1970</v>
      </c>
      <c r="AF991" s="37">
        <v>15</v>
      </c>
      <c r="AG991" t="s">
        <v>3385</v>
      </c>
      <c r="AH991">
        <v>3.2944662261615929</v>
      </c>
      <c r="AI991" s="37">
        <v>15</v>
      </c>
      <c r="AJ991" t="s">
        <v>1812</v>
      </c>
      <c r="AK991" t="s">
        <v>40</v>
      </c>
      <c r="AM991"/>
      <c r="AN991">
        <v>38.97</v>
      </c>
      <c r="AO991">
        <v>3.4659053651246743</v>
      </c>
      <c r="AP991">
        <v>12.76</v>
      </c>
      <c r="AQ991">
        <v>3.8460369212996386</v>
      </c>
      <c r="AS991">
        <v>-1.1160000000000001</v>
      </c>
      <c r="AT991">
        <v>1.9800000000000002E-2</v>
      </c>
      <c r="AW991" s="28">
        <f t="shared" si="75"/>
        <v>-7.1594253235738616</v>
      </c>
      <c r="AX991">
        <f t="shared" si="76"/>
        <v>0.90322580645161288</v>
      </c>
      <c r="AY991" s="62">
        <f t="shared" si="77"/>
        <v>-6.4665777116151011</v>
      </c>
      <c r="AZ991" s="68" t="str">
        <f t="shared" si="78"/>
        <v>No</v>
      </c>
      <c r="BA991" s="68" t="str">
        <f t="shared" si="79"/>
        <v>No</v>
      </c>
    </row>
    <row r="992" spans="1:53" hidden="1">
      <c r="A992" t="s">
        <v>1815</v>
      </c>
      <c r="B992" t="s">
        <v>2967</v>
      </c>
      <c r="C992">
        <v>49</v>
      </c>
      <c r="F992" t="s">
        <v>1241</v>
      </c>
      <c r="G992" t="s">
        <v>1730</v>
      </c>
      <c r="I992">
        <v>2018</v>
      </c>
      <c r="N992" t="s">
        <v>36</v>
      </c>
      <c r="P992" t="s">
        <v>60</v>
      </c>
      <c r="Q992" t="s">
        <v>900</v>
      </c>
      <c r="R992" t="s">
        <v>1741</v>
      </c>
      <c r="S992" t="s">
        <v>1776</v>
      </c>
      <c r="V992" t="s">
        <v>905</v>
      </c>
      <c r="Z992">
        <v>5</v>
      </c>
      <c r="AA992">
        <v>5</v>
      </c>
      <c r="AC992">
        <v>848</v>
      </c>
      <c r="AD992" s="37">
        <v>15</v>
      </c>
      <c r="AE992">
        <v>2717</v>
      </c>
      <c r="AF992" s="37">
        <v>15</v>
      </c>
      <c r="AG992" t="s">
        <v>3386</v>
      </c>
      <c r="AH992">
        <v>3.4340896384178907</v>
      </c>
      <c r="AI992" s="37">
        <v>15</v>
      </c>
      <c r="AJ992" t="s">
        <v>1812</v>
      </c>
      <c r="AK992" t="s">
        <v>40</v>
      </c>
      <c r="AM992"/>
      <c r="AN992">
        <v>22.07</v>
      </c>
      <c r="AO992">
        <v>6.9318107302493486</v>
      </c>
      <c r="AP992">
        <v>8.2799999999999994</v>
      </c>
      <c r="AQ992">
        <v>4.2485291572496005</v>
      </c>
      <c r="AS992">
        <v>-0.98099999999999998</v>
      </c>
      <c r="AT992">
        <v>7.2300000000000003E-2</v>
      </c>
      <c r="AW992" s="28">
        <f t="shared" si="75"/>
        <v>-2.3987143555992536</v>
      </c>
      <c r="AX992">
        <f t="shared" si="76"/>
        <v>0.90322580645161288</v>
      </c>
      <c r="AY992" s="62">
        <f t="shared" si="77"/>
        <v>-2.1665807082831967</v>
      </c>
      <c r="AZ992" s="68" t="str">
        <f t="shared" si="78"/>
        <v>No</v>
      </c>
      <c r="BA992" s="68" t="str">
        <f t="shared" si="79"/>
        <v>No</v>
      </c>
    </row>
    <row r="993" spans="1:53" hidden="1">
      <c r="A993" t="s">
        <v>1815</v>
      </c>
      <c r="B993" t="s">
        <v>2968</v>
      </c>
      <c r="C993">
        <v>49</v>
      </c>
      <c r="F993" t="s">
        <v>1241</v>
      </c>
      <c r="G993" t="s">
        <v>1730</v>
      </c>
      <c r="I993">
        <v>2018</v>
      </c>
      <c r="N993" t="s">
        <v>36</v>
      </c>
      <c r="P993" t="s">
        <v>60</v>
      </c>
      <c r="Q993" t="s">
        <v>900</v>
      </c>
      <c r="R993" t="s">
        <v>1741</v>
      </c>
      <c r="S993" t="s">
        <v>1776</v>
      </c>
      <c r="V993" t="s">
        <v>905</v>
      </c>
      <c r="Z993">
        <v>5</v>
      </c>
      <c r="AA993">
        <v>5</v>
      </c>
      <c r="AC993">
        <v>681</v>
      </c>
      <c r="AD993" s="37">
        <v>15</v>
      </c>
      <c r="AE993">
        <v>1633</v>
      </c>
      <c r="AF993" s="37">
        <v>15</v>
      </c>
      <c r="AG993" t="s">
        <v>3385</v>
      </c>
      <c r="AH993">
        <v>3.2129861847366681</v>
      </c>
      <c r="AI993" s="37">
        <v>15</v>
      </c>
      <c r="AJ993" t="s">
        <v>1812</v>
      </c>
      <c r="AK993" t="s">
        <v>40</v>
      </c>
      <c r="AM993"/>
      <c r="AN993">
        <v>38.97</v>
      </c>
      <c r="AO993">
        <v>3.4659053651246743</v>
      </c>
      <c r="AP993">
        <v>15.86</v>
      </c>
      <c r="AQ993">
        <v>4.6286607134245648</v>
      </c>
      <c r="AS993">
        <v>-0.89900000000000002</v>
      </c>
      <c r="AT993">
        <v>1.8599999999999998E-2</v>
      </c>
      <c r="AW993" s="28">
        <f t="shared" si="75"/>
        <v>-5.6519887757455081</v>
      </c>
      <c r="AX993">
        <f t="shared" si="76"/>
        <v>0.90322580645161288</v>
      </c>
      <c r="AY993" s="62">
        <f t="shared" si="77"/>
        <v>-5.1050221200282007</v>
      </c>
      <c r="AZ993" s="68" t="str">
        <f t="shared" si="78"/>
        <v>No</v>
      </c>
      <c r="BA993" s="68" t="str">
        <f t="shared" si="79"/>
        <v>No</v>
      </c>
    </row>
    <row r="994" spans="1:53" hidden="1">
      <c r="A994" t="s">
        <v>1815</v>
      </c>
      <c r="B994" t="s">
        <v>2969</v>
      </c>
      <c r="C994">
        <v>49</v>
      </c>
      <c r="F994" t="s">
        <v>1241</v>
      </c>
      <c r="G994" t="s">
        <v>1730</v>
      </c>
      <c r="I994">
        <v>2018</v>
      </c>
      <c r="N994" t="s">
        <v>36</v>
      </c>
      <c r="P994" t="s">
        <v>60</v>
      </c>
      <c r="Q994" t="s">
        <v>900</v>
      </c>
      <c r="R994" t="s">
        <v>1741</v>
      </c>
      <c r="S994" t="s">
        <v>1776</v>
      </c>
      <c r="V994" t="s">
        <v>905</v>
      </c>
      <c r="Z994">
        <v>5</v>
      </c>
      <c r="AA994">
        <v>5</v>
      </c>
      <c r="AC994">
        <v>681</v>
      </c>
      <c r="AD994" s="37">
        <v>15</v>
      </c>
      <c r="AE994">
        <v>1410</v>
      </c>
      <c r="AF994" s="37">
        <v>15</v>
      </c>
      <c r="AG994" t="s">
        <v>3385</v>
      </c>
      <c r="AH994">
        <v>3.1492191126553797</v>
      </c>
      <c r="AI994" s="37">
        <v>15</v>
      </c>
      <c r="AJ994" t="s">
        <v>1812</v>
      </c>
      <c r="AK994" t="s">
        <v>40</v>
      </c>
      <c r="AM994"/>
      <c r="AN994">
        <v>38.97</v>
      </c>
      <c r="AO994">
        <v>3.4659053651246743</v>
      </c>
      <c r="AP994">
        <v>16.21</v>
      </c>
      <c r="AQ994">
        <v>6.5516791740743843</v>
      </c>
      <c r="AS994">
        <v>-0.877</v>
      </c>
      <c r="AT994">
        <v>3.4299999999999997E-2</v>
      </c>
      <c r="AW994" s="28">
        <f t="shared" si="75"/>
        <v>-4.3426495727307612</v>
      </c>
      <c r="AX994">
        <f t="shared" si="76"/>
        <v>0.90322580645161288</v>
      </c>
      <c r="AY994" s="62">
        <f t="shared" si="77"/>
        <v>-3.9223931624664941</v>
      </c>
      <c r="AZ994" s="68" t="str">
        <f t="shared" si="78"/>
        <v>No</v>
      </c>
      <c r="BA994" s="68" t="str">
        <f t="shared" si="79"/>
        <v>No</v>
      </c>
    </row>
    <row r="995" spans="1:53" hidden="1">
      <c r="A995" t="s">
        <v>1815</v>
      </c>
      <c r="B995" t="s">
        <v>2972</v>
      </c>
      <c r="C995">
        <v>49</v>
      </c>
      <c r="F995" t="s">
        <v>1241</v>
      </c>
      <c r="G995" t="s">
        <v>1730</v>
      </c>
      <c r="I995">
        <v>2018</v>
      </c>
      <c r="N995" t="s">
        <v>36</v>
      </c>
      <c r="P995" t="s">
        <v>60</v>
      </c>
      <c r="Q995" t="s">
        <v>900</v>
      </c>
      <c r="R995" t="s">
        <v>1741</v>
      </c>
      <c r="S995" t="s">
        <v>1776</v>
      </c>
      <c r="V995" t="s">
        <v>905</v>
      </c>
      <c r="Z995">
        <v>5</v>
      </c>
      <c r="AA995">
        <v>5</v>
      </c>
      <c r="AC995">
        <v>366</v>
      </c>
      <c r="AD995" s="37">
        <v>15</v>
      </c>
      <c r="AE995">
        <v>1315</v>
      </c>
      <c r="AF995" s="37">
        <v>15</v>
      </c>
      <c r="AG995" t="s">
        <v>3387</v>
      </c>
      <c r="AH995">
        <v>3.1189257528257768</v>
      </c>
      <c r="AI995" s="37">
        <v>15</v>
      </c>
      <c r="AJ995" t="s">
        <v>1812</v>
      </c>
      <c r="AK995" t="s">
        <v>40</v>
      </c>
      <c r="AM995"/>
      <c r="AN995">
        <v>70.34</v>
      </c>
      <c r="AO995">
        <v>6.9318107302493486</v>
      </c>
      <c r="AP995">
        <v>41.21</v>
      </c>
      <c r="AQ995">
        <v>10.01758453919906</v>
      </c>
      <c r="AS995">
        <v>-0.53500000000000003</v>
      </c>
      <c r="AT995">
        <v>1.38E-2</v>
      </c>
      <c r="AW995" s="28">
        <f t="shared" si="75"/>
        <v>-3.3817041113112802</v>
      </c>
      <c r="AX995">
        <f t="shared" si="76"/>
        <v>0.90322580645161288</v>
      </c>
      <c r="AY995" s="62">
        <f t="shared" si="77"/>
        <v>-3.0544424231198661</v>
      </c>
      <c r="AZ995" s="68" t="str">
        <f t="shared" si="78"/>
        <v>No</v>
      </c>
      <c r="BA995" s="68" t="str">
        <f t="shared" si="79"/>
        <v>No</v>
      </c>
    </row>
    <row r="996" spans="1:53" hidden="1">
      <c r="A996" t="s">
        <v>1815</v>
      </c>
      <c r="B996" t="s">
        <v>2973</v>
      </c>
      <c r="C996">
        <v>49</v>
      </c>
      <c r="F996" t="s">
        <v>1241</v>
      </c>
      <c r="G996" t="s">
        <v>1730</v>
      </c>
      <c r="I996">
        <v>2018</v>
      </c>
      <c r="N996" t="s">
        <v>36</v>
      </c>
      <c r="P996" t="s">
        <v>60</v>
      </c>
      <c r="Q996" t="s">
        <v>900</v>
      </c>
      <c r="R996" t="s">
        <v>1741</v>
      </c>
      <c r="S996" t="s">
        <v>1776</v>
      </c>
      <c r="V996" t="s">
        <v>905</v>
      </c>
      <c r="Z996">
        <v>5</v>
      </c>
      <c r="AA996">
        <v>5</v>
      </c>
      <c r="AC996">
        <v>366</v>
      </c>
      <c r="AD996" s="37">
        <v>15</v>
      </c>
      <c r="AE996">
        <v>956</v>
      </c>
      <c r="AF996" s="37">
        <v>15</v>
      </c>
      <c r="AG996" t="s">
        <v>3387</v>
      </c>
      <c r="AH996">
        <v>2.9804578922761</v>
      </c>
      <c r="AI996" s="37">
        <v>15</v>
      </c>
      <c r="AJ996" t="s">
        <v>1812</v>
      </c>
      <c r="AK996" t="s">
        <v>40</v>
      </c>
      <c r="AM996"/>
      <c r="AN996">
        <v>70.34</v>
      </c>
      <c r="AO996">
        <v>6.9318107302493486</v>
      </c>
      <c r="AP996">
        <v>42.41</v>
      </c>
      <c r="AQ996">
        <v>10.01758453919906</v>
      </c>
      <c r="AS996">
        <v>-0.50600000000000001</v>
      </c>
      <c r="AT996">
        <v>1.3100000000000001E-2</v>
      </c>
      <c r="AW996" s="28">
        <f t="shared" si="75"/>
        <v>-3.2423960119781694</v>
      </c>
      <c r="AX996">
        <f t="shared" si="76"/>
        <v>0.90322580645161288</v>
      </c>
      <c r="AY996" s="62">
        <f t="shared" si="77"/>
        <v>-2.9286157527544754</v>
      </c>
      <c r="AZ996" s="68" t="str">
        <f t="shared" si="78"/>
        <v>No</v>
      </c>
      <c r="BA996" s="68" t="str">
        <f t="shared" si="79"/>
        <v>No</v>
      </c>
    </row>
    <row r="997" spans="1:53" hidden="1">
      <c r="A997" t="s">
        <v>1815</v>
      </c>
      <c r="B997" t="s">
        <v>2974</v>
      </c>
      <c r="C997">
        <v>49</v>
      </c>
      <c r="F997" t="s">
        <v>1241</v>
      </c>
      <c r="G997" t="s">
        <v>1730</v>
      </c>
      <c r="I997">
        <v>2018</v>
      </c>
      <c r="N997" t="s">
        <v>36</v>
      </c>
      <c r="P997" t="s">
        <v>60</v>
      </c>
      <c r="Q997" t="s">
        <v>900</v>
      </c>
      <c r="R997" t="s">
        <v>1741</v>
      </c>
      <c r="S997" t="s">
        <v>1776</v>
      </c>
      <c r="V997" t="s">
        <v>905</v>
      </c>
      <c r="Z997">
        <v>5</v>
      </c>
      <c r="AA997">
        <v>5</v>
      </c>
      <c r="AC997">
        <v>681</v>
      </c>
      <c r="AD997" s="37">
        <v>15</v>
      </c>
      <c r="AE997">
        <v>1123</v>
      </c>
      <c r="AF997" s="37">
        <v>15</v>
      </c>
      <c r="AG997" t="s">
        <v>3385</v>
      </c>
      <c r="AH997">
        <v>3.0503797562614579</v>
      </c>
      <c r="AI997" s="37">
        <v>15</v>
      </c>
      <c r="AJ997" t="s">
        <v>1812</v>
      </c>
      <c r="AK997" t="s">
        <v>40</v>
      </c>
      <c r="AM997"/>
      <c r="AN997">
        <v>38.97</v>
      </c>
      <c r="AO997">
        <v>3.4659053651246743</v>
      </c>
      <c r="AP997">
        <v>24.48</v>
      </c>
      <c r="AQ997">
        <v>5.7914160617244557</v>
      </c>
      <c r="AS997">
        <v>-0.46500000000000002</v>
      </c>
      <c r="AT997">
        <v>1.2699999999999999E-2</v>
      </c>
      <c r="AW997" s="28">
        <f t="shared" si="75"/>
        <v>-3.0361616575365731</v>
      </c>
      <c r="AX997">
        <f t="shared" si="76"/>
        <v>0.90322580645161288</v>
      </c>
      <c r="AY997" s="62">
        <f t="shared" si="77"/>
        <v>-2.7423395616459367</v>
      </c>
      <c r="AZ997" s="68" t="str">
        <f t="shared" si="78"/>
        <v>No</v>
      </c>
      <c r="BA997" s="68" t="str">
        <f t="shared" si="79"/>
        <v>No</v>
      </c>
    </row>
    <row r="998" spans="1:53" hidden="1">
      <c r="A998" t="s">
        <v>1815</v>
      </c>
      <c r="B998" t="s">
        <v>2977</v>
      </c>
      <c r="C998">
        <v>49</v>
      </c>
      <c r="F998" t="s">
        <v>1241</v>
      </c>
      <c r="G998" t="s">
        <v>1730</v>
      </c>
      <c r="I998">
        <v>2018</v>
      </c>
      <c r="N998" t="s">
        <v>36</v>
      </c>
      <c r="P998" t="s">
        <v>60</v>
      </c>
      <c r="Q998" t="s">
        <v>900</v>
      </c>
      <c r="R998" t="s">
        <v>1741</v>
      </c>
      <c r="S998" t="s">
        <v>1776</v>
      </c>
      <c r="V998" t="s">
        <v>905</v>
      </c>
      <c r="Z998">
        <v>5</v>
      </c>
      <c r="AA998">
        <v>5</v>
      </c>
      <c r="AC998">
        <v>848</v>
      </c>
      <c r="AD998" s="37">
        <v>15</v>
      </c>
      <c r="AE998">
        <v>1836</v>
      </c>
      <c r="AF998" s="37">
        <v>15</v>
      </c>
      <c r="AG998" t="s">
        <v>3386</v>
      </c>
      <c r="AH998">
        <v>3.2638726768652235</v>
      </c>
      <c r="AI998" s="37">
        <v>15</v>
      </c>
      <c r="AJ998" t="s">
        <v>1812</v>
      </c>
      <c r="AK998" t="s">
        <v>40</v>
      </c>
      <c r="AM998"/>
      <c r="AN998">
        <v>22.07</v>
      </c>
      <c r="AO998">
        <v>6.9318107302493486</v>
      </c>
      <c r="AP998">
        <v>15.34</v>
      </c>
      <c r="AQ998">
        <v>6.5516791740743843</v>
      </c>
      <c r="AS998">
        <v>-0.36299999999999999</v>
      </c>
      <c r="AT998">
        <v>5.6300000000000003E-2</v>
      </c>
      <c r="AW998" s="28">
        <f t="shared" si="75"/>
        <v>-0.99786140027275128</v>
      </c>
      <c r="AX998">
        <f t="shared" si="76"/>
        <v>0.90322580645161288</v>
      </c>
      <c r="AY998" s="62">
        <f t="shared" si="77"/>
        <v>-0.90129416798829143</v>
      </c>
      <c r="AZ998" s="68" t="str">
        <f t="shared" si="78"/>
        <v>No</v>
      </c>
      <c r="BA998" s="68" t="str">
        <f t="shared" si="79"/>
        <v>No</v>
      </c>
    </row>
    <row r="999" spans="1:53" hidden="1">
      <c r="A999" t="s">
        <v>1815</v>
      </c>
      <c r="B999" t="s">
        <v>2979</v>
      </c>
      <c r="C999">
        <v>49</v>
      </c>
      <c r="F999" t="s">
        <v>1241</v>
      </c>
      <c r="G999" t="s">
        <v>1730</v>
      </c>
      <c r="I999">
        <v>2018</v>
      </c>
      <c r="N999" t="s">
        <v>36</v>
      </c>
      <c r="P999" t="s">
        <v>60</v>
      </c>
      <c r="Q999" t="s">
        <v>900</v>
      </c>
      <c r="R999" t="s">
        <v>1741</v>
      </c>
      <c r="S999" t="s">
        <v>1776</v>
      </c>
      <c r="V999" t="s">
        <v>905</v>
      </c>
      <c r="Z999">
        <v>5</v>
      </c>
      <c r="AA999">
        <v>5</v>
      </c>
      <c r="AC999">
        <v>848</v>
      </c>
      <c r="AD999" s="37">
        <v>15</v>
      </c>
      <c r="AE999">
        <v>1350</v>
      </c>
      <c r="AF999" s="37">
        <v>15</v>
      </c>
      <c r="AG999" t="s">
        <v>3386</v>
      </c>
      <c r="AH999">
        <v>3.1303337684950061</v>
      </c>
      <c r="AI999" s="37">
        <v>15</v>
      </c>
      <c r="AJ999" t="s">
        <v>1812</v>
      </c>
      <c r="AK999" t="s">
        <v>69</v>
      </c>
      <c r="AM999"/>
      <c r="AN999">
        <v>22.07</v>
      </c>
      <c r="AO999">
        <v>6.9318107302493486</v>
      </c>
      <c r="AP999">
        <v>16.55</v>
      </c>
      <c r="AQ999">
        <v>6.5516791740743843</v>
      </c>
      <c r="AS999">
        <v>-0.28799999999999998</v>
      </c>
      <c r="AT999">
        <v>5.11E-2</v>
      </c>
      <c r="AW999" s="28">
        <f t="shared" si="75"/>
        <v>-0.81845392711821496</v>
      </c>
      <c r="AX999">
        <f t="shared" si="76"/>
        <v>0.90322580645161288</v>
      </c>
      <c r="AY999" s="62">
        <f t="shared" si="77"/>
        <v>-0.73924870836483925</v>
      </c>
      <c r="AZ999" s="68" t="str">
        <f t="shared" si="78"/>
        <v>No</v>
      </c>
      <c r="BA999" s="68" t="str">
        <f t="shared" si="79"/>
        <v>No</v>
      </c>
    </row>
    <row r="1000" spans="1:53" hidden="1">
      <c r="A1000" t="s">
        <v>1815</v>
      </c>
      <c r="B1000" t="s">
        <v>2981</v>
      </c>
      <c r="C1000">
        <v>49</v>
      </c>
      <c r="F1000" t="s">
        <v>1241</v>
      </c>
      <c r="G1000" t="s">
        <v>1730</v>
      </c>
      <c r="I1000">
        <v>2018</v>
      </c>
      <c r="N1000" t="s">
        <v>36</v>
      </c>
      <c r="P1000" t="s">
        <v>60</v>
      </c>
      <c r="Q1000" t="s">
        <v>900</v>
      </c>
      <c r="R1000" t="s">
        <v>1741</v>
      </c>
      <c r="S1000" t="s">
        <v>1776</v>
      </c>
      <c r="V1000" t="s">
        <v>905</v>
      </c>
      <c r="Z1000">
        <v>5</v>
      </c>
      <c r="AA1000">
        <v>5</v>
      </c>
      <c r="AC1000">
        <v>366</v>
      </c>
      <c r="AD1000" s="37">
        <v>15</v>
      </c>
      <c r="AE1000">
        <v>769</v>
      </c>
      <c r="AF1000" s="37">
        <v>15</v>
      </c>
      <c r="AG1000" t="s">
        <v>3387</v>
      </c>
      <c r="AH1000">
        <v>2.885926339801431</v>
      </c>
      <c r="AI1000" s="37">
        <v>15</v>
      </c>
      <c r="AJ1000" t="s">
        <v>1812</v>
      </c>
      <c r="AK1000" t="s">
        <v>69</v>
      </c>
      <c r="AM1000"/>
      <c r="AN1000">
        <v>70.34</v>
      </c>
      <c r="AO1000">
        <v>6.9318107302493486</v>
      </c>
      <c r="AP1000">
        <v>53.45</v>
      </c>
      <c r="AQ1000">
        <v>11.560471443673913</v>
      </c>
      <c r="AS1000">
        <v>-0.27500000000000002</v>
      </c>
      <c r="AT1000">
        <v>1.1299999999999999E-2</v>
      </c>
      <c r="AW1000" s="28">
        <f t="shared" si="75"/>
        <v>-1.7720409625259357</v>
      </c>
      <c r="AX1000">
        <f t="shared" si="76"/>
        <v>0.90322580645161288</v>
      </c>
      <c r="AY1000" s="62">
        <f t="shared" si="77"/>
        <v>-1.6005531274427807</v>
      </c>
      <c r="AZ1000" s="68" t="str">
        <f t="shared" si="78"/>
        <v>No</v>
      </c>
      <c r="BA1000" s="68" t="str">
        <f t="shared" si="79"/>
        <v>No</v>
      </c>
    </row>
    <row r="1001" spans="1:53" hidden="1">
      <c r="A1001" t="s">
        <v>1815</v>
      </c>
      <c r="B1001" t="s">
        <v>2983</v>
      </c>
      <c r="C1001">
        <v>49</v>
      </c>
      <c r="F1001" t="s">
        <v>1241</v>
      </c>
      <c r="G1001" t="s">
        <v>1730</v>
      </c>
      <c r="I1001">
        <v>2018</v>
      </c>
      <c r="N1001" t="s">
        <v>36</v>
      </c>
      <c r="P1001" t="s">
        <v>60</v>
      </c>
      <c r="Q1001" t="s">
        <v>900</v>
      </c>
      <c r="R1001" t="s">
        <v>1741</v>
      </c>
      <c r="S1001" t="s">
        <v>1776</v>
      </c>
      <c r="V1001" t="s">
        <v>905</v>
      </c>
      <c r="Z1001">
        <v>5</v>
      </c>
      <c r="AA1001">
        <v>5</v>
      </c>
      <c r="AC1001">
        <v>848</v>
      </c>
      <c r="AD1001" s="37">
        <v>15</v>
      </c>
      <c r="AE1001">
        <v>2103</v>
      </c>
      <c r="AF1001" s="37">
        <v>15</v>
      </c>
      <c r="AG1001" t="s">
        <v>3386</v>
      </c>
      <c r="AH1001">
        <v>3.3228392726863212</v>
      </c>
      <c r="AI1001" s="37">
        <v>15</v>
      </c>
      <c r="AJ1001" t="s">
        <v>1812</v>
      </c>
      <c r="AK1001" t="s">
        <v>770</v>
      </c>
      <c r="AM1001"/>
      <c r="AN1001">
        <v>22.07</v>
      </c>
      <c r="AO1001">
        <v>6.9318107302493486</v>
      </c>
      <c r="AP1001">
        <v>17.760000000000002</v>
      </c>
      <c r="AQ1001">
        <v>5.7914160617244557</v>
      </c>
      <c r="AS1001">
        <v>-0.217</v>
      </c>
      <c r="AT1001">
        <v>4.1000000000000002E-2</v>
      </c>
      <c r="AW1001" s="28">
        <f t="shared" si="75"/>
        <v>-0.67479595518938973</v>
      </c>
      <c r="AX1001">
        <f t="shared" si="76"/>
        <v>0.90322580645161288</v>
      </c>
      <c r="AY1001" s="62">
        <f t="shared" si="77"/>
        <v>-0.60949312081622298</v>
      </c>
      <c r="AZ1001" s="68" t="str">
        <f t="shared" si="78"/>
        <v>No</v>
      </c>
      <c r="BA1001" s="68" t="str">
        <f t="shared" si="79"/>
        <v>No</v>
      </c>
    </row>
    <row r="1002" spans="1:53" hidden="1">
      <c r="A1002" t="s">
        <v>1815</v>
      </c>
      <c r="B1002" t="s">
        <v>2984</v>
      </c>
      <c r="C1002">
        <v>49</v>
      </c>
      <c r="F1002" t="s">
        <v>1241</v>
      </c>
      <c r="G1002" t="s">
        <v>1730</v>
      </c>
      <c r="I1002">
        <v>2018</v>
      </c>
      <c r="N1002" t="s">
        <v>36</v>
      </c>
      <c r="P1002" t="s">
        <v>60</v>
      </c>
      <c r="Q1002" t="s">
        <v>900</v>
      </c>
      <c r="R1002" t="s">
        <v>1741</v>
      </c>
      <c r="S1002" t="s">
        <v>1776</v>
      </c>
      <c r="V1002" t="s">
        <v>905</v>
      </c>
      <c r="Z1002">
        <v>5</v>
      </c>
      <c r="AA1002">
        <v>5</v>
      </c>
      <c r="AC1002">
        <v>366</v>
      </c>
      <c r="AD1002" s="37">
        <v>15</v>
      </c>
      <c r="AE1002">
        <v>577</v>
      </c>
      <c r="AF1002" s="37">
        <v>15</v>
      </c>
      <c r="AG1002" t="s">
        <v>3387</v>
      </c>
      <c r="AH1002">
        <v>2.7611758131557314</v>
      </c>
      <c r="AI1002" s="37">
        <v>15</v>
      </c>
      <c r="AJ1002" t="s">
        <v>1812</v>
      </c>
      <c r="AK1002" t="s">
        <v>59</v>
      </c>
      <c r="AM1002"/>
      <c r="AN1002">
        <v>70.34</v>
      </c>
      <c r="AO1002">
        <v>6.9318107302493486</v>
      </c>
      <c r="AP1002">
        <v>57.93</v>
      </c>
      <c r="AQ1002">
        <v>5.0087922695995299</v>
      </c>
      <c r="AS1002">
        <v>-0.19400000000000001</v>
      </c>
      <c r="AT1002">
        <v>3.3999999999999998E-3</v>
      </c>
      <c r="AW1002" s="28">
        <f t="shared" si="75"/>
        <v>-2.0521790005315976</v>
      </c>
      <c r="AX1002">
        <f t="shared" si="76"/>
        <v>0.90322580645161288</v>
      </c>
      <c r="AY1002" s="62">
        <f t="shared" si="77"/>
        <v>-1.8535810327382172</v>
      </c>
      <c r="AZ1002" s="68" t="str">
        <f t="shared" si="78"/>
        <v>No</v>
      </c>
      <c r="BA1002" s="68" t="str">
        <f t="shared" si="79"/>
        <v>No</v>
      </c>
    </row>
    <row r="1003" spans="1:53" hidden="1">
      <c r="A1003" t="s">
        <v>1815</v>
      </c>
      <c r="B1003" t="s">
        <v>2991</v>
      </c>
      <c r="C1003">
        <v>49</v>
      </c>
      <c r="F1003" t="s">
        <v>1241</v>
      </c>
      <c r="G1003" t="s">
        <v>1730</v>
      </c>
      <c r="I1003">
        <v>2018</v>
      </c>
      <c r="N1003" t="s">
        <v>36</v>
      </c>
      <c r="P1003" t="s">
        <v>60</v>
      </c>
      <c r="Q1003" t="s">
        <v>900</v>
      </c>
      <c r="R1003" t="s">
        <v>1741</v>
      </c>
      <c r="S1003" t="s">
        <v>1776</v>
      </c>
      <c r="V1003" t="s">
        <v>905</v>
      </c>
      <c r="Z1003">
        <v>5</v>
      </c>
      <c r="AA1003">
        <v>5</v>
      </c>
      <c r="AC1003">
        <v>681</v>
      </c>
      <c r="AD1003" s="37">
        <v>15</v>
      </c>
      <c r="AE1003">
        <v>1410</v>
      </c>
      <c r="AF1003" s="37">
        <v>15</v>
      </c>
      <c r="AG1003" t="s">
        <v>3385</v>
      </c>
      <c r="AH1003">
        <v>3.1492191126553797</v>
      </c>
      <c r="AI1003" s="37">
        <v>15</v>
      </c>
      <c r="AJ1003" t="s">
        <v>1205</v>
      </c>
      <c r="AK1003" t="s">
        <v>59</v>
      </c>
      <c r="AM1003"/>
      <c r="AN1003">
        <v>121.93</v>
      </c>
      <c r="AO1003">
        <v>1.0285912696499033</v>
      </c>
      <c r="AP1003">
        <v>113.47</v>
      </c>
      <c r="AQ1003">
        <v>3.4882660448996723</v>
      </c>
      <c r="AS1003">
        <v>-7.1999999999999995E-2</v>
      </c>
      <c r="AT1003">
        <v>2.0000000000000001E-4</v>
      </c>
      <c r="AW1003" s="28">
        <f t="shared" si="75"/>
        <v>-3.2898121611496278</v>
      </c>
      <c r="AX1003">
        <f t="shared" si="76"/>
        <v>0.90322580645161288</v>
      </c>
      <c r="AY1003" s="62">
        <f t="shared" si="77"/>
        <v>-2.9714432423286961</v>
      </c>
      <c r="AZ1003" s="68" t="str">
        <f t="shared" si="78"/>
        <v>No</v>
      </c>
      <c r="BA1003" s="68" t="str">
        <f t="shared" si="79"/>
        <v>No</v>
      </c>
    </row>
    <row r="1004" spans="1:53" hidden="1">
      <c r="A1004" t="s">
        <v>1815</v>
      </c>
      <c r="B1004" t="s">
        <v>2992</v>
      </c>
      <c r="C1004">
        <v>49</v>
      </c>
      <c r="F1004" t="s">
        <v>1241</v>
      </c>
      <c r="G1004" t="s">
        <v>1730</v>
      </c>
      <c r="I1004">
        <v>2018</v>
      </c>
      <c r="N1004" t="s">
        <v>36</v>
      </c>
      <c r="P1004" t="s">
        <v>60</v>
      </c>
      <c r="Q1004" t="s">
        <v>900</v>
      </c>
      <c r="R1004" t="s">
        <v>1741</v>
      </c>
      <c r="S1004" t="s">
        <v>1776</v>
      </c>
      <c r="V1004" t="s">
        <v>905</v>
      </c>
      <c r="Z1004">
        <v>5</v>
      </c>
      <c r="AA1004">
        <v>5</v>
      </c>
      <c r="AC1004">
        <v>681</v>
      </c>
      <c r="AD1004" s="37">
        <v>15</v>
      </c>
      <c r="AE1004">
        <v>1633</v>
      </c>
      <c r="AF1004" s="37">
        <v>15</v>
      </c>
      <c r="AG1004" t="s">
        <v>3385</v>
      </c>
      <c r="AH1004">
        <v>3.2129861847366681</v>
      </c>
      <c r="AI1004" s="37">
        <v>15</v>
      </c>
      <c r="AJ1004" t="s">
        <v>1205</v>
      </c>
      <c r="AK1004" t="s">
        <v>59</v>
      </c>
      <c r="AM1004"/>
      <c r="AN1004">
        <v>121.93</v>
      </c>
      <c r="AO1004">
        <v>1.0285912696499033</v>
      </c>
      <c r="AP1004">
        <v>113.74</v>
      </c>
      <c r="AQ1004">
        <v>3.0857738089497095</v>
      </c>
      <c r="AS1004">
        <v>-7.0000000000000007E-2</v>
      </c>
      <c r="AT1004">
        <v>2.0000000000000001E-4</v>
      </c>
      <c r="AW1004" s="28">
        <f t="shared" si="75"/>
        <v>-3.5608695652173967</v>
      </c>
      <c r="AX1004">
        <f t="shared" si="76"/>
        <v>0.90322580645161288</v>
      </c>
      <c r="AY1004" s="62">
        <f t="shared" si="77"/>
        <v>-3.2162692847124874</v>
      </c>
      <c r="AZ1004" s="68" t="str">
        <f t="shared" si="78"/>
        <v>No</v>
      </c>
      <c r="BA1004" s="68" t="str">
        <f t="shared" si="79"/>
        <v>No</v>
      </c>
    </row>
    <row r="1005" spans="1:53" hidden="1">
      <c r="A1005" t="s">
        <v>1815</v>
      </c>
      <c r="B1005" t="s">
        <v>2993</v>
      </c>
      <c r="C1005">
        <v>49</v>
      </c>
      <c r="F1005" t="s">
        <v>1241</v>
      </c>
      <c r="G1005" t="s">
        <v>1730</v>
      </c>
      <c r="I1005">
        <v>2018</v>
      </c>
      <c r="N1005" t="s">
        <v>36</v>
      </c>
      <c r="P1005" t="s">
        <v>60</v>
      </c>
      <c r="Q1005" t="s">
        <v>900</v>
      </c>
      <c r="R1005" t="s">
        <v>1741</v>
      </c>
      <c r="S1005" t="s">
        <v>1776</v>
      </c>
      <c r="V1005" t="s">
        <v>905</v>
      </c>
      <c r="Z1005">
        <v>5</v>
      </c>
      <c r="AA1005">
        <v>5</v>
      </c>
      <c r="AC1005">
        <v>681</v>
      </c>
      <c r="AD1005" s="37">
        <v>15</v>
      </c>
      <c r="AE1005">
        <v>1970</v>
      </c>
      <c r="AF1005" s="37">
        <v>15</v>
      </c>
      <c r="AG1005" t="s">
        <v>3385</v>
      </c>
      <c r="AH1005">
        <v>3.2944662261615929</v>
      </c>
      <c r="AI1005" s="37">
        <v>15</v>
      </c>
      <c r="AJ1005" t="s">
        <v>1205</v>
      </c>
      <c r="AK1005" t="s">
        <v>59</v>
      </c>
      <c r="AM1005"/>
      <c r="AN1005">
        <v>121.93</v>
      </c>
      <c r="AO1005">
        <v>1.0285912696499033</v>
      </c>
      <c r="AP1005">
        <v>114.02</v>
      </c>
      <c r="AQ1005">
        <v>2.2584286572747878</v>
      </c>
      <c r="AS1005">
        <v>-6.7000000000000004E-2</v>
      </c>
      <c r="AT1005">
        <v>1E-4</v>
      </c>
      <c r="AW1005" s="28">
        <f t="shared" si="75"/>
        <v>-4.5076896582446668</v>
      </c>
      <c r="AX1005">
        <f t="shared" si="76"/>
        <v>0.90322580645161288</v>
      </c>
      <c r="AY1005" s="62">
        <f t="shared" si="77"/>
        <v>-4.0714616268016348</v>
      </c>
      <c r="AZ1005" s="68" t="str">
        <f t="shared" si="78"/>
        <v>No</v>
      </c>
      <c r="BA1005" s="68" t="str">
        <f t="shared" si="79"/>
        <v>No</v>
      </c>
    </row>
    <row r="1006" spans="1:53" hidden="1">
      <c r="A1006" t="s">
        <v>1815</v>
      </c>
      <c r="B1006" t="s">
        <v>2998</v>
      </c>
      <c r="C1006">
        <v>49</v>
      </c>
      <c r="F1006" t="s">
        <v>1241</v>
      </c>
      <c r="G1006" t="s">
        <v>1730</v>
      </c>
      <c r="I1006">
        <v>2018</v>
      </c>
      <c r="N1006" t="s">
        <v>36</v>
      </c>
      <c r="P1006" t="s">
        <v>60</v>
      </c>
      <c r="Q1006" t="s">
        <v>900</v>
      </c>
      <c r="R1006" t="s">
        <v>1741</v>
      </c>
      <c r="S1006" t="s">
        <v>1776</v>
      </c>
      <c r="V1006" t="s">
        <v>905</v>
      </c>
      <c r="Z1006">
        <v>5</v>
      </c>
      <c r="AA1006">
        <v>5</v>
      </c>
      <c r="AC1006">
        <v>848</v>
      </c>
      <c r="AD1006" s="37">
        <v>15</v>
      </c>
      <c r="AE1006">
        <v>2717</v>
      </c>
      <c r="AF1006" s="37">
        <v>15</v>
      </c>
      <c r="AG1006" t="s">
        <v>3386</v>
      </c>
      <c r="AH1006">
        <v>3.4340896384178907</v>
      </c>
      <c r="AI1006" s="37">
        <v>15</v>
      </c>
      <c r="AJ1006" t="s">
        <v>1205</v>
      </c>
      <c r="AK1006" t="s">
        <v>59</v>
      </c>
      <c r="AM1006"/>
      <c r="AN1006">
        <v>141.35</v>
      </c>
      <c r="AO1006">
        <v>4.1143650785996133</v>
      </c>
      <c r="AP1006">
        <v>136.1</v>
      </c>
      <c r="AQ1006">
        <v>6.7976466515993614</v>
      </c>
      <c r="AS1006">
        <v>-3.7999999999999999E-2</v>
      </c>
      <c r="AT1006">
        <v>6.9999999999999999E-4</v>
      </c>
      <c r="AW1006" s="28">
        <f t="shared" si="75"/>
        <v>-0.93440632485500763</v>
      </c>
      <c r="AX1006">
        <f t="shared" si="76"/>
        <v>0.90322580645161288</v>
      </c>
      <c r="AY1006" s="62">
        <f t="shared" si="77"/>
        <v>-0.84397990632065201</v>
      </c>
      <c r="AZ1006" s="68" t="str">
        <f t="shared" si="78"/>
        <v>No</v>
      </c>
      <c r="BA1006" s="68" t="str">
        <f t="shared" si="79"/>
        <v>No</v>
      </c>
    </row>
    <row r="1007" spans="1:53" hidden="1">
      <c r="A1007" t="s">
        <v>1815</v>
      </c>
      <c r="B1007" t="s">
        <v>2999</v>
      </c>
      <c r="C1007">
        <v>49</v>
      </c>
      <c r="F1007" t="s">
        <v>1241</v>
      </c>
      <c r="G1007" t="s">
        <v>1730</v>
      </c>
      <c r="I1007">
        <v>2018</v>
      </c>
      <c r="N1007" t="s">
        <v>36</v>
      </c>
      <c r="P1007" t="s">
        <v>60</v>
      </c>
      <c r="Q1007" t="s">
        <v>900</v>
      </c>
      <c r="R1007" t="s">
        <v>1741</v>
      </c>
      <c r="S1007" t="s">
        <v>1776</v>
      </c>
      <c r="V1007" t="s">
        <v>905</v>
      </c>
      <c r="Z1007">
        <v>5</v>
      </c>
      <c r="AA1007">
        <v>5</v>
      </c>
      <c r="AC1007">
        <v>681</v>
      </c>
      <c r="AD1007" s="37">
        <v>15</v>
      </c>
      <c r="AE1007">
        <v>1123</v>
      </c>
      <c r="AF1007" s="37">
        <v>15</v>
      </c>
      <c r="AG1007" t="s">
        <v>3385</v>
      </c>
      <c r="AH1007">
        <v>3.0503797562614579</v>
      </c>
      <c r="AI1007" s="37">
        <v>15</v>
      </c>
      <c r="AJ1007" t="s">
        <v>1205</v>
      </c>
      <c r="AK1007" t="s">
        <v>770</v>
      </c>
      <c r="AM1007"/>
      <c r="AN1007">
        <v>121.93</v>
      </c>
      <c r="AO1007">
        <v>1.0285912696499033</v>
      </c>
      <c r="AP1007">
        <v>117.7</v>
      </c>
      <c r="AQ1007">
        <v>1.2298373876248845</v>
      </c>
      <c r="AS1007">
        <v>-3.5000000000000003E-2</v>
      </c>
      <c r="AT1007">
        <v>1E-4</v>
      </c>
      <c r="AW1007" s="28">
        <f t="shared" si="75"/>
        <v>-3.7311830952675651</v>
      </c>
      <c r="AX1007">
        <f t="shared" si="76"/>
        <v>0.90322580645161288</v>
      </c>
      <c r="AY1007" s="62">
        <f t="shared" si="77"/>
        <v>-3.3701008602416715</v>
      </c>
      <c r="AZ1007" s="68" t="str">
        <f t="shared" si="78"/>
        <v>No</v>
      </c>
      <c r="BA1007" s="68" t="str">
        <f t="shared" si="79"/>
        <v>No</v>
      </c>
    </row>
    <row r="1008" spans="1:53" hidden="1">
      <c r="A1008" t="s">
        <v>1815</v>
      </c>
      <c r="B1008" t="s">
        <v>3005</v>
      </c>
      <c r="C1008">
        <v>49</v>
      </c>
      <c r="F1008" t="s">
        <v>1241</v>
      </c>
      <c r="G1008" t="s">
        <v>1730</v>
      </c>
      <c r="I1008">
        <v>2018</v>
      </c>
      <c r="N1008" t="s">
        <v>36</v>
      </c>
      <c r="P1008" t="s">
        <v>60</v>
      </c>
      <c r="Q1008" t="s">
        <v>900</v>
      </c>
      <c r="R1008" t="s">
        <v>1741</v>
      </c>
      <c r="S1008" t="s">
        <v>1776</v>
      </c>
      <c r="V1008" t="s">
        <v>905</v>
      </c>
      <c r="Z1008">
        <v>5</v>
      </c>
      <c r="AA1008">
        <v>5</v>
      </c>
      <c r="AC1008">
        <v>848</v>
      </c>
      <c r="AD1008" s="37">
        <v>15</v>
      </c>
      <c r="AE1008">
        <v>1836</v>
      </c>
      <c r="AF1008" s="37">
        <v>15</v>
      </c>
      <c r="AG1008" t="s">
        <v>3386</v>
      </c>
      <c r="AH1008">
        <v>3.2638726768652235</v>
      </c>
      <c r="AI1008" s="37">
        <v>15</v>
      </c>
      <c r="AJ1008" t="s">
        <v>1205</v>
      </c>
      <c r="AK1008" t="s">
        <v>69</v>
      </c>
      <c r="AM1008"/>
      <c r="AN1008">
        <v>141.35</v>
      </c>
      <c r="AO1008">
        <v>4.1143650785996133</v>
      </c>
      <c r="AP1008">
        <v>140.15</v>
      </c>
      <c r="AQ1008">
        <v>2.459674775249769</v>
      </c>
      <c r="AS1008">
        <v>-8.0000000000000002E-3</v>
      </c>
      <c r="AT1008">
        <v>2.0000000000000001E-4</v>
      </c>
      <c r="AW1008" s="28">
        <f t="shared" si="75"/>
        <v>-0.35403005400186444</v>
      </c>
      <c r="AX1008">
        <f t="shared" si="76"/>
        <v>0.90322580645161288</v>
      </c>
      <c r="AY1008" s="62">
        <f t="shared" si="77"/>
        <v>-0.31976908103394208</v>
      </c>
      <c r="AZ1008" s="68" t="str">
        <f t="shared" si="78"/>
        <v>No</v>
      </c>
      <c r="BA1008" s="68" t="str">
        <f t="shared" si="79"/>
        <v>No</v>
      </c>
    </row>
    <row r="1009" spans="1:53" hidden="1">
      <c r="A1009" t="s">
        <v>1815</v>
      </c>
      <c r="B1009" t="s">
        <v>3006</v>
      </c>
      <c r="C1009">
        <v>49</v>
      </c>
      <c r="F1009" t="s">
        <v>1241</v>
      </c>
      <c r="G1009" t="s">
        <v>1730</v>
      </c>
      <c r="I1009">
        <v>2018</v>
      </c>
      <c r="N1009" t="s">
        <v>36</v>
      </c>
      <c r="P1009" t="s">
        <v>60</v>
      </c>
      <c r="Q1009" t="s">
        <v>900</v>
      </c>
      <c r="R1009" t="s">
        <v>1741</v>
      </c>
      <c r="S1009" t="s">
        <v>1776</v>
      </c>
      <c r="V1009" t="s">
        <v>905</v>
      </c>
      <c r="Z1009">
        <v>5</v>
      </c>
      <c r="AA1009">
        <v>5</v>
      </c>
      <c r="AC1009">
        <v>366</v>
      </c>
      <c r="AD1009" s="37">
        <v>15</v>
      </c>
      <c r="AE1009">
        <v>577</v>
      </c>
      <c r="AF1009" s="37">
        <v>15</v>
      </c>
      <c r="AG1009" t="s">
        <v>3387</v>
      </c>
      <c r="AH1009">
        <v>2.7611758131557314</v>
      </c>
      <c r="AI1009" s="37">
        <v>15</v>
      </c>
      <c r="AJ1009" t="s">
        <v>1205</v>
      </c>
      <c r="AK1009" t="s">
        <v>770</v>
      </c>
      <c r="AM1009"/>
      <c r="AN1009">
        <v>136.19999999999999</v>
      </c>
      <c r="AO1009">
        <v>1.4310835055998654</v>
      </c>
      <c r="AP1009">
        <v>135.18</v>
      </c>
      <c r="AQ1009">
        <v>1.8559364213248255</v>
      </c>
      <c r="AS1009">
        <v>-7.0000000000000001E-3</v>
      </c>
      <c r="AT1009">
        <v>1E-4</v>
      </c>
      <c r="AW1009" s="28">
        <f t="shared" si="75"/>
        <v>-0.6155029472029051</v>
      </c>
      <c r="AX1009">
        <f t="shared" si="76"/>
        <v>0.90322580645161288</v>
      </c>
      <c r="AY1009" s="62">
        <f t="shared" si="77"/>
        <v>-0.55593814586068846</v>
      </c>
      <c r="AZ1009" s="68" t="str">
        <f t="shared" si="78"/>
        <v>No</v>
      </c>
      <c r="BA1009" s="68" t="str">
        <f t="shared" si="79"/>
        <v>No</v>
      </c>
    </row>
    <row r="1010" spans="1:53" hidden="1">
      <c r="A1010" t="s">
        <v>1815</v>
      </c>
      <c r="B1010" t="s">
        <v>3007</v>
      </c>
      <c r="C1010">
        <v>49</v>
      </c>
      <c r="F1010" t="s">
        <v>1241</v>
      </c>
      <c r="G1010" t="s">
        <v>1730</v>
      </c>
      <c r="I1010">
        <v>2018</v>
      </c>
      <c r="N1010" t="s">
        <v>36</v>
      </c>
      <c r="P1010" t="s">
        <v>60</v>
      </c>
      <c r="Q1010" t="s">
        <v>900</v>
      </c>
      <c r="R1010" t="s">
        <v>1741</v>
      </c>
      <c r="S1010" t="s">
        <v>1776</v>
      </c>
      <c r="V1010" t="s">
        <v>905</v>
      </c>
      <c r="Z1010">
        <v>5</v>
      </c>
      <c r="AA1010">
        <v>5</v>
      </c>
      <c r="AC1010">
        <v>366</v>
      </c>
      <c r="AD1010" s="37">
        <v>15</v>
      </c>
      <c r="AE1010">
        <v>956</v>
      </c>
      <c r="AF1010" s="37">
        <v>15</v>
      </c>
      <c r="AG1010" t="s">
        <v>3387</v>
      </c>
      <c r="AH1010">
        <v>2.9804578922761</v>
      </c>
      <c r="AI1010" s="37">
        <v>15</v>
      </c>
      <c r="AJ1010" t="s">
        <v>1205</v>
      </c>
      <c r="AK1010" t="s">
        <v>770</v>
      </c>
      <c r="AM1010"/>
      <c r="AN1010">
        <v>136.19999999999999</v>
      </c>
      <c r="AO1010">
        <v>1.4310835055998654</v>
      </c>
      <c r="AP1010">
        <v>135.18</v>
      </c>
      <c r="AQ1010">
        <v>2.0571825392998067</v>
      </c>
      <c r="AS1010">
        <v>-7.0000000000000001E-3</v>
      </c>
      <c r="AT1010">
        <v>1E-4</v>
      </c>
      <c r="AW1010" s="28">
        <f t="shared" si="75"/>
        <v>-0.57561930094275204</v>
      </c>
      <c r="AX1010">
        <f t="shared" si="76"/>
        <v>0.90322580645161288</v>
      </c>
      <c r="AY1010" s="62">
        <f t="shared" si="77"/>
        <v>-0.51991420730313087</v>
      </c>
      <c r="AZ1010" s="68" t="str">
        <f t="shared" si="78"/>
        <v>No</v>
      </c>
      <c r="BA1010" s="68" t="str">
        <f t="shared" si="79"/>
        <v>No</v>
      </c>
    </row>
    <row r="1011" spans="1:53" hidden="1">
      <c r="A1011" t="s">
        <v>1815</v>
      </c>
      <c r="B1011" t="s">
        <v>3008</v>
      </c>
      <c r="C1011">
        <v>49</v>
      </c>
      <c r="F1011" t="s">
        <v>1241</v>
      </c>
      <c r="G1011" t="s">
        <v>1730</v>
      </c>
      <c r="I1011">
        <v>2018</v>
      </c>
      <c r="N1011" t="s">
        <v>36</v>
      </c>
      <c r="P1011" t="s">
        <v>60</v>
      </c>
      <c r="Q1011" t="s">
        <v>900</v>
      </c>
      <c r="R1011" t="s">
        <v>1741</v>
      </c>
      <c r="S1011" t="s">
        <v>1776</v>
      </c>
      <c r="V1011" t="s">
        <v>905</v>
      </c>
      <c r="Z1011">
        <v>5</v>
      </c>
      <c r="AA1011">
        <v>5</v>
      </c>
      <c r="AC1011">
        <v>848</v>
      </c>
      <c r="AD1011" s="37">
        <v>15</v>
      </c>
      <c r="AE1011">
        <v>2103</v>
      </c>
      <c r="AF1011" s="37">
        <v>15</v>
      </c>
      <c r="AG1011" t="s">
        <v>3386</v>
      </c>
      <c r="AH1011">
        <v>3.3228392726863212</v>
      </c>
      <c r="AI1011" s="37">
        <v>15</v>
      </c>
      <c r="AJ1011" t="s">
        <v>1205</v>
      </c>
      <c r="AK1011" t="s">
        <v>59</v>
      </c>
      <c r="AM1011"/>
      <c r="AN1011">
        <v>141.35</v>
      </c>
      <c r="AO1011">
        <v>4.1143650785996133</v>
      </c>
      <c r="AP1011">
        <v>140.52000000000001</v>
      </c>
      <c r="AQ1011">
        <v>2.8845276909747288</v>
      </c>
      <c r="AS1011">
        <v>-6.0000000000000001E-3</v>
      </c>
      <c r="AT1011">
        <v>2.9999999999999997E-4</v>
      </c>
      <c r="AW1011" s="28">
        <f t="shared" si="75"/>
        <v>-0.2336013236066812</v>
      </c>
      <c r="AX1011">
        <f t="shared" si="76"/>
        <v>0.90322580645161288</v>
      </c>
      <c r="AY1011" s="62">
        <f t="shared" si="77"/>
        <v>-0.21099474390280881</v>
      </c>
      <c r="AZ1011" s="68" t="str">
        <f t="shared" si="78"/>
        <v>No</v>
      </c>
      <c r="BA1011" s="68" t="str">
        <f t="shared" si="79"/>
        <v>No</v>
      </c>
    </row>
    <row r="1012" spans="1:53" hidden="1">
      <c r="A1012" t="s">
        <v>1815</v>
      </c>
      <c r="B1012" t="s">
        <v>3009</v>
      </c>
      <c r="C1012">
        <v>49</v>
      </c>
      <c r="F1012" t="s">
        <v>1241</v>
      </c>
      <c r="G1012" t="s">
        <v>1730</v>
      </c>
      <c r="I1012">
        <v>2018</v>
      </c>
      <c r="N1012" t="s">
        <v>36</v>
      </c>
      <c r="P1012" t="s">
        <v>60</v>
      </c>
      <c r="Q1012" t="s">
        <v>900</v>
      </c>
      <c r="R1012" t="s">
        <v>1741</v>
      </c>
      <c r="S1012" t="s">
        <v>1776</v>
      </c>
      <c r="V1012" t="s">
        <v>905</v>
      </c>
      <c r="Z1012">
        <v>5</v>
      </c>
      <c r="AA1012">
        <v>5</v>
      </c>
      <c r="AC1012">
        <v>366</v>
      </c>
      <c r="AD1012" s="37">
        <v>15</v>
      </c>
      <c r="AE1012">
        <v>769</v>
      </c>
      <c r="AF1012" s="37">
        <v>15</v>
      </c>
      <c r="AG1012" t="s">
        <v>3387</v>
      </c>
      <c r="AH1012">
        <v>2.885926339801431</v>
      </c>
      <c r="AI1012" s="37">
        <v>15</v>
      </c>
      <c r="AJ1012" t="s">
        <v>1205</v>
      </c>
      <c r="AK1012" t="s">
        <v>69</v>
      </c>
      <c r="AM1012"/>
      <c r="AN1012">
        <v>136.19999999999999</v>
      </c>
      <c r="AO1012">
        <v>1.4310835055998654</v>
      </c>
      <c r="AP1012">
        <v>135.55000000000001</v>
      </c>
      <c r="AQ1012">
        <v>1.0285912696499033</v>
      </c>
      <c r="AS1012">
        <v>-5.0000000000000001E-3</v>
      </c>
      <c r="AT1012">
        <v>1E-4</v>
      </c>
      <c r="AW1012" s="28">
        <f t="shared" si="75"/>
        <v>-0.52158804516615542</v>
      </c>
      <c r="AX1012">
        <f t="shared" si="76"/>
        <v>0.90322580645161288</v>
      </c>
      <c r="AY1012" s="62">
        <f t="shared" si="77"/>
        <v>-0.47111178273072102</v>
      </c>
      <c r="AZ1012" s="68" t="str">
        <f t="shared" si="78"/>
        <v>No</v>
      </c>
      <c r="BA1012" s="68" t="str">
        <f t="shared" si="79"/>
        <v>No</v>
      </c>
    </row>
    <row r="1013" spans="1:53" hidden="1">
      <c r="A1013" t="s">
        <v>1815</v>
      </c>
      <c r="B1013" t="s">
        <v>3010</v>
      </c>
      <c r="C1013">
        <v>49</v>
      </c>
      <c r="F1013" t="s">
        <v>1241</v>
      </c>
      <c r="G1013" t="s">
        <v>1730</v>
      </c>
      <c r="I1013">
        <v>2018</v>
      </c>
      <c r="N1013" t="s">
        <v>36</v>
      </c>
      <c r="P1013" t="s">
        <v>60</v>
      </c>
      <c r="Q1013" t="s">
        <v>900</v>
      </c>
      <c r="R1013" t="s">
        <v>1741</v>
      </c>
      <c r="S1013" t="s">
        <v>1776</v>
      </c>
      <c r="V1013" t="s">
        <v>905</v>
      </c>
      <c r="Z1013">
        <v>5</v>
      </c>
      <c r="AA1013">
        <v>5</v>
      </c>
      <c r="AC1013">
        <v>366</v>
      </c>
      <c r="AD1013" s="37">
        <v>15</v>
      </c>
      <c r="AE1013">
        <v>1315</v>
      </c>
      <c r="AF1013" s="37">
        <v>15</v>
      </c>
      <c r="AG1013" t="s">
        <v>3387</v>
      </c>
      <c r="AH1013">
        <v>3.1189257528257768</v>
      </c>
      <c r="AI1013" s="37">
        <v>15</v>
      </c>
      <c r="AJ1013" t="s">
        <v>1205</v>
      </c>
      <c r="AK1013" t="s">
        <v>69</v>
      </c>
      <c r="AM1013"/>
      <c r="AN1013">
        <v>136.19999999999999</v>
      </c>
      <c r="AO1013">
        <v>1.4310835055998654</v>
      </c>
      <c r="AP1013">
        <v>135.55000000000001</v>
      </c>
      <c r="AQ1013">
        <v>2.0571825392998067</v>
      </c>
      <c r="AS1013">
        <v>-5.0000000000000001E-3</v>
      </c>
      <c r="AT1013">
        <v>1E-4</v>
      </c>
      <c r="AW1013" s="28">
        <f t="shared" si="75"/>
        <v>-0.36681622118900242</v>
      </c>
      <c r="AX1013">
        <f t="shared" si="76"/>
        <v>0.90322580645161288</v>
      </c>
      <c r="AY1013" s="62">
        <f t="shared" si="77"/>
        <v>-0.3313178772029699</v>
      </c>
      <c r="AZ1013" s="68" t="str">
        <f t="shared" si="78"/>
        <v>No</v>
      </c>
      <c r="BA1013" s="68" t="str">
        <f t="shared" si="79"/>
        <v>No</v>
      </c>
    </row>
    <row r="1014" spans="1:53" hidden="1">
      <c r="A1014" t="s">
        <v>1815</v>
      </c>
      <c r="B1014" t="s">
        <v>3013</v>
      </c>
      <c r="C1014">
        <v>49</v>
      </c>
      <c r="F1014" t="s">
        <v>1241</v>
      </c>
      <c r="G1014" t="s">
        <v>1730</v>
      </c>
      <c r="I1014">
        <v>2018</v>
      </c>
      <c r="N1014" t="s">
        <v>36</v>
      </c>
      <c r="P1014" t="s">
        <v>60</v>
      </c>
      <c r="Q1014" t="s">
        <v>900</v>
      </c>
      <c r="R1014" t="s">
        <v>1741</v>
      </c>
      <c r="S1014" t="s">
        <v>1776</v>
      </c>
      <c r="V1014" t="s">
        <v>905</v>
      </c>
      <c r="Z1014">
        <v>5</v>
      </c>
      <c r="AA1014">
        <v>5</v>
      </c>
      <c r="AC1014">
        <v>848</v>
      </c>
      <c r="AD1014" s="37">
        <v>15</v>
      </c>
      <c r="AE1014">
        <v>1350</v>
      </c>
      <c r="AF1014" s="37">
        <v>15</v>
      </c>
      <c r="AG1014" t="s">
        <v>3386</v>
      </c>
      <c r="AH1014">
        <v>3.1303337684950061</v>
      </c>
      <c r="AI1014" s="37">
        <v>15</v>
      </c>
      <c r="AJ1014" t="s">
        <v>1205</v>
      </c>
      <c r="AK1014" t="s">
        <v>787</v>
      </c>
      <c r="AM1014"/>
      <c r="AN1014">
        <v>141.35</v>
      </c>
      <c r="AO1014">
        <v>4.1143650785996133</v>
      </c>
      <c r="AP1014">
        <v>142.44999999999999</v>
      </c>
      <c r="AQ1014">
        <v>6.7976466515993614</v>
      </c>
      <c r="AS1014">
        <v>8.0000000000000002E-3</v>
      </c>
      <c r="AT1014">
        <v>5.9999999999999995E-4</v>
      </c>
      <c r="AW1014" s="28">
        <f t="shared" si="75"/>
        <v>0.1957803728267625</v>
      </c>
      <c r="AX1014">
        <f t="shared" si="76"/>
        <v>0.90322580645161288</v>
      </c>
      <c r="AY1014" s="62">
        <f t="shared" si="77"/>
        <v>0.17683388513384998</v>
      </c>
      <c r="AZ1014" s="68" t="str">
        <f t="shared" si="78"/>
        <v>No</v>
      </c>
      <c r="BA1014" s="68" t="str">
        <f t="shared" si="79"/>
        <v>No</v>
      </c>
    </row>
    <row r="1015" spans="1:53" hidden="1">
      <c r="A1015" t="s">
        <v>1815</v>
      </c>
      <c r="B1015" t="s">
        <v>2982</v>
      </c>
      <c r="C1015">
        <v>49</v>
      </c>
      <c r="F1015" t="s">
        <v>1241</v>
      </c>
      <c r="G1015" t="s">
        <v>1730</v>
      </c>
      <c r="I1015">
        <v>2018</v>
      </c>
      <c r="N1015" t="s">
        <v>36</v>
      </c>
      <c r="P1015" t="s">
        <v>60</v>
      </c>
      <c r="Q1015" t="s">
        <v>900</v>
      </c>
      <c r="R1015" t="s">
        <v>1741</v>
      </c>
      <c r="S1015" t="s">
        <v>1776</v>
      </c>
      <c r="V1015" t="s">
        <v>907</v>
      </c>
      <c r="Z1015">
        <v>5</v>
      </c>
      <c r="AA1015">
        <v>5</v>
      </c>
      <c r="AC1015">
        <v>681</v>
      </c>
      <c r="AD1015" s="37">
        <v>15</v>
      </c>
      <c r="AE1015">
        <v>805</v>
      </c>
      <c r="AF1015" s="37">
        <v>18</v>
      </c>
      <c r="AG1015" t="s">
        <v>3385</v>
      </c>
      <c r="AH1015">
        <v>2.9057958803678687</v>
      </c>
      <c r="AI1015" s="37">
        <v>15</v>
      </c>
      <c r="AJ1015" t="s">
        <v>1812</v>
      </c>
      <c r="AK1015" t="s">
        <v>770</v>
      </c>
      <c r="AM1015"/>
      <c r="AN1015">
        <v>38.97</v>
      </c>
      <c r="AO1015">
        <v>3.4659053651246743</v>
      </c>
      <c r="AP1015">
        <v>29.66</v>
      </c>
      <c r="AQ1015">
        <v>3.0857738089497095</v>
      </c>
      <c r="AS1015">
        <v>-0.27300000000000002</v>
      </c>
      <c r="AT1015">
        <v>3.7000000000000002E-3</v>
      </c>
      <c r="AW1015" s="28">
        <f t="shared" si="75"/>
        <v>-2.8372478954994249</v>
      </c>
      <c r="AX1015">
        <f t="shared" si="76"/>
        <v>0.90322580645161288</v>
      </c>
      <c r="AY1015" s="62">
        <f t="shared" si="77"/>
        <v>-2.5626755185156096</v>
      </c>
      <c r="AZ1015" s="68" t="str">
        <f t="shared" si="78"/>
        <v>No</v>
      </c>
      <c r="BA1015" s="68" t="str">
        <f t="shared" si="79"/>
        <v>No</v>
      </c>
    </row>
    <row r="1016" spans="1:53" hidden="1">
      <c r="A1016" t="s">
        <v>1815</v>
      </c>
      <c r="B1016" t="s">
        <v>2986</v>
      </c>
      <c r="C1016">
        <v>49</v>
      </c>
      <c r="F1016" t="s">
        <v>1241</v>
      </c>
      <c r="G1016" t="s">
        <v>1730</v>
      </c>
      <c r="I1016">
        <v>2018</v>
      </c>
      <c r="N1016" t="s">
        <v>36</v>
      </c>
      <c r="P1016" t="s">
        <v>60</v>
      </c>
      <c r="Q1016" t="s">
        <v>900</v>
      </c>
      <c r="R1016" t="s">
        <v>1741</v>
      </c>
      <c r="S1016" t="s">
        <v>1776</v>
      </c>
      <c r="V1016" t="s">
        <v>907</v>
      </c>
      <c r="Z1016">
        <v>5</v>
      </c>
      <c r="AA1016">
        <v>5</v>
      </c>
      <c r="AC1016">
        <v>366</v>
      </c>
      <c r="AD1016" s="37">
        <v>15</v>
      </c>
      <c r="AE1016">
        <v>440</v>
      </c>
      <c r="AF1016" s="37">
        <v>18</v>
      </c>
      <c r="AG1016" t="s">
        <v>3387</v>
      </c>
      <c r="AH1016">
        <v>2.6434526764861874</v>
      </c>
      <c r="AI1016" s="37">
        <v>15</v>
      </c>
      <c r="AJ1016" t="s">
        <v>1812</v>
      </c>
      <c r="AK1016" t="s">
        <v>770</v>
      </c>
      <c r="AM1016"/>
      <c r="AN1016">
        <v>70.34</v>
      </c>
      <c r="AO1016">
        <v>6.9318107302493486</v>
      </c>
      <c r="AP1016">
        <v>61.38</v>
      </c>
      <c r="AQ1016">
        <v>3.0857738089497095</v>
      </c>
      <c r="AS1016">
        <v>-0.13600000000000001</v>
      </c>
      <c r="AT1016">
        <v>2.5000000000000001E-3</v>
      </c>
      <c r="AW1016" s="28">
        <f t="shared" si="75"/>
        <v>-1.6700033761387656</v>
      </c>
      <c r="AX1016">
        <f t="shared" si="76"/>
        <v>0.90322580645161288</v>
      </c>
      <c r="AY1016" s="62">
        <f t="shared" si="77"/>
        <v>-1.5083901461898528</v>
      </c>
      <c r="AZ1016" s="68" t="str">
        <f t="shared" si="78"/>
        <v>No</v>
      </c>
      <c r="BA1016" s="68" t="str">
        <f t="shared" si="79"/>
        <v>No</v>
      </c>
    </row>
    <row r="1017" spans="1:53" hidden="1">
      <c r="A1017" t="s">
        <v>1815</v>
      </c>
      <c r="B1017" t="s">
        <v>2997</v>
      </c>
      <c r="C1017">
        <v>49</v>
      </c>
      <c r="F1017" t="s">
        <v>1241</v>
      </c>
      <c r="G1017" t="s">
        <v>1730</v>
      </c>
      <c r="I1017">
        <v>2018</v>
      </c>
      <c r="N1017" t="s">
        <v>36</v>
      </c>
      <c r="P1017" t="s">
        <v>60</v>
      </c>
      <c r="Q1017" t="s">
        <v>900</v>
      </c>
      <c r="R1017" t="s">
        <v>1741</v>
      </c>
      <c r="S1017" t="s">
        <v>1776</v>
      </c>
      <c r="V1017" t="s">
        <v>907</v>
      </c>
      <c r="Z1017">
        <v>5</v>
      </c>
      <c r="AA1017">
        <v>5</v>
      </c>
      <c r="AC1017">
        <v>681</v>
      </c>
      <c r="AD1017" s="37">
        <v>15</v>
      </c>
      <c r="AE1017">
        <v>805</v>
      </c>
      <c r="AF1017" s="37">
        <v>18</v>
      </c>
      <c r="AG1017" t="s">
        <v>3385</v>
      </c>
      <c r="AH1017">
        <v>2.9057958803678687</v>
      </c>
      <c r="AI1017" s="37">
        <v>15</v>
      </c>
      <c r="AJ1017" t="s">
        <v>1205</v>
      </c>
      <c r="AK1017" t="s">
        <v>770</v>
      </c>
      <c r="AM1017"/>
      <c r="AN1017">
        <v>121.93</v>
      </c>
      <c r="AO1017">
        <v>1.0285912696499033</v>
      </c>
      <c r="AP1017">
        <v>116.96</v>
      </c>
      <c r="AQ1017">
        <v>1.2298373876248845</v>
      </c>
      <c r="AS1017">
        <v>-4.2000000000000003E-2</v>
      </c>
      <c r="AT1017">
        <v>1E-4</v>
      </c>
      <c r="AW1017" s="28">
        <f t="shared" si="75"/>
        <v>-4.3839196178439312</v>
      </c>
      <c r="AX1017">
        <f t="shared" si="76"/>
        <v>0.90322580645161288</v>
      </c>
      <c r="AY1017" s="62">
        <f t="shared" si="77"/>
        <v>-3.9596693322461314</v>
      </c>
      <c r="AZ1017" s="68" t="str">
        <f t="shared" si="78"/>
        <v>No</v>
      </c>
      <c r="BA1017" s="68" t="str">
        <f t="shared" si="79"/>
        <v>No</v>
      </c>
    </row>
    <row r="1018" spans="1:53" hidden="1">
      <c r="A1018" t="s">
        <v>1815</v>
      </c>
      <c r="B1018" t="s">
        <v>3000</v>
      </c>
      <c r="C1018">
        <v>49</v>
      </c>
      <c r="F1018" t="s">
        <v>1241</v>
      </c>
      <c r="G1018" t="s">
        <v>1730</v>
      </c>
      <c r="I1018">
        <v>2018</v>
      </c>
      <c r="N1018" t="s">
        <v>36</v>
      </c>
      <c r="P1018" t="s">
        <v>60</v>
      </c>
      <c r="Q1018" t="s">
        <v>900</v>
      </c>
      <c r="R1018" t="s">
        <v>1741</v>
      </c>
      <c r="S1018" t="s">
        <v>1776</v>
      </c>
      <c r="V1018" t="s">
        <v>907</v>
      </c>
      <c r="Z1018">
        <v>5</v>
      </c>
      <c r="AA1018">
        <v>5</v>
      </c>
      <c r="AC1018">
        <v>848</v>
      </c>
      <c r="AD1018" s="37">
        <v>15</v>
      </c>
      <c r="AE1018">
        <v>997</v>
      </c>
      <c r="AF1018" s="37">
        <v>18</v>
      </c>
      <c r="AG1018" t="s">
        <v>3386</v>
      </c>
      <c r="AH1018">
        <v>2.9986951583116559</v>
      </c>
      <c r="AI1018" s="37">
        <v>15</v>
      </c>
      <c r="AJ1018" t="s">
        <v>1205</v>
      </c>
      <c r="AK1018" t="s">
        <v>770</v>
      </c>
      <c r="AM1018"/>
      <c r="AN1018">
        <v>141.35</v>
      </c>
      <c r="AO1018">
        <v>4.1143650785996133</v>
      </c>
      <c r="AP1018">
        <v>138.4</v>
      </c>
      <c r="AQ1018">
        <v>3.4882660448996723</v>
      </c>
      <c r="AS1018">
        <v>-2.1000000000000001E-2</v>
      </c>
      <c r="AT1018">
        <v>2.9999999999999997E-4</v>
      </c>
      <c r="AW1018" s="28">
        <f t="shared" si="75"/>
        <v>-0.77342885346132917</v>
      </c>
      <c r="AX1018">
        <f t="shared" si="76"/>
        <v>0.90322580645161288</v>
      </c>
      <c r="AY1018" s="62">
        <f t="shared" si="77"/>
        <v>-0.69858089990055539</v>
      </c>
      <c r="AZ1018" s="68" t="str">
        <f t="shared" si="78"/>
        <v>No</v>
      </c>
      <c r="BA1018" s="68" t="str">
        <f t="shared" si="79"/>
        <v>No</v>
      </c>
    </row>
    <row r="1019" spans="1:53" hidden="1">
      <c r="A1019" t="s">
        <v>1815</v>
      </c>
      <c r="B1019" t="s">
        <v>3014</v>
      </c>
      <c r="C1019">
        <v>49</v>
      </c>
      <c r="F1019" t="s">
        <v>1241</v>
      </c>
      <c r="G1019" t="s">
        <v>1730</v>
      </c>
      <c r="I1019">
        <v>2015</v>
      </c>
      <c r="N1019" t="s">
        <v>36</v>
      </c>
      <c r="P1019" t="s">
        <v>60</v>
      </c>
      <c r="Q1019" t="s">
        <v>900</v>
      </c>
      <c r="R1019" t="s">
        <v>1741</v>
      </c>
      <c r="S1019" t="s">
        <v>1776</v>
      </c>
      <c r="V1019" t="s">
        <v>907</v>
      </c>
      <c r="Z1019">
        <v>5</v>
      </c>
      <c r="AA1019">
        <v>5</v>
      </c>
      <c r="AC1019">
        <v>366</v>
      </c>
      <c r="AD1019" s="37">
        <v>15</v>
      </c>
      <c r="AE1019">
        <v>440</v>
      </c>
      <c r="AF1019" s="37">
        <v>18</v>
      </c>
      <c r="AG1019" t="s">
        <v>3387</v>
      </c>
      <c r="AH1019">
        <v>2.6434526764861874</v>
      </c>
      <c r="AI1019" s="37">
        <v>15</v>
      </c>
      <c r="AJ1019" t="s">
        <v>1205</v>
      </c>
      <c r="AK1019" t="s">
        <v>787</v>
      </c>
      <c r="AM1019"/>
      <c r="AN1019">
        <v>136.19999999999999</v>
      </c>
      <c r="AO1019">
        <v>1.4310835055998654</v>
      </c>
      <c r="AP1019">
        <v>137.66999999999999</v>
      </c>
      <c r="AQ1019">
        <v>1.4310835055998654</v>
      </c>
      <c r="AS1019">
        <v>1.0999999999999999E-2</v>
      </c>
      <c r="AT1019">
        <v>1E-4</v>
      </c>
      <c r="AW1019" s="28">
        <f t="shared" si="75"/>
        <v>1.0271937271639651</v>
      </c>
      <c r="AX1019">
        <f t="shared" si="76"/>
        <v>0.90322580645161288</v>
      </c>
      <c r="AY1019" s="62">
        <f t="shared" si="77"/>
        <v>0.92778788259971035</v>
      </c>
      <c r="AZ1019" s="68" t="str">
        <f t="shared" si="78"/>
        <v>No</v>
      </c>
      <c r="BA1019" s="68" t="str">
        <f t="shared" si="79"/>
        <v>No</v>
      </c>
    </row>
    <row r="1020" spans="1:53" hidden="1">
      <c r="A1020" t="s">
        <v>1815</v>
      </c>
      <c r="B1020" t="s">
        <v>3017</v>
      </c>
      <c r="C1020">
        <v>49</v>
      </c>
      <c r="F1020" t="s">
        <v>1241</v>
      </c>
      <c r="G1020" t="s">
        <v>1730</v>
      </c>
      <c r="I1020">
        <v>2015</v>
      </c>
      <c r="N1020" t="s">
        <v>36</v>
      </c>
      <c r="P1020" t="s">
        <v>60</v>
      </c>
      <c r="Q1020" t="s">
        <v>900</v>
      </c>
      <c r="R1020" t="s">
        <v>1741</v>
      </c>
      <c r="S1020" t="s">
        <v>1776</v>
      </c>
      <c r="V1020" t="s">
        <v>907</v>
      </c>
      <c r="Z1020">
        <v>5</v>
      </c>
      <c r="AA1020">
        <v>5</v>
      </c>
      <c r="AC1020">
        <v>848</v>
      </c>
      <c r="AD1020" s="37">
        <v>15</v>
      </c>
      <c r="AE1020">
        <v>997</v>
      </c>
      <c r="AF1020" s="37">
        <v>18</v>
      </c>
      <c r="AG1020" t="s">
        <v>3386</v>
      </c>
      <c r="AH1020">
        <v>2.9986951583116559</v>
      </c>
      <c r="AI1020" s="37">
        <v>15</v>
      </c>
      <c r="AJ1020" t="s">
        <v>1812</v>
      </c>
      <c r="AK1020" t="s">
        <v>770</v>
      </c>
      <c r="AM1020"/>
      <c r="AN1020">
        <v>22.07</v>
      </c>
      <c r="AO1020">
        <v>6.9318107302493486</v>
      </c>
      <c r="AP1020">
        <v>22.93</v>
      </c>
      <c r="AQ1020">
        <v>5.7914160617244557</v>
      </c>
      <c r="AS1020">
        <v>3.7999999999999999E-2</v>
      </c>
      <c r="AT1020">
        <v>3.2500000000000001E-2</v>
      </c>
      <c r="AW1020" s="28">
        <f t="shared" si="75"/>
        <v>0.13464606066424012</v>
      </c>
      <c r="AX1020">
        <f t="shared" si="76"/>
        <v>0.90322580645161288</v>
      </c>
      <c r="AY1020" s="62">
        <f t="shared" si="77"/>
        <v>0.12161579672899107</v>
      </c>
      <c r="AZ1020" s="68" t="str">
        <f t="shared" si="78"/>
        <v>No</v>
      </c>
      <c r="BA1020" s="68" t="str">
        <f t="shared" si="79"/>
        <v>No</v>
      </c>
    </row>
    <row r="1021" spans="1:53" hidden="1">
      <c r="A1021" t="s">
        <v>1815</v>
      </c>
      <c r="B1021" t="s">
        <v>2966</v>
      </c>
      <c r="C1021">
        <v>49</v>
      </c>
      <c r="F1021" t="s">
        <v>1241</v>
      </c>
      <c r="G1021" t="s">
        <v>1730</v>
      </c>
      <c r="I1021">
        <v>2018</v>
      </c>
      <c r="N1021" t="s">
        <v>36</v>
      </c>
      <c r="P1021" t="s">
        <v>60</v>
      </c>
      <c r="Q1021" t="s">
        <v>900</v>
      </c>
      <c r="R1021" t="s">
        <v>1741</v>
      </c>
      <c r="S1021" t="s">
        <v>1776</v>
      </c>
      <c r="V1021" t="s">
        <v>1015</v>
      </c>
      <c r="Z1021">
        <v>5</v>
      </c>
      <c r="AA1021">
        <v>5</v>
      </c>
      <c r="AC1021">
        <v>681</v>
      </c>
      <c r="AD1021" s="37">
        <v>15</v>
      </c>
      <c r="AE1021">
        <v>1905</v>
      </c>
      <c r="AF1021" s="37">
        <v>18</v>
      </c>
      <c r="AG1021" t="s">
        <v>3385</v>
      </c>
      <c r="AH1021">
        <v>3.2798949800116382</v>
      </c>
      <c r="AI1021" s="37">
        <v>15</v>
      </c>
      <c r="AJ1021" t="s">
        <v>1812</v>
      </c>
      <c r="AK1021" t="s">
        <v>40</v>
      </c>
      <c r="AM1021"/>
      <c r="AN1021">
        <v>38.97</v>
      </c>
      <c r="AO1021">
        <v>3.4659053651246743</v>
      </c>
      <c r="AP1021">
        <v>12.76</v>
      </c>
      <c r="AQ1021">
        <v>5.7914160617244557</v>
      </c>
      <c r="AS1021">
        <v>-1.1160000000000001</v>
      </c>
      <c r="AT1021">
        <v>4.2700000000000002E-2</v>
      </c>
      <c r="AW1021" s="28">
        <f t="shared" si="75"/>
        <v>-5.4919114592155687</v>
      </c>
      <c r="AX1021">
        <f t="shared" si="76"/>
        <v>0.90322580645161288</v>
      </c>
      <c r="AY1021" s="62">
        <f t="shared" si="77"/>
        <v>-4.9604361567108359</v>
      </c>
      <c r="AZ1021" s="68" t="str">
        <f t="shared" si="78"/>
        <v>No</v>
      </c>
      <c r="BA1021" s="68" t="str">
        <f t="shared" si="79"/>
        <v>No</v>
      </c>
    </row>
    <row r="1022" spans="1:53" hidden="1">
      <c r="A1022" t="s">
        <v>1815</v>
      </c>
      <c r="B1022" t="s">
        <v>2970</v>
      </c>
      <c r="C1022">
        <v>49</v>
      </c>
      <c r="F1022" t="s">
        <v>1241</v>
      </c>
      <c r="G1022" t="s">
        <v>1730</v>
      </c>
      <c r="I1022">
        <v>2018</v>
      </c>
      <c r="N1022" t="s">
        <v>36</v>
      </c>
      <c r="P1022" t="s">
        <v>60</v>
      </c>
      <c r="Q1022" t="s">
        <v>900</v>
      </c>
      <c r="R1022" t="s">
        <v>1741</v>
      </c>
      <c r="S1022" t="s">
        <v>1776</v>
      </c>
      <c r="V1022" t="s">
        <v>1015</v>
      </c>
      <c r="Z1022">
        <v>5</v>
      </c>
      <c r="AA1022">
        <v>5</v>
      </c>
      <c r="AC1022">
        <v>681</v>
      </c>
      <c r="AD1022" s="37">
        <v>15</v>
      </c>
      <c r="AE1022">
        <v>1630</v>
      </c>
      <c r="AF1022" s="37">
        <v>18</v>
      </c>
      <c r="AG1022" t="s">
        <v>3385</v>
      </c>
      <c r="AH1022">
        <v>3.2121876044039577</v>
      </c>
      <c r="AI1022" s="37">
        <v>15</v>
      </c>
      <c r="AJ1022" t="s">
        <v>1812</v>
      </c>
      <c r="AK1022" t="s">
        <v>40</v>
      </c>
      <c r="AM1022"/>
      <c r="AN1022">
        <v>38.97</v>
      </c>
      <c r="AO1022">
        <v>3.4659053651246743</v>
      </c>
      <c r="AP1022">
        <v>20.52</v>
      </c>
      <c r="AQ1022">
        <v>5.7914160617244557</v>
      </c>
      <c r="AS1022">
        <v>-0.64100000000000001</v>
      </c>
      <c r="AT1022">
        <v>1.7500000000000002E-2</v>
      </c>
      <c r="AW1022" s="28">
        <f t="shared" si="75"/>
        <v>-3.8659201229502949</v>
      </c>
      <c r="AX1022">
        <f t="shared" si="76"/>
        <v>0.90322580645161288</v>
      </c>
      <c r="AY1022" s="62">
        <f t="shared" si="77"/>
        <v>-3.4917988207292985</v>
      </c>
      <c r="AZ1022" s="68" t="str">
        <f t="shared" si="78"/>
        <v>No</v>
      </c>
      <c r="BA1022" s="68" t="str">
        <f t="shared" si="79"/>
        <v>No</v>
      </c>
    </row>
    <row r="1023" spans="1:53" hidden="1">
      <c r="A1023" t="s">
        <v>1815</v>
      </c>
      <c r="B1023" t="s">
        <v>2971</v>
      </c>
      <c r="C1023">
        <v>49</v>
      </c>
      <c r="F1023" t="s">
        <v>1241</v>
      </c>
      <c r="G1023" t="s">
        <v>1730</v>
      </c>
      <c r="I1023">
        <v>2018</v>
      </c>
      <c r="N1023" t="s">
        <v>36</v>
      </c>
      <c r="P1023" t="s">
        <v>60</v>
      </c>
      <c r="Q1023" t="s">
        <v>900</v>
      </c>
      <c r="R1023" t="s">
        <v>1741</v>
      </c>
      <c r="S1023" t="s">
        <v>1776</v>
      </c>
      <c r="V1023" t="s">
        <v>1015</v>
      </c>
      <c r="Z1023">
        <v>5</v>
      </c>
      <c r="AA1023">
        <v>5</v>
      </c>
      <c r="AC1023">
        <v>681</v>
      </c>
      <c r="AD1023" s="37">
        <v>15</v>
      </c>
      <c r="AE1023">
        <v>1367</v>
      </c>
      <c r="AF1023" s="37">
        <v>18</v>
      </c>
      <c r="AG1023" t="s">
        <v>3385</v>
      </c>
      <c r="AH1023">
        <v>3.1357685145678222</v>
      </c>
      <c r="AI1023" s="37">
        <v>15</v>
      </c>
      <c r="AJ1023" t="s">
        <v>1812</v>
      </c>
      <c r="AK1023" t="s">
        <v>40</v>
      </c>
      <c r="AM1023"/>
      <c r="AN1023">
        <v>38.97</v>
      </c>
      <c r="AO1023">
        <v>3.4659053651246743</v>
      </c>
      <c r="AP1023">
        <v>22.59</v>
      </c>
      <c r="AQ1023">
        <v>5.7914160617244557</v>
      </c>
      <c r="AS1023">
        <v>-0.54500000000000004</v>
      </c>
      <c r="AT1023">
        <v>1.47E-2</v>
      </c>
      <c r="AW1023" s="28">
        <f t="shared" si="75"/>
        <v>-3.4321827433022132</v>
      </c>
      <c r="AX1023">
        <f t="shared" si="76"/>
        <v>0.90322580645161288</v>
      </c>
      <c r="AY1023" s="62">
        <f t="shared" si="77"/>
        <v>-3.1000360262084503</v>
      </c>
      <c r="AZ1023" s="68" t="str">
        <f t="shared" si="78"/>
        <v>No</v>
      </c>
      <c r="BA1023" s="68" t="str">
        <f t="shared" si="79"/>
        <v>No</v>
      </c>
    </row>
    <row r="1024" spans="1:53" hidden="1">
      <c r="A1024" t="s">
        <v>1815</v>
      </c>
      <c r="B1024" t="s">
        <v>2975</v>
      </c>
      <c r="C1024">
        <v>49</v>
      </c>
      <c r="F1024" t="s">
        <v>1241</v>
      </c>
      <c r="G1024" t="s">
        <v>1730</v>
      </c>
      <c r="I1024">
        <v>2018</v>
      </c>
      <c r="N1024" t="s">
        <v>36</v>
      </c>
      <c r="P1024" t="s">
        <v>60</v>
      </c>
      <c r="Q1024" t="s">
        <v>900</v>
      </c>
      <c r="R1024" t="s">
        <v>1741</v>
      </c>
      <c r="S1024" t="s">
        <v>1776</v>
      </c>
      <c r="V1024" t="s">
        <v>1015</v>
      </c>
      <c r="Z1024">
        <v>5</v>
      </c>
      <c r="AA1024">
        <v>5</v>
      </c>
      <c r="AC1024">
        <v>366</v>
      </c>
      <c r="AD1024" s="37">
        <v>15</v>
      </c>
      <c r="AE1024">
        <v>932</v>
      </c>
      <c r="AF1024" s="37">
        <v>18</v>
      </c>
      <c r="AG1024" t="s">
        <v>3387</v>
      </c>
      <c r="AH1024">
        <v>2.9694159123539814</v>
      </c>
      <c r="AI1024" s="37">
        <v>15</v>
      </c>
      <c r="AJ1024" t="s">
        <v>1812</v>
      </c>
      <c r="AK1024" t="s">
        <v>40</v>
      </c>
      <c r="AM1024"/>
      <c r="AN1024">
        <v>70.34</v>
      </c>
      <c r="AO1024">
        <v>6.9318107302493486</v>
      </c>
      <c r="AP1024">
        <v>45.52</v>
      </c>
      <c r="AQ1024">
        <v>6.5516791740743843</v>
      </c>
      <c r="AS1024">
        <v>-0.435</v>
      </c>
      <c r="AT1024">
        <v>6.1000000000000004E-3</v>
      </c>
      <c r="AW1024" s="28">
        <f t="shared" si="75"/>
        <v>-3.6800772592525535</v>
      </c>
      <c r="AX1024">
        <f t="shared" si="76"/>
        <v>0.90322580645161288</v>
      </c>
      <c r="AY1024" s="62">
        <f t="shared" si="77"/>
        <v>-3.3239407502926288</v>
      </c>
      <c r="AZ1024" s="68" t="str">
        <f t="shared" si="78"/>
        <v>No</v>
      </c>
      <c r="BA1024" s="68" t="str">
        <f t="shared" si="79"/>
        <v>No</v>
      </c>
    </row>
    <row r="1025" spans="1:53" hidden="1">
      <c r="A1025" t="s">
        <v>1815</v>
      </c>
      <c r="B1025" t="s">
        <v>2976</v>
      </c>
      <c r="C1025">
        <v>49</v>
      </c>
      <c r="F1025" t="s">
        <v>1241</v>
      </c>
      <c r="G1025" t="s">
        <v>1730</v>
      </c>
      <c r="I1025">
        <v>2018</v>
      </c>
      <c r="N1025" t="s">
        <v>36</v>
      </c>
      <c r="P1025" t="s">
        <v>60</v>
      </c>
      <c r="Q1025" t="s">
        <v>900</v>
      </c>
      <c r="R1025" t="s">
        <v>1741</v>
      </c>
      <c r="S1025" t="s">
        <v>1776</v>
      </c>
      <c r="V1025" t="s">
        <v>1015</v>
      </c>
      <c r="Z1025">
        <v>5</v>
      </c>
      <c r="AA1025">
        <v>5</v>
      </c>
      <c r="AC1025">
        <v>366</v>
      </c>
      <c r="AD1025" s="37">
        <v>15</v>
      </c>
      <c r="AE1025">
        <v>1523</v>
      </c>
      <c r="AF1025" s="37">
        <v>18</v>
      </c>
      <c r="AG1025" t="s">
        <v>3387</v>
      </c>
      <c r="AH1025">
        <v>3.1826999033360424</v>
      </c>
      <c r="AI1025" s="37">
        <v>15</v>
      </c>
      <c r="AJ1025" t="s">
        <v>1812</v>
      </c>
      <c r="AK1025" t="s">
        <v>40</v>
      </c>
      <c r="AM1025"/>
      <c r="AN1025">
        <v>70.34</v>
      </c>
      <c r="AO1025">
        <v>6.9318107302493486</v>
      </c>
      <c r="AP1025">
        <v>46.38</v>
      </c>
      <c r="AQ1025">
        <v>5.3889238257744934</v>
      </c>
      <c r="AS1025">
        <v>-0.41699999999999998</v>
      </c>
      <c r="AT1025">
        <v>4.7000000000000002E-3</v>
      </c>
      <c r="AW1025" s="28">
        <f t="shared" si="75"/>
        <v>-3.8592363817325159</v>
      </c>
      <c r="AX1025">
        <f t="shared" si="76"/>
        <v>0.90322580645161288</v>
      </c>
      <c r="AY1025" s="62">
        <f t="shared" si="77"/>
        <v>-3.4857618931777563</v>
      </c>
      <c r="AZ1025" s="68" t="str">
        <f t="shared" si="78"/>
        <v>No</v>
      </c>
      <c r="BA1025" s="68" t="str">
        <f t="shared" si="79"/>
        <v>No</v>
      </c>
    </row>
    <row r="1026" spans="1:53" hidden="1">
      <c r="A1026" t="s">
        <v>1815</v>
      </c>
      <c r="B1026" t="s">
        <v>2978</v>
      </c>
      <c r="C1026">
        <v>49</v>
      </c>
      <c r="F1026" t="s">
        <v>1241</v>
      </c>
      <c r="G1026" t="s">
        <v>1730</v>
      </c>
      <c r="I1026">
        <v>2018</v>
      </c>
      <c r="N1026" t="s">
        <v>36</v>
      </c>
      <c r="P1026" t="s">
        <v>60</v>
      </c>
      <c r="Q1026" t="s">
        <v>900</v>
      </c>
      <c r="R1026" t="s">
        <v>1741</v>
      </c>
      <c r="S1026" t="s">
        <v>1776</v>
      </c>
      <c r="V1026" t="s">
        <v>1015</v>
      </c>
      <c r="Z1026">
        <v>5</v>
      </c>
      <c r="AA1026">
        <v>5</v>
      </c>
      <c r="AC1026">
        <v>366</v>
      </c>
      <c r="AD1026" s="37">
        <v>15</v>
      </c>
      <c r="AE1026">
        <v>722</v>
      </c>
      <c r="AF1026" s="37">
        <v>18</v>
      </c>
      <c r="AG1026" t="s">
        <v>3387</v>
      </c>
      <c r="AH1026">
        <v>2.858537197569639</v>
      </c>
      <c r="AI1026" s="37">
        <v>15</v>
      </c>
      <c r="AJ1026" t="s">
        <v>1812</v>
      </c>
      <c r="AK1026" t="s">
        <v>40</v>
      </c>
      <c r="AM1026"/>
      <c r="AN1026">
        <v>70.34</v>
      </c>
      <c r="AO1026">
        <v>6.9318107302493486</v>
      </c>
      <c r="AP1026">
        <v>52.41</v>
      </c>
      <c r="AQ1026">
        <v>2.3031500168247834</v>
      </c>
      <c r="AS1026">
        <v>-0.29399999999999998</v>
      </c>
      <c r="AT1026">
        <v>2.3E-3</v>
      </c>
      <c r="AW1026" s="28">
        <f t="shared" ref="AW1026:AW1089" si="80">(AP1026-$AN1026)/SQRT(((AA1026-1)*AQ1026*AQ1026+($Z1026-1)*$AO1026*$AO1026)/(AA1026+$Z1026-2))</f>
        <v>-3.4714407741809921</v>
      </c>
      <c r="AX1026">
        <f t="shared" ref="AX1026:AX1089" si="81">1-(3/(4*(AA1026+$Z1026-2)-1))</f>
        <v>0.90322580645161288</v>
      </c>
      <c r="AY1026" s="62">
        <f t="shared" ref="AY1026:AY1089" si="82">AX1026*AW1026</f>
        <v>-3.1354948928086377</v>
      </c>
      <c r="AZ1026" s="68" t="str">
        <f t="shared" ref="AZ1026:AZ1089" si="83">IF(AY1026&gt;10,"Yes","No")</f>
        <v>No</v>
      </c>
      <c r="BA1026" s="68" t="str">
        <f t="shared" ref="BA1026:BA1089" si="84">IF(AY1026&lt;-10,"Yes","No")</f>
        <v>No</v>
      </c>
    </row>
    <row r="1027" spans="1:53" hidden="1">
      <c r="A1027" t="s">
        <v>1815</v>
      </c>
      <c r="B1027" t="s">
        <v>2980</v>
      </c>
      <c r="C1027">
        <v>49</v>
      </c>
      <c r="F1027" t="s">
        <v>1241</v>
      </c>
      <c r="G1027" t="s">
        <v>1730</v>
      </c>
      <c r="I1027">
        <v>2018</v>
      </c>
      <c r="N1027" t="s">
        <v>36</v>
      </c>
      <c r="P1027" t="s">
        <v>60</v>
      </c>
      <c r="Q1027" t="s">
        <v>900</v>
      </c>
      <c r="R1027" t="s">
        <v>1741</v>
      </c>
      <c r="S1027" t="s">
        <v>1776</v>
      </c>
      <c r="V1027" t="s">
        <v>1015</v>
      </c>
      <c r="Z1027">
        <v>5</v>
      </c>
      <c r="AA1027">
        <v>5</v>
      </c>
      <c r="AC1027">
        <v>681</v>
      </c>
      <c r="AD1027" s="37">
        <v>15</v>
      </c>
      <c r="AE1027">
        <v>1056</v>
      </c>
      <c r="AF1027" s="37">
        <v>18</v>
      </c>
      <c r="AG1027" t="s">
        <v>3385</v>
      </c>
      <c r="AH1027">
        <v>3.0236639181977933</v>
      </c>
      <c r="AI1027" s="37">
        <v>15</v>
      </c>
      <c r="AJ1027" t="s">
        <v>1812</v>
      </c>
      <c r="AK1027" t="s">
        <v>69</v>
      </c>
      <c r="AM1027"/>
      <c r="AN1027">
        <v>38.97</v>
      </c>
      <c r="AO1027">
        <v>3.4659053651246743</v>
      </c>
      <c r="AP1027">
        <v>29.48</v>
      </c>
      <c r="AQ1027">
        <v>2.7056422527747457</v>
      </c>
      <c r="AS1027">
        <v>-0.27900000000000003</v>
      </c>
      <c r="AT1027">
        <v>3.3E-3</v>
      </c>
      <c r="AW1027" s="28">
        <f t="shared" si="80"/>
        <v>-3.0523306999923108</v>
      </c>
      <c r="AX1027">
        <f t="shared" si="81"/>
        <v>0.90322580645161288</v>
      </c>
      <c r="AY1027" s="62">
        <f t="shared" si="82"/>
        <v>-2.7569438580575709</v>
      </c>
      <c r="AZ1027" s="68" t="str">
        <f t="shared" si="83"/>
        <v>No</v>
      </c>
      <c r="BA1027" s="68" t="str">
        <f t="shared" si="84"/>
        <v>No</v>
      </c>
    </row>
    <row r="1028" spans="1:53" hidden="1">
      <c r="A1028" t="s">
        <v>1815</v>
      </c>
      <c r="B1028" t="s">
        <v>2985</v>
      </c>
      <c r="C1028">
        <v>49</v>
      </c>
      <c r="F1028" t="s">
        <v>1241</v>
      </c>
      <c r="G1028" t="s">
        <v>1730</v>
      </c>
      <c r="I1028">
        <v>2018</v>
      </c>
      <c r="N1028" t="s">
        <v>36</v>
      </c>
      <c r="P1028" t="s">
        <v>60</v>
      </c>
      <c r="Q1028" t="s">
        <v>900</v>
      </c>
      <c r="R1028" t="s">
        <v>1741</v>
      </c>
      <c r="S1028" t="s">
        <v>1776</v>
      </c>
      <c r="V1028" t="s">
        <v>1015</v>
      </c>
      <c r="Z1028">
        <v>5</v>
      </c>
      <c r="AA1028">
        <v>5</v>
      </c>
      <c r="AC1028">
        <v>848</v>
      </c>
      <c r="AD1028" s="37">
        <v>15</v>
      </c>
      <c r="AE1028">
        <v>2478</v>
      </c>
      <c r="AF1028" s="37">
        <v>18</v>
      </c>
      <c r="AG1028" t="s">
        <v>3386</v>
      </c>
      <c r="AH1028">
        <v>3.3941013020400446</v>
      </c>
      <c r="AI1028" s="37">
        <v>15</v>
      </c>
      <c r="AJ1028" t="s">
        <v>1812</v>
      </c>
      <c r="AK1028" t="s">
        <v>770</v>
      </c>
      <c r="AM1028"/>
      <c r="AN1028">
        <v>22.07</v>
      </c>
      <c r="AO1028">
        <v>6.9318107302493486</v>
      </c>
      <c r="AP1028">
        <v>18.97</v>
      </c>
      <c r="AQ1028">
        <v>6.5516791740743843</v>
      </c>
      <c r="AS1028">
        <v>-0.152</v>
      </c>
      <c r="AT1028">
        <v>4.3700000000000003E-2</v>
      </c>
      <c r="AW1028" s="28">
        <f t="shared" si="80"/>
        <v>-0.45963898080914267</v>
      </c>
      <c r="AX1028">
        <f t="shared" si="81"/>
        <v>0.90322580645161288</v>
      </c>
      <c r="AY1028" s="62">
        <f t="shared" si="82"/>
        <v>-0.41515778911793533</v>
      </c>
      <c r="AZ1028" s="68" t="str">
        <f t="shared" si="83"/>
        <v>No</v>
      </c>
      <c r="BA1028" s="68" t="str">
        <f t="shared" si="84"/>
        <v>No</v>
      </c>
    </row>
    <row r="1029" spans="1:53" hidden="1">
      <c r="A1029" t="s">
        <v>1815</v>
      </c>
      <c r="B1029" t="s">
        <v>2987</v>
      </c>
      <c r="C1029">
        <v>49</v>
      </c>
      <c r="F1029" t="s">
        <v>1241</v>
      </c>
      <c r="G1029" t="s">
        <v>1730</v>
      </c>
      <c r="I1029">
        <v>2018</v>
      </c>
      <c r="N1029" t="s">
        <v>36</v>
      </c>
      <c r="P1029" t="s">
        <v>60</v>
      </c>
      <c r="Q1029" t="s">
        <v>900</v>
      </c>
      <c r="R1029" t="s">
        <v>1741</v>
      </c>
      <c r="S1029" t="s">
        <v>1776</v>
      </c>
      <c r="V1029" t="s">
        <v>1015</v>
      </c>
      <c r="Z1029">
        <v>5</v>
      </c>
      <c r="AA1029">
        <v>5</v>
      </c>
      <c r="AC1029">
        <v>366</v>
      </c>
      <c r="AD1029" s="37">
        <v>15</v>
      </c>
      <c r="AE1029">
        <v>548</v>
      </c>
      <c r="AF1029" s="37">
        <v>18</v>
      </c>
      <c r="AG1029" t="s">
        <v>3387</v>
      </c>
      <c r="AH1029">
        <v>2.7387805584843692</v>
      </c>
      <c r="AI1029" s="37">
        <v>15</v>
      </c>
      <c r="AJ1029" t="s">
        <v>1812</v>
      </c>
      <c r="AK1029" t="s">
        <v>59</v>
      </c>
      <c r="AM1029"/>
      <c r="AN1029">
        <v>70.34</v>
      </c>
      <c r="AO1029">
        <v>6.9318107302493486</v>
      </c>
      <c r="AP1029">
        <v>63.1</v>
      </c>
      <c r="AQ1029">
        <v>9.6374529830240938</v>
      </c>
      <c r="AS1029">
        <v>-0.109</v>
      </c>
      <c r="AT1029">
        <v>6.6E-3</v>
      </c>
      <c r="AW1029" s="28">
        <f t="shared" si="80"/>
        <v>-0.8624840406420079</v>
      </c>
      <c r="AX1029">
        <f t="shared" si="81"/>
        <v>0.90322580645161288</v>
      </c>
      <c r="AY1029" s="62">
        <f t="shared" si="82"/>
        <v>-0.77901784316052325</v>
      </c>
      <c r="AZ1029" s="68" t="str">
        <f t="shared" si="83"/>
        <v>No</v>
      </c>
      <c r="BA1029" s="68" t="str">
        <f t="shared" si="84"/>
        <v>No</v>
      </c>
    </row>
    <row r="1030" spans="1:53" hidden="1">
      <c r="A1030" t="s">
        <v>1815</v>
      </c>
      <c r="B1030" t="s">
        <v>2988</v>
      </c>
      <c r="C1030">
        <v>49</v>
      </c>
      <c r="F1030" t="s">
        <v>1241</v>
      </c>
      <c r="G1030" t="s">
        <v>1730</v>
      </c>
      <c r="I1030">
        <v>2018</v>
      </c>
      <c r="N1030" t="s">
        <v>36</v>
      </c>
      <c r="P1030" t="s">
        <v>60</v>
      </c>
      <c r="Q1030" t="s">
        <v>900</v>
      </c>
      <c r="R1030" t="s">
        <v>1741</v>
      </c>
      <c r="S1030" t="s">
        <v>1776</v>
      </c>
      <c r="V1030" t="s">
        <v>1015</v>
      </c>
      <c r="Z1030">
        <v>5</v>
      </c>
      <c r="AA1030">
        <v>5</v>
      </c>
      <c r="AC1030">
        <v>681</v>
      </c>
      <c r="AD1030" s="37">
        <v>15</v>
      </c>
      <c r="AE1030">
        <v>1905</v>
      </c>
      <c r="AF1030" s="37">
        <v>18</v>
      </c>
      <c r="AG1030" t="s">
        <v>3385</v>
      </c>
      <c r="AH1030">
        <v>3.2798949800116382</v>
      </c>
      <c r="AI1030" s="37">
        <v>15</v>
      </c>
      <c r="AJ1030" t="s">
        <v>1205</v>
      </c>
      <c r="AK1030" t="s">
        <v>59</v>
      </c>
      <c r="AM1030"/>
      <c r="AN1030">
        <v>121.93</v>
      </c>
      <c r="AO1030">
        <v>1.0285912696499033</v>
      </c>
      <c r="AP1030">
        <v>110.89</v>
      </c>
      <c r="AQ1030">
        <v>3.4882660448996723</v>
      </c>
      <c r="AS1030">
        <v>-9.5000000000000001E-2</v>
      </c>
      <c r="AT1030">
        <v>2.0000000000000001E-4</v>
      </c>
      <c r="AW1030" s="28">
        <f t="shared" si="80"/>
        <v>-4.293088210294548</v>
      </c>
      <c r="AX1030">
        <f t="shared" si="81"/>
        <v>0.90322580645161288</v>
      </c>
      <c r="AY1030" s="62">
        <f t="shared" si="82"/>
        <v>-3.8776280609112046</v>
      </c>
      <c r="AZ1030" s="68" t="str">
        <f t="shared" si="83"/>
        <v>No</v>
      </c>
      <c r="BA1030" s="68" t="str">
        <f t="shared" si="84"/>
        <v>No</v>
      </c>
    </row>
    <row r="1031" spans="1:53" hidden="1">
      <c r="A1031" t="s">
        <v>1815</v>
      </c>
      <c r="B1031" t="s">
        <v>2989</v>
      </c>
      <c r="C1031">
        <v>49</v>
      </c>
      <c r="F1031" t="s">
        <v>1241</v>
      </c>
      <c r="G1031" t="s">
        <v>1730</v>
      </c>
      <c r="I1031">
        <v>2018</v>
      </c>
      <c r="N1031" t="s">
        <v>36</v>
      </c>
      <c r="P1031" t="s">
        <v>60</v>
      </c>
      <c r="Q1031" t="s">
        <v>900</v>
      </c>
      <c r="R1031" t="s">
        <v>1741</v>
      </c>
      <c r="S1031" t="s">
        <v>1776</v>
      </c>
      <c r="V1031" t="s">
        <v>1015</v>
      </c>
      <c r="Z1031">
        <v>5</v>
      </c>
      <c r="AA1031">
        <v>5</v>
      </c>
      <c r="AC1031">
        <v>848</v>
      </c>
      <c r="AD1031" s="37">
        <v>15</v>
      </c>
      <c r="AE1031">
        <v>2180</v>
      </c>
      <c r="AF1031" s="37">
        <v>18</v>
      </c>
      <c r="AG1031" t="s">
        <v>3386</v>
      </c>
      <c r="AH1031">
        <v>3.3384564936046046</v>
      </c>
      <c r="AI1031" s="37">
        <v>15</v>
      </c>
      <c r="AJ1031" t="s">
        <v>1812</v>
      </c>
      <c r="AK1031" t="s">
        <v>59</v>
      </c>
      <c r="AM1031"/>
      <c r="AN1031">
        <v>22.07</v>
      </c>
      <c r="AO1031">
        <v>6.9318107302493486</v>
      </c>
      <c r="AP1031">
        <v>20.170000000000002</v>
      </c>
      <c r="AQ1031">
        <v>7.33430296619931</v>
      </c>
      <c r="AS1031">
        <v>-0.09</v>
      </c>
      <c r="AT1031">
        <v>4.6100000000000002E-2</v>
      </c>
      <c r="AW1031" s="28">
        <f t="shared" si="80"/>
        <v>-0.26625951649308577</v>
      </c>
      <c r="AX1031">
        <f t="shared" si="81"/>
        <v>0.90322580645161288</v>
      </c>
      <c r="AY1031" s="62">
        <f t="shared" si="82"/>
        <v>-0.2404924665098839</v>
      </c>
      <c r="AZ1031" s="68" t="str">
        <f t="shared" si="83"/>
        <v>No</v>
      </c>
      <c r="BA1031" s="68" t="str">
        <f t="shared" si="84"/>
        <v>No</v>
      </c>
    </row>
    <row r="1032" spans="1:53" hidden="1">
      <c r="A1032" t="s">
        <v>1815</v>
      </c>
      <c r="B1032" t="s">
        <v>2990</v>
      </c>
      <c r="C1032">
        <v>49</v>
      </c>
      <c r="F1032" t="s">
        <v>1241</v>
      </c>
      <c r="G1032" t="s">
        <v>1730</v>
      </c>
      <c r="I1032">
        <v>2018</v>
      </c>
      <c r="N1032" t="s">
        <v>36</v>
      </c>
      <c r="P1032" t="s">
        <v>60</v>
      </c>
      <c r="Q1032" t="s">
        <v>900</v>
      </c>
      <c r="R1032" t="s">
        <v>1741</v>
      </c>
      <c r="S1032" t="s">
        <v>1776</v>
      </c>
      <c r="V1032" t="s">
        <v>1015</v>
      </c>
      <c r="Z1032">
        <v>5</v>
      </c>
      <c r="AA1032">
        <v>5</v>
      </c>
      <c r="AC1032">
        <v>681</v>
      </c>
      <c r="AD1032" s="37">
        <v>15</v>
      </c>
      <c r="AE1032">
        <v>1630</v>
      </c>
      <c r="AF1032" s="37">
        <v>18</v>
      </c>
      <c r="AG1032" t="s">
        <v>3385</v>
      </c>
      <c r="AH1032">
        <v>3.2121876044039577</v>
      </c>
      <c r="AI1032" s="37">
        <v>15</v>
      </c>
      <c r="AJ1032" t="s">
        <v>1205</v>
      </c>
      <c r="AK1032" t="s">
        <v>770</v>
      </c>
      <c r="AM1032"/>
      <c r="AN1032">
        <v>121.93</v>
      </c>
      <c r="AO1032">
        <v>1.0285912696499033</v>
      </c>
      <c r="AP1032">
        <v>112.09</v>
      </c>
      <c r="AQ1032">
        <v>4.1143650785996133</v>
      </c>
      <c r="AS1032">
        <v>-8.4000000000000005E-2</v>
      </c>
      <c r="AT1032">
        <v>2.9999999999999997E-4</v>
      </c>
      <c r="AW1032" s="28">
        <f t="shared" si="80"/>
        <v>-3.2812763001122294</v>
      </c>
      <c r="AX1032">
        <f t="shared" si="81"/>
        <v>0.90322580645161288</v>
      </c>
      <c r="AY1032" s="62">
        <f t="shared" si="82"/>
        <v>-2.9637334323594331</v>
      </c>
      <c r="AZ1032" s="68" t="str">
        <f t="shared" si="83"/>
        <v>No</v>
      </c>
      <c r="BA1032" s="68" t="str">
        <f t="shared" si="84"/>
        <v>No</v>
      </c>
    </row>
    <row r="1033" spans="1:53" hidden="1">
      <c r="A1033" t="s">
        <v>1815</v>
      </c>
      <c r="B1033" t="s">
        <v>2994</v>
      </c>
      <c r="C1033">
        <v>49</v>
      </c>
      <c r="F1033" t="s">
        <v>1241</v>
      </c>
      <c r="G1033" t="s">
        <v>1730</v>
      </c>
      <c r="I1033">
        <v>2018</v>
      </c>
      <c r="N1033" t="s">
        <v>36</v>
      </c>
      <c r="P1033" t="s">
        <v>60</v>
      </c>
      <c r="Q1033" t="s">
        <v>900</v>
      </c>
      <c r="R1033" t="s">
        <v>1741</v>
      </c>
      <c r="S1033" t="s">
        <v>1776</v>
      </c>
      <c r="V1033" t="s">
        <v>1015</v>
      </c>
      <c r="Z1033">
        <v>5</v>
      </c>
      <c r="AA1033">
        <v>5</v>
      </c>
      <c r="AC1033">
        <v>681</v>
      </c>
      <c r="AD1033" s="37">
        <v>15</v>
      </c>
      <c r="AE1033">
        <v>1367</v>
      </c>
      <c r="AF1033" s="37">
        <v>18</v>
      </c>
      <c r="AG1033" t="s">
        <v>3385</v>
      </c>
      <c r="AH1033">
        <v>3.1357685145678222</v>
      </c>
      <c r="AI1033" s="37">
        <v>15</v>
      </c>
      <c r="AJ1033" t="s">
        <v>1205</v>
      </c>
      <c r="AK1033" t="s">
        <v>59</v>
      </c>
      <c r="AM1033"/>
      <c r="AN1033">
        <v>121.93</v>
      </c>
      <c r="AO1033">
        <v>1.0285912696499033</v>
      </c>
      <c r="AP1033">
        <v>114.94</v>
      </c>
      <c r="AQ1033">
        <v>3.9131189606246322</v>
      </c>
      <c r="AS1033">
        <v>-5.8999999999999997E-2</v>
      </c>
      <c r="AT1033">
        <v>2.0000000000000001E-4</v>
      </c>
      <c r="AW1033" s="28">
        <f t="shared" si="80"/>
        <v>-2.443212274048121</v>
      </c>
      <c r="AX1033">
        <f t="shared" si="81"/>
        <v>0.90322580645161288</v>
      </c>
      <c r="AY1033" s="62">
        <f t="shared" si="82"/>
        <v>-2.2067723765595932</v>
      </c>
      <c r="AZ1033" s="68" t="str">
        <f t="shared" si="83"/>
        <v>No</v>
      </c>
      <c r="BA1033" s="68" t="str">
        <f t="shared" si="84"/>
        <v>No</v>
      </c>
    </row>
    <row r="1034" spans="1:53" hidden="1">
      <c r="A1034" t="s">
        <v>1815</v>
      </c>
      <c r="B1034" t="s">
        <v>2995</v>
      </c>
      <c r="C1034">
        <v>49</v>
      </c>
      <c r="F1034" t="s">
        <v>1241</v>
      </c>
      <c r="G1034" t="s">
        <v>1730</v>
      </c>
      <c r="I1034">
        <v>2018</v>
      </c>
      <c r="N1034" t="s">
        <v>36</v>
      </c>
      <c r="P1034" t="s">
        <v>60</v>
      </c>
      <c r="Q1034" t="s">
        <v>900</v>
      </c>
      <c r="R1034" t="s">
        <v>1741</v>
      </c>
      <c r="S1034" t="s">
        <v>1776</v>
      </c>
      <c r="V1034" t="s">
        <v>1015</v>
      </c>
      <c r="Z1034">
        <v>5</v>
      </c>
      <c r="AA1034">
        <v>5</v>
      </c>
      <c r="AC1034">
        <v>681</v>
      </c>
      <c r="AD1034" s="37">
        <v>15</v>
      </c>
      <c r="AE1034">
        <v>1056</v>
      </c>
      <c r="AF1034" s="37">
        <v>18</v>
      </c>
      <c r="AG1034" t="s">
        <v>3385</v>
      </c>
      <c r="AH1034">
        <v>3.0236639181977933</v>
      </c>
      <c r="AI1034" s="37">
        <v>15</v>
      </c>
      <c r="AJ1034" t="s">
        <v>1205</v>
      </c>
      <c r="AK1034" t="s">
        <v>770</v>
      </c>
      <c r="AM1034"/>
      <c r="AN1034">
        <v>121.93</v>
      </c>
      <c r="AO1034">
        <v>1.0285912696499033</v>
      </c>
      <c r="AP1034">
        <v>116.13</v>
      </c>
      <c r="AQ1034">
        <v>2.459674775249769</v>
      </c>
      <c r="AS1034">
        <v>-4.9000000000000002E-2</v>
      </c>
      <c r="AT1034">
        <v>1E-4</v>
      </c>
      <c r="AW1034" s="28">
        <f t="shared" si="80"/>
        <v>-3.0765875753194565</v>
      </c>
      <c r="AX1034">
        <f t="shared" si="81"/>
        <v>0.90322580645161288</v>
      </c>
      <c r="AY1034" s="62">
        <f t="shared" si="82"/>
        <v>-2.7788532938369284</v>
      </c>
      <c r="AZ1034" s="68" t="str">
        <f t="shared" si="83"/>
        <v>No</v>
      </c>
      <c r="BA1034" s="68" t="str">
        <f t="shared" si="84"/>
        <v>No</v>
      </c>
    </row>
    <row r="1035" spans="1:53" hidden="1">
      <c r="A1035" t="s">
        <v>1815</v>
      </c>
      <c r="B1035" t="s">
        <v>2996</v>
      </c>
      <c r="C1035">
        <v>49</v>
      </c>
      <c r="F1035" t="s">
        <v>1241</v>
      </c>
      <c r="G1035" t="s">
        <v>1730</v>
      </c>
      <c r="I1035">
        <v>2018</v>
      </c>
      <c r="N1035" t="s">
        <v>36</v>
      </c>
      <c r="P1035" t="s">
        <v>60</v>
      </c>
      <c r="Q1035" t="s">
        <v>900</v>
      </c>
      <c r="R1035" t="s">
        <v>1741</v>
      </c>
      <c r="S1035" t="s">
        <v>1776</v>
      </c>
      <c r="V1035" t="s">
        <v>1015</v>
      </c>
      <c r="Z1035">
        <v>5</v>
      </c>
      <c r="AA1035">
        <v>5</v>
      </c>
      <c r="AC1035">
        <v>366</v>
      </c>
      <c r="AD1035" s="37">
        <v>15</v>
      </c>
      <c r="AE1035">
        <v>722</v>
      </c>
      <c r="AF1035" s="37">
        <v>18</v>
      </c>
      <c r="AG1035" t="s">
        <v>3387</v>
      </c>
      <c r="AH1035">
        <v>2.858537197569639</v>
      </c>
      <c r="AI1035" s="37">
        <v>15</v>
      </c>
      <c r="AJ1035" t="s">
        <v>1205</v>
      </c>
      <c r="AK1035" t="s">
        <v>770</v>
      </c>
      <c r="AM1035"/>
      <c r="AN1035">
        <v>136.19999999999999</v>
      </c>
      <c r="AO1035">
        <v>1.4310835055998654</v>
      </c>
      <c r="AP1035">
        <v>130.12</v>
      </c>
      <c r="AQ1035">
        <v>5.9703014999244388</v>
      </c>
      <c r="AS1035">
        <v>-4.5999999999999999E-2</v>
      </c>
      <c r="AT1035">
        <v>4.0000000000000002E-4</v>
      </c>
      <c r="AW1035" s="28">
        <f t="shared" si="80"/>
        <v>-1.4005257732248719</v>
      </c>
      <c r="AX1035">
        <f t="shared" si="81"/>
        <v>0.90322580645161288</v>
      </c>
      <c r="AY1035" s="62">
        <f t="shared" si="82"/>
        <v>-1.2649910209773036</v>
      </c>
      <c r="AZ1035" s="68" t="str">
        <f t="shared" si="83"/>
        <v>No</v>
      </c>
      <c r="BA1035" s="68" t="str">
        <f t="shared" si="84"/>
        <v>No</v>
      </c>
    </row>
    <row r="1036" spans="1:53" hidden="1">
      <c r="A1036" t="s">
        <v>1815</v>
      </c>
      <c r="B1036" t="s">
        <v>3001</v>
      </c>
      <c r="C1036">
        <v>49</v>
      </c>
      <c r="F1036" t="s">
        <v>1241</v>
      </c>
      <c r="G1036" t="s">
        <v>1730</v>
      </c>
      <c r="I1036">
        <v>2018</v>
      </c>
      <c r="N1036" t="s">
        <v>36</v>
      </c>
      <c r="P1036" t="s">
        <v>60</v>
      </c>
      <c r="Q1036" t="s">
        <v>900</v>
      </c>
      <c r="R1036" t="s">
        <v>1741</v>
      </c>
      <c r="S1036" t="s">
        <v>1776</v>
      </c>
      <c r="V1036" t="s">
        <v>1015</v>
      </c>
      <c r="Z1036">
        <v>5</v>
      </c>
      <c r="AA1036">
        <v>5</v>
      </c>
      <c r="AC1036">
        <v>848</v>
      </c>
      <c r="AD1036" s="37">
        <v>15</v>
      </c>
      <c r="AE1036">
        <v>2478</v>
      </c>
      <c r="AF1036" s="37">
        <v>18</v>
      </c>
      <c r="AG1036" t="s">
        <v>3386</v>
      </c>
      <c r="AH1036">
        <v>3.3941013020400446</v>
      </c>
      <c r="AI1036" s="37">
        <v>15</v>
      </c>
      <c r="AJ1036" t="s">
        <v>1205</v>
      </c>
      <c r="AK1036" t="s">
        <v>770</v>
      </c>
      <c r="AM1036"/>
      <c r="AN1036">
        <v>141.35</v>
      </c>
      <c r="AO1036">
        <v>4.1143650785996133</v>
      </c>
      <c r="AP1036">
        <v>138.5</v>
      </c>
      <c r="AQ1036">
        <v>9.8834204605490701</v>
      </c>
      <c r="AS1036">
        <v>-0.02</v>
      </c>
      <c r="AT1036">
        <v>1.1999999999999999E-3</v>
      </c>
      <c r="AW1036" s="28">
        <f t="shared" si="80"/>
        <v>-0.37648580096498069</v>
      </c>
      <c r="AX1036">
        <f t="shared" si="81"/>
        <v>0.90322580645161288</v>
      </c>
      <c r="AY1036" s="62">
        <f t="shared" si="82"/>
        <v>-0.34005169119417611</v>
      </c>
      <c r="AZ1036" s="68" t="str">
        <f t="shared" si="83"/>
        <v>No</v>
      </c>
      <c r="BA1036" s="68" t="str">
        <f t="shared" si="84"/>
        <v>No</v>
      </c>
    </row>
    <row r="1037" spans="1:53" hidden="1">
      <c r="A1037" t="s">
        <v>1815</v>
      </c>
      <c r="B1037" t="s">
        <v>3002</v>
      </c>
      <c r="C1037">
        <v>49</v>
      </c>
      <c r="F1037" t="s">
        <v>1241</v>
      </c>
      <c r="G1037" t="s">
        <v>1730</v>
      </c>
      <c r="I1037">
        <v>2018</v>
      </c>
      <c r="N1037" t="s">
        <v>36</v>
      </c>
      <c r="P1037" t="s">
        <v>60</v>
      </c>
      <c r="Q1037" t="s">
        <v>900</v>
      </c>
      <c r="R1037" t="s">
        <v>1741</v>
      </c>
      <c r="S1037" t="s">
        <v>1776</v>
      </c>
      <c r="V1037" t="s">
        <v>1015</v>
      </c>
      <c r="Z1037">
        <v>5</v>
      </c>
      <c r="AA1037">
        <v>5</v>
      </c>
      <c r="AC1037">
        <v>366</v>
      </c>
      <c r="AD1037" s="37">
        <v>15</v>
      </c>
      <c r="AE1037">
        <v>548</v>
      </c>
      <c r="AF1037" s="37">
        <v>18</v>
      </c>
      <c r="AG1037" t="s">
        <v>3387</v>
      </c>
      <c r="AH1037">
        <v>2.7387805584843692</v>
      </c>
      <c r="AI1037" s="37">
        <v>15</v>
      </c>
      <c r="AJ1037" t="s">
        <v>1205</v>
      </c>
      <c r="AK1037" t="s">
        <v>69</v>
      </c>
      <c r="AM1037"/>
      <c r="AN1037">
        <v>136.19999999999999</v>
      </c>
      <c r="AO1037">
        <v>1.4310835055998654</v>
      </c>
      <c r="AP1037">
        <v>134.08000000000001</v>
      </c>
      <c r="AQ1037">
        <v>8.0274840392242446</v>
      </c>
      <c r="AS1037">
        <v>-1.6E-2</v>
      </c>
      <c r="AT1037">
        <v>6.9999999999999999E-4</v>
      </c>
      <c r="AW1037" s="28">
        <f t="shared" si="80"/>
        <v>-0.3676864208877153</v>
      </c>
      <c r="AX1037">
        <f t="shared" si="81"/>
        <v>0.90322580645161288</v>
      </c>
      <c r="AY1037" s="62">
        <f t="shared" si="82"/>
        <v>-0.33210386402761383</v>
      </c>
      <c r="AZ1037" s="68" t="str">
        <f t="shared" si="83"/>
        <v>No</v>
      </c>
      <c r="BA1037" s="68" t="str">
        <f t="shared" si="84"/>
        <v>No</v>
      </c>
    </row>
    <row r="1038" spans="1:53" hidden="1">
      <c r="A1038" t="s">
        <v>1815</v>
      </c>
      <c r="B1038" t="s">
        <v>3003</v>
      </c>
      <c r="C1038">
        <v>49</v>
      </c>
      <c r="F1038" t="s">
        <v>1241</v>
      </c>
      <c r="G1038" t="s">
        <v>1730</v>
      </c>
      <c r="I1038">
        <v>2018</v>
      </c>
      <c r="N1038" t="s">
        <v>36</v>
      </c>
      <c r="P1038" t="s">
        <v>60</v>
      </c>
      <c r="Q1038" t="s">
        <v>900</v>
      </c>
      <c r="R1038" t="s">
        <v>1741</v>
      </c>
      <c r="S1038" t="s">
        <v>1776</v>
      </c>
      <c r="V1038" t="s">
        <v>1015</v>
      </c>
      <c r="Z1038">
        <v>5</v>
      </c>
      <c r="AA1038">
        <v>5</v>
      </c>
      <c r="AC1038">
        <v>848</v>
      </c>
      <c r="AD1038" s="37">
        <v>15</v>
      </c>
      <c r="AE1038">
        <v>2180</v>
      </c>
      <c r="AF1038" s="37">
        <v>18</v>
      </c>
      <c r="AG1038" t="s">
        <v>3386</v>
      </c>
      <c r="AH1038">
        <v>3.3384564936046046</v>
      </c>
      <c r="AI1038" s="37">
        <v>15</v>
      </c>
      <c r="AJ1038" t="s">
        <v>1205</v>
      </c>
      <c r="AK1038" t="s">
        <v>59</v>
      </c>
      <c r="AM1038"/>
      <c r="AN1038">
        <v>141.35</v>
      </c>
      <c r="AO1038">
        <v>4.1143650785996133</v>
      </c>
      <c r="AP1038">
        <v>139.79</v>
      </c>
      <c r="AQ1038">
        <v>4.5168573145495756</v>
      </c>
      <c r="AS1038">
        <v>-1.0999999999999999E-2</v>
      </c>
      <c r="AT1038">
        <v>4.0000000000000002E-4</v>
      </c>
      <c r="AW1038" s="28">
        <f t="shared" si="80"/>
        <v>-0.36108595918002301</v>
      </c>
      <c r="AX1038">
        <f t="shared" si="81"/>
        <v>0.90322580645161288</v>
      </c>
      <c r="AY1038" s="62">
        <f t="shared" si="82"/>
        <v>-0.32614215667873048</v>
      </c>
      <c r="AZ1038" s="68" t="str">
        <f t="shared" si="83"/>
        <v>No</v>
      </c>
      <c r="BA1038" s="68" t="str">
        <f t="shared" si="84"/>
        <v>No</v>
      </c>
    </row>
    <row r="1039" spans="1:53" hidden="1">
      <c r="A1039" t="s">
        <v>1815</v>
      </c>
      <c r="B1039" t="s">
        <v>3004</v>
      </c>
      <c r="C1039">
        <v>49</v>
      </c>
      <c r="F1039" t="s">
        <v>1241</v>
      </c>
      <c r="G1039" t="s">
        <v>1730</v>
      </c>
      <c r="I1039">
        <v>2018</v>
      </c>
      <c r="N1039" t="s">
        <v>36</v>
      </c>
      <c r="P1039" t="s">
        <v>60</v>
      </c>
      <c r="Q1039" t="s">
        <v>900</v>
      </c>
      <c r="R1039" t="s">
        <v>1741</v>
      </c>
      <c r="S1039" t="s">
        <v>1776</v>
      </c>
      <c r="V1039" t="s">
        <v>1015</v>
      </c>
      <c r="Z1039">
        <v>5</v>
      </c>
      <c r="AA1039">
        <v>5</v>
      </c>
      <c r="AC1039">
        <v>848</v>
      </c>
      <c r="AD1039" s="37">
        <v>15</v>
      </c>
      <c r="AE1039">
        <v>1667</v>
      </c>
      <c r="AF1039" s="37">
        <v>18</v>
      </c>
      <c r="AG1039" t="s">
        <v>3386</v>
      </c>
      <c r="AH1039">
        <v>3.2219355998280053</v>
      </c>
      <c r="AI1039" s="37">
        <v>15</v>
      </c>
      <c r="AJ1039" t="s">
        <v>1205</v>
      </c>
      <c r="AK1039" t="s">
        <v>59</v>
      </c>
      <c r="AM1039"/>
      <c r="AN1039">
        <v>141.35</v>
      </c>
      <c r="AO1039">
        <v>4.1143650785996133</v>
      </c>
      <c r="AP1039">
        <v>139.97</v>
      </c>
      <c r="AQ1039">
        <v>2.6832815729997477</v>
      </c>
      <c r="AS1039">
        <v>-0.01</v>
      </c>
      <c r="AT1039">
        <v>2.0000000000000001E-4</v>
      </c>
      <c r="AW1039" s="28">
        <f t="shared" si="80"/>
        <v>-0.39731359174545655</v>
      </c>
      <c r="AX1039">
        <f t="shared" si="81"/>
        <v>0.90322580645161288</v>
      </c>
      <c r="AY1039" s="62">
        <f t="shared" si="82"/>
        <v>-0.35886388931847685</v>
      </c>
      <c r="AZ1039" s="68" t="str">
        <f t="shared" si="83"/>
        <v>No</v>
      </c>
      <c r="BA1039" s="68" t="str">
        <f t="shared" si="84"/>
        <v>No</v>
      </c>
    </row>
    <row r="1040" spans="1:53" hidden="1">
      <c r="A1040" t="s">
        <v>1815</v>
      </c>
      <c r="B1040" t="s">
        <v>3011</v>
      </c>
      <c r="C1040">
        <v>49</v>
      </c>
      <c r="F1040" t="s">
        <v>1241</v>
      </c>
      <c r="G1040" t="s">
        <v>1730</v>
      </c>
      <c r="I1040">
        <v>2018</v>
      </c>
      <c r="N1040" t="s">
        <v>36</v>
      </c>
      <c r="P1040" t="s">
        <v>60</v>
      </c>
      <c r="Q1040" t="s">
        <v>900</v>
      </c>
      <c r="R1040" t="s">
        <v>1741</v>
      </c>
      <c r="S1040" t="s">
        <v>1776</v>
      </c>
      <c r="V1040" t="s">
        <v>1015</v>
      </c>
      <c r="Z1040">
        <v>5</v>
      </c>
      <c r="AA1040">
        <v>5</v>
      </c>
      <c r="AC1040">
        <v>848</v>
      </c>
      <c r="AD1040" s="37">
        <v>15</v>
      </c>
      <c r="AE1040">
        <v>1304</v>
      </c>
      <c r="AF1040" s="37">
        <v>18</v>
      </c>
      <c r="AG1040" t="s">
        <v>3386</v>
      </c>
      <c r="AH1040">
        <v>3.1152775913959014</v>
      </c>
      <c r="AI1040" s="37">
        <v>15</v>
      </c>
      <c r="AJ1040" t="s">
        <v>1205</v>
      </c>
      <c r="AK1040" t="s">
        <v>69</v>
      </c>
      <c r="AM1040"/>
      <c r="AN1040">
        <v>141.35</v>
      </c>
      <c r="AO1040">
        <v>4.1143650785996133</v>
      </c>
      <c r="AP1040">
        <v>140.71</v>
      </c>
      <c r="AQ1040">
        <v>3.711872842649651</v>
      </c>
      <c r="AS1040">
        <v>-5.0000000000000001E-3</v>
      </c>
      <c r="AT1040">
        <v>2.9999999999999997E-4</v>
      </c>
      <c r="AW1040" s="28">
        <f t="shared" si="80"/>
        <v>-0.16333653903932133</v>
      </c>
      <c r="AX1040">
        <f t="shared" si="81"/>
        <v>0.90322580645161288</v>
      </c>
      <c r="AY1040" s="62">
        <f t="shared" si="82"/>
        <v>-0.14752977719680635</v>
      </c>
      <c r="AZ1040" s="68" t="str">
        <f t="shared" si="83"/>
        <v>No</v>
      </c>
      <c r="BA1040" s="68" t="str">
        <f t="shared" si="84"/>
        <v>No</v>
      </c>
    </row>
    <row r="1041" spans="1:53" hidden="1">
      <c r="A1041" t="s">
        <v>1815</v>
      </c>
      <c r="B1041" t="s">
        <v>3012</v>
      </c>
      <c r="C1041">
        <v>49</v>
      </c>
      <c r="F1041" t="s">
        <v>1241</v>
      </c>
      <c r="G1041" t="s">
        <v>1730</v>
      </c>
      <c r="I1041">
        <v>2018</v>
      </c>
      <c r="N1041" t="s">
        <v>36</v>
      </c>
      <c r="P1041" t="s">
        <v>60</v>
      </c>
      <c r="Q1041" t="s">
        <v>900</v>
      </c>
      <c r="R1041" t="s">
        <v>1741</v>
      </c>
      <c r="S1041" t="s">
        <v>1776</v>
      </c>
      <c r="V1041" t="s">
        <v>1015</v>
      </c>
      <c r="Z1041">
        <v>5</v>
      </c>
      <c r="AA1041">
        <v>5</v>
      </c>
      <c r="AC1041">
        <v>366</v>
      </c>
      <c r="AD1041" s="37">
        <v>15</v>
      </c>
      <c r="AE1041">
        <v>1166</v>
      </c>
      <c r="AF1041" s="37">
        <v>18</v>
      </c>
      <c r="AG1041" t="s">
        <v>3387</v>
      </c>
      <c r="AH1041">
        <v>3.0666985504229953</v>
      </c>
      <c r="AI1041" s="37">
        <v>15</v>
      </c>
      <c r="AJ1041" t="s">
        <v>1205</v>
      </c>
      <c r="AK1041" t="s">
        <v>787</v>
      </c>
      <c r="AM1041"/>
      <c r="AN1041">
        <v>136.19999999999999</v>
      </c>
      <c r="AO1041">
        <v>1.4310835055998654</v>
      </c>
      <c r="AP1041">
        <v>136.56</v>
      </c>
      <c r="AQ1041">
        <v>1.2298373876248845</v>
      </c>
      <c r="AS1041">
        <v>3.0000000000000001E-3</v>
      </c>
      <c r="AT1041">
        <v>1E-4</v>
      </c>
      <c r="AW1041" s="28">
        <f t="shared" si="80"/>
        <v>0.2698124611994675</v>
      </c>
      <c r="AX1041">
        <f t="shared" si="81"/>
        <v>0.90322580645161288</v>
      </c>
      <c r="AY1041" s="62">
        <f t="shared" si="82"/>
        <v>0.24370157785758353</v>
      </c>
      <c r="AZ1041" s="68" t="str">
        <f t="shared" si="83"/>
        <v>No</v>
      </c>
      <c r="BA1041" s="68" t="str">
        <f t="shared" si="84"/>
        <v>No</v>
      </c>
    </row>
    <row r="1042" spans="1:53" hidden="1">
      <c r="A1042" t="s">
        <v>1815</v>
      </c>
      <c r="B1042" t="s">
        <v>3015</v>
      </c>
      <c r="C1042">
        <v>49</v>
      </c>
      <c r="F1042" t="s">
        <v>1241</v>
      </c>
      <c r="G1042" t="s">
        <v>1730</v>
      </c>
      <c r="I1042">
        <v>2015</v>
      </c>
      <c r="N1042" t="s">
        <v>36</v>
      </c>
      <c r="P1042" t="s">
        <v>60</v>
      </c>
      <c r="Q1042" t="s">
        <v>900</v>
      </c>
      <c r="R1042" t="s">
        <v>1741</v>
      </c>
      <c r="S1042" t="s">
        <v>1776</v>
      </c>
      <c r="V1042" t="s">
        <v>1015</v>
      </c>
      <c r="Z1042">
        <v>5</v>
      </c>
      <c r="AA1042">
        <v>5</v>
      </c>
      <c r="AC1042">
        <v>366</v>
      </c>
      <c r="AD1042" s="37">
        <v>15</v>
      </c>
      <c r="AE1042">
        <v>932</v>
      </c>
      <c r="AF1042" s="37">
        <v>18</v>
      </c>
      <c r="AG1042" t="s">
        <v>3387</v>
      </c>
      <c r="AH1042">
        <v>2.9694159123539814</v>
      </c>
      <c r="AI1042" s="37">
        <v>15</v>
      </c>
      <c r="AJ1042" t="s">
        <v>1205</v>
      </c>
      <c r="AK1042" t="s">
        <v>787</v>
      </c>
      <c r="AM1042"/>
      <c r="AN1042">
        <v>136.19999999999999</v>
      </c>
      <c r="AO1042">
        <v>1.4310835055998654</v>
      </c>
      <c r="AP1042">
        <v>137.66999999999999</v>
      </c>
      <c r="AQ1042">
        <v>1.2298373876248845</v>
      </c>
      <c r="AS1042">
        <v>1.0999999999999999E-2</v>
      </c>
      <c r="AT1042">
        <v>1E-4</v>
      </c>
      <c r="AW1042" s="28">
        <f t="shared" si="80"/>
        <v>1.1017342165644497</v>
      </c>
      <c r="AX1042">
        <f t="shared" si="81"/>
        <v>0.90322580645161288</v>
      </c>
      <c r="AY1042" s="62">
        <f t="shared" si="82"/>
        <v>0.99511477625176104</v>
      </c>
      <c r="AZ1042" s="68" t="str">
        <f t="shared" si="83"/>
        <v>No</v>
      </c>
      <c r="BA1042" s="68" t="str">
        <f t="shared" si="84"/>
        <v>No</v>
      </c>
    </row>
    <row r="1043" spans="1:53" hidden="1">
      <c r="A1043" t="s">
        <v>1815</v>
      </c>
      <c r="B1043" t="s">
        <v>3016</v>
      </c>
      <c r="C1043">
        <v>49</v>
      </c>
      <c r="F1043" t="s">
        <v>1241</v>
      </c>
      <c r="G1043" t="s">
        <v>1730</v>
      </c>
      <c r="I1043">
        <v>2015</v>
      </c>
      <c r="N1043" t="s">
        <v>36</v>
      </c>
      <c r="P1043" t="s">
        <v>60</v>
      </c>
      <c r="Q1043" t="s">
        <v>900</v>
      </c>
      <c r="R1043" t="s">
        <v>1741</v>
      </c>
      <c r="S1043" t="s">
        <v>1776</v>
      </c>
      <c r="V1043" t="s">
        <v>1015</v>
      </c>
      <c r="Z1043">
        <v>5</v>
      </c>
      <c r="AA1043">
        <v>5</v>
      </c>
      <c r="AC1043">
        <v>848</v>
      </c>
      <c r="AD1043" s="37">
        <v>15</v>
      </c>
      <c r="AE1043">
        <v>1304</v>
      </c>
      <c r="AF1043" s="37">
        <v>18</v>
      </c>
      <c r="AG1043" t="s">
        <v>3386</v>
      </c>
      <c r="AH1043">
        <v>3.1152775913959014</v>
      </c>
      <c r="AI1043" s="37">
        <v>15</v>
      </c>
      <c r="AJ1043" t="s">
        <v>1812</v>
      </c>
      <c r="AK1043" t="s">
        <v>787</v>
      </c>
      <c r="AM1043"/>
      <c r="AN1043">
        <v>22.07</v>
      </c>
      <c r="AO1043">
        <v>6.9318107302493486</v>
      </c>
      <c r="AP1043">
        <v>22.59</v>
      </c>
      <c r="AQ1043">
        <v>3.8460369212996386</v>
      </c>
      <c r="AS1043">
        <v>2.3E-2</v>
      </c>
      <c r="AT1043">
        <v>2.5600000000000001E-2</v>
      </c>
      <c r="AW1043" s="28">
        <f t="shared" si="80"/>
        <v>9.2766963717168333E-2</v>
      </c>
      <c r="AX1043">
        <f t="shared" si="81"/>
        <v>0.90322580645161288</v>
      </c>
      <c r="AY1043" s="62">
        <f t="shared" si="82"/>
        <v>8.3789515615506877E-2</v>
      </c>
      <c r="AZ1043" s="68" t="str">
        <f t="shared" si="83"/>
        <v>No</v>
      </c>
      <c r="BA1043" s="68" t="str">
        <f t="shared" si="84"/>
        <v>No</v>
      </c>
    </row>
    <row r="1044" spans="1:53" hidden="1">
      <c r="A1044" t="s">
        <v>1815</v>
      </c>
      <c r="B1044" t="s">
        <v>3018</v>
      </c>
      <c r="C1044">
        <v>49</v>
      </c>
      <c r="F1044" t="s">
        <v>1241</v>
      </c>
      <c r="G1044" t="s">
        <v>1730</v>
      </c>
      <c r="I1044">
        <v>2015</v>
      </c>
      <c r="N1044" t="s">
        <v>36</v>
      </c>
      <c r="P1044" t="s">
        <v>60</v>
      </c>
      <c r="Q1044" t="s">
        <v>900</v>
      </c>
      <c r="R1044" t="s">
        <v>1741</v>
      </c>
      <c r="S1044" t="s">
        <v>1776</v>
      </c>
      <c r="V1044" t="s">
        <v>1015</v>
      </c>
      <c r="Z1044">
        <v>5</v>
      </c>
      <c r="AA1044">
        <v>5</v>
      </c>
      <c r="AC1044">
        <v>848</v>
      </c>
      <c r="AD1044" s="37">
        <v>15</v>
      </c>
      <c r="AE1044">
        <v>1667</v>
      </c>
      <c r="AF1044" s="37">
        <v>18</v>
      </c>
      <c r="AG1044" t="s">
        <v>3386</v>
      </c>
      <c r="AH1044">
        <v>3.2219355998280053</v>
      </c>
      <c r="AI1044" s="37">
        <v>15</v>
      </c>
      <c r="AJ1044" t="s">
        <v>1812</v>
      </c>
      <c r="AK1044" t="s">
        <v>770</v>
      </c>
      <c r="AM1044"/>
      <c r="AN1044">
        <v>22.07</v>
      </c>
      <c r="AO1044">
        <v>6.9318107302493486</v>
      </c>
      <c r="AP1044">
        <v>23.45</v>
      </c>
      <c r="AQ1044">
        <v>10.42007677514902</v>
      </c>
      <c r="AS1044">
        <v>6.0999999999999999E-2</v>
      </c>
      <c r="AT1044">
        <v>5.9200000000000003E-2</v>
      </c>
      <c r="AW1044" s="28">
        <f t="shared" si="80"/>
        <v>0.15594066540023879</v>
      </c>
      <c r="AX1044">
        <f t="shared" si="81"/>
        <v>0.90322580645161288</v>
      </c>
      <c r="AY1044" s="62">
        <f t="shared" si="82"/>
        <v>0.14084963326473182</v>
      </c>
      <c r="AZ1044" s="68" t="str">
        <f t="shared" si="83"/>
        <v>No</v>
      </c>
      <c r="BA1044" s="68" t="str">
        <f t="shared" si="84"/>
        <v>No</v>
      </c>
    </row>
    <row r="1045" spans="1:53" hidden="1">
      <c r="A1045" t="s">
        <v>1815</v>
      </c>
      <c r="B1045" t="s">
        <v>2599</v>
      </c>
      <c r="C1045">
        <v>48</v>
      </c>
      <c r="F1045" t="s">
        <v>1241</v>
      </c>
      <c r="G1045" t="s">
        <v>1701</v>
      </c>
      <c r="I1045">
        <v>2017</v>
      </c>
      <c r="N1045" t="s">
        <v>36</v>
      </c>
      <c r="P1045" t="s">
        <v>60</v>
      </c>
      <c r="Q1045" t="s">
        <v>900</v>
      </c>
      <c r="R1045" t="s">
        <v>946</v>
      </c>
      <c r="S1045" t="s">
        <v>1754</v>
      </c>
      <c r="V1045" t="s">
        <v>905</v>
      </c>
      <c r="Z1045">
        <v>25</v>
      </c>
      <c r="AA1045">
        <v>25</v>
      </c>
      <c r="AC1045">
        <v>418</v>
      </c>
      <c r="AD1045">
        <v>20.3</v>
      </c>
      <c r="AE1045">
        <v>921</v>
      </c>
      <c r="AF1045">
        <v>20.2</v>
      </c>
      <c r="AG1045" t="s">
        <v>3347</v>
      </c>
      <c r="AH1045">
        <v>2.9642596301968491</v>
      </c>
      <c r="AI1045">
        <v>20.3</v>
      </c>
      <c r="AJ1045" t="s">
        <v>1790</v>
      </c>
      <c r="AK1045" t="s">
        <v>770</v>
      </c>
      <c r="AM1045"/>
      <c r="AN1045">
        <v>17.86</v>
      </c>
      <c r="AO1045">
        <v>24.15</v>
      </c>
      <c r="AP1045">
        <v>22.38</v>
      </c>
      <c r="AQ1045">
        <v>14.8</v>
      </c>
      <c r="AS1045">
        <v>-0.22600000000000001</v>
      </c>
      <c r="AT1045">
        <v>9.0800000000000006E-2</v>
      </c>
      <c r="AW1045" s="28">
        <f t="shared" si="80"/>
        <v>0.22568109813655757</v>
      </c>
      <c r="AX1045">
        <f t="shared" si="81"/>
        <v>0.98429319371727753</v>
      </c>
      <c r="AY1045" s="62">
        <f t="shared" si="82"/>
        <v>0.22213636884645457</v>
      </c>
      <c r="AZ1045" s="68" t="str">
        <f t="shared" si="83"/>
        <v>No</v>
      </c>
      <c r="BA1045" s="68" t="str">
        <f t="shared" si="84"/>
        <v>No</v>
      </c>
    </row>
    <row r="1046" spans="1:53" hidden="1">
      <c r="A1046" t="s">
        <v>1815</v>
      </c>
      <c r="B1046" t="s">
        <v>2602</v>
      </c>
      <c r="C1046">
        <v>48</v>
      </c>
      <c r="F1046" t="s">
        <v>1241</v>
      </c>
      <c r="G1046" t="s">
        <v>1701</v>
      </c>
      <c r="I1046">
        <v>2017</v>
      </c>
      <c r="N1046" t="s">
        <v>36</v>
      </c>
      <c r="P1046" t="s">
        <v>60</v>
      </c>
      <c r="Q1046" t="s">
        <v>900</v>
      </c>
      <c r="R1046" t="s">
        <v>946</v>
      </c>
      <c r="S1046" t="s">
        <v>1754</v>
      </c>
      <c r="V1046" t="s">
        <v>905</v>
      </c>
      <c r="Z1046">
        <v>25</v>
      </c>
      <c r="AA1046">
        <v>25</v>
      </c>
      <c r="AC1046">
        <v>418</v>
      </c>
      <c r="AD1046">
        <v>20.3</v>
      </c>
      <c r="AE1046">
        <v>921</v>
      </c>
      <c r="AF1046">
        <v>20.2</v>
      </c>
      <c r="AG1046" t="s">
        <v>3347</v>
      </c>
      <c r="AH1046">
        <v>2.9642596301968491</v>
      </c>
      <c r="AI1046">
        <v>20.3</v>
      </c>
      <c r="AJ1046" t="s">
        <v>1205</v>
      </c>
      <c r="AK1046" t="s">
        <v>40</v>
      </c>
      <c r="AM1046"/>
      <c r="AN1046">
        <v>97.86</v>
      </c>
      <c r="AO1046">
        <v>12.450000000000001</v>
      </c>
      <c r="AP1046">
        <v>119.3</v>
      </c>
      <c r="AQ1046">
        <v>9.3000000000000007</v>
      </c>
      <c r="AS1046">
        <v>0.19800000000000001</v>
      </c>
      <c r="AT1046">
        <v>8.9999999999999998E-4</v>
      </c>
      <c r="AW1046" s="28">
        <f t="shared" si="80"/>
        <v>1.9511378556757297</v>
      </c>
      <c r="AX1046">
        <f t="shared" si="81"/>
        <v>0.98429319371727753</v>
      </c>
      <c r="AY1046" s="62">
        <f t="shared" si="82"/>
        <v>1.9204917113457445</v>
      </c>
      <c r="AZ1046" s="68" t="str">
        <f t="shared" si="83"/>
        <v>No</v>
      </c>
      <c r="BA1046" s="68" t="str">
        <f t="shared" si="84"/>
        <v>No</v>
      </c>
    </row>
    <row r="1047" spans="1:53" hidden="1">
      <c r="A1047" t="s">
        <v>1815</v>
      </c>
      <c r="B1047" t="s">
        <v>2598</v>
      </c>
      <c r="C1047">
        <v>48</v>
      </c>
      <c r="F1047" t="s">
        <v>1241</v>
      </c>
      <c r="G1047" t="s">
        <v>1701</v>
      </c>
      <c r="I1047">
        <v>2017</v>
      </c>
      <c r="N1047" t="s">
        <v>36</v>
      </c>
      <c r="P1047" t="s">
        <v>60</v>
      </c>
      <c r="Q1047" t="s">
        <v>900</v>
      </c>
      <c r="R1047" t="s">
        <v>946</v>
      </c>
      <c r="S1047" t="s">
        <v>1754</v>
      </c>
      <c r="V1047" t="s">
        <v>907</v>
      </c>
      <c r="Z1047">
        <v>25</v>
      </c>
      <c r="AA1047">
        <v>25</v>
      </c>
      <c r="AC1047">
        <v>418</v>
      </c>
      <c r="AD1047">
        <v>20.3</v>
      </c>
      <c r="AE1047">
        <v>427</v>
      </c>
      <c r="AF1047">
        <v>24.3</v>
      </c>
      <c r="AG1047" t="s">
        <v>3347</v>
      </c>
      <c r="AH1047">
        <v>2.6304278750250241</v>
      </c>
      <c r="AI1047">
        <v>20.3</v>
      </c>
      <c r="AJ1047" t="s">
        <v>1790</v>
      </c>
      <c r="AK1047" t="s">
        <v>770</v>
      </c>
      <c r="AM1047"/>
      <c r="AN1047">
        <v>17.86</v>
      </c>
      <c r="AO1047">
        <v>24.15</v>
      </c>
      <c r="AP1047">
        <v>29.24</v>
      </c>
      <c r="AQ1047">
        <v>27.3</v>
      </c>
      <c r="AS1047">
        <v>-0.49299999999999999</v>
      </c>
      <c r="AT1047">
        <v>0.1081</v>
      </c>
      <c r="AW1047" s="28">
        <f t="shared" si="80"/>
        <v>0.44154445721952212</v>
      </c>
      <c r="AX1047">
        <f t="shared" si="81"/>
        <v>0.98429319371727753</v>
      </c>
      <c r="AY1047" s="62">
        <f t="shared" si="82"/>
        <v>0.43460920396476527</v>
      </c>
      <c r="AZ1047" s="68" t="str">
        <f t="shared" si="83"/>
        <v>No</v>
      </c>
      <c r="BA1047" s="68" t="str">
        <f t="shared" si="84"/>
        <v>No</v>
      </c>
    </row>
    <row r="1048" spans="1:53" hidden="1">
      <c r="A1048" t="s">
        <v>1815</v>
      </c>
      <c r="B1048" t="s">
        <v>2600</v>
      </c>
      <c r="C1048">
        <v>48</v>
      </c>
      <c r="F1048" t="s">
        <v>1241</v>
      </c>
      <c r="G1048" t="s">
        <v>1701</v>
      </c>
      <c r="I1048">
        <v>2017</v>
      </c>
      <c r="N1048" t="s">
        <v>36</v>
      </c>
      <c r="P1048" t="s">
        <v>60</v>
      </c>
      <c r="Q1048" t="s">
        <v>900</v>
      </c>
      <c r="R1048" t="s">
        <v>946</v>
      </c>
      <c r="S1048" t="s">
        <v>1754</v>
      </c>
      <c r="V1048" t="s">
        <v>907</v>
      </c>
      <c r="Z1048">
        <v>25</v>
      </c>
      <c r="AA1048">
        <v>25</v>
      </c>
      <c r="AC1048">
        <v>418</v>
      </c>
      <c r="AD1048">
        <v>20.3</v>
      </c>
      <c r="AE1048">
        <v>427</v>
      </c>
      <c r="AF1048">
        <v>24.3</v>
      </c>
      <c r="AG1048" t="s">
        <v>3347</v>
      </c>
      <c r="AH1048">
        <v>2.6304278750250241</v>
      </c>
      <c r="AI1048">
        <v>20.3</v>
      </c>
      <c r="AJ1048" t="s">
        <v>1205</v>
      </c>
      <c r="AK1048" t="s">
        <v>40</v>
      </c>
      <c r="AM1048"/>
      <c r="AN1048">
        <v>97.86</v>
      </c>
      <c r="AO1048">
        <v>12.450000000000001</v>
      </c>
      <c r="AP1048">
        <v>111.84</v>
      </c>
      <c r="AQ1048">
        <v>12.450000000000001</v>
      </c>
      <c r="AS1048">
        <v>0.13400000000000001</v>
      </c>
      <c r="AT1048">
        <v>1.1000000000000001E-3</v>
      </c>
      <c r="AW1048" s="28">
        <f t="shared" si="80"/>
        <v>1.1228915662650605</v>
      </c>
      <c r="AX1048">
        <f t="shared" si="81"/>
        <v>0.98429319371727753</v>
      </c>
      <c r="AY1048" s="62">
        <f t="shared" si="82"/>
        <v>1.1052545259572324</v>
      </c>
      <c r="AZ1048" s="68" t="str">
        <f t="shared" si="83"/>
        <v>No</v>
      </c>
      <c r="BA1048" s="68" t="str">
        <f t="shared" si="84"/>
        <v>No</v>
      </c>
    </row>
    <row r="1049" spans="1:53" hidden="1">
      <c r="A1049" t="s">
        <v>1815</v>
      </c>
      <c r="B1049" t="s">
        <v>2601</v>
      </c>
      <c r="C1049">
        <v>48</v>
      </c>
      <c r="F1049" t="s">
        <v>1241</v>
      </c>
      <c r="G1049" t="s">
        <v>1701</v>
      </c>
      <c r="I1049">
        <v>2017</v>
      </c>
      <c r="N1049" t="s">
        <v>36</v>
      </c>
      <c r="P1049" t="s">
        <v>60</v>
      </c>
      <c r="Q1049" t="s">
        <v>900</v>
      </c>
      <c r="R1049" t="s">
        <v>946</v>
      </c>
      <c r="S1049" t="s">
        <v>1754</v>
      </c>
      <c r="V1049" t="s">
        <v>907</v>
      </c>
      <c r="Z1049">
        <v>25</v>
      </c>
      <c r="AA1049">
        <v>25</v>
      </c>
      <c r="AC1049">
        <v>418</v>
      </c>
      <c r="AD1049">
        <v>20.3</v>
      </c>
      <c r="AE1049">
        <v>395</v>
      </c>
      <c r="AF1049">
        <v>26.3</v>
      </c>
      <c r="AG1049" t="s">
        <v>3347</v>
      </c>
      <c r="AH1049">
        <v>2.5965970956264601</v>
      </c>
      <c r="AI1049">
        <v>20.3</v>
      </c>
      <c r="AJ1049" t="s">
        <v>1205</v>
      </c>
      <c r="AK1049" t="s">
        <v>40</v>
      </c>
      <c r="AM1049"/>
      <c r="AN1049">
        <v>97.86</v>
      </c>
      <c r="AO1049">
        <v>12.450000000000001</v>
      </c>
      <c r="AP1049">
        <v>117.44</v>
      </c>
      <c r="AQ1049">
        <v>9.3000000000000007</v>
      </c>
      <c r="AS1049">
        <v>0.182</v>
      </c>
      <c r="AT1049">
        <v>8.9999999999999998E-4</v>
      </c>
      <c r="AW1049" s="28">
        <f t="shared" si="80"/>
        <v>1.781869366330727</v>
      </c>
      <c r="AX1049">
        <f t="shared" si="81"/>
        <v>0.98429319371727753</v>
      </c>
      <c r="AY1049" s="62">
        <f t="shared" si="82"/>
        <v>1.7538818893726529</v>
      </c>
      <c r="AZ1049" s="68" t="str">
        <f t="shared" si="83"/>
        <v>No</v>
      </c>
      <c r="BA1049" s="68" t="str">
        <f t="shared" si="84"/>
        <v>No</v>
      </c>
    </row>
    <row r="1050" spans="1:53" hidden="1">
      <c r="A1050" t="s">
        <v>1815</v>
      </c>
      <c r="B1050" t="s">
        <v>2603</v>
      </c>
      <c r="C1050">
        <v>48</v>
      </c>
      <c r="F1050" t="s">
        <v>1241</v>
      </c>
      <c r="G1050" t="s">
        <v>1701</v>
      </c>
      <c r="I1050">
        <v>2017</v>
      </c>
      <c r="N1050" t="s">
        <v>36</v>
      </c>
      <c r="P1050" t="s">
        <v>60</v>
      </c>
      <c r="Q1050" t="s">
        <v>900</v>
      </c>
      <c r="R1050" t="s">
        <v>946</v>
      </c>
      <c r="S1050" t="s">
        <v>1754</v>
      </c>
      <c r="V1050" t="s">
        <v>907</v>
      </c>
      <c r="Z1050">
        <v>25</v>
      </c>
      <c r="AA1050">
        <v>25</v>
      </c>
      <c r="AC1050">
        <v>418</v>
      </c>
      <c r="AD1050">
        <v>20.3</v>
      </c>
      <c r="AE1050">
        <v>395</v>
      </c>
      <c r="AF1050">
        <v>26.3</v>
      </c>
      <c r="AG1050" t="s">
        <v>3347</v>
      </c>
      <c r="AH1050">
        <v>2.5965970956264601</v>
      </c>
      <c r="AI1050">
        <v>20.3</v>
      </c>
      <c r="AJ1050" t="s">
        <v>1790</v>
      </c>
      <c r="AK1050" t="s">
        <v>770</v>
      </c>
      <c r="AM1050"/>
      <c r="AN1050">
        <v>17.86</v>
      </c>
      <c r="AO1050">
        <v>24.15</v>
      </c>
      <c r="AP1050">
        <v>14.11</v>
      </c>
      <c r="AQ1050">
        <v>26.9</v>
      </c>
      <c r="AS1050">
        <v>0.23499999999999999</v>
      </c>
      <c r="AT1050">
        <v>0.21859999999999999</v>
      </c>
      <c r="AW1050" s="28">
        <f t="shared" si="80"/>
        <v>-0.14670209040642773</v>
      </c>
      <c r="AX1050">
        <f t="shared" si="81"/>
        <v>0.98429319371727753</v>
      </c>
      <c r="AY1050" s="62">
        <f t="shared" si="82"/>
        <v>-0.14439786909114352</v>
      </c>
      <c r="AZ1050" s="68" t="str">
        <f t="shared" si="83"/>
        <v>No</v>
      </c>
      <c r="BA1050" s="68" t="str">
        <f t="shared" si="84"/>
        <v>No</v>
      </c>
    </row>
    <row r="1051" spans="1:53" hidden="1">
      <c r="A1051" t="s">
        <v>1815</v>
      </c>
      <c r="B1051" t="s">
        <v>2604</v>
      </c>
      <c r="C1051">
        <v>48</v>
      </c>
      <c r="F1051" t="s">
        <v>1241</v>
      </c>
      <c r="G1051" t="s">
        <v>1701</v>
      </c>
      <c r="I1051">
        <v>2017</v>
      </c>
      <c r="N1051" t="s">
        <v>36</v>
      </c>
      <c r="P1051" t="s">
        <v>60</v>
      </c>
      <c r="Q1051" t="s">
        <v>900</v>
      </c>
      <c r="R1051" t="s">
        <v>946</v>
      </c>
      <c r="S1051" t="s">
        <v>1754</v>
      </c>
      <c r="V1051" t="s">
        <v>1015</v>
      </c>
      <c r="Z1051">
        <v>25</v>
      </c>
      <c r="AA1051">
        <v>25</v>
      </c>
      <c r="AC1051">
        <v>418</v>
      </c>
      <c r="AD1051">
        <v>20.3</v>
      </c>
      <c r="AE1051">
        <v>916</v>
      </c>
      <c r="AF1051">
        <v>26.1</v>
      </c>
      <c r="AG1051" t="s">
        <v>3347</v>
      </c>
      <c r="AH1051">
        <v>2.9618954736678504</v>
      </c>
      <c r="AI1051">
        <v>20.3</v>
      </c>
      <c r="AJ1051" t="s">
        <v>1205</v>
      </c>
      <c r="AK1051" t="s">
        <v>40</v>
      </c>
      <c r="AM1051"/>
      <c r="AN1051">
        <v>97.86</v>
      </c>
      <c r="AO1051">
        <v>12.450000000000001</v>
      </c>
      <c r="AP1051">
        <v>130.80000000000001</v>
      </c>
      <c r="AQ1051">
        <v>10.85</v>
      </c>
      <c r="AS1051">
        <v>0.28999999999999998</v>
      </c>
      <c r="AT1051">
        <v>8.9999999999999998E-4</v>
      </c>
      <c r="AW1051" s="28">
        <f t="shared" si="80"/>
        <v>2.8208248277361321</v>
      </c>
      <c r="AX1051">
        <f t="shared" si="81"/>
        <v>0.98429319371727753</v>
      </c>
      <c r="AY1051" s="62">
        <f t="shared" si="82"/>
        <v>2.7765186786093867</v>
      </c>
      <c r="AZ1051" s="68" t="str">
        <f t="shared" si="83"/>
        <v>No</v>
      </c>
      <c r="BA1051" s="68" t="str">
        <f t="shared" si="84"/>
        <v>No</v>
      </c>
    </row>
    <row r="1052" spans="1:53" hidden="1">
      <c r="A1052" t="s">
        <v>1815</v>
      </c>
      <c r="B1052" t="s">
        <v>2605</v>
      </c>
      <c r="C1052">
        <v>48</v>
      </c>
      <c r="F1052" t="s">
        <v>1241</v>
      </c>
      <c r="G1052" t="s">
        <v>1701</v>
      </c>
      <c r="I1052">
        <v>2017</v>
      </c>
      <c r="N1052" t="s">
        <v>36</v>
      </c>
      <c r="P1052" t="s">
        <v>60</v>
      </c>
      <c r="Q1052" t="s">
        <v>900</v>
      </c>
      <c r="R1052" t="s">
        <v>946</v>
      </c>
      <c r="S1052" t="s">
        <v>1754</v>
      </c>
      <c r="V1052" t="s">
        <v>1015</v>
      </c>
      <c r="Z1052">
        <v>25</v>
      </c>
      <c r="AA1052">
        <v>25</v>
      </c>
      <c r="AC1052">
        <v>418</v>
      </c>
      <c r="AD1052">
        <v>20.3</v>
      </c>
      <c r="AE1052">
        <v>1084</v>
      </c>
      <c r="AF1052">
        <v>24.5</v>
      </c>
      <c r="AG1052" t="s">
        <v>3347</v>
      </c>
      <c r="AH1052">
        <v>3.0350292822023683</v>
      </c>
      <c r="AI1052">
        <v>20.3</v>
      </c>
      <c r="AJ1052" t="s">
        <v>1790</v>
      </c>
      <c r="AK1052" t="s">
        <v>770</v>
      </c>
      <c r="AM1052"/>
      <c r="AN1052">
        <v>17.86</v>
      </c>
      <c r="AO1052">
        <v>24.15</v>
      </c>
      <c r="AP1052">
        <v>13.26</v>
      </c>
      <c r="AQ1052">
        <v>9.75</v>
      </c>
      <c r="AS1052">
        <v>0.29799999999999999</v>
      </c>
      <c r="AT1052">
        <v>9.4899999999999998E-2</v>
      </c>
      <c r="AW1052" s="28">
        <f t="shared" si="80"/>
        <v>-0.24978521184467473</v>
      </c>
      <c r="AX1052">
        <f t="shared" si="81"/>
        <v>0.98429319371727753</v>
      </c>
      <c r="AY1052" s="62">
        <f t="shared" si="82"/>
        <v>-0.24586188390994163</v>
      </c>
      <c r="AZ1052" s="68" t="str">
        <f t="shared" si="83"/>
        <v>No</v>
      </c>
      <c r="BA1052" s="68" t="str">
        <f t="shared" si="84"/>
        <v>No</v>
      </c>
    </row>
    <row r="1053" spans="1:53" hidden="1">
      <c r="A1053" t="s">
        <v>1815</v>
      </c>
      <c r="B1053" t="s">
        <v>2606</v>
      </c>
      <c r="C1053">
        <v>48</v>
      </c>
      <c r="F1053" t="s">
        <v>1241</v>
      </c>
      <c r="G1053" t="s">
        <v>1701</v>
      </c>
      <c r="I1053">
        <v>2017</v>
      </c>
      <c r="N1053" t="s">
        <v>36</v>
      </c>
      <c r="P1053" t="s">
        <v>60</v>
      </c>
      <c r="Q1053" t="s">
        <v>900</v>
      </c>
      <c r="R1053" t="s">
        <v>946</v>
      </c>
      <c r="S1053" t="s">
        <v>1754</v>
      </c>
      <c r="V1053" t="s">
        <v>1015</v>
      </c>
      <c r="Z1053">
        <v>25</v>
      </c>
      <c r="AA1053">
        <v>25</v>
      </c>
      <c r="AC1053">
        <v>418</v>
      </c>
      <c r="AD1053">
        <v>20.3</v>
      </c>
      <c r="AE1053">
        <v>1084</v>
      </c>
      <c r="AF1053">
        <v>24.5</v>
      </c>
      <c r="AG1053" t="s">
        <v>3347</v>
      </c>
      <c r="AH1053">
        <v>3.0350292822023683</v>
      </c>
      <c r="AI1053">
        <v>20.3</v>
      </c>
      <c r="AJ1053" t="s">
        <v>1205</v>
      </c>
      <c r="AK1053" t="s">
        <v>40</v>
      </c>
      <c r="AM1053"/>
      <c r="AN1053">
        <v>97.86</v>
      </c>
      <c r="AO1053">
        <v>12.450000000000001</v>
      </c>
      <c r="AP1053">
        <v>144.16</v>
      </c>
      <c r="AQ1053">
        <v>12.450000000000001</v>
      </c>
      <c r="AS1053">
        <v>0.38700000000000001</v>
      </c>
      <c r="AT1053">
        <v>8.9999999999999998E-4</v>
      </c>
      <c r="AW1053" s="28">
        <f t="shared" si="80"/>
        <v>3.7188755020080317</v>
      </c>
      <c r="AX1053">
        <f t="shared" si="81"/>
        <v>0.98429319371727753</v>
      </c>
      <c r="AY1053" s="62">
        <f t="shared" si="82"/>
        <v>3.6604638449084295</v>
      </c>
      <c r="AZ1053" s="68" t="str">
        <f t="shared" si="83"/>
        <v>No</v>
      </c>
      <c r="BA1053" s="68" t="str">
        <f t="shared" si="84"/>
        <v>No</v>
      </c>
    </row>
    <row r="1054" spans="1:53" hidden="1">
      <c r="A1054" t="s">
        <v>1815</v>
      </c>
      <c r="B1054" t="s">
        <v>2607</v>
      </c>
      <c r="C1054">
        <v>48</v>
      </c>
      <c r="F1054" t="s">
        <v>1241</v>
      </c>
      <c r="G1054" t="s">
        <v>1701</v>
      </c>
      <c r="I1054">
        <v>2017</v>
      </c>
      <c r="N1054" t="s">
        <v>36</v>
      </c>
      <c r="P1054" t="s">
        <v>60</v>
      </c>
      <c r="Q1054" t="s">
        <v>900</v>
      </c>
      <c r="R1054" t="s">
        <v>946</v>
      </c>
      <c r="S1054" t="s">
        <v>1754</v>
      </c>
      <c r="V1054" t="s">
        <v>1015</v>
      </c>
      <c r="Z1054">
        <v>25</v>
      </c>
      <c r="AA1054">
        <v>25</v>
      </c>
      <c r="AC1054">
        <v>418</v>
      </c>
      <c r="AD1054">
        <v>20.3</v>
      </c>
      <c r="AE1054">
        <v>916</v>
      </c>
      <c r="AF1054">
        <v>26.1</v>
      </c>
      <c r="AG1054" t="s">
        <v>3347</v>
      </c>
      <c r="AH1054">
        <v>2.9618954736678504</v>
      </c>
      <c r="AI1054">
        <v>20.3</v>
      </c>
      <c r="AJ1054" t="s">
        <v>1790</v>
      </c>
      <c r="AK1054" t="s">
        <v>770</v>
      </c>
      <c r="AM1054"/>
      <c r="AN1054">
        <v>17.86</v>
      </c>
      <c r="AO1054">
        <v>24.15</v>
      </c>
      <c r="AP1054">
        <v>10.99</v>
      </c>
      <c r="AQ1054">
        <v>14.399999999999999</v>
      </c>
      <c r="AS1054">
        <v>0.48499999999999999</v>
      </c>
      <c r="AT1054">
        <v>0.14219999999999999</v>
      </c>
      <c r="AW1054" s="28">
        <f t="shared" si="80"/>
        <v>-0.34553984692048195</v>
      </c>
      <c r="AX1054">
        <f t="shared" si="81"/>
        <v>0.98429319371727753</v>
      </c>
      <c r="AY1054" s="62">
        <f t="shared" si="82"/>
        <v>-0.34011251948194038</v>
      </c>
      <c r="AZ1054" s="68" t="str">
        <f t="shared" si="83"/>
        <v>No</v>
      </c>
      <c r="BA1054" s="68" t="str">
        <f t="shared" si="84"/>
        <v>No</v>
      </c>
    </row>
    <row r="1055" spans="1:53" hidden="1">
      <c r="A1055" t="s">
        <v>1815</v>
      </c>
      <c r="B1055" t="s">
        <v>2529</v>
      </c>
      <c r="C1055">
        <v>16</v>
      </c>
      <c r="F1055" t="s">
        <v>1241</v>
      </c>
      <c r="G1055" t="s">
        <v>1696</v>
      </c>
      <c r="I1055">
        <v>2010</v>
      </c>
      <c r="N1055" t="s">
        <v>36</v>
      </c>
      <c r="P1055" t="s">
        <v>60</v>
      </c>
      <c r="Q1055" t="s">
        <v>900</v>
      </c>
      <c r="R1055" t="s">
        <v>1742</v>
      </c>
      <c r="S1055" t="s">
        <v>1751</v>
      </c>
      <c r="V1055" t="s">
        <v>905</v>
      </c>
      <c r="Z1055">
        <v>10</v>
      </c>
      <c r="AA1055">
        <v>10</v>
      </c>
      <c r="AC1055">
        <v>354</v>
      </c>
      <c r="AD1055">
        <v>3</v>
      </c>
      <c r="AE1055">
        <v>2378</v>
      </c>
      <c r="AF1055">
        <v>3</v>
      </c>
      <c r="AG1055" t="s">
        <v>3340</v>
      </c>
      <c r="AH1055">
        <v>3.3762118502826728</v>
      </c>
      <c r="AI1055">
        <v>3</v>
      </c>
      <c r="AJ1055" t="s">
        <v>1798</v>
      </c>
      <c r="AK1055" t="s">
        <v>40</v>
      </c>
      <c r="AM1055"/>
      <c r="AN1055">
        <v>356.48</v>
      </c>
      <c r="AO1055">
        <v>71.277738460195266</v>
      </c>
      <c r="AP1055">
        <v>233.33</v>
      </c>
      <c r="AQ1055">
        <v>77.665539333735396</v>
      </c>
      <c r="AS1055">
        <v>-0.42399999999999999</v>
      </c>
      <c r="AT1055">
        <v>1.5100000000000001E-2</v>
      </c>
      <c r="AW1055" s="28">
        <f t="shared" si="80"/>
        <v>-1.6521309420010077</v>
      </c>
      <c r="AX1055">
        <f t="shared" si="81"/>
        <v>0.95774647887323949</v>
      </c>
      <c r="AY1055" s="62">
        <f t="shared" si="82"/>
        <v>-1.5823225923389934</v>
      </c>
      <c r="AZ1055" s="68" t="str">
        <f t="shared" si="83"/>
        <v>No</v>
      </c>
      <c r="BA1055" s="68" t="str">
        <f t="shared" si="84"/>
        <v>No</v>
      </c>
    </row>
    <row r="1056" spans="1:53" hidden="1">
      <c r="A1056" t="s">
        <v>1815</v>
      </c>
      <c r="B1056" t="s">
        <v>2530</v>
      </c>
      <c r="C1056">
        <v>16</v>
      </c>
      <c r="F1056" t="s">
        <v>1241</v>
      </c>
      <c r="G1056" t="s">
        <v>1696</v>
      </c>
      <c r="I1056">
        <v>2010</v>
      </c>
      <c r="N1056" t="s">
        <v>36</v>
      </c>
      <c r="P1056" t="s">
        <v>60</v>
      </c>
      <c r="Q1056" t="s">
        <v>900</v>
      </c>
      <c r="R1056" t="s">
        <v>1742</v>
      </c>
      <c r="S1056" t="s">
        <v>1751</v>
      </c>
      <c r="V1056" t="s">
        <v>905</v>
      </c>
      <c r="Z1056">
        <v>279</v>
      </c>
      <c r="AA1056">
        <v>279</v>
      </c>
      <c r="AC1056">
        <v>354</v>
      </c>
      <c r="AD1056">
        <v>3</v>
      </c>
      <c r="AE1056">
        <v>754</v>
      </c>
      <c r="AF1056">
        <v>3</v>
      </c>
      <c r="AG1056" t="s">
        <v>3340</v>
      </c>
      <c r="AH1056">
        <v>2.8773713458697738</v>
      </c>
      <c r="AI1056">
        <v>3</v>
      </c>
      <c r="AJ1056" t="s">
        <v>1797</v>
      </c>
      <c r="AK1056" t="s">
        <v>770</v>
      </c>
      <c r="AM1056"/>
      <c r="AN1056">
        <v>72.33</v>
      </c>
      <c r="AO1056">
        <v>112.91426127819285</v>
      </c>
      <c r="AP1056">
        <v>73.08</v>
      </c>
      <c r="AQ1056">
        <v>81.512070271831533</v>
      </c>
      <c r="AS1056">
        <v>0.01</v>
      </c>
      <c r="AT1056">
        <v>1.32E-2</v>
      </c>
      <c r="AW1056" s="28">
        <f t="shared" si="80"/>
        <v>7.6163039502835381E-3</v>
      </c>
      <c r="AX1056">
        <f t="shared" si="81"/>
        <v>0.99865047233468285</v>
      </c>
      <c r="AY1056" s="62">
        <f t="shared" si="82"/>
        <v>7.6060255373951663E-3</v>
      </c>
      <c r="AZ1056" s="68" t="str">
        <f t="shared" si="83"/>
        <v>No</v>
      </c>
      <c r="BA1056" s="68" t="str">
        <f t="shared" si="84"/>
        <v>No</v>
      </c>
    </row>
    <row r="1057" spans="1:53" hidden="1">
      <c r="A1057" t="s">
        <v>1815</v>
      </c>
      <c r="B1057" t="s">
        <v>2531</v>
      </c>
      <c r="C1057">
        <v>16</v>
      </c>
      <c r="F1057" t="s">
        <v>1241</v>
      </c>
      <c r="G1057" t="s">
        <v>1696</v>
      </c>
      <c r="I1057">
        <v>2010</v>
      </c>
      <c r="N1057" t="s">
        <v>36</v>
      </c>
      <c r="P1057" t="s">
        <v>60</v>
      </c>
      <c r="Q1057" t="s">
        <v>900</v>
      </c>
      <c r="R1057" t="s">
        <v>1742</v>
      </c>
      <c r="S1057" t="s">
        <v>1751</v>
      </c>
      <c r="V1057" t="s">
        <v>905</v>
      </c>
      <c r="Z1057">
        <v>10</v>
      </c>
      <c r="AA1057">
        <v>10</v>
      </c>
      <c r="AC1057">
        <v>354</v>
      </c>
      <c r="AD1057">
        <v>3</v>
      </c>
      <c r="AE1057">
        <v>2378</v>
      </c>
      <c r="AF1057">
        <v>3</v>
      </c>
      <c r="AG1057" t="s">
        <v>3340</v>
      </c>
      <c r="AH1057">
        <v>3.3762118502826728</v>
      </c>
      <c r="AI1057">
        <v>3</v>
      </c>
      <c r="AJ1057" t="s">
        <v>1799</v>
      </c>
      <c r="AK1057" t="s">
        <v>904</v>
      </c>
      <c r="AM1057"/>
      <c r="AN1057">
        <v>4.29</v>
      </c>
      <c r="AO1057">
        <v>1.5495160534825059</v>
      </c>
      <c r="AP1057">
        <v>4.38</v>
      </c>
      <c r="AQ1057">
        <v>0.94868329805051377</v>
      </c>
      <c r="AS1057">
        <v>2.1000000000000001E-2</v>
      </c>
      <c r="AT1057">
        <v>1.7600000000000001E-2</v>
      </c>
      <c r="AW1057" s="28">
        <f t="shared" si="80"/>
        <v>7.0054291491938078E-2</v>
      </c>
      <c r="AX1057">
        <f t="shared" si="81"/>
        <v>0.95774647887323949</v>
      </c>
      <c r="AY1057" s="62">
        <f t="shared" si="82"/>
        <v>6.7094251006363237E-2</v>
      </c>
      <c r="AZ1057" s="68" t="str">
        <f t="shared" si="83"/>
        <v>No</v>
      </c>
      <c r="BA1057" s="68" t="str">
        <f t="shared" si="84"/>
        <v>No</v>
      </c>
    </row>
    <row r="1058" spans="1:53" hidden="1">
      <c r="A1058" t="s">
        <v>1815</v>
      </c>
      <c r="B1058" t="s">
        <v>2532</v>
      </c>
      <c r="C1058">
        <v>16</v>
      </c>
      <c r="F1058" t="s">
        <v>1241</v>
      </c>
      <c r="G1058" t="s">
        <v>1696</v>
      </c>
      <c r="I1058">
        <v>2010</v>
      </c>
      <c r="N1058" t="s">
        <v>36</v>
      </c>
      <c r="P1058" t="s">
        <v>60</v>
      </c>
      <c r="Q1058" t="s">
        <v>900</v>
      </c>
      <c r="R1058" t="s">
        <v>1742</v>
      </c>
      <c r="S1058" t="s">
        <v>1751</v>
      </c>
      <c r="V1058" t="s">
        <v>905</v>
      </c>
      <c r="Z1058">
        <v>10</v>
      </c>
      <c r="AA1058">
        <v>10</v>
      </c>
      <c r="AC1058">
        <v>354</v>
      </c>
      <c r="AD1058">
        <v>3</v>
      </c>
      <c r="AE1058">
        <v>754</v>
      </c>
      <c r="AF1058">
        <v>3</v>
      </c>
      <c r="AG1058" t="s">
        <v>3340</v>
      </c>
      <c r="AH1058">
        <v>2.8773713458697738</v>
      </c>
      <c r="AI1058">
        <v>3</v>
      </c>
      <c r="AJ1058" t="s">
        <v>1799</v>
      </c>
      <c r="AK1058" t="s">
        <v>904</v>
      </c>
      <c r="AM1058"/>
      <c r="AN1058">
        <v>4.29</v>
      </c>
      <c r="AO1058">
        <v>1.5495160534825059</v>
      </c>
      <c r="AP1058">
        <v>4.42</v>
      </c>
      <c r="AQ1058">
        <v>1.739252713092609</v>
      </c>
      <c r="AS1058">
        <v>0.03</v>
      </c>
      <c r="AT1058">
        <v>2.8500000000000001E-2</v>
      </c>
      <c r="AW1058" s="28">
        <f t="shared" si="80"/>
        <v>7.8925702370364434E-2</v>
      </c>
      <c r="AX1058">
        <f t="shared" si="81"/>
        <v>0.95774647887323949</v>
      </c>
      <c r="AY1058" s="62">
        <f t="shared" si="82"/>
        <v>7.5590813537813828E-2</v>
      </c>
      <c r="AZ1058" s="68" t="str">
        <f t="shared" si="83"/>
        <v>No</v>
      </c>
      <c r="BA1058" s="68" t="str">
        <f t="shared" si="84"/>
        <v>No</v>
      </c>
    </row>
    <row r="1059" spans="1:53" hidden="1">
      <c r="A1059" t="s">
        <v>1815</v>
      </c>
      <c r="B1059" t="s">
        <v>2533</v>
      </c>
      <c r="C1059">
        <v>16</v>
      </c>
      <c r="F1059" t="s">
        <v>1241</v>
      </c>
      <c r="G1059" t="s">
        <v>1696</v>
      </c>
      <c r="I1059">
        <v>2010</v>
      </c>
      <c r="N1059" t="s">
        <v>36</v>
      </c>
      <c r="P1059" t="s">
        <v>60</v>
      </c>
      <c r="Q1059" t="s">
        <v>900</v>
      </c>
      <c r="R1059" t="s">
        <v>1742</v>
      </c>
      <c r="S1059" t="s">
        <v>1751</v>
      </c>
      <c r="V1059" t="s">
        <v>905</v>
      </c>
      <c r="Z1059">
        <v>279</v>
      </c>
      <c r="AA1059">
        <v>279</v>
      </c>
      <c r="AC1059">
        <v>354</v>
      </c>
      <c r="AD1059">
        <v>3</v>
      </c>
      <c r="AE1059">
        <v>2378</v>
      </c>
      <c r="AF1059">
        <v>3</v>
      </c>
      <c r="AG1059" t="s">
        <v>3340</v>
      </c>
      <c r="AH1059">
        <v>3.3762118502826728</v>
      </c>
      <c r="AI1059">
        <v>3</v>
      </c>
      <c r="AJ1059" t="s">
        <v>1797</v>
      </c>
      <c r="AK1059" t="s">
        <v>770</v>
      </c>
      <c r="AM1059"/>
      <c r="AN1059">
        <v>72.33</v>
      </c>
      <c r="AO1059">
        <v>112.91426127819285</v>
      </c>
      <c r="AP1059">
        <v>75.33</v>
      </c>
      <c r="AQ1059">
        <v>125.6087640254453</v>
      </c>
      <c r="AS1059">
        <v>4.1000000000000002E-2</v>
      </c>
      <c r="AT1059">
        <v>1.8700000000000001E-2</v>
      </c>
      <c r="AW1059" s="28">
        <f t="shared" si="80"/>
        <v>2.511925414815435E-2</v>
      </c>
      <c r="AX1059">
        <f t="shared" si="81"/>
        <v>0.99865047233468285</v>
      </c>
      <c r="AY1059" s="62">
        <f t="shared" si="82"/>
        <v>2.5085355019749282E-2</v>
      </c>
      <c r="AZ1059" s="68" t="str">
        <f t="shared" si="83"/>
        <v>No</v>
      </c>
      <c r="BA1059" s="68" t="str">
        <f t="shared" si="84"/>
        <v>No</v>
      </c>
    </row>
    <row r="1060" spans="1:53" hidden="1">
      <c r="A1060" t="s">
        <v>1815</v>
      </c>
      <c r="B1060" t="s">
        <v>2535</v>
      </c>
      <c r="C1060">
        <v>16</v>
      </c>
      <c r="F1060" t="s">
        <v>1241</v>
      </c>
      <c r="G1060" t="s">
        <v>1696</v>
      </c>
      <c r="I1060">
        <v>2010</v>
      </c>
      <c r="N1060" t="s">
        <v>36</v>
      </c>
      <c r="P1060" t="s">
        <v>60</v>
      </c>
      <c r="Q1060" t="s">
        <v>900</v>
      </c>
      <c r="R1060" t="s">
        <v>1742</v>
      </c>
      <c r="S1060" t="s">
        <v>1751</v>
      </c>
      <c r="V1060" t="s">
        <v>905</v>
      </c>
      <c r="Z1060">
        <v>279</v>
      </c>
      <c r="AA1060">
        <v>279</v>
      </c>
      <c r="AC1060">
        <v>354</v>
      </c>
      <c r="AD1060">
        <v>3</v>
      </c>
      <c r="AE1060">
        <v>754</v>
      </c>
      <c r="AF1060">
        <v>3</v>
      </c>
      <c r="AG1060" t="s">
        <v>3340</v>
      </c>
      <c r="AH1060">
        <v>2.8773713458697738</v>
      </c>
      <c r="AI1060">
        <v>3</v>
      </c>
      <c r="AJ1060" t="s">
        <v>1797</v>
      </c>
      <c r="AK1060" t="s">
        <v>770</v>
      </c>
      <c r="AM1060"/>
      <c r="AN1060">
        <v>59.17</v>
      </c>
      <c r="AO1060">
        <v>25.054939632735099</v>
      </c>
      <c r="AP1060">
        <v>62.93</v>
      </c>
      <c r="AQ1060">
        <v>25.054939632735099</v>
      </c>
      <c r="AS1060">
        <v>6.2E-2</v>
      </c>
      <c r="AT1060">
        <v>1.1999999999999999E-3</v>
      </c>
      <c r="AW1060" s="28">
        <f t="shared" si="80"/>
        <v>0.15007020791570516</v>
      </c>
      <c r="AX1060">
        <f t="shared" si="81"/>
        <v>0.99865047233468285</v>
      </c>
      <c r="AY1060" s="62">
        <f t="shared" si="82"/>
        <v>0.14986768401838302</v>
      </c>
      <c r="AZ1060" s="68" t="str">
        <f t="shared" si="83"/>
        <v>No</v>
      </c>
      <c r="BA1060" s="68" t="str">
        <f t="shared" si="84"/>
        <v>No</v>
      </c>
    </row>
    <row r="1061" spans="1:53" hidden="1">
      <c r="A1061" t="s">
        <v>1815</v>
      </c>
      <c r="B1061" t="s">
        <v>2536</v>
      </c>
      <c r="C1061">
        <v>16</v>
      </c>
      <c r="F1061" t="s">
        <v>1241</v>
      </c>
      <c r="G1061" t="s">
        <v>1696</v>
      </c>
      <c r="I1061">
        <v>2010</v>
      </c>
      <c r="N1061" t="s">
        <v>36</v>
      </c>
      <c r="P1061" t="s">
        <v>60</v>
      </c>
      <c r="Q1061" t="s">
        <v>900</v>
      </c>
      <c r="R1061" t="s">
        <v>1742</v>
      </c>
      <c r="S1061" t="s">
        <v>1751</v>
      </c>
      <c r="V1061" t="s">
        <v>905</v>
      </c>
      <c r="Z1061">
        <v>10</v>
      </c>
      <c r="AA1061">
        <v>10</v>
      </c>
      <c r="AC1061">
        <v>354</v>
      </c>
      <c r="AD1061">
        <v>3</v>
      </c>
      <c r="AE1061">
        <v>754</v>
      </c>
      <c r="AF1061">
        <v>3</v>
      </c>
      <c r="AG1061" t="s">
        <v>3340</v>
      </c>
      <c r="AH1061">
        <v>2.8773713458697738</v>
      </c>
      <c r="AI1061">
        <v>3</v>
      </c>
      <c r="AJ1061" t="s">
        <v>1798</v>
      </c>
      <c r="AK1061" t="s">
        <v>40</v>
      </c>
      <c r="AM1061"/>
      <c r="AN1061">
        <v>356.48</v>
      </c>
      <c r="AO1061">
        <v>71.277738460195266</v>
      </c>
      <c r="AP1061">
        <v>382.4</v>
      </c>
      <c r="AQ1061">
        <v>83.610621334851956</v>
      </c>
      <c r="AS1061">
        <v>7.0000000000000007E-2</v>
      </c>
      <c r="AT1061">
        <v>8.8000000000000005E-3</v>
      </c>
      <c r="AW1061" s="28">
        <f t="shared" si="80"/>
        <v>0.33363671529391958</v>
      </c>
      <c r="AX1061">
        <f t="shared" si="81"/>
        <v>0.95774647887323949</v>
      </c>
      <c r="AY1061" s="62">
        <f t="shared" si="82"/>
        <v>0.31953938929558495</v>
      </c>
      <c r="AZ1061" s="68" t="str">
        <f t="shared" si="83"/>
        <v>No</v>
      </c>
      <c r="BA1061" s="68" t="str">
        <f t="shared" si="84"/>
        <v>No</v>
      </c>
    </row>
    <row r="1062" spans="1:53" hidden="1">
      <c r="A1062" t="s">
        <v>1815</v>
      </c>
      <c r="B1062" t="s">
        <v>2542</v>
      </c>
      <c r="C1062">
        <v>16</v>
      </c>
      <c r="F1062" t="s">
        <v>1241</v>
      </c>
      <c r="G1062" t="s">
        <v>1696</v>
      </c>
      <c r="I1062">
        <v>2010</v>
      </c>
      <c r="N1062" t="s">
        <v>36</v>
      </c>
      <c r="P1062" t="s">
        <v>60</v>
      </c>
      <c r="Q1062" t="s">
        <v>900</v>
      </c>
      <c r="R1062" t="s">
        <v>1742</v>
      </c>
      <c r="S1062" t="s">
        <v>1751</v>
      </c>
      <c r="V1062" t="s">
        <v>905</v>
      </c>
      <c r="Z1062">
        <v>279</v>
      </c>
      <c r="AA1062">
        <v>279</v>
      </c>
      <c r="AC1062">
        <v>354</v>
      </c>
      <c r="AD1062">
        <v>3</v>
      </c>
      <c r="AE1062">
        <v>2378</v>
      </c>
      <c r="AF1062">
        <v>3</v>
      </c>
      <c r="AG1062" t="s">
        <v>3340</v>
      </c>
      <c r="AH1062">
        <v>3.3762118502826728</v>
      </c>
      <c r="AI1062">
        <v>3</v>
      </c>
      <c r="AJ1062" t="s">
        <v>1797</v>
      </c>
      <c r="AK1062" t="s">
        <v>770</v>
      </c>
      <c r="AM1062"/>
      <c r="AN1062">
        <v>59.17</v>
      </c>
      <c r="AO1062">
        <v>25.054939632735099</v>
      </c>
      <c r="AP1062">
        <v>68.94</v>
      </c>
      <c r="AQ1062">
        <v>25.221972563620003</v>
      </c>
      <c r="AS1062">
        <v>0.153</v>
      </c>
      <c r="AT1062">
        <v>1.1000000000000001E-3</v>
      </c>
      <c r="AW1062" s="28">
        <f t="shared" si="80"/>
        <v>0.38864543011563207</v>
      </c>
      <c r="AX1062">
        <f t="shared" si="81"/>
        <v>0.99865047233468285</v>
      </c>
      <c r="AY1062" s="62">
        <f t="shared" si="82"/>
        <v>0.38812094235569194</v>
      </c>
      <c r="AZ1062" s="68" t="str">
        <f t="shared" si="83"/>
        <v>No</v>
      </c>
      <c r="BA1062" s="68" t="str">
        <f t="shared" si="84"/>
        <v>No</v>
      </c>
    </row>
    <row r="1063" spans="1:53" hidden="1">
      <c r="A1063" t="s">
        <v>1815</v>
      </c>
      <c r="B1063" t="s">
        <v>2518</v>
      </c>
      <c r="C1063">
        <v>16</v>
      </c>
      <c r="F1063" t="s">
        <v>1241</v>
      </c>
      <c r="G1063" t="s">
        <v>1696</v>
      </c>
      <c r="I1063">
        <v>2010</v>
      </c>
      <c r="N1063" t="s">
        <v>36</v>
      </c>
      <c r="P1063" t="s">
        <v>60</v>
      </c>
      <c r="Q1063" t="s">
        <v>900</v>
      </c>
      <c r="R1063" t="s">
        <v>1742</v>
      </c>
      <c r="S1063" t="s">
        <v>1751</v>
      </c>
      <c r="V1063" t="s">
        <v>907</v>
      </c>
      <c r="Z1063">
        <v>279</v>
      </c>
      <c r="AA1063">
        <v>279</v>
      </c>
      <c r="AC1063">
        <v>354</v>
      </c>
      <c r="AD1063">
        <v>3</v>
      </c>
      <c r="AE1063">
        <v>401</v>
      </c>
      <c r="AF1063">
        <v>15</v>
      </c>
      <c r="AG1063" t="s">
        <v>3340</v>
      </c>
      <c r="AH1063">
        <v>2.6031443726201822</v>
      </c>
      <c r="AI1063">
        <v>3</v>
      </c>
      <c r="AJ1063" t="s">
        <v>1797</v>
      </c>
      <c r="AK1063" t="s">
        <v>770</v>
      </c>
      <c r="AM1063"/>
      <c r="AN1063">
        <v>72.33</v>
      </c>
      <c r="AO1063">
        <v>112.91426127819285</v>
      </c>
      <c r="AP1063">
        <v>11.51</v>
      </c>
      <c r="AQ1063">
        <v>10.189008783978942</v>
      </c>
      <c r="AS1063">
        <v>-1.8380000000000001</v>
      </c>
      <c r="AT1063">
        <v>1.15E-2</v>
      </c>
      <c r="AW1063" s="28">
        <f t="shared" si="80"/>
        <v>-0.75866774433380824</v>
      </c>
      <c r="AX1063">
        <f t="shared" si="81"/>
        <v>0.99865047233468285</v>
      </c>
      <c r="AY1063" s="62">
        <f t="shared" si="82"/>
        <v>-0.75764390122404601</v>
      </c>
      <c r="AZ1063" s="68" t="str">
        <f t="shared" si="83"/>
        <v>No</v>
      </c>
      <c r="BA1063" s="68" t="str">
        <f t="shared" si="84"/>
        <v>No</v>
      </c>
    </row>
    <row r="1064" spans="1:53" hidden="1">
      <c r="A1064" t="s">
        <v>1815</v>
      </c>
      <c r="B1064" t="s">
        <v>2520</v>
      </c>
      <c r="C1064">
        <v>16</v>
      </c>
      <c r="F1064" t="s">
        <v>1241</v>
      </c>
      <c r="G1064" t="s">
        <v>1696</v>
      </c>
      <c r="I1064">
        <v>2010</v>
      </c>
      <c r="N1064" t="s">
        <v>36</v>
      </c>
      <c r="P1064" t="s">
        <v>60</v>
      </c>
      <c r="Q1064" t="s">
        <v>900</v>
      </c>
      <c r="R1064" t="s">
        <v>1742</v>
      </c>
      <c r="S1064" t="s">
        <v>1751</v>
      </c>
      <c r="V1064" t="s">
        <v>907</v>
      </c>
      <c r="Z1064">
        <v>279</v>
      </c>
      <c r="AA1064">
        <v>279</v>
      </c>
      <c r="AC1064">
        <v>354</v>
      </c>
      <c r="AD1064">
        <v>3</v>
      </c>
      <c r="AE1064">
        <v>401</v>
      </c>
      <c r="AF1064">
        <v>15</v>
      </c>
      <c r="AG1064" t="s">
        <v>3340</v>
      </c>
      <c r="AH1064">
        <v>2.6031443726201822</v>
      </c>
      <c r="AI1064">
        <v>3</v>
      </c>
      <c r="AJ1064" t="s">
        <v>1797</v>
      </c>
      <c r="AK1064" t="s">
        <v>770</v>
      </c>
      <c r="AM1064"/>
      <c r="AN1064">
        <v>59.17</v>
      </c>
      <c r="AO1064">
        <v>25.054939632735099</v>
      </c>
      <c r="AP1064">
        <v>12.42</v>
      </c>
      <c r="AQ1064">
        <v>10.189008783978942</v>
      </c>
      <c r="AS1064">
        <v>-1.5609999999999999</v>
      </c>
      <c r="AT1064">
        <v>3.0999999999999999E-3</v>
      </c>
      <c r="AW1064" s="28">
        <f t="shared" si="80"/>
        <v>-2.4443865542373149</v>
      </c>
      <c r="AX1064">
        <f t="shared" si="81"/>
        <v>0.99865047233468285</v>
      </c>
      <c r="AY1064" s="62">
        <f t="shared" si="82"/>
        <v>-2.4410877869576422</v>
      </c>
      <c r="AZ1064" s="68" t="str">
        <f t="shared" si="83"/>
        <v>No</v>
      </c>
      <c r="BA1064" s="68" t="str">
        <f t="shared" si="84"/>
        <v>No</v>
      </c>
    </row>
    <row r="1065" spans="1:53" hidden="1">
      <c r="A1065" t="s">
        <v>1815</v>
      </c>
      <c r="B1065" t="s">
        <v>2523</v>
      </c>
      <c r="C1065">
        <v>16</v>
      </c>
      <c r="F1065" t="s">
        <v>1241</v>
      </c>
      <c r="G1065" t="s">
        <v>1696</v>
      </c>
      <c r="I1065">
        <v>2010</v>
      </c>
      <c r="N1065" t="s">
        <v>36</v>
      </c>
      <c r="P1065" t="s">
        <v>60</v>
      </c>
      <c r="Q1065" t="s">
        <v>900</v>
      </c>
      <c r="R1065" t="s">
        <v>1742</v>
      </c>
      <c r="S1065" t="s">
        <v>1751</v>
      </c>
      <c r="V1065" t="s">
        <v>907</v>
      </c>
      <c r="Z1065">
        <v>279</v>
      </c>
      <c r="AA1065">
        <v>279</v>
      </c>
      <c r="AC1065">
        <v>354</v>
      </c>
      <c r="AD1065">
        <v>3</v>
      </c>
      <c r="AE1065">
        <v>346</v>
      </c>
      <c r="AF1065">
        <v>9</v>
      </c>
      <c r="AG1065" t="s">
        <v>3340</v>
      </c>
      <c r="AH1065">
        <v>2.5390760987927767</v>
      </c>
      <c r="AI1065">
        <v>3</v>
      </c>
      <c r="AJ1065" t="s">
        <v>1797</v>
      </c>
      <c r="AK1065" t="s">
        <v>770</v>
      </c>
      <c r="AM1065"/>
      <c r="AN1065">
        <v>72.33</v>
      </c>
      <c r="AO1065">
        <v>112.91426127819285</v>
      </c>
      <c r="AP1065">
        <v>19.09</v>
      </c>
      <c r="AQ1065">
        <v>15.199996710525962</v>
      </c>
      <c r="AS1065">
        <v>-1.3320000000000001</v>
      </c>
      <c r="AT1065">
        <v>1.0999999999999999E-2</v>
      </c>
      <c r="AW1065" s="28">
        <f t="shared" si="80"/>
        <v>-0.66085242045331805</v>
      </c>
      <c r="AX1065">
        <f t="shared" si="81"/>
        <v>0.99865047233468285</v>
      </c>
      <c r="AY1065" s="62">
        <f t="shared" si="82"/>
        <v>-0.65996058182922446</v>
      </c>
      <c r="AZ1065" s="68" t="str">
        <f t="shared" si="83"/>
        <v>No</v>
      </c>
      <c r="BA1065" s="68" t="str">
        <f t="shared" si="84"/>
        <v>No</v>
      </c>
    </row>
    <row r="1066" spans="1:53" hidden="1">
      <c r="A1066" t="s">
        <v>1815</v>
      </c>
      <c r="B1066" t="s">
        <v>2526</v>
      </c>
      <c r="C1066">
        <v>16</v>
      </c>
      <c r="F1066" t="s">
        <v>1241</v>
      </c>
      <c r="G1066" t="s">
        <v>1696</v>
      </c>
      <c r="I1066">
        <v>2010</v>
      </c>
      <c r="N1066" t="s">
        <v>36</v>
      </c>
      <c r="P1066" t="s">
        <v>60</v>
      </c>
      <c r="Q1066" t="s">
        <v>900</v>
      </c>
      <c r="R1066" t="s">
        <v>1742</v>
      </c>
      <c r="S1066" t="s">
        <v>1751</v>
      </c>
      <c r="V1066" t="s">
        <v>907</v>
      </c>
      <c r="Z1066">
        <v>279</v>
      </c>
      <c r="AA1066">
        <v>279</v>
      </c>
      <c r="AC1066">
        <v>354</v>
      </c>
      <c r="AD1066">
        <v>3</v>
      </c>
      <c r="AE1066">
        <v>346</v>
      </c>
      <c r="AF1066">
        <v>9</v>
      </c>
      <c r="AG1066" t="s">
        <v>3340</v>
      </c>
      <c r="AH1066">
        <v>2.5390760987927767</v>
      </c>
      <c r="AI1066">
        <v>3</v>
      </c>
      <c r="AJ1066" t="s">
        <v>1797</v>
      </c>
      <c r="AK1066" t="s">
        <v>770</v>
      </c>
      <c r="AM1066"/>
      <c r="AN1066">
        <v>59.17</v>
      </c>
      <c r="AO1066">
        <v>25.054939632735099</v>
      </c>
      <c r="AP1066">
        <v>20.72</v>
      </c>
      <c r="AQ1066">
        <v>56.290097708211526</v>
      </c>
      <c r="AS1066">
        <v>-1.0489999999999999</v>
      </c>
      <c r="AT1066">
        <v>2.7099999999999999E-2</v>
      </c>
      <c r="AW1066" s="28">
        <f t="shared" si="80"/>
        <v>-0.88253033820987214</v>
      </c>
      <c r="AX1066">
        <f t="shared" si="81"/>
        <v>0.99865047233468285</v>
      </c>
      <c r="AY1066" s="62">
        <f t="shared" si="82"/>
        <v>-0.88133933910297624</v>
      </c>
      <c r="AZ1066" s="68" t="str">
        <f t="shared" si="83"/>
        <v>No</v>
      </c>
      <c r="BA1066" s="68" t="str">
        <f t="shared" si="84"/>
        <v>No</v>
      </c>
    </row>
    <row r="1067" spans="1:53" hidden="1">
      <c r="A1067" t="s">
        <v>1815</v>
      </c>
      <c r="B1067" t="s">
        <v>2539</v>
      </c>
      <c r="C1067">
        <v>16</v>
      </c>
      <c r="F1067" t="s">
        <v>1241</v>
      </c>
      <c r="G1067" t="s">
        <v>1696</v>
      </c>
      <c r="I1067">
        <v>2010</v>
      </c>
      <c r="N1067" t="s">
        <v>36</v>
      </c>
      <c r="P1067" t="s">
        <v>60</v>
      </c>
      <c r="Q1067" t="s">
        <v>900</v>
      </c>
      <c r="R1067" t="s">
        <v>1742</v>
      </c>
      <c r="S1067" t="s">
        <v>1751</v>
      </c>
      <c r="V1067" t="s">
        <v>907</v>
      </c>
      <c r="Z1067">
        <v>10</v>
      </c>
      <c r="AA1067">
        <v>10</v>
      </c>
      <c r="AC1067">
        <v>354</v>
      </c>
      <c r="AD1067">
        <v>3</v>
      </c>
      <c r="AE1067">
        <v>401</v>
      </c>
      <c r="AF1067">
        <v>15</v>
      </c>
      <c r="AG1067" t="s">
        <v>3340</v>
      </c>
      <c r="AH1067">
        <v>2.6031443726201822</v>
      </c>
      <c r="AI1067">
        <v>3</v>
      </c>
      <c r="AJ1067" t="s">
        <v>1799</v>
      </c>
      <c r="AK1067" t="s">
        <v>904</v>
      </c>
      <c r="AM1067"/>
      <c r="AN1067">
        <v>4.29</v>
      </c>
      <c r="AO1067">
        <v>1.5495160534825059</v>
      </c>
      <c r="AP1067">
        <v>4.8</v>
      </c>
      <c r="AQ1067">
        <v>0.82219219164377866</v>
      </c>
      <c r="AS1067">
        <v>0.112</v>
      </c>
      <c r="AT1067">
        <v>1.6E-2</v>
      </c>
      <c r="AW1067" s="28">
        <f t="shared" si="80"/>
        <v>0.4111700055702785</v>
      </c>
      <c r="AX1067">
        <f t="shared" si="81"/>
        <v>0.95774647887323949</v>
      </c>
      <c r="AY1067" s="62">
        <f t="shared" si="82"/>
        <v>0.39379662505322449</v>
      </c>
      <c r="AZ1067" s="68" t="str">
        <f t="shared" si="83"/>
        <v>No</v>
      </c>
      <c r="BA1067" s="68" t="str">
        <f t="shared" si="84"/>
        <v>No</v>
      </c>
    </row>
    <row r="1068" spans="1:53" hidden="1">
      <c r="A1068" t="s">
        <v>1815</v>
      </c>
      <c r="B1068" t="s">
        <v>2543</v>
      </c>
      <c r="C1068">
        <v>16</v>
      </c>
      <c r="F1068" t="s">
        <v>1241</v>
      </c>
      <c r="G1068" t="s">
        <v>1696</v>
      </c>
      <c r="I1068">
        <v>2010</v>
      </c>
      <c r="N1068" t="s">
        <v>36</v>
      </c>
      <c r="P1068" t="s">
        <v>60</v>
      </c>
      <c r="Q1068" t="s">
        <v>900</v>
      </c>
      <c r="R1068" t="s">
        <v>1742</v>
      </c>
      <c r="S1068" t="s">
        <v>1751</v>
      </c>
      <c r="V1068" t="s">
        <v>907</v>
      </c>
      <c r="Z1068">
        <v>10</v>
      </c>
      <c r="AA1068">
        <v>10</v>
      </c>
      <c r="AC1068">
        <v>354</v>
      </c>
      <c r="AD1068">
        <v>3</v>
      </c>
      <c r="AE1068">
        <v>346</v>
      </c>
      <c r="AF1068">
        <v>9</v>
      </c>
      <c r="AG1068" t="s">
        <v>3340</v>
      </c>
      <c r="AH1068">
        <v>2.5390760987927767</v>
      </c>
      <c r="AI1068">
        <v>3</v>
      </c>
      <c r="AJ1068" t="s">
        <v>1799</v>
      </c>
      <c r="AK1068" t="s">
        <v>904</v>
      </c>
      <c r="AM1068"/>
      <c r="AN1068">
        <v>4.29</v>
      </c>
      <c r="AO1068">
        <v>1.5495160534825059</v>
      </c>
      <c r="AP1068">
        <v>5.42</v>
      </c>
      <c r="AQ1068">
        <v>0.79056941504209488</v>
      </c>
      <c r="AS1068">
        <v>0.23400000000000001</v>
      </c>
      <c r="AT1068">
        <v>1.52E-2</v>
      </c>
      <c r="AW1068" s="28">
        <f t="shared" si="80"/>
        <v>0.9186688263055649</v>
      </c>
      <c r="AX1068">
        <f t="shared" si="81"/>
        <v>0.95774647887323949</v>
      </c>
      <c r="AY1068" s="62">
        <f t="shared" si="82"/>
        <v>0.87985183364476649</v>
      </c>
      <c r="AZ1068" s="68" t="str">
        <f t="shared" si="83"/>
        <v>No</v>
      </c>
      <c r="BA1068" s="68" t="str">
        <f t="shared" si="84"/>
        <v>No</v>
      </c>
    </row>
    <row r="1069" spans="1:53" hidden="1">
      <c r="A1069" t="s">
        <v>1815</v>
      </c>
      <c r="B1069" t="s">
        <v>2546</v>
      </c>
      <c r="C1069">
        <v>16</v>
      </c>
      <c r="F1069" t="s">
        <v>1241</v>
      </c>
      <c r="G1069" t="s">
        <v>1696</v>
      </c>
      <c r="I1069">
        <v>2020</v>
      </c>
      <c r="N1069" t="s">
        <v>36</v>
      </c>
      <c r="P1069" t="s">
        <v>60</v>
      </c>
      <c r="Q1069" t="s">
        <v>900</v>
      </c>
      <c r="R1069" t="s">
        <v>1742</v>
      </c>
      <c r="S1069" t="s">
        <v>1751</v>
      </c>
      <c r="V1069" t="s">
        <v>907</v>
      </c>
      <c r="Z1069">
        <v>10</v>
      </c>
      <c r="AA1069">
        <v>10</v>
      </c>
      <c r="AC1069">
        <v>354</v>
      </c>
      <c r="AD1069">
        <v>3</v>
      </c>
      <c r="AE1069">
        <v>401</v>
      </c>
      <c r="AF1069">
        <v>15</v>
      </c>
      <c r="AG1069" t="s">
        <v>3340</v>
      </c>
      <c r="AH1069">
        <v>2.6031443726201822</v>
      </c>
      <c r="AI1069">
        <v>3</v>
      </c>
      <c r="AJ1069" t="s">
        <v>1798</v>
      </c>
      <c r="AK1069" t="s">
        <v>40</v>
      </c>
      <c r="AM1069"/>
      <c r="AN1069">
        <v>356.48</v>
      </c>
      <c r="AO1069">
        <v>71.277738460195266</v>
      </c>
      <c r="AP1069">
        <v>523.36</v>
      </c>
      <c r="AQ1069">
        <v>64.636955373841687</v>
      </c>
      <c r="AS1069">
        <v>0.38400000000000001</v>
      </c>
      <c r="AT1069">
        <v>5.4999999999999997E-3</v>
      </c>
      <c r="AW1069" s="28">
        <f t="shared" si="80"/>
        <v>2.4527320114783038</v>
      </c>
      <c r="AX1069">
        <f t="shared" si="81"/>
        <v>0.95774647887323949</v>
      </c>
      <c r="AY1069" s="62">
        <f t="shared" si="82"/>
        <v>2.3490954476130237</v>
      </c>
      <c r="AZ1069" s="68" t="str">
        <f t="shared" si="83"/>
        <v>No</v>
      </c>
      <c r="BA1069" s="68" t="str">
        <f t="shared" si="84"/>
        <v>No</v>
      </c>
    </row>
    <row r="1070" spans="1:53" hidden="1">
      <c r="A1070" t="s">
        <v>1815</v>
      </c>
      <c r="B1070" t="s">
        <v>2548</v>
      </c>
      <c r="C1070">
        <v>16</v>
      </c>
      <c r="F1070" t="s">
        <v>1241</v>
      </c>
      <c r="G1070" t="s">
        <v>1696</v>
      </c>
      <c r="I1070">
        <v>2020</v>
      </c>
      <c r="N1070" t="s">
        <v>36</v>
      </c>
      <c r="P1070" t="s">
        <v>60</v>
      </c>
      <c r="Q1070" t="s">
        <v>900</v>
      </c>
      <c r="R1070" t="s">
        <v>1742</v>
      </c>
      <c r="S1070" t="s">
        <v>1751</v>
      </c>
      <c r="V1070" t="s">
        <v>907</v>
      </c>
      <c r="Z1070">
        <v>10</v>
      </c>
      <c r="AA1070">
        <v>10</v>
      </c>
      <c r="AC1070">
        <v>354</v>
      </c>
      <c r="AD1070">
        <v>3</v>
      </c>
      <c r="AE1070">
        <v>346</v>
      </c>
      <c r="AF1070">
        <v>9</v>
      </c>
      <c r="AG1070" t="s">
        <v>3340</v>
      </c>
      <c r="AH1070">
        <v>2.5390760987927767</v>
      </c>
      <c r="AI1070">
        <v>3</v>
      </c>
      <c r="AJ1070" t="s">
        <v>1798</v>
      </c>
      <c r="AK1070" t="s">
        <v>40</v>
      </c>
      <c r="AM1070"/>
      <c r="AN1070">
        <v>356.48</v>
      </c>
      <c r="AO1070">
        <v>71.277738460195266</v>
      </c>
      <c r="AP1070">
        <v>577.98</v>
      </c>
      <c r="AQ1070">
        <v>89.018116133739881</v>
      </c>
      <c r="AS1070">
        <v>0.48299999999999998</v>
      </c>
      <c r="AT1070">
        <v>6.4000000000000003E-3</v>
      </c>
      <c r="AW1070" s="28">
        <f t="shared" si="80"/>
        <v>2.7468685358968541</v>
      </c>
      <c r="AX1070">
        <f t="shared" si="81"/>
        <v>0.95774647887323949</v>
      </c>
      <c r="AY1070" s="62">
        <f t="shared" si="82"/>
        <v>2.6308036681829026</v>
      </c>
      <c r="AZ1070" s="68" t="str">
        <f t="shared" si="83"/>
        <v>No</v>
      </c>
      <c r="BA1070" s="68" t="str">
        <f t="shared" si="84"/>
        <v>No</v>
      </c>
    </row>
    <row r="1071" spans="1:53" hidden="1">
      <c r="A1071" t="s">
        <v>1815</v>
      </c>
      <c r="B1071" t="s">
        <v>2517</v>
      </c>
      <c r="C1071">
        <v>16</v>
      </c>
      <c r="F1071" t="s">
        <v>1241</v>
      </c>
      <c r="G1071" t="s">
        <v>1696</v>
      </c>
      <c r="I1071">
        <v>2010</v>
      </c>
      <c r="N1071" t="s">
        <v>36</v>
      </c>
      <c r="P1071" t="s">
        <v>60</v>
      </c>
      <c r="Q1071" t="s">
        <v>900</v>
      </c>
      <c r="R1071" t="s">
        <v>1742</v>
      </c>
      <c r="S1071" t="s">
        <v>1751</v>
      </c>
      <c r="V1071" t="s">
        <v>1015</v>
      </c>
      <c r="Z1071">
        <v>279</v>
      </c>
      <c r="AA1071">
        <v>279</v>
      </c>
      <c r="AC1071">
        <v>354</v>
      </c>
      <c r="AD1071">
        <v>3</v>
      </c>
      <c r="AE1071">
        <v>846</v>
      </c>
      <c r="AF1071">
        <v>15</v>
      </c>
      <c r="AG1071" t="s">
        <v>3340</v>
      </c>
      <c r="AH1071">
        <v>2.9273703630390235</v>
      </c>
      <c r="AI1071">
        <v>3</v>
      </c>
      <c r="AJ1071" t="s">
        <v>1797</v>
      </c>
      <c r="AK1071" t="s">
        <v>770</v>
      </c>
      <c r="AM1071"/>
      <c r="AN1071">
        <v>72.33</v>
      </c>
      <c r="AO1071">
        <v>112.91426127819285</v>
      </c>
      <c r="AP1071">
        <v>11.06</v>
      </c>
      <c r="AQ1071">
        <v>10.021975853094039</v>
      </c>
      <c r="AS1071">
        <v>-1.8779999999999999</v>
      </c>
      <c r="AT1071">
        <v>1.17E-2</v>
      </c>
      <c r="AW1071" s="28">
        <f t="shared" si="80"/>
        <v>-0.76438142467871084</v>
      </c>
      <c r="AX1071">
        <f t="shared" si="81"/>
        <v>0.99865047233468285</v>
      </c>
      <c r="AY1071" s="62">
        <f t="shared" si="82"/>
        <v>-0.76334987079925243</v>
      </c>
      <c r="AZ1071" s="68" t="str">
        <f t="shared" si="83"/>
        <v>No</v>
      </c>
      <c r="BA1071" s="68" t="str">
        <f t="shared" si="84"/>
        <v>No</v>
      </c>
    </row>
    <row r="1072" spans="1:53" hidden="1">
      <c r="A1072" t="s">
        <v>1815</v>
      </c>
      <c r="B1072" t="s">
        <v>2519</v>
      </c>
      <c r="C1072">
        <v>16</v>
      </c>
      <c r="F1072" t="s">
        <v>1241</v>
      </c>
      <c r="G1072" t="s">
        <v>1696</v>
      </c>
      <c r="I1072">
        <v>2010</v>
      </c>
      <c r="N1072" t="s">
        <v>36</v>
      </c>
      <c r="P1072" t="s">
        <v>60</v>
      </c>
      <c r="Q1072" t="s">
        <v>900</v>
      </c>
      <c r="R1072" t="s">
        <v>1742</v>
      </c>
      <c r="S1072" t="s">
        <v>1751</v>
      </c>
      <c r="V1072" t="s">
        <v>1015</v>
      </c>
      <c r="Z1072">
        <v>279</v>
      </c>
      <c r="AA1072">
        <v>279</v>
      </c>
      <c r="AC1072">
        <v>354</v>
      </c>
      <c r="AD1072">
        <v>3</v>
      </c>
      <c r="AE1072">
        <v>2637</v>
      </c>
      <c r="AF1072">
        <v>15</v>
      </c>
      <c r="AG1072" t="s">
        <v>3340</v>
      </c>
      <c r="AH1072">
        <v>3.4211101297934343</v>
      </c>
      <c r="AI1072">
        <v>3</v>
      </c>
      <c r="AJ1072" t="s">
        <v>1797</v>
      </c>
      <c r="AK1072" t="s">
        <v>770</v>
      </c>
      <c r="AM1072"/>
      <c r="AN1072">
        <v>72.33</v>
      </c>
      <c r="AO1072">
        <v>112.91426127819285</v>
      </c>
      <c r="AP1072">
        <v>11.81</v>
      </c>
      <c r="AQ1072">
        <v>15.199996710525962</v>
      </c>
      <c r="AS1072">
        <v>-1.8120000000000001</v>
      </c>
      <c r="AT1072">
        <v>1.47E-2</v>
      </c>
      <c r="AW1072" s="28">
        <f t="shared" si="80"/>
        <v>-0.75121691370839239</v>
      </c>
      <c r="AX1072">
        <f t="shared" si="81"/>
        <v>0.99865047233468285</v>
      </c>
      <c r="AY1072" s="62">
        <f t="shared" si="82"/>
        <v>-0.7502031257006887</v>
      </c>
      <c r="AZ1072" s="68" t="str">
        <f t="shared" si="83"/>
        <v>No</v>
      </c>
      <c r="BA1072" s="68" t="str">
        <f t="shared" si="84"/>
        <v>No</v>
      </c>
    </row>
    <row r="1073" spans="1:53" hidden="1">
      <c r="A1073" t="s">
        <v>1815</v>
      </c>
      <c r="B1073" t="s">
        <v>2521</v>
      </c>
      <c r="C1073">
        <v>16</v>
      </c>
      <c r="F1073" t="s">
        <v>1241</v>
      </c>
      <c r="G1073" t="s">
        <v>1696</v>
      </c>
      <c r="I1073">
        <v>2010</v>
      </c>
      <c r="N1073" t="s">
        <v>36</v>
      </c>
      <c r="P1073" t="s">
        <v>60</v>
      </c>
      <c r="Q1073" t="s">
        <v>900</v>
      </c>
      <c r="R1073" t="s">
        <v>1742</v>
      </c>
      <c r="S1073" t="s">
        <v>1751</v>
      </c>
      <c r="V1073" t="s">
        <v>1015</v>
      </c>
      <c r="Z1073">
        <v>279</v>
      </c>
      <c r="AA1073">
        <v>279</v>
      </c>
      <c r="AC1073">
        <v>354</v>
      </c>
      <c r="AD1073">
        <v>3</v>
      </c>
      <c r="AE1073">
        <v>846</v>
      </c>
      <c r="AF1073">
        <v>15</v>
      </c>
      <c r="AG1073" t="s">
        <v>3340</v>
      </c>
      <c r="AH1073">
        <v>2.9273703630390235</v>
      </c>
      <c r="AI1073">
        <v>3</v>
      </c>
      <c r="AJ1073" t="s">
        <v>1797</v>
      </c>
      <c r="AK1073" t="s">
        <v>770</v>
      </c>
      <c r="AM1073"/>
      <c r="AN1073">
        <v>59.17</v>
      </c>
      <c r="AO1073">
        <v>25.054939632735099</v>
      </c>
      <c r="AP1073">
        <v>12.42</v>
      </c>
      <c r="AQ1073">
        <v>12.694502747252452</v>
      </c>
      <c r="AS1073">
        <v>-1.5609999999999999</v>
      </c>
      <c r="AT1073">
        <v>4.4000000000000003E-3</v>
      </c>
      <c r="AW1073" s="28">
        <f t="shared" si="80"/>
        <v>-2.3538865366591408</v>
      </c>
      <c r="AX1073">
        <f t="shared" si="81"/>
        <v>0.99865047233468285</v>
      </c>
      <c r="AY1073" s="62">
        <f t="shared" si="82"/>
        <v>-2.3507099016569017</v>
      </c>
      <c r="AZ1073" s="68" t="str">
        <f t="shared" si="83"/>
        <v>No</v>
      </c>
      <c r="BA1073" s="68" t="str">
        <f t="shared" si="84"/>
        <v>No</v>
      </c>
    </row>
    <row r="1074" spans="1:53" hidden="1">
      <c r="A1074" t="s">
        <v>1815</v>
      </c>
      <c r="B1074" t="s">
        <v>2522</v>
      </c>
      <c r="C1074">
        <v>16</v>
      </c>
      <c r="F1074" t="s">
        <v>1241</v>
      </c>
      <c r="G1074" t="s">
        <v>1696</v>
      </c>
      <c r="I1074">
        <v>2010</v>
      </c>
      <c r="N1074" t="s">
        <v>36</v>
      </c>
      <c r="P1074" t="s">
        <v>60</v>
      </c>
      <c r="Q1074" t="s">
        <v>900</v>
      </c>
      <c r="R1074" t="s">
        <v>1742</v>
      </c>
      <c r="S1074" t="s">
        <v>1751</v>
      </c>
      <c r="V1074" t="s">
        <v>1015</v>
      </c>
      <c r="Z1074">
        <v>279</v>
      </c>
      <c r="AA1074">
        <v>279</v>
      </c>
      <c r="AC1074">
        <v>354</v>
      </c>
      <c r="AD1074">
        <v>3</v>
      </c>
      <c r="AE1074">
        <v>2637</v>
      </c>
      <c r="AF1074">
        <v>15</v>
      </c>
      <c r="AG1074" t="s">
        <v>3340</v>
      </c>
      <c r="AH1074">
        <v>3.4211101297934343</v>
      </c>
      <c r="AI1074">
        <v>3</v>
      </c>
      <c r="AJ1074" t="s">
        <v>1797</v>
      </c>
      <c r="AK1074" t="s">
        <v>770</v>
      </c>
      <c r="AM1074"/>
      <c r="AN1074">
        <v>59.17</v>
      </c>
      <c r="AO1074">
        <v>25.054939632735099</v>
      </c>
      <c r="AP1074">
        <v>13.03</v>
      </c>
      <c r="AQ1074">
        <v>22.716478600346495</v>
      </c>
      <c r="AS1074">
        <v>-1.5129999999999999</v>
      </c>
      <c r="AT1074">
        <v>1.15E-2</v>
      </c>
      <c r="AW1074" s="28">
        <f t="shared" si="80"/>
        <v>-1.9293887600679016</v>
      </c>
      <c r="AX1074">
        <f t="shared" si="81"/>
        <v>0.99865047233468285</v>
      </c>
      <c r="AY1074" s="62">
        <f t="shared" si="82"/>
        <v>-1.926784996559038</v>
      </c>
      <c r="AZ1074" s="68" t="str">
        <f t="shared" si="83"/>
        <v>No</v>
      </c>
      <c r="BA1074" s="68" t="str">
        <f t="shared" si="84"/>
        <v>No</v>
      </c>
    </row>
    <row r="1075" spans="1:53" hidden="1">
      <c r="A1075" t="s">
        <v>1815</v>
      </c>
      <c r="B1075" t="s">
        <v>2524</v>
      </c>
      <c r="C1075">
        <v>16</v>
      </c>
      <c r="F1075" t="s">
        <v>1241</v>
      </c>
      <c r="G1075" t="s">
        <v>1696</v>
      </c>
      <c r="I1075">
        <v>2010</v>
      </c>
      <c r="N1075" t="s">
        <v>36</v>
      </c>
      <c r="P1075" t="s">
        <v>60</v>
      </c>
      <c r="Q1075" t="s">
        <v>900</v>
      </c>
      <c r="R1075" t="s">
        <v>1742</v>
      </c>
      <c r="S1075" t="s">
        <v>1751</v>
      </c>
      <c r="V1075" t="s">
        <v>1015</v>
      </c>
      <c r="Z1075">
        <v>279</v>
      </c>
      <c r="AA1075">
        <v>279</v>
      </c>
      <c r="AC1075">
        <v>354</v>
      </c>
      <c r="AD1075">
        <v>3</v>
      </c>
      <c r="AE1075">
        <v>786</v>
      </c>
      <c r="AF1075">
        <v>9</v>
      </c>
      <c r="AG1075" t="s">
        <v>3340</v>
      </c>
      <c r="AH1075">
        <v>2.8954225460394079</v>
      </c>
      <c r="AI1075">
        <v>3</v>
      </c>
      <c r="AJ1075" t="s">
        <v>1797</v>
      </c>
      <c r="AK1075" t="s">
        <v>770</v>
      </c>
      <c r="AM1075"/>
      <c r="AN1075">
        <v>72.33</v>
      </c>
      <c r="AO1075">
        <v>112.91426127819285</v>
      </c>
      <c r="AP1075">
        <v>19.309999999999999</v>
      </c>
      <c r="AQ1075">
        <v>11.525272231058146</v>
      </c>
      <c r="AS1075">
        <v>-1.321</v>
      </c>
      <c r="AT1075">
        <v>0.01</v>
      </c>
      <c r="AW1075" s="28">
        <f t="shared" si="80"/>
        <v>-0.66062542057035534</v>
      </c>
      <c r="AX1075">
        <f t="shared" si="81"/>
        <v>0.99865047233468285</v>
      </c>
      <c r="AY1075" s="62">
        <f t="shared" si="82"/>
        <v>-0.65973388828888391</v>
      </c>
      <c r="AZ1075" s="68" t="str">
        <f t="shared" si="83"/>
        <v>No</v>
      </c>
      <c r="BA1075" s="68" t="str">
        <f t="shared" si="84"/>
        <v>No</v>
      </c>
    </row>
    <row r="1076" spans="1:53" hidden="1">
      <c r="A1076" t="s">
        <v>1815</v>
      </c>
      <c r="B1076" t="s">
        <v>2525</v>
      </c>
      <c r="C1076">
        <v>16</v>
      </c>
      <c r="F1076" t="s">
        <v>1241</v>
      </c>
      <c r="G1076" t="s">
        <v>1696</v>
      </c>
      <c r="I1076">
        <v>2010</v>
      </c>
      <c r="N1076" t="s">
        <v>36</v>
      </c>
      <c r="P1076" t="s">
        <v>60</v>
      </c>
      <c r="Q1076" t="s">
        <v>900</v>
      </c>
      <c r="R1076" t="s">
        <v>1742</v>
      </c>
      <c r="S1076" t="s">
        <v>1751</v>
      </c>
      <c r="V1076" t="s">
        <v>1015</v>
      </c>
      <c r="Z1076">
        <v>279</v>
      </c>
      <c r="AA1076">
        <v>279</v>
      </c>
      <c r="AC1076">
        <v>354</v>
      </c>
      <c r="AD1076">
        <v>3</v>
      </c>
      <c r="AE1076">
        <v>2443</v>
      </c>
      <c r="AF1076">
        <v>9</v>
      </c>
      <c r="AG1076" t="s">
        <v>3340</v>
      </c>
      <c r="AH1076">
        <v>3.3879234669734366</v>
      </c>
      <c r="AI1076">
        <v>3</v>
      </c>
      <c r="AJ1076" t="s">
        <v>1797</v>
      </c>
      <c r="AK1076" t="s">
        <v>770</v>
      </c>
      <c r="AM1076"/>
      <c r="AN1076">
        <v>72.33</v>
      </c>
      <c r="AO1076">
        <v>112.91426127819285</v>
      </c>
      <c r="AP1076">
        <v>19.54</v>
      </c>
      <c r="AQ1076">
        <v>11.358239300173247</v>
      </c>
      <c r="AS1076">
        <v>-1.3089999999999999</v>
      </c>
      <c r="AT1076">
        <v>9.9000000000000008E-3</v>
      </c>
      <c r="AW1076" s="28">
        <f t="shared" si="80"/>
        <v>-0.65785723920225969</v>
      </c>
      <c r="AX1076">
        <f t="shared" si="81"/>
        <v>0.99865047233468285</v>
      </c>
      <c r="AY1076" s="62">
        <f t="shared" si="82"/>
        <v>-0.65696944265812707</v>
      </c>
      <c r="AZ1076" s="68" t="str">
        <f t="shared" si="83"/>
        <v>No</v>
      </c>
      <c r="BA1076" s="68" t="str">
        <f t="shared" si="84"/>
        <v>No</v>
      </c>
    </row>
    <row r="1077" spans="1:53" hidden="1">
      <c r="A1077" t="s">
        <v>1815</v>
      </c>
      <c r="B1077" t="s">
        <v>2527</v>
      </c>
      <c r="C1077">
        <v>16</v>
      </c>
      <c r="F1077" t="s">
        <v>1241</v>
      </c>
      <c r="G1077" t="s">
        <v>1696</v>
      </c>
      <c r="I1077">
        <v>2010</v>
      </c>
      <c r="N1077" t="s">
        <v>36</v>
      </c>
      <c r="P1077" t="s">
        <v>60</v>
      </c>
      <c r="Q1077" t="s">
        <v>900</v>
      </c>
      <c r="R1077" t="s">
        <v>1742</v>
      </c>
      <c r="S1077" t="s">
        <v>1751</v>
      </c>
      <c r="V1077" t="s">
        <v>1015</v>
      </c>
      <c r="Z1077">
        <v>279</v>
      </c>
      <c r="AA1077">
        <v>279</v>
      </c>
      <c r="AC1077">
        <v>354</v>
      </c>
      <c r="AD1077">
        <v>3</v>
      </c>
      <c r="AE1077">
        <v>786</v>
      </c>
      <c r="AF1077">
        <v>9</v>
      </c>
      <c r="AG1077" t="s">
        <v>3340</v>
      </c>
      <c r="AH1077">
        <v>2.8954225460394079</v>
      </c>
      <c r="AI1077">
        <v>3</v>
      </c>
      <c r="AJ1077" t="s">
        <v>1797</v>
      </c>
      <c r="AK1077" t="s">
        <v>770</v>
      </c>
      <c r="AM1077"/>
      <c r="AN1077">
        <v>59.17</v>
      </c>
      <c r="AO1077">
        <v>25.054939632735099</v>
      </c>
      <c r="AP1077">
        <v>21.13</v>
      </c>
      <c r="AQ1077">
        <v>19.041754120878675</v>
      </c>
      <c r="AS1077">
        <v>-1.03</v>
      </c>
      <c r="AT1077">
        <v>3.5999999999999999E-3</v>
      </c>
      <c r="AW1077" s="28">
        <f t="shared" si="80"/>
        <v>-1.7094787107170046</v>
      </c>
      <c r="AX1077">
        <f t="shared" si="81"/>
        <v>0.99865047233468285</v>
      </c>
      <c r="AY1077" s="62">
        <f t="shared" si="82"/>
        <v>-1.7071717219036213</v>
      </c>
      <c r="AZ1077" s="68" t="str">
        <f t="shared" si="83"/>
        <v>No</v>
      </c>
      <c r="BA1077" s="68" t="str">
        <f t="shared" si="84"/>
        <v>No</v>
      </c>
    </row>
    <row r="1078" spans="1:53" hidden="1">
      <c r="A1078" t="s">
        <v>1815</v>
      </c>
      <c r="B1078" t="s">
        <v>2528</v>
      </c>
      <c r="C1078">
        <v>16</v>
      </c>
      <c r="F1078" t="s">
        <v>1241</v>
      </c>
      <c r="G1078" t="s">
        <v>1696</v>
      </c>
      <c r="I1078">
        <v>2010</v>
      </c>
      <c r="N1078" t="s">
        <v>36</v>
      </c>
      <c r="P1078" t="s">
        <v>60</v>
      </c>
      <c r="Q1078" t="s">
        <v>900</v>
      </c>
      <c r="R1078" t="s">
        <v>1742</v>
      </c>
      <c r="S1078" t="s">
        <v>1751</v>
      </c>
      <c r="V1078" t="s">
        <v>1015</v>
      </c>
      <c r="Z1078">
        <v>279</v>
      </c>
      <c r="AA1078">
        <v>279</v>
      </c>
      <c r="AC1078">
        <v>354</v>
      </c>
      <c r="AD1078">
        <v>3</v>
      </c>
      <c r="AE1078">
        <v>2443</v>
      </c>
      <c r="AF1078">
        <v>9</v>
      </c>
      <c r="AG1078" t="s">
        <v>3340</v>
      </c>
      <c r="AH1078">
        <v>3.3879234669734366</v>
      </c>
      <c r="AI1078">
        <v>3</v>
      </c>
      <c r="AJ1078" t="s">
        <v>1797</v>
      </c>
      <c r="AK1078" t="s">
        <v>770</v>
      </c>
      <c r="AM1078"/>
      <c r="AN1078">
        <v>59.17</v>
      </c>
      <c r="AO1078">
        <v>25.054939632735099</v>
      </c>
      <c r="AP1078">
        <v>21.81</v>
      </c>
      <c r="AQ1078">
        <v>15.199996710525962</v>
      </c>
      <c r="AS1078">
        <v>-0.998</v>
      </c>
      <c r="AT1078">
        <v>2.3999999999999998E-3</v>
      </c>
      <c r="AW1078" s="28">
        <f t="shared" si="80"/>
        <v>-1.8029280739045634</v>
      </c>
      <c r="AX1078">
        <f t="shared" si="81"/>
        <v>0.99865047233468285</v>
      </c>
      <c r="AY1078" s="62">
        <f t="shared" si="82"/>
        <v>-1.8004949725902524</v>
      </c>
      <c r="AZ1078" s="68" t="str">
        <f t="shared" si="83"/>
        <v>No</v>
      </c>
      <c r="BA1078" s="68" t="str">
        <f t="shared" si="84"/>
        <v>No</v>
      </c>
    </row>
    <row r="1079" spans="1:53" hidden="1">
      <c r="A1079" t="s">
        <v>1815</v>
      </c>
      <c r="B1079" t="s">
        <v>2534</v>
      </c>
      <c r="C1079">
        <v>16</v>
      </c>
      <c r="F1079" t="s">
        <v>1241</v>
      </c>
      <c r="G1079" t="s">
        <v>1696</v>
      </c>
      <c r="I1079">
        <v>2010</v>
      </c>
      <c r="N1079" t="s">
        <v>36</v>
      </c>
      <c r="P1079" t="s">
        <v>60</v>
      </c>
      <c r="Q1079" t="s">
        <v>900</v>
      </c>
      <c r="R1079" t="s">
        <v>1742</v>
      </c>
      <c r="S1079" t="s">
        <v>1751</v>
      </c>
      <c r="V1079" t="s">
        <v>1015</v>
      </c>
      <c r="Z1079">
        <v>10</v>
      </c>
      <c r="AA1079">
        <v>10</v>
      </c>
      <c r="AC1079">
        <v>354</v>
      </c>
      <c r="AD1079">
        <v>3</v>
      </c>
      <c r="AE1079">
        <v>2443</v>
      </c>
      <c r="AF1079">
        <v>9</v>
      </c>
      <c r="AG1079" t="s">
        <v>3340</v>
      </c>
      <c r="AH1079">
        <v>3.3879234669734366</v>
      </c>
      <c r="AI1079">
        <v>3</v>
      </c>
      <c r="AJ1079" t="s">
        <v>1799</v>
      </c>
      <c r="AK1079" t="s">
        <v>904</v>
      </c>
      <c r="AM1079"/>
      <c r="AN1079">
        <v>4.29</v>
      </c>
      <c r="AO1079">
        <v>1.5495160534825059</v>
      </c>
      <c r="AP1079">
        <v>4.5599999999999996</v>
      </c>
      <c r="AQ1079">
        <v>1.264911064067352</v>
      </c>
      <c r="AS1079">
        <v>6.0999999999999999E-2</v>
      </c>
      <c r="AT1079">
        <v>2.07E-2</v>
      </c>
      <c r="AW1079" s="28">
        <f t="shared" si="80"/>
        <v>0.19089497054023052</v>
      </c>
      <c r="AX1079">
        <f t="shared" si="81"/>
        <v>0.95774647887323949</v>
      </c>
      <c r="AY1079" s="62">
        <f t="shared" si="82"/>
        <v>0.18282898586951657</v>
      </c>
      <c r="AZ1079" s="68" t="str">
        <f t="shared" si="83"/>
        <v>No</v>
      </c>
      <c r="BA1079" s="68" t="str">
        <f t="shared" si="84"/>
        <v>No</v>
      </c>
    </row>
    <row r="1080" spans="1:53" hidden="1">
      <c r="A1080" t="s">
        <v>1815</v>
      </c>
      <c r="B1080" t="s">
        <v>2537</v>
      </c>
      <c r="C1080">
        <v>16</v>
      </c>
      <c r="F1080" t="s">
        <v>1241</v>
      </c>
      <c r="G1080" t="s">
        <v>1696</v>
      </c>
      <c r="I1080">
        <v>2010</v>
      </c>
      <c r="N1080" t="s">
        <v>36</v>
      </c>
      <c r="P1080" t="s">
        <v>60</v>
      </c>
      <c r="Q1080" t="s">
        <v>900</v>
      </c>
      <c r="R1080" t="s">
        <v>1742</v>
      </c>
      <c r="S1080" t="s">
        <v>1751</v>
      </c>
      <c r="V1080" t="s">
        <v>1015</v>
      </c>
      <c r="Z1080">
        <v>10</v>
      </c>
      <c r="AA1080">
        <v>10</v>
      </c>
      <c r="AC1080">
        <v>354</v>
      </c>
      <c r="AD1080">
        <v>3</v>
      </c>
      <c r="AE1080">
        <v>2637</v>
      </c>
      <c r="AF1080">
        <v>15</v>
      </c>
      <c r="AG1080" t="s">
        <v>3340</v>
      </c>
      <c r="AH1080">
        <v>3.4211101297934343</v>
      </c>
      <c r="AI1080">
        <v>3</v>
      </c>
      <c r="AJ1080" t="s">
        <v>1799</v>
      </c>
      <c r="AK1080" t="s">
        <v>904</v>
      </c>
      <c r="AM1080"/>
      <c r="AN1080">
        <v>4.29</v>
      </c>
      <c r="AO1080">
        <v>1.5495160534825059</v>
      </c>
      <c r="AP1080">
        <v>4.76</v>
      </c>
      <c r="AQ1080">
        <v>1.0751744044572491</v>
      </c>
      <c r="AS1080">
        <v>0.104</v>
      </c>
      <c r="AT1080">
        <v>1.8100000000000002E-2</v>
      </c>
      <c r="AW1080" s="28">
        <f t="shared" si="80"/>
        <v>0.35242842024621784</v>
      </c>
      <c r="AX1080">
        <f t="shared" si="81"/>
        <v>0.95774647887323949</v>
      </c>
      <c r="AY1080" s="62">
        <f t="shared" si="82"/>
        <v>0.33753707854567344</v>
      </c>
      <c r="AZ1080" s="68" t="str">
        <f t="shared" si="83"/>
        <v>No</v>
      </c>
      <c r="BA1080" s="68" t="str">
        <f t="shared" si="84"/>
        <v>No</v>
      </c>
    </row>
    <row r="1081" spans="1:53" hidden="1">
      <c r="A1081" t="s">
        <v>1815</v>
      </c>
      <c r="B1081" t="s">
        <v>2538</v>
      </c>
      <c r="C1081">
        <v>16</v>
      </c>
      <c r="F1081" t="s">
        <v>1241</v>
      </c>
      <c r="G1081" t="s">
        <v>1696</v>
      </c>
      <c r="I1081">
        <v>2010</v>
      </c>
      <c r="N1081" t="s">
        <v>36</v>
      </c>
      <c r="P1081" t="s">
        <v>60</v>
      </c>
      <c r="Q1081" t="s">
        <v>900</v>
      </c>
      <c r="R1081" t="s">
        <v>1742</v>
      </c>
      <c r="S1081" t="s">
        <v>1751</v>
      </c>
      <c r="V1081" t="s">
        <v>1015</v>
      </c>
      <c r="Z1081">
        <v>10</v>
      </c>
      <c r="AA1081">
        <v>10</v>
      </c>
      <c r="AC1081">
        <v>354</v>
      </c>
      <c r="AD1081">
        <v>3</v>
      </c>
      <c r="AE1081">
        <v>2443</v>
      </c>
      <c r="AF1081">
        <v>9</v>
      </c>
      <c r="AG1081" t="s">
        <v>3340</v>
      </c>
      <c r="AH1081">
        <v>3.3879234669734366</v>
      </c>
      <c r="AI1081">
        <v>3</v>
      </c>
      <c r="AJ1081" t="s">
        <v>1798</v>
      </c>
      <c r="AK1081" t="s">
        <v>40</v>
      </c>
      <c r="AM1081"/>
      <c r="AN1081">
        <v>356.48</v>
      </c>
      <c r="AO1081">
        <v>71.277738460195266</v>
      </c>
      <c r="AP1081">
        <v>398.16</v>
      </c>
      <c r="AQ1081">
        <v>178.82680168252185</v>
      </c>
      <c r="AS1081">
        <v>0.111</v>
      </c>
      <c r="AT1081">
        <v>2.4199999999999999E-2</v>
      </c>
      <c r="AW1081" s="28">
        <f t="shared" si="80"/>
        <v>0.30619118960844305</v>
      </c>
      <c r="AX1081">
        <f t="shared" si="81"/>
        <v>0.95774647887323949</v>
      </c>
      <c r="AY1081" s="62">
        <f t="shared" si="82"/>
        <v>0.29325353370949475</v>
      </c>
      <c r="AZ1081" s="68" t="str">
        <f t="shared" si="83"/>
        <v>No</v>
      </c>
      <c r="BA1081" s="68" t="str">
        <f t="shared" si="84"/>
        <v>No</v>
      </c>
    </row>
    <row r="1082" spans="1:53" hidden="1">
      <c r="A1082" t="s">
        <v>1815</v>
      </c>
      <c r="B1082" t="s">
        <v>2540</v>
      </c>
      <c r="C1082">
        <v>16</v>
      </c>
      <c r="F1082" t="s">
        <v>1241</v>
      </c>
      <c r="G1082" t="s">
        <v>1696</v>
      </c>
      <c r="I1082">
        <v>2010</v>
      </c>
      <c r="N1082" t="s">
        <v>36</v>
      </c>
      <c r="P1082" t="s">
        <v>60</v>
      </c>
      <c r="Q1082" t="s">
        <v>900</v>
      </c>
      <c r="R1082" t="s">
        <v>1742</v>
      </c>
      <c r="S1082" t="s">
        <v>1751</v>
      </c>
      <c r="V1082" t="s">
        <v>1015</v>
      </c>
      <c r="Z1082">
        <v>10</v>
      </c>
      <c r="AA1082">
        <v>10</v>
      </c>
      <c r="AC1082">
        <v>354</v>
      </c>
      <c r="AD1082">
        <v>3</v>
      </c>
      <c r="AE1082">
        <v>846</v>
      </c>
      <c r="AF1082">
        <v>15</v>
      </c>
      <c r="AG1082" t="s">
        <v>3340</v>
      </c>
      <c r="AH1082">
        <v>2.9273703630390235</v>
      </c>
      <c r="AI1082">
        <v>3</v>
      </c>
      <c r="AJ1082" t="s">
        <v>1799</v>
      </c>
      <c r="AK1082" t="s">
        <v>904</v>
      </c>
      <c r="AM1082"/>
      <c r="AN1082">
        <v>4.29</v>
      </c>
      <c r="AO1082">
        <v>1.5495160534825059</v>
      </c>
      <c r="AP1082">
        <v>4.84</v>
      </c>
      <c r="AQ1082">
        <v>0.7589466384404111</v>
      </c>
      <c r="AS1082">
        <v>0.121</v>
      </c>
      <c r="AT1082">
        <v>1.55E-2</v>
      </c>
      <c r="AW1082" s="28">
        <f t="shared" si="80"/>
        <v>0.45080452845482571</v>
      </c>
      <c r="AX1082">
        <f t="shared" si="81"/>
        <v>0.95774647887323949</v>
      </c>
      <c r="AY1082" s="62">
        <f t="shared" si="82"/>
        <v>0.43175644978772043</v>
      </c>
      <c r="AZ1082" s="68" t="str">
        <f t="shared" si="83"/>
        <v>No</v>
      </c>
      <c r="BA1082" s="68" t="str">
        <f t="shared" si="84"/>
        <v>No</v>
      </c>
    </row>
    <row r="1083" spans="1:53" hidden="1">
      <c r="A1083" t="s">
        <v>1815</v>
      </c>
      <c r="B1083" t="s">
        <v>2541</v>
      </c>
      <c r="C1083">
        <v>16</v>
      </c>
      <c r="F1083" t="s">
        <v>1241</v>
      </c>
      <c r="G1083" t="s">
        <v>1696</v>
      </c>
      <c r="I1083">
        <v>2010</v>
      </c>
      <c r="N1083" t="s">
        <v>36</v>
      </c>
      <c r="P1083" t="s">
        <v>60</v>
      </c>
      <c r="Q1083" t="s">
        <v>900</v>
      </c>
      <c r="R1083" t="s">
        <v>1742</v>
      </c>
      <c r="S1083" t="s">
        <v>1751</v>
      </c>
      <c r="V1083" t="s">
        <v>1015</v>
      </c>
      <c r="Z1083">
        <v>10</v>
      </c>
      <c r="AA1083">
        <v>10</v>
      </c>
      <c r="AC1083">
        <v>354</v>
      </c>
      <c r="AD1083">
        <v>3</v>
      </c>
      <c r="AE1083">
        <v>786</v>
      </c>
      <c r="AF1083">
        <v>9</v>
      </c>
      <c r="AG1083" t="s">
        <v>3340</v>
      </c>
      <c r="AH1083">
        <v>2.8954225460394079</v>
      </c>
      <c r="AI1083">
        <v>3</v>
      </c>
      <c r="AJ1083" t="s">
        <v>1799</v>
      </c>
      <c r="AK1083" t="s">
        <v>904</v>
      </c>
      <c r="AM1083"/>
      <c r="AN1083">
        <v>4.29</v>
      </c>
      <c r="AO1083">
        <v>1.5495160534825059</v>
      </c>
      <c r="AP1083">
        <v>4.95</v>
      </c>
      <c r="AQ1083">
        <v>3.1306548835666956</v>
      </c>
      <c r="AS1083">
        <v>0.14199999999999999</v>
      </c>
      <c r="AT1083">
        <v>5.2999999999999999E-2</v>
      </c>
      <c r="AW1083" s="28">
        <f t="shared" si="80"/>
        <v>0.26720428786578265</v>
      </c>
      <c r="AX1083">
        <f t="shared" si="81"/>
        <v>0.95774647887323949</v>
      </c>
      <c r="AY1083" s="62">
        <f t="shared" si="82"/>
        <v>0.2559139658432848</v>
      </c>
      <c r="AZ1083" s="68" t="str">
        <f t="shared" si="83"/>
        <v>No</v>
      </c>
      <c r="BA1083" s="68" t="str">
        <f t="shared" si="84"/>
        <v>No</v>
      </c>
    </row>
    <row r="1084" spans="1:53" hidden="1">
      <c r="A1084" t="s">
        <v>1815</v>
      </c>
      <c r="B1084" t="s">
        <v>2544</v>
      </c>
      <c r="C1084">
        <v>16</v>
      </c>
      <c r="F1084" t="s">
        <v>1241</v>
      </c>
      <c r="G1084" t="s">
        <v>1696</v>
      </c>
      <c r="I1084">
        <v>2020</v>
      </c>
      <c r="N1084" t="s">
        <v>36</v>
      </c>
      <c r="P1084" t="s">
        <v>60</v>
      </c>
      <c r="Q1084" t="s">
        <v>900</v>
      </c>
      <c r="R1084" t="s">
        <v>1742</v>
      </c>
      <c r="S1084" t="s">
        <v>1751</v>
      </c>
      <c r="V1084" t="s">
        <v>1015</v>
      </c>
      <c r="Z1084">
        <v>10</v>
      </c>
      <c r="AA1084">
        <v>10</v>
      </c>
      <c r="AC1084">
        <v>354</v>
      </c>
      <c r="AD1084">
        <v>3</v>
      </c>
      <c r="AE1084">
        <v>2637</v>
      </c>
      <c r="AF1084">
        <v>15</v>
      </c>
      <c r="AG1084" t="s">
        <v>3340</v>
      </c>
      <c r="AH1084">
        <v>3.4211101297934343</v>
      </c>
      <c r="AI1084">
        <v>3</v>
      </c>
      <c r="AJ1084" t="s">
        <v>1798</v>
      </c>
      <c r="AK1084" t="s">
        <v>40</v>
      </c>
      <c r="AM1084"/>
      <c r="AN1084">
        <v>356.48</v>
      </c>
      <c r="AO1084">
        <v>71.277738460195266</v>
      </c>
      <c r="AP1084">
        <v>457.94</v>
      </c>
      <c r="AQ1084">
        <v>104.07055779614136</v>
      </c>
      <c r="AS1084">
        <v>0.25</v>
      </c>
      <c r="AT1084">
        <v>9.1999999999999998E-3</v>
      </c>
      <c r="AW1084" s="28">
        <f t="shared" si="80"/>
        <v>1.1375183974757399</v>
      </c>
      <c r="AX1084">
        <f t="shared" si="81"/>
        <v>0.95774647887323949</v>
      </c>
      <c r="AY1084" s="62">
        <f t="shared" si="82"/>
        <v>1.0894542398359199</v>
      </c>
      <c r="AZ1084" s="68" t="str">
        <f t="shared" si="83"/>
        <v>No</v>
      </c>
      <c r="BA1084" s="68" t="str">
        <f t="shared" si="84"/>
        <v>No</v>
      </c>
    </row>
    <row r="1085" spans="1:53" hidden="1">
      <c r="A1085" t="s">
        <v>1815</v>
      </c>
      <c r="B1085" t="s">
        <v>2545</v>
      </c>
      <c r="C1085">
        <v>16</v>
      </c>
      <c r="F1085" t="s">
        <v>1241</v>
      </c>
      <c r="G1085" t="s">
        <v>1696</v>
      </c>
      <c r="I1085">
        <v>2020</v>
      </c>
      <c r="N1085" t="s">
        <v>36</v>
      </c>
      <c r="P1085" t="s">
        <v>60</v>
      </c>
      <c r="Q1085" t="s">
        <v>900</v>
      </c>
      <c r="R1085" t="s">
        <v>1742</v>
      </c>
      <c r="S1085" t="s">
        <v>1751</v>
      </c>
      <c r="V1085" t="s">
        <v>1015</v>
      </c>
      <c r="Z1085">
        <v>10</v>
      </c>
      <c r="AA1085">
        <v>10</v>
      </c>
      <c r="AC1085">
        <v>354</v>
      </c>
      <c r="AD1085">
        <v>3</v>
      </c>
      <c r="AE1085">
        <v>786</v>
      </c>
      <c r="AF1085">
        <v>9</v>
      </c>
      <c r="AG1085" t="s">
        <v>3340</v>
      </c>
      <c r="AH1085">
        <v>2.8954225460394079</v>
      </c>
      <c r="AI1085">
        <v>3</v>
      </c>
      <c r="AJ1085" t="s">
        <v>1798</v>
      </c>
      <c r="AK1085" t="s">
        <v>40</v>
      </c>
      <c r="AM1085"/>
      <c r="AN1085">
        <v>356.48</v>
      </c>
      <c r="AO1085">
        <v>71.277738460195266</v>
      </c>
      <c r="AP1085">
        <v>513.76</v>
      </c>
      <c r="AQ1085">
        <v>128.23035911982777</v>
      </c>
      <c r="AS1085">
        <v>0.36499999999999999</v>
      </c>
      <c r="AT1085">
        <v>1.0200000000000001E-2</v>
      </c>
      <c r="AW1085" s="28">
        <f t="shared" si="80"/>
        <v>1.5161132293927786</v>
      </c>
      <c r="AX1085">
        <f t="shared" si="81"/>
        <v>0.95774647887323949</v>
      </c>
      <c r="AY1085" s="62">
        <f t="shared" si="82"/>
        <v>1.4520521070240697</v>
      </c>
      <c r="AZ1085" s="68" t="str">
        <f t="shared" si="83"/>
        <v>No</v>
      </c>
      <c r="BA1085" s="68" t="str">
        <f t="shared" si="84"/>
        <v>No</v>
      </c>
    </row>
    <row r="1086" spans="1:53" hidden="1">
      <c r="A1086" t="s">
        <v>1815</v>
      </c>
      <c r="B1086" t="s">
        <v>2547</v>
      </c>
      <c r="C1086">
        <v>16</v>
      </c>
      <c r="F1086" t="s">
        <v>1241</v>
      </c>
      <c r="G1086" t="s">
        <v>1696</v>
      </c>
      <c r="I1086">
        <v>2020</v>
      </c>
      <c r="N1086" t="s">
        <v>36</v>
      </c>
      <c r="P1086" t="s">
        <v>60</v>
      </c>
      <c r="Q1086" t="s">
        <v>900</v>
      </c>
      <c r="R1086" t="s">
        <v>1742</v>
      </c>
      <c r="S1086" t="s">
        <v>1751</v>
      </c>
      <c r="V1086" t="s">
        <v>1015</v>
      </c>
      <c r="Z1086">
        <v>10</v>
      </c>
      <c r="AA1086">
        <v>10</v>
      </c>
      <c r="AC1086">
        <v>354</v>
      </c>
      <c r="AD1086">
        <v>3</v>
      </c>
      <c r="AE1086">
        <v>846</v>
      </c>
      <c r="AF1086">
        <v>15</v>
      </c>
      <c r="AG1086" t="s">
        <v>3340</v>
      </c>
      <c r="AH1086">
        <v>2.9273703630390235</v>
      </c>
      <c r="AI1086">
        <v>3</v>
      </c>
      <c r="AJ1086" t="s">
        <v>1798</v>
      </c>
      <c r="AK1086" t="s">
        <v>40</v>
      </c>
      <c r="AM1086"/>
      <c r="AN1086">
        <v>356.48</v>
      </c>
      <c r="AO1086">
        <v>71.277738460195266</v>
      </c>
      <c r="AP1086">
        <v>549.53</v>
      </c>
      <c r="AQ1086">
        <v>104.48165389196326</v>
      </c>
      <c r="AS1086">
        <v>0.433</v>
      </c>
      <c r="AT1086">
        <v>7.6E-3</v>
      </c>
      <c r="AW1086" s="28">
        <f t="shared" si="80"/>
        <v>2.1585715782534995</v>
      </c>
      <c r="AX1086">
        <f t="shared" si="81"/>
        <v>0.95774647887323949</v>
      </c>
      <c r="AY1086" s="62">
        <f t="shared" si="82"/>
        <v>2.0673643284681407</v>
      </c>
      <c r="AZ1086" s="68" t="str">
        <f t="shared" si="83"/>
        <v>No</v>
      </c>
      <c r="BA1086" s="68" t="str">
        <f t="shared" si="84"/>
        <v>No</v>
      </c>
    </row>
    <row r="1087" spans="1:53" hidden="1">
      <c r="A1087" t="s">
        <v>1815</v>
      </c>
      <c r="B1087" t="s">
        <v>2883</v>
      </c>
      <c r="C1087">
        <v>215</v>
      </c>
      <c r="F1087" t="s">
        <v>1241</v>
      </c>
      <c r="G1087" t="s">
        <v>1724</v>
      </c>
      <c r="I1087">
        <v>2018</v>
      </c>
      <c r="N1087" t="s">
        <v>36</v>
      </c>
      <c r="P1087" t="s">
        <v>60</v>
      </c>
      <c r="Q1087" t="s">
        <v>900</v>
      </c>
      <c r="R1087" t="s">
        <v>1742</v>
      </c>
      <c r="S1087" t="s">
        <v>1751</v>
      </c>
      <c r="V1087" t="s">
        <v>905</v>
      </c>
      <c r="Z1087">
        <v>9</v>
      </c>
      <c r="AA1087">
        <v>9</v>
      </c>
      <c r="AC1087">
        <v>354</v>
      </c>
      <c r="AD1087">
        <v>3</v>
      </c>
      <c r="AE1087">
        <v>2378</v>
      </c>
      <c r="AF1087">
        <v>3</v>
      </c>
      <c r="AG1087" t="s">
        <v>3378</v>
      </c>
      <c r="AH1087">
        <v>3.3762118502826728</v>
      </c>
      <c r="AI1087">
        <v>3</v>
      </c>
      <c r="AJ1087" t="s">
        <v>1796</v>
      </c>
      <c r="AK1087" t="s">
        <v>904</v>
      </c>
      <c r="AM1087"/>
      <c r="AN1087">
        <v>2.3319999999999999</v>
      </c>
      <c r="AO1087">
        <v>0.67800000000000005</v>
      </c>
      <c r="AP1087">
        <v>1.109</v>
      </c>
      <c r="AQ1087">
        <v>0.20400000000000001</v>
      </c>
      <c r="AS1087">
        <v>-0.74299999999999999</v>
      </c>
      <c r="AT1087">
        <v>1.32E-2</v>
      </c>
      <c r="AW1087" s="28">
        <f t="shared" si="80"/>
        <v>-2.4428263872058373</v>
      </c>
      <c r="AX1087">
        <f t="shared" si="81"/>
        <v>0.95238095238095233</v>
      </c>
      <c r="AY1087" s="62">
        <f t="shared" si="82"/>
        <v>-2.3265013211484162</v>
      </c>
      <c r="AZ1087" s="68" t="str">
        <f t="shared" si="83"/>
        <v>No</v>
      </c>
      <c r="BA1087" s="68" t="str">
        <f t="shared" si="84"/>
        <v>No</v>
      </c>
    </row>
    <row r="1088" spans="1:53" hidden="1">
      <c r="A1088" t="s">
        <v>1815</v>
      </c>
      <c r="B1088" t="s">
        <v>2887</v>
      </c>
      <c r="C1088">
        <v>215</v>
      </c>
      <c r="F1088" t="s">
        <v>1241</v>
      </c>
      <c r="G1088" t="s">
        <v>1724</v>
      </c>
      <c r="I1088">
        <v>2011</v>
      </c>
      <c r="N1088" t="s">
        <v>36</v>
      </c>
      <c r="P1088" t="s">
        <v>60</v>
      </c>
      <c r="Q1088" t="s">
        <v>900</v>
      </c>
      <c r="R1088" t="s">
        <v>1742</v>
      </c>
      <c r="S1088" t="s">
        <v>1751</v>
      </c>
      <c r="V1088" t="s">
        <v>905</v>
      </c>
      <c r="Z1088">
        <v>9</v>
      </c>
      <c r="AA1088">
        <v>9</v>
      </c>
      <c r="AC1088">
        <v>354</v>
      </c>
      <c r="AD1088">
        <v>3</v>
      </c>
      <c r="AE1088">
        <v>2378</v>
      </c>
      <c r="AF1088">
        <v>3</v>
      </c>
      <c r="AG1088" t="s">
        <v>3378</v>
      </c>
      <c r="AH1088">
        <v>3.3762118502826728</v>
      </c>
      <c r="AI1088">
        <v>3</v>
      </c>
      <c r="AJ1088" t="s">
        <v>1796</v>
      </c>
      <c r="AK1088" t="s">
        <v>904</v>
      </c>
      <c r="AM1088"/>
      <c r="AN1088">
        <v>4.1429999999999998</v>
      </c>
      <c r="AO1088">
        <v>1.089</v>
      </c>
      <c r="AP1088">
        <v>1.8340000000000001</v>
      </c>
      <c r="AQ1088">
        <v>0.47399999999999998</v>
      </c>
      <c r="AS1088">
        <v>-0.81499999999999995</v>
      </c>
      <c r="AT1088">
        <v>1.5100000000000001E-2</v>
      </c>
      <c r="AW1088" s="28">
        <f t="shared" si="80"/>
        <v>-2.7493969896274848</v>
      </c>
      <c r="AX1088">
        <f t="shared" si="81"/>
        <v>0.95238095238095233</v>
      </c>
      <c r="AY1088" s="62">
        <f t="shared" si="82"/>
        <v>-2.6184733234547473</v>
      </c>
      <c r="AZ1088" s="68" t="str">
        <f t="shared" si="83"/>
        <v>No</v>
      </c>
      <c r="BA1088" s="68" t="str">
        <f t="shared" si="84"/>
        <v>No</v>
      </c>
    </row>
    <row r="1089" spans="1:53" hidden="1">
      <c r="A1089" t="s">
        <v>1815</v>
      </c>
      <c r="B1089" t="s">
        <v>2891</v>
      </c>
      <c r="C1089">
        <v>215</v>
      </c>
      <c r="F1089" t="s">
        <v>1241</v>
      </c>
      <c r="G1089" t="s">
        <v>1724</v>
      </c>
      <c r="I1089">
        <v>2011</v>
      </c>
      <c r="N1089" t="s">
        <v>36</v>
      </c>
      <c r="P1089" t="s">
        <v>60</v>
      </c>
      <c r="Q1089" t="s">
        <v>900</v>
      </c>
      <c r="R1089" t="s">
        <v>1742</v>
      </c>
      <c r="S1089" t="s">
        <v>1751</v>
      </c>
      <c r="V1089" t="s">
        <v>905</v>
      </c>
      <c r="Z1089">
        <v>9</v>
      </c>
      <c r="AA1089">
        <v>9</v>
      </c>
      <c r="AC1089">
        <v>354</v>
      </c>
      <c r="AD1089">
        <v>3</v>
      </c>
      <c r="AE1089">
        <v>754</v>
      </c>
      <c r="AF1089">
        <v>3</v>
      </c>
      <c r="AG1089" t="s">
        <v>3378</v>
      </c>
      <c r="AH1089">
        <v>2.8773713458697738</v>
      </c>
      <c r="AI1089">
        <v>3</v>
      </c>
      <c r="AJ1089" t="s">
        <v>1796</v>
      </c>
      <c r="AK1089" t="s">
        <v>904</v>
      </c>
      <c r="AM1089"/>
      <c r="AN1089">
        <v>2.3319999999999999</v>
      </c>
      <c r="AO1089">
        <v>0.67800000000000005</v>
      </c>
      <c r="AP1089">
        <v>2.423</v>
      </c>
      <c r="AQ1089">
        <v>0.54299999999999993</v>
      </c>
      <c r="AS1089">
        <v>3.7999999999999999E-2</v>
      </c>
      <c r="AT1089">
        <v>1.4999999999999999E-2</v>
      </c>
      <c r="AW1089" s="28">
        <f t="shared" si="80"/>
        <v>0.14815532680757751</v>
      </c>
      <c r="AX1089">
        <f t="shared" si="81"/>
        <v>0.95238095238095233</v>
      </c>
      <c r="AY1089" s="62">
        <f t="shared" si="82"/>
        <v>0.14110031124531192</v>
      </c>
      <c r="AZ1089" s="68" t="str">
        <f t="shared" si="83"/>
        <v>No</v>
      </c>
      <c r="BA1089" s="68" t="str">
        <f t="shared" si="84"/>
        <v>No</v>
      </c>
    </row>
    <row r="1090" spans="1:53" hidden="1">
      <c r="A1090" t="s">
        <v>1815</v>
      </c>
      <c r="B1090" t="s">
        <v>2895</v>
      </c>
      <c r="C1090">
        <v>215</v>
      </c>
      <c r="F1090" t="s">
        <v>1241</v>
      </c>
      <c r="G1090" t="s">
        <v>1724</v>
      </c>
      <c r="I1090">
        <v>2011</v>
      </c>
      <c r="N1090" t="s">
        <v>36</v>
      </c>
      <c r="P1090" t="s">
        <v>60</v>
      </c>
      <c r="Q1090" t="s">
        <v>900</v>
      </c>
      <c r="R1090" t="s">
        <v>1742</v>
      </c>
      <c r="S1090" t="s">
        <v>1751</v>
      </c>
      <c r="V1090" t="s">
        <v>905</v>
      </c>
      <c r="Z1090">
        <v>9</v>
      </c>
      <c r="AA1090">
        <v>9</v>
      </c>
      <c r="AC1090">
        <v>354</v>
      </c>
      <c r="AD1090">
        <v>3</v>
      </c>
      <c r="AE1090">
        <v>754</v>
      </c>
      <c r="AF1090">
        <v>3</v>
      </c>
      <c r="AG1090" t="s">
        <v>3378</v>
      </c>
      <c r="AH1090">
        <v>2.8773713458697738</v>
      </c>
      <c r="AI1090">
        <v>3</v>
      </c>
      <c r="AJ1090" t="s">
        <v>1796</v>
      </c>
      <c r="AK1090" t="s">
        <v>904</v>
      </c>
      <c r="AM1090"/>
      <c r="AN1090">
        <v>4.1429999999999998</v>
      </c>
      <c r="AO1090">
        <v>1.089</v>
      </c>
      <c r="AP1090">
        <v>3.577</v>
      </c>
      <c r="AQ1090">
        <v>0.54299999999999993</v>
      </c>
      <c r="AS1090">
        <v>-0.14699999999999999</v>
      </c>
      <c r="AT1090">
        <v>1.0200000000000001E-2</v>
      </c>
      <c r="AW1090" s="28">
        <f t="shared" ref="AW1090:AW1153" si="85">(AP1090-$AN1090)/SQRT(((AA1090-1)*AQ1090*AQ1090+($Z1090-1)*$AO1090*$AO1090)/(AA1090+$Z1090-2))</f>
        <v>-0.65779054310884488</v>
      </c>
      <c r="AX1090">
        <f t="shared" ref="AX1090:AX1153" si="86">1-(3/(4*(AA1090+$Z1090-2)-1))</f>
        <v>0.95238095238095233</v>
      </c>
      <c r="AY1090" s="62">
        <f t="shared" ref="AY1090:AY1153" si="87">AX1090*AW1090</f>
        <v>-0.62646718391318557</v>
      </c>
      <c r="AZ1090" s="68" t="str">
        <f t="shared" ref="AZ1090:AZ1153" si="88">IF(AY1090&gt;10,"Yes","No")</f>
        <v>No</v>
      </c>
      <c r="BA1090" s="68" t="str">
        <f t="shared" ref="BA1090:BA1153" si="89">IF(AY1090&lt;-10,"Yes","No")</f>
        <v>No</v>
      </c>
    </row>
    <row r="1091" spans="1:53" hidden="1">
      <c r="A1091" t="s">
        <v>1815</v>
      </c>
      <c r="B1091" t="s">
        <v>2892</v>
      </c>
      <c r="C1091">
        <v>215</v>
      </c>
      <c r="F1091" t="s">
        <v>1241</v>
      </c>
      <c r="G1091" t="s">
        <v>1724</v>
      </c>
      <c r="I1091">
        <v>2011</v>
      </c>
      <c r="N1091" t="s">
        <v>36</v>
      </c>
      <c r="P1091" t="s">
        <v>60</v>
      </c>
      <c r="Q1091" t="s">
        <v>900</v>
      </c>
      <c r="R1091" t="s">
        <v>1742</v>
      </c>
      <c r="S1091" t="s">
        <v>1751</v>
      </c>
      <c r="V1091" t="s">
        <v>907</v>
      </c>
      <c r="Z1091">
        <v>9</v>
      </c>
      <c r="AA1091">
        <v>9</v>
      </c>
      <c r="AC1091">
        <v>354</v>
      </c>
      <c r="AD1091">
        <v>3</v>
      </c>
      <c r="AE1091">
        <v>346</v>
      </c>
      <c r="AF1091">
        <v>9</v>
      </c>
      <c r="AG1091" t="s">
        <v>3378</v>
      </c>
      <c r="AH1091">
        <v>2.5390760987927767</v>
      </c>
      <c r="AI1091">
        <v>3</v>
      </c>
      <c r="AJ1091" t="s">
        <v>1796</v>
      </c>
      <c r="AK1091" t="s">
        <v>904</v>
      </c>
      <c r="AM1091"/>
      <c r="AN1091">
        <v>2.3319999999999999</v>
      </c>
      <c r="AO1091">
        <v>0.67800000000000005</v>
      </c>
      <c r="AP1091">
        <v>3.1320000000000001</v>
      </c>
      <c r="AQ1091">
        <v>0.46499999999999997</v>
      </c>
      <c r="AS1091">
        <v>0.29499999999999998</v>
      </c>
      <c r="AT1091">
        <v>1.18E-2</v>
      </c>
      <c r="AW1091" s="28">
        <f t="shared" si="85"/>
        <v>1.3761344598597398</v>
      </c>
      <c r="AX1091">
        <f t="shared" si="86"/>
        <v>0.95238095238095233</v>
      </c>
      <c r="AY1091" s="62">
        <f t="shared" si="87"/>
        <v>1.3106042474854664</v>
      </c>
      <c r="AZ1091" s="68" t="str">
        <f t="shared" si="88"/>
        <v>No</v>
      </c>
      <c r="BA1091" s="68" t="str">
        <f t="shared" si="89"/>
        <v>No</v>
      </c>
    </row>
    <row r="1092" spans="1:53" hidden="1">
      <c r="A1092" t="s">
        <v>1815</v>
      </c>
      <c r="B1092" t="s">
        <v>2898</v>
      </c>
      <c r="C1092">
        <v>215</v>
      </c>
      <c r="F1092" t="s">
        <v>1241</v>
      </c>
      <c r="G1092" t="s">
        <v>1724</v>
      </c>
      <c r="I1092">
        <v>2011</v>
      </c>
      <c r="N1092" t="s">
        <v>36</v>
      </c>
      <c r="P1092" t="s">
        <v>60</v>
      </c>
      <c r="Q1092" t="s">
        <v>900</v>
      </c>
      <c r="R1092" t="s">
        <v>1742</v>
      </c>
      <c r="S1092" t="s">
        <v>1751</v>
      </c>
      <c r="V1092" t="s">
        <v>907</v>
      </c>
      <c r="Z1092">
        <v>9</v>
      </c>
      <c r="AA1092">
        <v>9</v>
      </c>
      <c r="AC1092">
        <v>354</v>
      </c>
      <c r="AD1092">
        <v>3</v>
      </c>
      <c r="AE1092">
        <v>401</v>
      </c>
      <c r="AF1092">
        <v>15</v>
      </c>
      <c r="AG1092" t="s">
        <v>3378</v>
      </c>
      <c r="AH1092">
        <v>2.6031443726201822</v>
      </c>
      <c r="AI1092">
        <v>3</v>
      </c>
      <c r="AJ1092" t="s">
        <v>1796</v>
      </c>
      <c r="AK1092" t="s">
        <v>904</v>
      </c>
      <c r="AM1092"/>
      <c r="AN1092">
        <v>4.1429999999999998</v>
      </c>
      <c r="AO1092">
        <v>1.089</v>
      </c>
      <c r="AP1092">
        <v>3.9209999999999998</v>
      </c>
      <c r="AQ1092">
        <v>0.83400000000000007</v>
      </c>
      <c r="AS1092">
        <v>-5.5E-2</v>
      </c>
      <c r="AT1092">
        <v>1.2699999999999999E-2</v>
      </c>
      <c r="AW1092" s="28">
        <f t="shared" si="85"/>
        <v>-0.22888562366594006</v>
      </c>
      <c r="AX1092">
        <f t="shared" si="86"/>
        <v>0.95238095238095233</v>
      </c>
      <c r="AY1092" s="62">
        <f t="shared" si="87"/>
        <v>-0.21798630825327625</v>
      </c>
      <c r="AZ1092" s="68" t="str">
        <f t="shared" si="88"/>
        <v>No</v>
      </c>
      <c r="BA1092" s="68" t="str">
        <f t="shared" si="89"/>
        <v>No</v>
      </c>
    </row>
    <row r="1093" spans="1:53" hidden="1">
      <c r="A1093" t="s">
        <v>1815</v>
      </c>
      <c r="B1093" t="s">
        <v>2900</v>
      </c>
      <c r="C1093">
        <v>215</v>
      </c>
      <c r="F1093" t="s">
        <v>1241</v>
      </c>
      <c r="G1093" t="s">
        <v>1724</v>
      </c>
      <c r="I1093">
        <v>2010</v>
      </c>
      <c r="N1093" t="s">
        <v>36</v>
      </c>
      <c r="P1093" t="s">
        <v>60</v>
      </c>
      <c r="Q1093" t="s">
        <v>900</v>
      </c>
      <c r="R1093" t="s">
        <v>1742</v>
      </c>
      <c r="S1093" t="s">
        <v>1751</v>
      </c>
      <c r="V1093" t="s">
        <v>907</v>
      </c>
      <c r="Z1093">
        <v>9</v>
      </c>
      <c r="AA1093">
        <v>9</v>
      </c>
      <c r="AC1093">
        <v>354</v>
      </c>
      <c r="AD1093">
        <v>3</v>
      </c>
      <c r="AE1093">
        <v>346</v>
      </c>
      <c r="AF1093">
        <v>9</v>
      </c>
      <c r="AG1093" t="s">
        <v>3378</v>
      </c>
      <c r="AH1093">
        <v>2.5390760987927767</v>
      </c>
      <c r="AI1093">
        <v>3</v>
      </c>
      <c r="AJ1093" t="s">
        <v>1796</v>
      </c>
      <c r="AK1093" t="s">
        <v>904</v>
      </c>
      <c r="AM1093"/>
      <c r="AN1093">
        <v>4.1429999999999998</v>
      </c>
      <c r="AO1093">
        <v>1.089</v>
      </c>
      <c r="AP1093">
        <v>4.2830000000000004</v>
      </c>
      <c r="AQ1093">
        <v>0.73199999999999998</v>
      </c>
      <c r="AS1093">
        <v>3.3000000000000002E-2</v>
      </c>
      <c r="AT1093">
        <v>1.09E-2</v>
      </c>
      <c r="AW1093" s="28">
        <f t="shared" si="85"/>
        <v>0.15088936062844746</v>
      </c>
      <c r="AX1093">
        <f t="shared" si="86"/>
        <v>0.95238095238095233</v>
      </c>
      <c r="AY1093" s="62">
        <f t="shared" si="87"/>
        <v>0.14370415297947375</v>
      </c>
      <c r="AZ1093" s="68" t="str">
        <f t="shared" si="88"/>
        <v>No</v>
      </c>
      <c r="BA1093" s="68" t="str">
        <f t="shared" si="89"/>
        <v>No</v>
      </c>
    </row>
    <row r="1094" spans="1:53" hidden="1">
      <c r="A1094" t="s">
        <v>1815</v>
      </c>
      <c r="B1094" t="s">
        <v>2902</v>
      </c>
      <c r="C1094">
        <v>215</v>
      </c>
      <c r="F1094" t="s">
        <v>1241</v>
      </c>
      <c r="G1094" t="s">
        <v>1724</v>
      </c>
      <c r="I1094">
        <v>2010</v>
      </c>
      <c r="N1094" t="s">
        <v>36</v>
      </c>
      <c r="P1094" t="s">
        <v>60</v>
      </c>
      <c r="Q1094" t="s">
        <v>900</v>
      </c>
      <c r="R1094" t="s">
        <v>1742</v>
      </c>
      <c r="S1094" t="s">
        <v>1751</v>
      </c>
      <c r="V1094" t="s">
        <v>907</v>
      </c>
      <c r="Z1094">
        <v>9</v>
      </c>
      <c r="AA1094">
        <v>9</v>
      </c>
      <c r="AC1094">
        <v>354</v>
      </c>
      <c r="AD1094">
        <v>3</v>
      </c>
      <c r="AE1094">
        <v>401</v>
      </c>
      <c r="AF1094">
        <v>15</v>
      </c>
      <c r="AG1094" t="s">
        <v>3378</v>
      </c>
      <c r="AH1094">
        <v>2.6031443726201822</v>
      </c>
      <c r="AI1094">
        <v>3</v>
      </c>
      <c r="AJ1094" t="s">
        <v>1796</v>
      </c>
      <c r="AK1094" t="s">
        <v>904</v>
      </c>
      <c r="AM1094"/>
      <c r="AN1094">
        <v>2.3319999999999999</v>
      </c>
      <c r="AO1094">
        <v>0.67800000000000005</v>
      </c>
      <c r="AP1094">
        <v>4.4000000000000004</v>
      </c>
      <c r="AQ1094">
        <v>0.64200000000000002</v>
      </c>
      <c r="AS1094">
        <v>0.63500000000000001</v>
      </c>
      <c r="AT1094">
        <v>1.18E-2</v>
      </c>
      <c r="AW1094" s="28">
        <f t="shared" si="85"/>
        <v>3.1321686937325253</v>
      </c>
      <c r="AX1094">
        <f t="shared" si="86"/>
        <v>0.95238095238095233</v>
      </c>
      <c r="AY1094" s="62">
        <f t="shared" si="87"/>
        <v>2.9830178035547856</v>
      </c>
      <c r="AZ1094" s="68" t="str">
        <f t="shared" si="88"/>
        <v>No</v>
      </c>
      <c r="BA1094" s="68" t="str">
        <f t="shared" si="89"/>
        <v>No</v>
      </c>
    </row>
    <row r="1095" spans="1:53" hidden="1">
      <c r="A1095" t="s">
        <v>1815</v>
      </c>
      <c r="B1095" t="s">
        <v>2884</v>
      </c>
      <c r="C1095">
        <v>215</v>
      </c>
      <c r="F1095" t="s">
        <v>1241</v>
      </c>
      <c r="G1095" t="s">
        <v>1724</v>
      </c>
      <c r="I1095">
        <v>2018</v>
      </c>
      <c r="N1095" t="s">
        <v>36</v>
      </c>
      <c r="P1095" t="s">
        <v>60</v>
      </c>
      <c r="Q1095" t="s">
        <v>900</v>
      </c>
      <c r="R1095" t="s">
        <v>1742</v>
      </c>
      <c r="S1095" t="s">
        <v>1751</v>
      </c>
      <c r="V1095" t="s">
        <v>1015</v>
      </c>
      <c r="Z1095">
        <v>9</v>
      </c>
      <c r="AA1095">
        <v>9</v>
      </c>
      <c r="AC1095">
        <v>354</v>
      </c>
      <c r="AD1095">
        <v>3</v>
      </c>
      <c r="AE1095">
        <v>2443</v>
      </c>
      <c r="AF1095">
        <v>9</v>
      </c>
      <c r="AG1095" t="s">
        <v>3378</v>
      </c>
      <c r="AH1095">
        <v>3.3879234669734366</v>
      </c>
      <c r="AI1095">
        <v>3</v>
      </c>
      <c r="AJ1095" t="s">
        <v>1796</v>
      </c>
      <c r="AK1095" t="s">
        <v>904</v>
      </c>
      <c r="AM1095"/>
      <c r="AN1095">
        <v>2.3319999999999999</v>
      </c>
      <c r="AO1095">
        <v>0.67800000000000005</v>
      </c>
      <c r="AP1095">
        <v>1.625</v>
      </c>
      <c r="AQ1095">
        <v>0.46799999999999997</v>
      </c>
      <c r="AS1095">
        <v>-0.36099999999999999</v>
      </c>
      <c r="AT1095">
        <v>1.8599999999999998E-2</v>
      </c>
      <c r="AW1095" s="28">
        <f t="shared" si="85"/>
        <v>-1.2136485112229844</v>
      </c>
      <c r="AX1095">
        <f t="shared" si="86"/>
        <v>0.95238095238095233</v>
      </c>
      <c r="AY1095" s="62">
        <f t="shared" si="87"/>
        <v>-1.1558557249742709</v>
      </c>
      <c r="AZ1095" s="68" t="str">
        <f t="shared" si="88"/>
        <v>No</v>
      </c>
      <c r="BA1095" s="68" t="str">
        <f t="shared" si="89"/>
        <v>No</v>
      </c>
    </row>
    <row r="1096" spans="1:53" hidden="1">
      <c r="A1096" t="s">
        <v>1815</v>
      </c>
      <c r="B1096" t="s">
        <v>2893</v>
      </c>
      <c r="C1096">
        <v>215</v>
      </c>
      <c r="F1096" t="s">
        <v>1241</v>
      </c>
      <c r="G1096" t="s">
        <v>1724</v>
      </c>
      <c r="I1096">
        <v>2011</v>
      </c>
      <c r="N1096" t="s">
        <v>36</v>
      </c>
      <c r="P1096" t="s">
        <v>60</v>
      </c>
      <c r="Q1096" t="s">
        <v>900</v>
      </c>
      <c r="R1096" t="s">
        <v>1742</v>
      </c>
      <c r="S1096" t="s">
        <v>1751</v>
      </c>
      <c r="V1096" t="s">
        <v>1015</v>
      </c>
      <c r="Z1096">
        <v>9</v>
      </c>
      <c r="AA1096">
        <v>9</v>
      </c>
      <c r="AC1096">
        <v>354</v>
      </c>
      <c r="AD1096">
        <v>3</v>
      </c>
      <c r="AE1096">
        <v>786</v>
      </c>
      <c r="AF1096">
        <v>9</v>
      </c>
      <c r="AG1096" t="s">
        <v>3378</v>
      </c>
      <c r="AH1096">
        <v>2.8954225460394079</v>
      </c>
      <c r="AI1096">
        <v>3</v>
      </c>
      <c r="AJ1096" t="s">
        <v>1796</v>
      </c>
      <c r="AK1096" t="s">
        <v>904</v>
      </c>
      <c r="AM1096"/>
      <c r="AN1096">
        <v>2.3319999999999999</v>
      </c>
      <c r="AO1096">
        <v>0.67800000000000005</v>
      </c>
      <c r="AP1096">
        <v>3.1789999999999998</v>
      </c>
      <c r="AQ1096">
        <v>0.86699999999999999</v>
      </c>
      <c r="AS1096">
        <v>0.31</v>
      </c>
      <c r="AT1096">
        <v>1.77E-2</v>
      </c>
      <c r="AW1096" s="28">
        <f t="shared" si="85"/>
        <v>1.0883271498350957</v>
      </c>
      <c r="AX1096">
        <f t="shared" si="86"/>
        <v>0.95238095238095233</v>
      </c>
      <c r="AY1096" s="62">
        <f t="shared" si="87"/>
        <v>1.0365020474619959</v>
      </c>
      <c r="AZ1096" s="68" t="str">
        <f t="shared" si="88"/>
        <v>No</v>
      </c>
      <c r="BA1096" s="68" t="str">
        <f t="shared" si="89"/>
        <v>No</v>
      </c>
    </row>
    <row r="1097" spans="1:53" hidden="1">
      <c r="A1097" t="s">
        <v>1815</v>
      </c>
      <c r="B1097" t="s">
        <v>2894</v>
      </c>
      <c r="C1097">
        <v>215</v>
      </c>
      <c r="F1097" t="s">
        <v>1241</v>
      </c>
      <c r="G1097" t="s">
        <v>1724</v>
      </c>
      <c r="I1097">
        <v>2011</v>
      </c>
      <c r="N1097" t="s">
        <v>36</v>
      </c>
      <c r="P1097" t="s">
        <v>60</v>
      </c>
      <c r="Q1097" t="s">
        <v>900</v>
      </c>
      <c r="R1097" t="s">
        <v>1742</v>
      </c>
      <c r="S1097" t="s">
        <v>1751</v>
      </c>
      <c r="V1097" t="s">
        <v>1015</v>
      </c>
      <c r="Z1097">
        <v>9</v>
      </c>
      <c r="AA1097">
        <v>9</v>
      </c>
      <c r="AC1097">
        <v>354</v>
      </c>
      <c r="AD1097">
        <v>3</v>
      </c>
      <c r="AE1097">
        <v>2637</v>
      </c>
      <c r="AF1097">
        <v>15</v>
      </c>
      <c r="AG1097" t="s">
        <v>3378</v>
      </c>
      <c r="AH1097">
        <v>3.4211101297934343</v>
      </c>
      <c r="AI1097">
        <v>3</v>
      </c>
      <c r="AJ1097" t="s">
        <v>1796</v>
      </c>
      <c r="AK1097" t="s">
        <v>904</v>
      </c>
      <c r="AM1097"/>
      <c r="AN1097">
        <v>4.1429999999999998</v>
      </c>
      <c r="AO1097">
        <v>1.089</v>
      </c>
      <c r="AP1097">
        <v>3.1869999999999998</v>
      </c>
      <c r="AQ1097">
        <v>0.44999999999999996</v>
      </c>
      <c r="AS1097">
        <v>-0.26200000000000001</v>
      </c>
      <c r="AT1097">
        <v>9.9000000000000008E-3</v>
      </c>
      <c r="AW1097" s="28">
        <f t="shared" si="85"/>
        <v>-1.1473932832043057</v>
      </c>
      <c r="AX1097">
        <f t="shared" si="86"/>
        <v>0.95238095238095233</v>
      </c>
      <c r="AY1097" s="62">
        <f t="shared" si="87"/>
        <v>-1.0927555078136244</v>
      </c>
      <c r="AZ1097" s="68" t="str">
        <f t="shared" si="88"/>
        <v>No</v>
      </c>
      <c r="BA1097" s="68" t="str">
        <f t="shared" si="89"/>
        <v>No</v>
      </c>
    </row>
    <row r="1098" spans="1:53" hidden="1">
      <c r="A1098" t="s">
        <v>1815</v>
      </c>
      <c r="B1098" t="s">
        <v>2896</v>
      </c>
      <c r="C1098">
        <v>215</v>
      </c>
      <c r="F1098" t="s">
        <v>1241</v>
      </c>
      <c r="G1098" t="s">
        <v>1724</v>
      </c>
      <c r="I1098">
        <v>2011</v>
      </c>
      <c r="N1098" t="s">
        <v>36</v>
      </c>
      <c r="P1098" t="s">
        <v>60</v>
      </c>
      <c r="Q1098" t="s">
        <v>900</v>
      </c>
      <c r="R1098" t="s">
        <v>1742</v>
      </c>
      <c r="S1098" t="s">
        <v>1751</v>
      </c>
      <c r="V1098" t="s">
        <v>1015</v>
      </c>
      <c r="Z1098">
        <v>9</v>
      </c>
      <c r="AA1098">
        <v>9</v>
      </c>
      <c r="AC1098">
        <v>354</v>
      </c>
      <c r="AD1098">
        <v>3</v>
      </c>
      <c r="AE1098">
        <v>2443</v>
      </c>
      <c r="AF1098">
        <v>9</v>
      </c>
      <c r="AG1098" t="s">
        <v>3378</v>
      </c>
      <c r="AH1098">
        <v>3.3879234669734366</v>
      </c>
      <c r="AI1098">
        <v>3</v>
      </c>
      <c r="AJ1098" t="s">
        <v>1796</v>
      </c>
      <c r="AK1098" t="s">
        <v>904</v>
      </c>
      <c r="AM1098"/>
      <c r="AN1098">
        <v>4.1429999999999998</v>
      </c>
      <c r="AO1098">
        <v>1.089</v>
      </c>
      <c r="AP1098">
        <v>3.6429999999999998</v>
      </c>
      <c r="AQ1098">
        <v>0.73499999999999999</v>
      </c>
      <c r="AS1098">
        <v>-0.129</v>
      </c>
      <c r="AT1098">
        <v>1.2200000000000001E-2</v>
      </c>
      <c r="AW1098" s="28">
        <f t="shared" si="85"/>
        <v>-0.53820315469293556</v>
      </c>
      <c r="AX1098">
        <f t="shared" si="86"/>
        <v>0.95238095238095233</v>
      </c>
      <c r="AY1098" s="62">
        <f t="shared" si="87"/>
        <v>-0.51257443304089101</v>
      </c>
      <c r="AZ1098" s="68" t="str">
        <f t="shared" si="88"/>
        <v>No</v>
      </c>
      <c r="BA1098" s="68" t="str">
        <f t="shared" si="89"/>
        <v>No</v>
      </c>
    </row>
    <row r="1099" spans="1:53" hidden="1">
      <c r="A1099" t="s">
        <v>1815</v>
      </c>
      <c r="B1099" t="s">
        <v>2897</v>
      </c>
      <c r="C1099">
        <v>215</v>
      </c>
      <c r="F1099" t="s">
        <v>1241</v>
      </c>
      <c r="G1099" t="s">
        <v>1724</v>
      </c>
      <c r="I1099">
        <v>2011</v>
      </c>
      <c r="N1099" t="s">
        <v>36</v>
      </c>
      <c r="P1099" t="s">
        <v>60</v>
      </c>
      <c r="Q1099" t="s">
        <v>900</v>
      </c>
      <c r="R1099" t="s">
        <v>1742</v>
      </c>
      <c r="S1099" t="s">
        <v>1751</v>
      </c>
      <c r="V1099" t="s">
        <v>1015</v>
      </c>
      <c r="Z1099">
        <v>9</v>
      </c>
      <c r="AA1099">
        <v>9</v>
      </c>
      <c r="AC1099">
        <v>354</v>
      </c>
      <c r="AD1099">
        <v>3</v>
      </c>
      <c r="AE1099">
        <v>846</v>
      </c>
      <c r="AF1099">
        <v>15</v>
      </c>
      <c r="AG1099" t="s">
        <v>3378</v>
      </c>
      <c r="AH1099">
        <v>2.9273703630390235</v>
      </c>
      <c r="AI1099">
        <v>3</v>
      </c>
      <c r="AJ1099" t="s">
        <v>1796</v>
      </c>
      <c r="AK1099" t="s">
        <v>904</v>
      </c>
      <c r="AM1099"/>
      <c r="AN1099">
        <v>4.1429999999999998</v>
      </c>
      <c r="AO1099">
        <v>1.089</v>
      </c>
      <c r="AP1099">
        <v>3.661</v>
      </c>
      <c r="AQ1099">
        <v>1.026</v>
      </c>
      <c r="AS1099">
        <v>-0.124</v>
      </c>
      <c r="AT1099">
        <v>1.6400000000000001E-2</v>
      </c>
      <c r="AW1099" s="28">
        <f t="shared" si="85"/>
        <v>-0.45558988924706317</v>
      </c>
      <c r="AX1099">
        <f t="shared" si="86"/>
        <v>0.95238095238095233</v>
      </c>
      <c r="AY1099" s="62">
        <f t="shared" si="87"/>
        <v>-0.43389513261625062</v>
      </c>
      <c r="AZ1099" s="68" t="str">
        <f t="shared" si="88"/>
        <v>No</v>
      </c>
      <c r="BA1099" s="68" t="str">
        <f t="shared" si="89"/>
        <v>No</v>
      </c>
    </row>
    <row r="1100" spans="1:53" hidden="1">
      <c r="A1100" t="s">
        <v>1815</v>
      </c>
      <c r="B1100" t="s">
        <v>2899</v>
      </c>
      <c r="C1100">
        <v>215</v>
      </c>
      <c r="F1100" t="s">
        <v>1241</v>
      </c>
      <c r="G1100" t="s">
        <v>1724</v>
      </c>
      <c r="I1100">
        <v>2010</v>
      </c>
      <c r="N1100" t="s">
        <v>36</v>
      </c>
      <c r="P1100" t="s">
        <v>60</v>
      </c>
      <c r="Q1100" t="s">
        <v>900</v>
      </c>
      <c r="R1100" t="s">
        <v>1742</v>
      </c>
      <c r="S1100" t="s">
        <v>1751</v>
      </c>
      <c r="V1100" t="s">
        <v>1015</v>
      </c>
      <c r="Z1100">
        <v>9</v>
      </c>
      <c r="AA1100">
        <v>9</v>
      </c>
      <c r="AC1100">
        <v>354</v>
      </c>
      <c r="AD1100">
        <v>3</v>
      </c>
      <c r="AE1100">
        <v>2637</v>
      </c>
      <c r="AF1100">
        <v>15</v>
      </c>
      <c r="AG1100" t="s">
        <v>3378</v>
      </c>
      <c r="AH1100">
        <v>3.4211101297934343</v>
      </c>
      <c r="AI1100">
        <v>3</v>
      </c>
      <c r="AJ1100" t="s">
        <v>1796</v>
      </c>
      <c r="AK1100" t="s">
        <v>904</v>
      </c>
      <c r="AM1100"/>
      <c r="AN1100">
        <v>2.3319999999999999</v>
      </c>
      <c r="AO1100">
        <v>0.67800000000000005</v>
      </c>
      <c r="AP1100">
        <v>4.18</v>
      </c>
      <c r="AQ1100">
        <v>0.64200000000000002</v>
      </c>
      <c r="AS1100">
        <v>0.58399999999999996</v>
      </c>
      <c r="AT1100">
        <v>1.2E-2</v>
      </c>
      <c r="AW1100" s="28">
        <f t="shared" si="85"/>
        <v>2.7989592582290639</v>
      </c>
      <c r="AX1100">
        <f t="shared" si="86"/>
        <v>0.95238095238095233</v>
      </c>
      <c r="AY1100" s="62">
        <f t="shared" si="87"/>
        <v>2.66567548402768</v>
      </c>
      <c r="AZ1100" s="68" t="str">
        <f t="shared" si="88"/>
        <v>No</v>
      </c>
      <c r="BA1100" s="68" t="str">
        <f t="shared" si="89"/>
        <v>No</v>
      </c>
    </row>
    <row r="1101" spans="1:53" hidden="1">
      <c r="A1101" t="s">
        <v>1815</v>
      </c>
      <c r="B1101" t="s">
        <v>2901</v>
      </c>
      <c r="C1101">
        <v>215</v>
      </c>
      <c r="F1101" t="s">
        <v>1241</v>
      </c>
      <c r="G1101" t="s">
        <v>1724</v>
      </c>
      <c r="I1101">
        <v>2018</v>
      </c>
      <c r="N1101" t="s">
        <v>36</v>
      </c>
      <c r="P1101" t="s">
        <v>60</v>
      </c>
      <c r="Q1101" t="s">
        <v>900</v>
      </c>
      <c r="R1101" t="s">
        <v>1742</v>
      </c>
      <c r="S1101" t="s">
        <v>1751</v>
      </c>
      <c r="V1101" t="s">
        <v>1015</v>
      </c>
      <c r="Z1101">
        <v>9</v>
      </c>
      <c r="AA1101">
        <v>9</v>
      </c>
      <c r="AC1101">
        <v>354</v>
      </c>
      <c r="AD1101">
        <v>3</v>
      </c>
      <c r="AE1101">
        <v>786</v>
      </c>
      <c r="AF1101">
        <v>9</v>
      </c>
      <c r="AG1101" t="s">
        <v>3378</v>
      </c>
      <c r="AH1101">
        <v>2.8954225460394079</v>
      </c>
      <c r="AI1101">
        <v>3</v>
      </c>
      <c r="AJ1101" t="s">
        <v>1796</v>
      </c>
      <c r="AK1101" t="s">
        <v>904</v>
      </c>
      <c r="AM1101"/>
      <c r="AN1101">
        <v>4.1429999999999998</v>
      </c>
      <c r="AO1101">
        <v>1.089</v>
      </c>
      <c r="AP1101">
        <v>4.3959999999999999</v>
      </c>
      <c r="AQ1101">
        <v>0.73499999999999999</v>
      </c>
      <c r="AS1101">
        <v>5.8999999999999997E-2</v>
      </c>
      <c r="AT1101">
        <v>1.0800000000000001E-2</v>
      </c>
      <c r="AW1101" s="28">
        <f t="shared" si="85"/>
        <v>0.27233079627462553</v>
      </c>
      <c r="AX1101">
        <f t="shared" si="86"/>
        <v>0.95238095238095233</v>
      </c>
      <c r="AY1101" s="62">
        <f t="shared" si="87"/>
        <v>0.25936266311869099</v>
      </c>
      <c r="AZ1101" s="68" t="str">
        <f t="shared" si="88"/>
        <v>No</v>
      </c>
      <c r="BA1101" s="68" t="str">
        <f t="shared" si="89"/>
        <v>No</v>
      </c>
    </row>
    <row r="1102" spans="1:53" hidden="1">
      <c r="A1102" t="s">
        <v>1815</v>
      </c>
      <c r="B1102" t="s">
        <v>2903</v>
      </c>
      <c r="C1102">
        <v>215</v>
      </c>
      <c r="F1102" t="s">
        <v>1241</v>
      </c>
      <c r="G1102" t="s">
        <v>1724</v>
      </c>
      <c r="I1102">
        <v>2010</v>
      </c>
      <c r="N1102" t="s">
        <v>36</v>
      </c>
      <c r="P1102" t="s">
        <v>60</v>
      </c>
      <c r="Q1102" t="s">
        <v>900</v>
      </c>
      <c r="R1102" t="s">
        <v>1742</v>
      </c>
      <c r="S1102" t="s">
        <v>1751</v>
      </c>
      <c r="V1102" t="s">
        <v>1015</v>
      </c>
      <c r="Z1102">
        <v>9</v>
      </c>
      <c r="AA1102">
        <v>9</v>
      </c>
      <c r="AC1102">
        <v>354</v>
      </c>
      <c r="AD1102">
        <v>3</v>
      </c>
      <c r="AE1102">
        <v>846</v>
      </c>
      <c r="AF1102">
        <v>15</v>
      </c>
      <c r="AG1102" t="s">
        <v>3378</v>
      </c>
      <c r="AH1102">
        <v>2.9273703630390235</v>
      </c>
      <c r="AI1102">
        <v>3</v>
      </c>
      <c r="AJ1102" t="s">
        <v>1796</v>
      </c>
      <c r="AK1102" t="s">
        <v>904</v>
      </c>
      <c r="AM1102"/>
      <c r="AN1102">
        <v>2.3319999999999999</v>
      </c>
      <c r="AO1102">
        <v>0.67800000000000005</v>
      </c>
      <c r="AP1102">
        <v>4.5259999999999998</v>
      </c>
      <c r="AQ1102">
        <v>0.32100000000000001</v>
      </c>
      <c r="AS1102">
        <v>0.66300000000000003</v>
      </c>
      <c r="AT1102">
        <v>0.01</v>
      </c>
      <c r="AW1102" s="28">
        <f t="shared" si="85"/>
        <v>4.1362189133872533</v>
      </c>
      <c r="AX1102">
        <f t="shared" si="86"/>
        <v>0.95238095238095233</v>
      </c>
      <c r="AY1102" s="62">
        <f t="shared" si="87"/>
        <v>3.9392561079878603</v>
      </c>
      <c r="AZ1102" s="68" t="str">
        <f t="shared" si="88"/>
        <v>No</v>
      </c>
      <c r="BA1102" s="68" t="str">
        <f t="shared" si="89"/>
        <v>No</v>
      </c>
    </row>
    <row r="1103" spans="1:53" hidden="1">
      <c r="A1103" t="s">
        <v>1815</v>
      </c>
      <c r="B1103" t="s">
        <v>2257</v>
      </c>
      <c r="C1103">
        <v>180</v>
      </c>
      <c r="F1103" t="s">
        <v>1241</v>
      </c>
      <c r="G1103" t="s">
        <v>1981</v>
      </c>
      <c r="I1103">
        <v>2018</v>
      </c>
      <c r="N1103" t="s">
        <v>36</v>
      </c>
      <c r="P1103" t="s">
        <v>60</v>
      </c>
      <c r="Q1103" t="s">
        <v>900</v>
      </c>
      <c r="R1103" t="s">
        <v>888</v>
      </c>
      <c r="S1103" t="s">
        <v>1998</v>
      </c>
      <c r="V1103" t="s">
        <v>905</v>
      </c>
      <c r="Z1103">
        <v>180</v>
      </c>
      <c r="AA1103">
        <v>180</v>
      </c>
      <c r="AC1103">
        <v>462</v>
      </c>
      <c r="AD1103">
        <v>21.1</v>
      </c>
      <c r="AE1103">
        <v>960</v>
      </c>
      <c r="AF1103">
        <v>21.1</v>
      </c>
      <c r="AG1103" t="s">
        <v>3441</v>
      </c>
      <c r="AI1103">
        <v>21.1</v>
      </c>
      <c r="AJ1103" t="s">
        <v>2022</v>
      </c>
      <c r="AK1103" t="s">
        <v>40</v>
      </c>
      <c r="AN1103">
        <v>0.13600000000000001</v>
      </c>
      <c r="AO1103">
        <v>1.3416407864998739E-2</v>
      </c>
      <c r="AP1103">
        <v>0.13600000000000001</v>
      </c>
      <c r="AQ1103">
        <v>1.3416407864998739E-2</v>
      </c>
      <c r="AS1103">
        <v>0</v>
      </c>
      <c r="AT1103">
        <v>1E-4</v>
      </c>
      <c r="AW1103" s="28">
        <f t="shared" si="85"/>
        <v>0</v>
      </c>
      <c r="AX1103">
        <f t="shared" si="86"/>
        <v>0.99790356394129975</v>
      </c>
      <c r="AY1103" s="62">
        <f t="shared" si="87"/>
        <v>0</v>
      </c>
      <c r="AZ1103" s="68" t="str">
        <f t="shared" si="88"/>
        <v>No</v>
      </c>
      <c r="BA1103" s="68" t="str">
        <f t="shared" si="89"/>
        <v>No</v>
      </c>
    </row>
    <row r="1104" spans="1:53" hidden="1">
      <c r="A1104" t="s">
        <v>1815</v>
      </c>
      <c r="B1104" t="s">
        <v>2328</v>
      </c>
      <c r="C1104">
        <v>180</v>
      </c>
      <c r="F1104" t="s">
        <v>1241</v>
      </c>
      <c r="G1104" t="s">
        <v>1981</v>
      </c>
      <c r="I1104">
        <v>2021</v>
      </c>
      <c r="N1104" t="s">
        <v>36</v>
      </c>
      <c r="P1104" t="s">
        <v>60</v>
      </c>
      <c r="Q1104" t="s">
        <v>900</v>
      </c>
      <c r="R1104" t="s">
        <v>888</v>
      </c>
      <c r="S1104" t="s">
        <v>1998</v>
      </c>
      <c r="V1104" t="s">
        <v>905</v>
      </c>
      <c r="Z1104">
        <v>180</v>
      </c>
      <c r="AA1104">
        <v>180</v>
      </c>
      <c r="AC1104">
        <v>462</v>
      </c>
      <c r="AD1104">
        <v>21.1</v>
      </c>
      <c r="AE1104">
        <v>960</v>
      </c>
      <c r="AF1104">
        <v>21.1</v>
      </c>
      <c r="AG1104" t="s">
        <v>3439</v>
      </c>
      <c r="AI1104">
        <v>21.1</v>
      </c>
      <c r="AJ1104" t="s">
        <v>2017</v>
      </c>
      <c r="AK1104" t="s">
        <v>40</v>
      </c>
      <c r="AN1104">
        <v>7.54</v>
      </c>
      <c r="AO1104">
        <v>2.5491174943497605</v>
      </c>
      <c r="AP1104">
        <v>7.89</v>
      </c>
      <c r="AQ1104">
        <v>1.4758048651498612</v>
      </c>
      <c r="AS1104">
        <v>4.5400000000000003E-2</v>
      </c>
      <c r="AT1104">
        <v>8.0000000000000004E-4</v>
      </c>
      <c r="AW1104" s="28">
        <f t="shared" si="85"/>
        <v>0.16804410055873906</v>
      </c>
      <c r="AX1104">
        <f t="shared" si="86"/>
        <v>0.99790356394129975</v>
      </c>
      <c r="AY1104" s="62">
        <f t="shared" si="87"/>
        <v>0.16769180684687587</v>
      </c>
      <c r="AZ1104" s="68" t="str">
        <f t="shared" si="88"/>
        <v>No</v>
      </c>
      <c r="BA1104" s="68" t="str">
        <f t="shared" si="89"/>
        <v>No</v>
      </c>
    </row>
    <row r="1105" spans="1:53" hidden="1">
      <c r="A1105" t="s">
        <v>1815</v>
      </c>
      <c r="B1105" t="s">
        <v>2331</v>
      </c>
      <c r="C1105">
        <v>180</v>
      </c>
      <c r="F1105" t="s">
        <v>1241</v>
      </c>
      <c r="G1105" t="s">
        <v>1981</v>
      </c>
      <c r="I1105">
        <v>2021</v>
      </c>
      <c r="N1105" t="s">
        <v>36</v>
      </c>
      <c r="P1105" t="s">
        <v>60</v>
      </c>
      <c r="Q1105" t="s">
        <v>900</v>
      </c>
      <c r="R1105" t="s">
        <v>888</v>
      </c>
      <c r="S1105" t="s">
        <v>1998</v>
      </c>
      <c r="V1105" t="s">
        <v>905</v>
      </c>
      <c r="Z1105">
        <v>5</v>
      </c>
      <c r="AA1105">
        <v>5</v>
      </c>
      <c r="AC1105">
        <v>462</v>
      </c>
      <c r="AD1105">
        <v>21.1</v>
      </c>
      <c r="AE1105">
        <v>960</v>
      </c>
      <c r="AF1105">
        <v>21.1</v>
      </c>
      <c r="AG1105" t="s">
        <v>3439</v>
      </c>
      <c r="AI1105">
        <v>21.1</v>
      </c>
      <c r="AJ1105" t="s">
        <v>2036</v>
      </c>
      <c r="AK1105" t="s">
        <v>69</v>
      </c>
      <c r="AN1105">
        <v>2.5</v>
      </c>
      <c r="AO1105">
        <v>1.3416407864998738</v>
      </c>
      <c r="AP1105">
        <v>2.6</v>
      </c>
      <c r="AQ1105">
        <v>1.5652475842498528</v>
      </c>
      <c r="AS1105">
        <v>3.9199999999999999E-2</v>
      </c>
      <c r="AT1105">
        <v>0.13009999999999999</v>
      </c>
      <c r="AW1105" s="28">
        <f t="shared" si="85"/>
        <v>6.8599434057003597E-2</v>
      </c>
      <c r="AX1105">
        <f t="shared" si="86"/>
        <v>0.90322580645161288</v>
      </c>
      <c r="AY1105" s="62">
        <f t="shared" si="87"/>
        <v>6.1960779148261313E-2</v>
      </c>
      <c r="AZ1105" s="68" t="str">
        <f t="shared" si="88"/>
        <v>No</v>
      </c>
      <c r="BA1105" s="68" t="str">
        <f t="shared" si="89"/>
        <v>No</v>
      </c>
    </row>
    <row r="1106" spans="1:53" hidden="1">
      <c r="A1106" t="s">
        <v>1815</v>
      </c>
      <c r="B1106" t="s">
        <v>2396</v>
      </c>
      <c r="C1106">
        <v>180</v>
      </c>
      <c r="F1106" t="s">
        <v>1241</v>
      </c>
      <c r="G1106" t="s">
        <v>1981</v>
      </c>
      <c r="I1106">
        <v>2018</v>
      </c>
      <c r="N1106" t="s">
        <v>36</v>
      </c>
      <c r="P1106" t="s">
        <v>60</v>
      </c>
      <c r="Q1106" t="s">
        <v>900</v>
      </c>
      <c r="R1106" t="s">
        <v>888</v>
      </c>
      <c r="S1106" t="s">
        <v>1998</v>
      </c>
      <c r="V1106" t="s">
        <v>905</v>
      </c>
      <c r="Z1106">
        <v>5</v>
      </c>
      <c r="AA1106">
        <v>5</v>
      </c>
      <c r="AC1106">
        <v>462</v>
      </c>
      <c r="AD1106">
        <v>21.1</v>
      </c>
      <c r="AE1106">
        <v>960</v>
      </c>
      <c r="AF1106">
        <v>21.1</v>
      </c>
      <c r="AG1106" t="s">
        <v>3441</v>
      </c>
      <c r="AI1106">
        <v>21.1</v>
      </c>
      <c r="AJ1106" t="s">
        <v>2045</v>
      </c>
      <c r="AK1106" t="s">
        <v>69</v>
      </c>
      <c r="AN1106">
        <v>79.400000000000006</v>
      </c>
      <c r="AO1106">
        <v>11.851160280748886</v>
      </c>
      <c r="AP1106">
        <v>79.900000000000006</v>
      </c>
      <c r="AQ1106">
        <v>6.4845971347493903</v>
      </c>
      <c r="AS1106">
        <v>6.3E-3</v>
      </c>
      <c r="AT1106">
        <v>5.7999999999999996E-3</v>
      </c>
      <c r="AW1106" s="28">
        <f t="shared" si="85"/>
        <v>5.2342392259021361E-2</v>
      </c>
      <c r="AX1106">
        <f t="shared" si="86"/>
        <v>0.90322580645161288</v>
      </c>
      <c r="AY1106" s="62">
        <f t="shared" si="87"/>
        <v>4.7276999459761229E-2</v>
      </c>
      <c r="AZ1106" s="68" t="str">
        <f t="shared" si="88"/>
        <v>No</v>
      </c>
      <c r="BA1106" s="68" t="str">
        <f t="shared" si="89"/>
        <v>No</v>
      </c>
    </row>
    <row r="1107" spans="1:53" hidden="1">
      <c r="A1107" t="s">
        <v>1815</v>
      </c>
      <c r="B1107" t="s">
        <v>2240</v>
      </c>
      <c r="C1107">
        <v>180</v>
      </c>
      <c r="F1107" t="s">
        <v>1241</v>
      </c>
      <c r="G1107" t="s">
        <v>1981</v>
      </c>
      <c r="I1107">
        <v>2018</v>
      </c>
      <c r="N1107" t="s">
        <v>36</v>
      </c>
      <c r="P1107" t="s">
        <v>60</v>
      </c>
      <c r="Q1107" t="s">
        <v>900</v>
      </c>
      <c r="R1107" t="s">
        <v>888</v>
      </c>
      <c r="S1107" t="s">
        <v>1998</v>
      </c>
      <c r="V1107" t="s">
        <v>907</v>
      </c>
      <c r="Z1107">
        <v>180</v>
      </c>
      <c r="AA1107">
        <v>180</v>
      </c>
      <c r="AC1107">
        <v>462</v>
      </c>
      <c r="AD1107">
        <v>21.1</v>
      </c>
      <c r="AE1107">
        <v>538</v>
      </c>
      <c r="AF1107">
        <v>24.8</v>
      </c>
      <c r="AG1107" t="s">
        <v>3439</v>
      </c>
      <c r="AI1107">
        <v>21.1</v>
      </c>
      <c r="AJ1107" t="s">
        <v>2017</v>
      </c>
      <c r="AK1107" t="s">
        <v>40</v>
      </c>
      <c r="AN1107">
        <v>7.54</v>
      </c>
      <c r="AO1107">
        <v>2.5491174943497605</v>
      </c>
      <c r="AP1107">
        <v>10.46</v>
      </c>
      <c r="AQ1107">
        <v>3.2199378875996971</v>
      </c>
      <c r="AS1107">
        <v>0.32729999999999998</v>
      </c>
      <c r="AT1107">
        <v>1.1999999999999999E-3</v>
      </c>
      <c r="AW1107" s="28">
        <f t="shared" si="85"/>
        <v>1.0055225191821784</v>
      </c>
      <c r="AX1107">
        <f t="shared" si="86"/>
        <v>0.99790356394129975</v>
      </c>
      <c r="AY1107" s="62">
        <f t="shared" si="87"/>
        <v>1.0034145055151298</v>
      </c>
      <c r="AZ1107" s="68" t="str">
        <f t="shared" si="88"/>
        <v>No</v>
      </c>
      <c r="BA1107" s="68" t="str">
        <f t="shared" si="89"/>
        <v>No</v>
      </c>
    </row>
    <row r="1108" spans="1:53" hidden="1">
      <c r="A1108" t="s">
        <v>1815</v>
      </c>
      <c r="B1108" t="s">
        <v>2265</v>
      </c>
      <c r="C1108">
        <v>180</v>
      </c>
      <c r="F1108" t="s">
        <v>1241</v>
      </c>
      <c r="G1108" t="s">
        <v>1981</v>
      </c>
      <c r="I1108">
        <v>2018</v>
      </c>
      <c r="N1108" t="s">
        <v>36</v>
      </c>
      <c r="P1108" t="s">
        <v>60</v>
      </c>
      <c r="Q1108" t="s">
        <v>900</v>
      </c>
      <c r="R1108" t="s">
        <v>888</v>
      </c>
      <c r="S1108" t="s">
        <v>1998</v>
      </c>
      <c r="V1108" t="s">
        <v>907</v>
      </c>
      <c r="Z1108">
        <v>180</v>
      </c>
      <c r="AA1108">
        <v>180</v>
      </c>
      <c r="AC1108">
        <v>462</v>
      </c>
      <c r="AD1108">
        <v>21.1</v>
      </c>
      <c r="AE1108">
        <v>538</v>
      </c>
      <c r="AF1108">
        <v>24.8</v>
      </c>
      <c r="AG1108" t="s">
        <v>3441</v>
      </c>
      <c r="AI1108">
        <v>21.1</v>
      </c>
      <c r="AJ1108" t="s">
        <v>2022</v>
      </c>
      <c r="AK1108" t="s">
        <v>40</v>
      </c>
      <c r="AN1108">
        <v>0.13600000000000001</v>
      </c>
      <c r="AO1108">
        <v>1.3416407864998739E-2</v>
      </c>
      <c r="AP1108">
        <v>0.11</v>
      </c>
      <c r="AQ1108">
        <v>1.3416407864998739E-2</v>
      </c>
      <c r="AS1108">
        <v>-0.2122</v>
      </c>
      <c r="AT1108">
        <v>1E-4</v>
      </c>
      <c r="AW1108" s="28">
        <f t="shared" si="85"/>
        <v>-1.9379255804998183</v>
      </c>
      <c r="AX1108">
        <f t="shared" si="86"/>
        <v>0.99790356394129975</v>
      </c>
      <c r="AY1108" s="62">
        <f t="shared" si="87"/>
        <v>-1.933862843433781</v>
      </c>
      <c r="AZ1108" s="68" t="str">
        <f t="shared" si="88"/>
        <v>No</v>
      </c>
      <c r="BA1108" s="68" t="str">
        <f t="shared" si="89"/>
        <v>No</v>
      </c>
    </row>
    <row r="1109" spans="1:53" hidden="1">
      <c r="A1109" t="s">
        <v>1815</v>
      </c>
      <c r="B1109" t="s">
        <v>2395</v>
      </c>
      <c r="C1109">
        <v>180</v>
      </c>
      <c r="F1109" t="s">
        <v>1241</v>
      </c>
      <c r="G1109" t="s">
        <v>1981</v>
      </c>
      <c r="I1109">
        <v>2014</v>
      </c>
      <c r="N1109" t="s">
        <v>36</v>
      </c>
      <c r="P1109" t="s">
        <v>60</v>
      </c>
      <c r="Q1109" t="s">
        <v>900</v>
      </c>
      <c r="R1109" t="s">
        <v>888</v>
      </c>
      <c r="S1109" t="s">
        <v>1998</v>
      </c>
      <c r="V1109" t="s">
        <v>907</v>
      </c>
      <c r="Z1109">
        <v>5</v>
      </c>
      <c r="AA1109">
        <v>5</v>
      </c>
      <c r="AC1109">
        <v>462</v>
      </c>
      <c r="AD1109">
        <v>21.1</v>
      </c>
      <c r="AE1109">
        <v>538</v>
      </c>
      <c r="AF1109">
        <v>24.8</v>
      </c>
      <c r="AG1109" t="s">
        <v>3441</v>
      </c>
      <c r="AI1109">
        <v>21.1</v>
      </c>
      <c r="AJ1109" t="s">
        <v>2045</v>
      </c>
      <c r="AK1109" t="s">
        <v>69</v>
      </c>
      <c r="AN1109">
        <v>79.400000000000006</v>
      </c>
      <c r="AO1109">
        <v>11.851160280748886</v>
      </c>
      <c r="AP1109">
        <v>72.400000000000006</v>
      </c>
      <c r="AQ1109">
        <v>5.8137767414994537</v>
      </c>
      <c r="AS1109">
        <v>-9.2299999999999993E-2</v>
      </c>
      <c r="AT1109">
        <v>5.7000000000000002E-3</v>
      </c>
      <c r="AW1109" s="28">
        <f t="shared" si="85"/>
        <v>-0.74994021760781215</v>
      </c>
      <c r="AX1109">
        <f t="shared" si="86"/>
        <v>0.90322580645161288</v>
      </c>
      <c r="AY1109" s="62">
        <f t="shared" si="87"/>
        <v>-0.67736535783931417</v>
      </c>
      <c r="AZ1109" s="68" t="str">
        <f t="shared" si="88"/>
        <v>No</v>
      </c>
      <c r="BA1109" s="68" t="str">
        <f t="shared" si="89"/>
        <v>No</v>
      </c>
    </row>
    <row r="1110" spans="1:53" hidden="1">
      <c r="A1110" t="s">
        <v>1815</v>
      </c>
      <c r="B1110" t="s">
        <v>2456</v>
      </c>
      <c r="C1110">
        <v>180</v>
      </c>
      <c r="F1110" t="s">
        <v>1241</v>
      </c>
      <c r="G1110" t="s">
        <v>1981</v>
      </c>
      <c r="I1110">
        <v>2018</v>
      </c>
      <c r="N1110" t="s">
        <v>36</v>
      </c>
      <c r="P1110" t="s">
        <v>60</v>
      </c>
      <c r="Q1110" t="s">
        <v>900</v>
      </c>
      <c r="R1110" t="s">
        <v>888</v>
      </c>
      <c r="S1110" t="s">
        <v>1998</v>
      </c>
      <c r="V1110" t="s">
        <v>907</v>
      </c>
      <c r="Z1110">
        <v>5</v>
      </c>
      <c r="AA1110">
        <v>5</v>
      </c>
      <c r="AC1110">
        <v>462</v>
      </c>
      <c r="AD1110">
        <v>21.1</v>
      </c>
      <c r="AE1110">
        <v>538</v>
      </c>
      <c r="AF1110">
        <v>24.8</v>
      </c>
      <c r="AG1110" t="s">
        <v>3439</v>
      </c>
      <c r="AI1110">
        <v>21.1</v>
      </c>
      <c r="AJ1110" t="s">
        <v>2036</v>
      </c>
      <c r="AK1110" t="s">
        <v>69</v>
      </c>
      <c r="AN1110">
        <v>2.5</v>
      </c>
      <c r="AO1110">
        <v>1.3416407864998738</v>
      </c>
      <c r="AP1110">
        <v>1.2</v>
      </c>
      <c r="AQ1110">
        <v>0.44721359549995798</v>
      </c>
      <c r="AS1110">
        <v>-0.73399999999999999</v>
      </c>
      <c r="AT1110">
        <v>8.5400000000000004E-2</v>
      </c>
      <c r="AW1110" s="28">
        <f t="shared" si="85"/>
        <v>-1.3</v>
      </c>
      <c r="AX1110">
        <f t="shared" si="86"/>
        <v>0.90322580645161288</v>
      </c>
      <c r="AY1110" s="62">
        <f t="shared" si="87"/>
        <v>-1.1741935483870969</v>
      </c>
      <c r="AZ1110" s="68" t="str">
        <f t="shared" si="88"/>
        <v>No</v>
      </c>
      <c r="BA1110" s="68" t="str">
        <f t="shared" si="89"/>
        <v>No</v>
      </c>
    </row>
    <row r="1111" spans="1:53" hidden="1">
      <c r="A1111" t="s">
        <v>1815</v>
      </c>
      <c r="B1111" t="s">
        <v>2236</v>
      </c>
      <c r="C1111">
        <v>180</v>
      </c>
      <c r="F1111" t="s">
        <v>1241</v>
      </c>
      <c r="G1111" t="s">
        <v>1981</v>
      </c>
      <c r="I1111">
        <v>2014</v>
      </c>
      <c r="N1111" t="s">
        <v>36</v>
      </c>
      <c r="P1111" t="s">
        <v>60</v>
      </c>
      <c r="Q1111" t="s">
        <v>900</v>
      </c>
      <c r="R1111" t="s">
        <v>888</v>
      </c>
      <c r="S1111" t="s">
        <v>1998</v>
      </c>
      <c r="V1111" t="s">
        <v>1015</v>
      </c>
      <c r="Z1111">
        <v>180</v>
      </c>
      <c r="AA1111">
        <v>180</v>
      </c>
      <c r="AC1111">
        <v>462</v>
      </c>
      <c r="AD1111">
        <v>21.1</v>
      </c>
      <c r="AE1111">
        <v>1011</v>
      </c>
      <c r="AF1111">
        <v>24.9</v>
      </c>
      <c r="AG1111" t="s">
        <v>3439</v>
      </c>
      <c r="AI1111">
        <v>21.1</v>
      </c>
      <c r="AJ1111" t="s">
        <v>2017</v>
      </c>
      <c r="AK1111" t="s">
        <v>40</v>
      </c>
      <c r="AN1111">
        <v>7.54</v>
      </c>
      <c r="AO1111">
        <v>2.5491174943497605</v>
      </c>
      <c r="AP1111">
        <v>11.19</v>
      </c>
      <c r="AQ1111">
        <v>3.2199378875996971</v>
      </c>
      <c r="AS1111">
        <v>0.39479999999999998</v>
      </c>
      <c r="AT1111">
        <v>1.1000000000000001E-3</v>
      </c>
      <c r="AW1111" s="28">
        <f t="shared" si="85"/>
        <v>1.2569031489777225</v>
      </c>
      <c r="AX1111">
        <f t="shared" si="86"/>
        <v>0.99790356394129975</v>
      </c>
      <c r="AY1111" s="62">
        <f t="shared" si="87"/>
        <v>1.2542681318939117</v>
      </c>
      <c r="AZ1111" s="68" t="str">
        <f t="shared" si="88"/>
        <v>No</v>
      </c>
      <c r="BA1111" s="68" t="str">
        <f t="shared" si="89"/>
        <v>No</v>
      </c>
    </row>
    <row r="1112" spans="1:53" hidden="1">
      <c r="A1112" t="s">
        <v>1815</v>
      </c>
      <c r="B1112" t="s">
        <v>2264</v>
      </c>
      <c r="C1112">
        <v>180</v>
      </c>
      <c r="F1112" t="s">
        <v>1241</v>
      </c>
      <c r="G1112" t="s">
        <v>1981</v>
      </c>
      <c r="I1112">
        <v>2021</v>
      </c>
      <c r="N1112" t="s">
        <v>36</v>
      </c>
      <c r="P1112" t="s">
        <v>60</v>
      </c>
      <c r="Q1112" t="s">
        <v>900</v>
      </c>
      <c r="R1112" t="s">
        <v>888</v>
      </c>
      <c r="S1112" t="s">
        <v>1998</v>
      </c>
      <c r="V1112" t="s">
        <v>1015</v>
      </c>
      <c r="Z1112">
        <v>180</v>
      </c>
      <c r="AA1112">
        <v>180</v>
      </c>
      <c r="AC1112">
        <v>462</v>
      </c>
      <c r="AD1112">
        <v>21.1</v>
      </c>
      <c r="AE1112">
        <v>1011</v>
      </c>
      <c r="AF1112">
        <v>24.9</v>
      </c>
      <c r="AG1112" t="s">
        <v>3441</v>
      </c>
      <c r="AI1112">
        <v>21.1</v>
      </c>
      <c r="AJ1112" t="s">
        <v>2022</v>
      </c>
      <c r="AK1112" t="s">
        <v>40</v>
      </c>
      <c r="AN1112">
        <v>0.13600000000000001</v>
      </c>
      <c r="AO1112">
        <v>1.3416407864998739E-2</v>
      </c>
      <c r="AP1112">
        <v>0.113</v>
      </c>
      <c r="AQ1112">
        <v>1.3416407864998739E-2</v>
      </c>
      <c r="AS1112">
        <v>-0.18529999999999999</v>
      </c>
      <c r="AT1112">
        <v>1E-4</v>
      </c>
      <c r="AW1112" s="28">
        <f t="shared" si="85"/>
        <v>-1.7143187827498392</v>
      </c>
      <c r="AX1112">
        <f t="shared" si="86"/>
        <v>0.99790356394129975</v>
      </c>
      <c r="AY1112" s="62">
        <f t="shared" si="87"/>
        <v>-1.7107248230375753</v>
      </c>
      <c r="AZ1112" s="68" t="str">
        <f t="shared" si="88"/>
        <v>No</v>
      </c>
      <c r="BA1112" s="68" t="str">
        <f t="shared" si="89"/>
        <v>No</v>
      </c>
    </row>
    <row r="1113" spans="1:53" hidden="1">
      <c r="A1113" t="s">
        <v>1815</v>
      </c>
      <c r="B1113" t="s">
        <v>2393</v>
      </c>
      <c r="C1113">
        <v>180</v>
      </c>
      <c r="F1113" t="s">
        <v>1241</v>
      </c>
      <c r="G1113" t="s">
        <v>1981</v>
      </c>
      <c r="I1113">
        <v>2018</v>
      </c>
      <c r="N1113" t="s">
        <v>36</v>
      </c>
      <c r="P1113" t="s">
        <v>60</v>
      </c>
      <c r="Q1113" t="s">
        <v>900</v>
      </c>
      <c r="R1113" t="s">
        <v>888</v>
      </c>
      <c r="S1113" t="s">
        <v>1998</v>
      </c>
      <c r="V1113" t="s">
        <v>1015</v>
      </c>
      <c r="Z1113">
        <v>5</v>
      </c>
      <c r="AA1113">
        <v>5</v>
      </c>
      <c r="AC1113">
        <v>462</v>
      </c>
      <c r="AD1113">
        <v>21.1</v>
      </c>
      <c r="AE1113">
        <v>1011</v>
      </c>
      <c r="AF1113">
        <v>24.9</v>
      </c>
      <c r="AG1113" t="s">
        <v>3441</v>
      </c>
      <c r="AI1113">
        <v>21.1</v>
      </c>
      <c r="AJ1113" t="s">
        <v>2045</v>
      </c>
      <c r="AK1113" t="s">
        <v>69</v>
      </c>
      <c r="AN1113">
        <v>79.400000000000006</v>
      </c>
      <c r="AO1113">
        <v>11.851160280748886</v>
      </c>
      <c r="AP1113">
        <v>72.900000000000006</v>
      </c>
      <c r="AQ1113">
        <v>5.5901699437494745</v>
      </c>
      <c r="AS1113">
        <v>-8.5400000000000004E-2</v>
      </c>
      <c r="AT1113">
        <v>5.5999999999999999E-3</v>
      </c>
      <c r="AW1113" s="28">
        <f t="shared" si="85"/>
        <v>-0.70152508796123714</v>
      </c>
      <c r="AX1113">
        <f t="shared" si="86"/>
        <v>0.90322580645161288</v>
      </c>
      <c r="AY1113" s="62">
        <f t="shared" si="87"/>
        <v>-0.63363556331982707</v>
      </c>
      <c r="AZ1113" s="68" t="str">
        <f t="shared" si="88"/>
        <v>No</v>
      </c>
      <c r="BA1113" s="68" t="str">
        <f t="shared" si="89"/>
        <v>No</v>
      </c>
    </row>
    <row r="1114" spans="1:53" hidden="1">
      <c r="A1114" t="s">
        <v>1815</v>
      </c>
      <c r="B1114" t="s">
        <v>2453</v>
      </c>
      <c r="C1114">
        <v>180</v>
      </c>
      <c r="F1114" t="s">
        <v>1241</v>
      </c>
      <c r="G1114" t="s">
        <v>1981</v>
      </c>
      <c r="I1114">
        <v>2017</v>
      </c>
      <c r="N1114" t="s">
        <v>36</v>
      </c>
      <c r="P1114" t="s">
        <v>60</v>
      </c>
      <c r="Q1114" t="s">
        <v>900</v>
      </c>
      <c r="R1114" t="s">
        <v>888</v>
      </c>
      <c r="S1114" t="s">
        <v>1998</v>
      </c>
      <c r="V1114" t="s">
        <v>1015</v>
      </c>
      <c r="Z1114">
        <v>5</v>
      </c>
      <c r="AA1114">
        <v>5</v>
      </c>
      <c r="AC1114">
        <v>462</v>
      </c>
      <c r="AD1114">
        <v>21.1</v>
      </c>
      <c r="AE1114">
        <v>1011</v>
      </c>
      <c r="AF1114">
        <v>24.9</v>
      </c>
      <c r="AG1114" t="s">
        <v>3439</v>
      </c>
      <c r="AI1114">
        <v>21.1</v>
      </c>
      <c r="AJ1114" t="s">
        <v>2036</v>
      </c>
      <c r="AK1114" t="s">
        <v>69</v>
      </c>
      <c r="AN1114">
        <v>2.5</v>
      </c>
      <c r="AO1114">
        <v>1.3416407864998738</v>
      </c>
      <c r="AP1114">
        <v>1.3</v>
      </c>
      <c r="AQ1114">
        <v>0.44721359549995798</v>
      </c>
      <c r="AS1114">
        <v>-0.65390000000000004</v>
      </c>
      <c r="AT1114">
        <v>8.1299999999999997E-2</v>
      </c>
      <c r="AW1114" s="28">
        <f t="shared" si="85"/>
        <v>-1.2</v>
      </c>
      <c r="AX1114">
        <f t="shared" si="86"/>
        <v>0.90322580645161288</v>
      </c>
      <c r="AY1114" s="62">
        <f t="shared" si="87"/>
        <v>-1.0838709677419354</v>
      </c>
      <c r="AZ1114" s="68" t="str">
        <f t="shared" si="88"/>
        <v>No</v>
      </c>
      <c r="BA1114" s="68" t="str">
        <f t="shared" si="89"/>
        <v>No</v>
      </c>
    </row>
    <row r="1115" spans="1:53" hidden="1">
      <c r="A1115" t="s">
        <v>1815</v>
      </c>
      <c r="B1115" t="s">
        <v>2727</v>
      </c>
      <c r="C1115">
        <v>82</v>
      </c>
      <c r="F1115" t="s">
        <v>1241</v>
      </c>
      <c r="G1115" t="s">
        <v>1711</v>
      </c>
      <c r="I1115">
        <v>2020</v>
      </c>
      <c r="N1115" t="s">
        <v>36</v>
      </c>
      <c r="P1115" t="s">
        <v>60</v>
      </c>
      <c r="Q1115" t="s">
        <v>900</v>
      </c>
      <c r="R1115" t="s">
        <v>1741</v>
      </c>
      <c r="S1115" t="s">
        <v>1763</v>
      </c>
      <c r="V1115" t="s">
        <v>905</v>
      </c>
      <c r="Z1115">
        <v>10</v>
      </c>
      <c r="AA1115">
        <v>10</v>
      </c>
      <c r="AC1115">
        <v>387</v>
      </c>
      <c r="AD1115">
        <v>19.5</v>
      </c>
      <c r="AE1115">
        <v>1908</v>
      </c>
      <c r="AF1115">
        <v>19.5</v>
      </c>
      <c r="AG1115" t="s">
        <v>3362</v>
      </c>
      <c r="AH1115">
        <v>3.2805783703680764</v>
      </c>
      <c r="AI1115">
        <v>19.5</v>
      </c>
      <c r="AJ1115" t="s">
        <v>1806</v>
      </c>
      <c r="AK1115" t="s">
        <v>40</v>
      </c>
      <c r="AM1115"/>
      <c r="AN1115">
        <v>0.03</v>
      </c>
      <c r="AO1115">
        <v>3.1622776601683798E-2</v>
      </c>
      <c r="AP1115">
        <v>0.02</v>
      </c>
      <c r="AQ1115">
        <v>3.1622776601683798E-2</v>
      </c>
      <c r="AS1115">
        <v>-0.32900000000000001</v>
      </c>
      <c r="AT1115">
        <v>0.48039999999999999</v>
      </c>
      <c r="AW1115" s="28">
        <f t="shared" si="85"/>
        <v>-0.31622776601683783</v>
      </c>
      <c r="AX1115">
        <f t="shared" si="86"/>
        <v>0.95774647887323949</v>
      </c>
      <c r="AY1115" s="62">
        <f t="shared" si="87"/>
        <v>-0.30286602942457708</v>
      </c>
      <c r="AZ1115" s="68" t="str">
        <f t="shared" si="88"/>
        <v>No</v>
      </c>
      <c r="BA1115" s="68" t="str">
        <f t="shared" si="89"/>
        <v>No</v>
      </c>
    </row>
    <row r="1116" spans="1:53" hidden="1">
      <c r="A1116" t="s">
        <v>1815</v>
      </c>
      <c r="B1116" t="s">
        <v>2729</v>
      </c>
      <c r="C1116">
        <v>82</v>
      </c>
      <c r="F1116" t="s">
        <v>1241</v>
      </c>
      <c r="G1116" t="s">
        <v>1711</v>
      </c>
      <c r="I1116">
        <v>2020</v>
      </c>
      <c r="N1116" t="s">
        <v>36</v>
      </c>
      <c r="P1116" t="s">
        <v>60</v>
      </c>
      <c r="Q1116" t="s">
        <v>900</v>
      </c>
      <c r="R1116" t="s">
        <v>1741</v>
      </c>
      <c r="S1116" t="s">
        <v>1763</v>
      </c>
      <c r="V1116" t="s">
        <v>905</v>
      </c>
      <c r="Z1116">
        <v>10</v>
      </c>
      <c r="AA1116">
        <v>10</v>
      </c>
      <c r="AC1116">
        <v>387</v>
      </c>
      <c r="AD1116">
        <v>19.5</v>
      </c>
      <c r="AE1116">
        <v>2687</v>
      </c>
      <c r="AF1116">
        <v>19.5</v>
      </c>
      <c r="AG1116" t="s">
        <v>3362</v>
      </c>
      <c r="AH1116">
        <v>3.4292676664331685</v>
      </c>
      <c r="AI1116">
        <v>19.5</v>
      </c>
      <c r="AJ1116" t="s">
        <v>1806</v>
      </c>
      <c r="AK1116" t="s">
        <v>40</v>
      </c>
      <c r="AM1116"/>
      <c r="AN1116">
        <v>0.03</v>
      </c>
      <c r="AO1116">
        <v>3.1622776601683798E-2</v>
      </c>
      <c r="AP1116">
        <v>0.02</v>
      </c>
      <c r="AQ1116">
        <v>3.1622776601683798E-2</v>
      </c>
      <c r="AS1116">
        <v>-0.17399999999999999</v>
      </c>
      <c r="AT1116">
        <v>0.55689999999999995</v>
      </c>
      <c r="AW1116" s="28">
        <f t="shared" si="85"/>
        <v>-0.31622776601683783</v>
      </c>
      <c r="AX1116">
        <f t="shared" si="86"/>
        <v>0.95774647887323949</v>
      </c>
      <c r="AY1116" s="62">
        <f t="shared" si="87"/>
        <v>-0.30286602942457708</v>
      </c>
      <c r="AZ1116" s="68" t="str">
        <f t="shared" si="88"/>
        <v>No</v>
      </c>
      <c r="BA1116" s="68" t="str">
        <f t="shared" si="89"/>
        <v>No</v>
      </c>
    </row>
    <row r="1117" spans="1:53" hidden="1">
      <c r="A1117" t="s">
        <v>1815</v>
      </c>
      <c r="B1117" t="s">
        <v>2732</v>
      </c>
      <c r="C1117">
        <v>82</v>
      </c>
      <c r="F1117" t="s">
        <v>1241</v>
      </c>
      <c r="G1117" t="s">
        <v>1711</v>
      </c>
      <c r="I1117">
        <v>2018</v>
      </c>
      <c r="N1117" t="s">
        <v>36</v>
      </c>
      <c r="P1117" t="s">
        <v>60</v>
      </c>
      <c r="Q1117" t="s">
        <v>900</v>
      </c>
      <c r="R1117" t="s">
        <v>1741</v>
      </c>
      <c r="S1117" t="s">
        <v>1763</v>
      </c>
      <c r="V1117" t="s">
        <v>905</v>
      </c>
      <c r="Z1117">
        <v>10</v>
      </c>
      <c r="AA1117">
        <v>10</v>
      </c>
      <c r="AC1117">
        <v>387</v>
      </c>
      <c r="AD1117">
        <v>19.5</v>
      </c>
      <c r="AE1117">
        <v>2687</v>
      </c>
      <c r="AF1117">
        <v>19.5</v>
      </c>
      <c r="AG1117" t="s">
        <v>3362</v>
      </c>
      <c r="AH1117">
        <v>3.4292676664331685</v>
      </c>
      <c r="AI1117">
        <v>19.5</v>
      </c>
      <c r="AJ1117" t="s">
        <v>1205</v>
      </c>
      <c r="AK1117" t="s">
        <v>40</v>
      </c>
      <c r="AM1117"/>
      <c r="AN1117">
        <v>1.73</v>
      </c>
      <c r="AO1117">
        <v>0.22135943621178658</v>
      </c>
      <c r="AP1117">
        <v>1.5</v>
      </c>
      <c r="AQ1117">
        <v>0.41109609582188933</v>
      </c>
      <c r="AS1117">
        <v>-0.14299999999999999</v>
      </c>
      <c r="AT1117">
        <v>9.1000000000000004E-3</v>
      </c>
      <c r="AW1117" s="28">
        <f t="shared" si="85"/>
        <v>-0.69664991273768995</v>
      </c>
      <c r="AX1117">
        <f t="shared" si="86"/>
        <v>0.95774647887323949</v>
      </c>
      <c r="AY1117" s="62">
        <f t="shared" si="87"/>
        <v>-0.66721400093187211</v>
      </c>
      <c r="AZ1117" s="68" t="str">
        <f t="shared" si="88"/>
        <v>No</v>
      </c>
      <c r="BA1117" s="68" t="str">
        <f t="shared" si="89"/>
        <v>No</v>
      </c>
    </row>
    <row r="1118" spans="1:53" hidden="1">
      <c r="A1118" t="s">
        <v>1815</v>
      </c>
      <c r="B1118" t="s">
        <v>2734</v>
      </c>
      <c r="C1118">
        <v>82</v>
      </c>
      <c r="F1118" t="s">
        <v>1241</v>
      </c>
      <c r="G1118" t="s">
        <v>1711</v>
      </c>
      <c r="I1118">
        <v>2018</v>
      </c>
      <c r="N1118" t="s">
        <v>36</v>
      </c>
      <c r="P1118" t="s">
        <v>60</v>
      </c>
      <c r="Q1118" t="s">
        <v>900</v>
      </c>
      <c r="R1118" t="s">
        <v>1741</v>
      </c>
      <c r="S1118" t="s">
        <v>1763</v>
      </c>
      <c r="V1118" t="s">
        <v>905</v>
      </c>
      <c r="Z1118">
        <v>10</v>
      </c>
      <c r="AA1118">
        <v>10</v>
      </c>
      <c r="AC1118">
        <v>387</v>
      </c>
      <c r="AD1118">
        <v>19.5</v>
      </c>
      <c r="AE1118">
        <v>1908</v>
      </c>
      <c r="AF1118">
        <v>19.5</v>
      </c>
      <c r="AG1118" t="s">
        <v>3362</v>
      </c>
      <c r="AH1118">
        <v>3.2805783703680764</v>
      </c>
      <c r="AI1118">
        <v>19.5</v>
      </c>
      <c r="AJ1118" t="s">
        <v>1205</v>
      </c>
      <c r="AK1118" t="s">
        <v>40</v>
      </c>
      <c r="AM1118"/>
      <c r="AN1118">
        <v>1.73</v>
      </c>
      <c r="AO1118">
        <v>0.22135943621178658</v>
      </c>
      <c r="AP1118">
        <v>1.62</v>
      </c>
      <c r="AQ1118">
        <v>0.25298221281347039</v>
      </c>
      <c r="AS1118">
        <v>-6.6000000000000003E-2</v>
      </c>
      <c r="AT1118">
        <v>4.1000000000000003E-3</v>
      </c>
      <c r="AW1118" s="28">
        <f t="shared" si="85"/>
        <v>-0.46277347810283775</v>
      </c>
      <c r="AX1118">
        <f t="shared" si="86"/>
        <v>0.95774647887323949</v>
      </c>
      <c r="AY1118" s="62">
        <f t="shared" si="87"/>
        <v>-0.44321966916891503</v>
      </c>
      <c r="AZ1118" s="68" t="str">
        <f t="shared" si="88"/>
        <v>No</v>
      </c>
      <c r="BA1118" s="68" t="str">
        <f t="shared" si="89"/>
        <v>No</v>
      </c>
    </row>
    <row r="1119" spans="1:53" hidden="1">
      <c r="A1119" t="s">
        <v>1815</v>
      </c>
      <c r="B1119" t="s">
        <v>3110</v>
      </c>
      <c r="C1119">
        <v>82</v>
      </c>
      <c r="F1119" t="s">
        <v>1241</v>
      </c>
      <c r="G1119" t="s">
        <v>1711</v>
      </c>
      <c r="I1119">
        <v>2019</v>
      </c>
      <c r="N1119" t="s">
        <v>36</v>
      </c>
      <c r="P1119" t="s">
        <v>60</v>
      </c>
      <c r="Q1119" t="s">
        <v>900</v>
      </c>
      <c r="R1119" t="s">
        <v>1741</v>
      </c>
      <c r="S1119" t="s">
        <v>1763</v>
      </c>
      <c r="V1119" t="s">
        <v>905</v>
      </c>
      <c r="Z1119">
        <v>3</v>
      </c>
      <c r="AA1119">
        <v>3</v>
      </c>
      <c r="AC1119">
        <v>387</v>
      </c>
      <c r="AD1119" s="37">
        <v>19.5</v>
      </c>
      <c r="AE1119">
        <v>1908</v>
      </c>
      <c r="AF1119" s="37">
        <v>19.5</v>
      </c>
      <c r="AG1119" t="s">
        <v>3396</v>
      </c>
      <c r="AH1119">
        <v>3.2805783703680764</v>
      </c>
      <c r="AI1119" s="37">
        <v>19.5</v>
      </c>
      <c r="AJ1119" t="s">
        <v>1797</v>
      </c>
      <c r="AK1119" t="s">
        <v>69</v>
      </c>
      <c r="AM1119"/>
      <c r="AN1119">
        <v>15.8</v>
      </c>
      <c r="AO1119">
        <v>0.17320508075688773</v>
      </c>
      <c r="AP1119">
        <v>16.7</v>
      </c>
      <c r="AQ1119">
        <v>0.51961524227066314</v>
      </c>
      <c r="AS1119">
        <v>5.5E-2</v>
      </c>
      <c r="AT1119">
        <v>4.0000000000000002E-4</v>
      </c>
      <c r="AW1119" s="28">
        <f t="shared" si="85"/>
        <v>2.3237900077244467</v>
      </c>
      <c r="AX1119">
        <f t="shared" si="86"/>
        <v>0.8</v>
      </c>
      <c r="AY1119" s="62">
        <f t="shared" si="87"/>
        <v>1.8590320061795573</v>
      </c>
      <c r="AZ1119" s="68" t="str">
        <f t="shared" si="88"/>
        <v>No</v>
      </c>
      <c r="BA1119" s="68" t="str">
        <f t="shared" si="89"/>
        <v>No</v>
      </c>
    </row>
    <row r="1120" spans="1:53" hidden="1">
      <c r="A1120" t="s">
        <v>1815</v>
      </c>
      <c r="B1120" t="s">
        <v>3111</v>
      </c>
      <c r="C1120">
        <v>82</v>
      </c>
      <c r="F1120" t="s">
        <v>1241</v>
      </c>
      <c r="G1120" t="s">
        <v>1711</v>
      </c>
      <c r="I1120">
        <v>2019</v>
      </c>
      <c r="N1120" t="s">
        <v>36</v>
      </c>
      <c r="P1120" t="s">
        <v>60</v>
      </c>
      <c r="Q1120" t="s">
        <v>900</v>
      </c>
      <c r="R1120" t="s">
        <v>1741</v>
      </c>
      <c r="S1120" t="s">
        <v>1763</v>
      </c>
      <c r="V1120" t="s">
        <v>905</v>
      </c>
      <c r="Z1120">
        <v>3</v>
      </c>
      <c r="AA1120">
        <v>3</v>
      </c>
      <c r="AC1120">
        <v>387</v>
      </c>
      <c r="AD1120" s="37">
        <v>19.5</v>
      </c>
      <c r="AE1120">
        <v>2687</v>
      </c>
      <c r="AF1120" s="37">
        <v>19.5</v>
      </c>
      <c r="AG1120" t="s">
        <v>3396</v>
      </c>
      <c r="AH1120">
        <v>3.4292676664331685</v>
      </c>
      <c r="AI1120" s="37">
        <v>19.5</v>
      </c>
      <c r="AJ1120" t="s">
        <v>1797</v>
      </c>
      <c r="AK1120" t="s">
        <v>59</v>
      </c>
      <c r="AM1120"/>
      <c r="AN1120">
        <v>15.8</v>
      </c>
      <c r="AO1120">
        <v>0.17320508075688773</v>
      </c>
      <c r="AP1120">
        <v>17.7</v>
      </c>
      <c r="AQ1120">
        <v>0.8660254037844386</v>
      </c>
      <c r="AS1120">
        <v>0.114</v>
      </c>
      <c r="AT1120">
        <v>8.0000000000000004E-4</v>
      </c>
      <c r="AW1120" s="28">
        <f t="shared" si="85"/>
        <v>3.0424349222966534</v>
      </c>
      <c r="AX1120">
        <f t="shared" si="86"/>
        <v>0.8</v>
      </c>
      <c r="AY1120" s="62">
        <f t="shared" si="87"/>
        <v>2.4339479378373228</v>
      </c>
      <c r="AZ1120" s="68" t="str">
        <f t="shared" si="88"/>
        <v>No</v>
      </c>
      <c r="BA1120" s="68" t="str">
        <f t="shared" si="89"/>
        <v>No</v>
      </c>
    </row>
    <row r="1121" spans="1:53" hidden="1">
      <c r="A1121" t="s">
        <v>1815</v>
      </c>
      <c r="B1121" t="s">
        <v>2725</v>
      </c>
      <c r="C1121">
        <v>82</v>
      </c>
      <c r="F1121" t="s">
        <v>1241</v>
      </c>
      <c r="G1121" t="s">
        <v>1711</v>
      </c>
      <c r="I1121">
        <v>2020</v>
      </c>
      <c r="N1121" t="s">
        <v>36</v>
      </c>
      <c r="P1121" t="s">
        <v>60</v>
      </c>
      <c r="Q1121" t="s">
        <v>900</v>
      </c>
      <c r="R1121" t="s">
        <v>1741</v>
      </c>
      <c r="S1121" t="s">
        <v>1763</v>
      </c>
      <c r="V1121" t="s">
        <v>907</v>
      </c>
      <c r="Z1121">
        <v>10</v>
      </c>
      <c r="AA1121">
        <v>10</v>
      </c>
      <c r="AC1121">
        <v>387</v>
      </c>
      <c r="AD1121">
        <v>19.5</v>
      </c>
      <c r="AE1121">
        <v>452</v>
      </c>
      <c r="AF1121">
        <v>27.5</v>
      </c>
      <c r="AG1121" t="s">
        <v>3362</v>
      </c>
      <c r="AH1121">
        <v>2.655138434811382</v>
      </c>
      <c r="AI1121">
        <v>19.5</v>
      </c>
      <c r="AJ1121" t="s">
        <v>1806</v>
      </c>
      <c r="AK1121" t="s">
        <v>40</v>
      </c>
      <c r="AM1121"/>
      <c r="AN1121">
        <v>0.03</v>
      </c>
      <c r="AO1121">
        <v>3.1622776601683798E-2</v>
      </c>
      <c r="AP1121">
        <v>0.02</v>
      </c>
      <c r="AQ1121">
        <v>3.1622776601683798E-2</v>
      </c>
      <c r="AS1121">
        <v>-0.51100000000000001</v>
      </c>
      <c r="AT1121">
        <v>0.34150000000000003</v>
      </c>
      <c r="AW1121" s="28">
        <f t="shared" si="85"/>
        <v>-0.31622776601683783</v>
      </c>
      <c r="AX1121">
        <f t="shared" si="86"/>
        <v>0.95774647887323949</v>
      </c>
      <c r="AY1121" s="62">
        <f t="shared" si="87"/>
        <v>-0.30286602942457708</v>
      </c>
      <c r="AZ1121" s="68" t="str">
        <f t="shared" si="88"/>
        <v>No</v>
      </c>
      <c r="BA1121" s="68" t="str">
        <f t="shared" si="89"/>
        <v>No</v>
      </c>
    </row>
    <row r="1122" spans="1:53" hidden="1">
      <c r="A1122" t="s">
        <v>1815</v>
      </c>
      <c r="B1122" t="s">
        <v>2733</v>
      </c>
      <c r="C1122">
        <v>82</v>
      </c>
      <c r="F1122" t="s">
        <v>1241</v>
      </c>
      <c r="G1122" t="s">
        <v>1711</v>
      </c>
      <c r="I1122">
        <v>2018</v>
      </c>
      <c r="N1122" t="s">
        <v>36</v>
      </c>
      <c r="P1122" t="s">
        <v>60</v>
      </c>
      <c r="Q1122" t="s">
        <v>900</v>
      </c>
      <c r="R1122" t="s">
        <v>1741</v>
      </c>
      <c r="S1122" t="s">
        <v>1763</v>
      </c>
      <c r="V1122" t="s">
        <v>907</v>
      </c>
      <c r="Z1122">
        <v>10</v>
      </c>
      <c r="AA1122">
        <v>10</v>
      </c>
      <c r="AC1122">
        <v>387</v>
      </c>
      <c r="AD1122">
        <v>19.5</v>
      </c>
      <c r="AE1122">
        <v>452</v>
      </c>
      <c r="AF1122">
        <v>27.5</v>
      </c>
      <c r="AG1122" t="s">
        <v>3362</v>
      </c>
      <c r="AH1122">
        <v>2.655138434811382</v>
      </c>
      <c r="AI1122">
        <v>19.5</v>
      </c>
      <c r="AJ1122" t="s">
        <v>1205</v>
      </c>
      <c r="AK1122" t="s">
        <v>40</v>
      </c>
      <c r="AM1122"/>
      <c r="AN1122">
        <v>1.73</v>
      </c>
      <c r="AO1122">
        <v>0.22135943621178658</v>
      </c>
      <c r="AP1122">
        <v>1.52</v>
      </c>
      <c r="AQ1122">
        <v>0.316227766016838</v>
      </c>
      <c r="AS1122">
        <v>-0.129</v>
      </c>
      <c r="AT1122">
        <v>6.0000000000000001E-3</v>
      </c>
      <c r="AW1122" s="28">
        <f t="shared" si="85"/>
        <v>-0.76938047071967708</v>
      </c>
      <c r="AX1122">
        <f t="shared" si="86"/>
        <v>0.95774647887323949</v>
      </c>
      <c r="AY1122" s="62">
        <f t="shared" si="87"/>
        <v>-0.73687143674560629</v>
      </c>
      <c r="AZ1122" s="68" t="str">
        <f t="shared" si="88"/>
        <v>No</v>
      </c>
      <c r="BA1122" s="68" t="str">
        <f t="shared" si="89"/>
        <v>No</v>
      </c>
    </row>
    <row r="1123" spans="1:53" hidden="1">
      <c r="A1123" t="s">
        <v>1815</v>
      </c>
      <c r="B1123" t="s">
        <v>3107</v>
      </c>
      <c r="C1123">
        <v>82</v>
      </c>
      <c r="F1123" t="s">
        <v>1241</v>
      </c>
      <c r="G1123" t="s">
        <v>1711</v>
      </c>
      <c r="I1123">
        <v>2019</v>
      </c>
      <c r="N1123" t="s">
        <v>36</v>
      </c>
      <c r="P1123" t="s">
        <v>60</v>
      </c>
      <c r="Q1123" t="s">
        <v>900</v>
      </c>
      <c r="R1123" t="s">
        <v>1741</v>
      </c>
      <c r="S1123" t="s">
        <v>1763</v>
      </c>
      <c r="V1123" t="s">
        <v>907</v>
      </c>
      <c r="Z1123">
        <v>3</v>
      </c>
      <c r="AA1123">
        <v>3</v>
      </c>
      <c r="AC1123">
        <v>387</v>
      </c>
      <c r="AD1123" s="37">
        <v>19.5</v>
      </c>
      <c r="AE1123">
        <v>452</v>
      </c>
      <c r="AF1123" s="37">
        <v>27.5</v>
      </c>
      <c r="AG1123" t="s">
        <v>3396</v>
      </c>
      <c r="AH1123">
        <v>2.655138434811382</v>
      </c>
      <c r="AI1123" s="37">
        <v>19.5</v>
      </c>
      <c r="AJ1123" t="s">
        <v>1797</v>
      </c>
      <c r="AK1123" t="s">
        <v>59</v>
      </c>
      <c r="AM1123"/>
      <c r="AN1123">
        <v>15.8</v>
      </c>
      <c r="AO1123">
        <v>0.17320508075688773</v>
      </c>
      <c r="AP1123">
        <v>9.4</v>
      </c>
      <c r="AQ1123">
        <v>0.34641016151377546</v>
      </c>
      <c r="AS1123">
        <v>-0.51900000000000002</v>
      </c>
      <c r="AT1123">
        <v>5.0000000000000001E-4</v>
      </c>
      <c r="AW1123" s="28">
        <f t="shared" si="85"/>
        <v>-23.369495786887089</v>
      </c>
      <c r="AX1123">
        <f t="shared" si="86"/>
        <v>0.8</v>
      </c>
      <c r="AY1123" s="62">
        <f t="shared" si="87"/>
        <v>-18.695596629509673</v>
      </c>
      <c r="AZ1123" s="68" t="str">
        <f t="shared" si="88"/>
        <v>No</v>
      </c>
      <c r="BA1123" s="68" t="str">
        <f t="shared" si="89"/>
        <v>Yes</v>
      </c>
    </row>
    <row r="1124" spans="1:53" hidden="1">
      <c r="A1124" t="s">
        <v>1815</v>
      </c>
      <c r="B1124" t="s">
        <v>2726</v>
      </c>
      <c r="C1124">
        <v>82</v>
      </c>
      <c r="F1124" t="s">
        <v>1241</v>
      </c>
      <c r="G1124" t="s">
        <v>1711</v>
      </c>
      <c r="I1124">
        <v>2020</v>
      </c>
      <c r="N1124" t="s">
        <v>36</v>
      </c>
      <c r="P1124" t="s">
        <v>60</v>
      </c>
      <c r="Q1124" t="s">
        <v>900</v>
      </c>
      <c r="R1124" t="s">
        <v>1741</v>
      </c>
      <c r="S1124" t="s">
        <v>1763</v>
      </c>
      <c r="V1124" t="s">
        <v>1015</v>
      </c>
      <c r="Z1124">
        <v>10</v>
      </c>
      <c r="AA1124">
        <v>10</v>
      </c>
      <c r="AC1124">
        <v>387</v>
      </c>
      <c r="AD1124">
        <v>19.5</v>
      </c>
      <c r="AE1124">
        <v>1907</v>
      </c>
      <c r="AF1124">
        <v>27.5</v>
      </c>
      <c r="AG1124" t="s">
        <v>3362</v>
      </c>
      <c r="AH1124">
        <v>3.2803506930460058</v>
      </c>
      <c r="AI1124">
        <v>19.5</v>
      </c>
      <c r="AJ1124" t="s">
        <v>1806</v>
      </c>
      <c r="AK1124" t="s">
        <v>40</v>
      </c>
      <c r="AM1124"/>
      <c r="AN1124">
        <v>0.03</v>
      </c>
      <c r="AO1124">
        <v>3.1622776601683798E-2</v>
      </c>
      <c r="AP1124">
        <v>0.02</v>
      </c>
      <c r="AQ1124">
        <v>0</v>
      </c>
      <c r="AS1124">
        <v>-0.51100000000000001</v>
      </c>
      <c r="AT1124">
        <v>0.30149999999999999</v>
      </c>
      <c r="AW1124" s="28">
        <f t="shared" si="85"/>
        <v>-0.44721359549995782</v>
      </c>
      <c r="AX1124">
        <f t="shared" si="86"/>
        <v>0.95774647887323949</v>
      </c>
      <c r="AY1124" s="62">
        <f t="shared" si="87"/>
        <v>-0.42831724639432583</v>
      </c>
      <c r="AZ1124" s="68" t="str">
        <f t="shared" si="88"/>
        <v>No</v>
      </c>
      <c r="BA1124" s="68" t="str">
        <f t="shared" si="89"/>
        <v>No</v>
      </c>
    </row>
    <row r="1125" spans="1:53" hidden="1">
      <c r="A1125" t="s">
        <v>1815</v>
      </c>
      <c r="B1125" t="s">
        <v>2728</v>
      </c>
      <c r="C1125">
        <v>82</v>
      </c>
      <c r="F1125" t="s">
        <v>1241</v>
      </c>
      <c r="G1125" t="s">
        <v>1711</v>
      </c>
      <c r="I1125">
        <v>2020</v>
      </c>
      <c r="N1125" t="s">
        <v>36</v>
      </c>
      <c r="P1125" t="s">
        <v>60</v>
      </c>
      <c r="Q1125" t="s">
        <v>900</v>
      </c>
      <c r="R1125" t="s">
        <v>1741</v>
      </c>
      <c r="S1125" t="s">
        <v>1763</v>
      </c>
      <c r="V1125" t="s">
        <v>1015</v>
      </c>
      <c r="Z1125">
        <v>10</v>
      </c>
      <c r="AA1125">
        <v>10</v>
      </c>
      <c r="AC1125">
        <v>387</v>
      </c>
      <c r="AD1125">
        <v>19.5</v>
      </c>
      <c r="AE1125">
        <v>2691</v>
      </c>
      <c r="AF1125">
        <v>27.5</v>
      </c>
      <c r="AG1125" t="s">
        <v>3362</v>
      </c>
      <c r="AH1125">
        <v>3.4299136977637543</v>
      </c>
      <c r="AI1125">
        <v>19.5</v>
      </c>
      <c r="AJ1125" t="s">
        <v>1806</v>
      </c>
      <c r="AK1125" t="s">
        <v>40</v>
      </c>
      <c r="AM1125"/>
      <c r="AN1125">
        <v>0.03</v>
      </c>
      <c r="AO1125">
        <v>3.1622776601683798E-2</v>
      </c>
      <c r="AP1125">
        <v>0.02</v>
      </c>
      <c r="AQ1125">
        <v>3.1622776601683798E-2</v>
      </c>
      <c r="AS1125">
        <v>-0.223</v>
      </c>
      <c r="AT1125">
        <v>0.39040000000000002</v>
      </c>
      <c r="AW1125" s="28">
        <f t="shared" si="85"/>
        <v>-0.31622776601683783</v>
      </c>
      <c r="AX1125">
        <f t="shared" si="86"/>
        <v>0.95774647887323949</v>
      </c>
      <c r="AY1125" s="62">
        <f t="shared" si="87"/>
        <v>-0.30286602942457708</v>
      </c>
      <c r="AZ1125" s="68" t="str">
        <f t="shared" si="88"/>
        <v>No</v>
      </c>
      <c r="BA1125" s="68" t="str">
        <f t="shared" si="89"/>
        <v>No</v>
      </c>
    </row>
    <row r="1126" spans="1:53" hidden="1">
      <c r="A1126" t="s">
        <v>1815</v>
      </c>
      <c r="B1126" t="s">
        <v>2730</v>
      </c>
      <c r="C1126">
        <v>82</v>
      </c>
      <c r="F1126" t="s">
        <v>1241</v>
      </c>
      <c r="G1126" t="s">
        <v>1711</v>
      </c>
      <c r="I1126">
        <v>2018</v>
      </c>
      <c r="N1126" t="s">
        <v>36</v>
      </c>
      <c r="P1126" t="s">
        <v>60</v>
      </c>
      <c r="Q1126" t="s">
        <v>900</v>
      </c>
      <c r="R1126" t="s">
        <v>1741</v>
      </c>
      <c r="S1126" t="s">
        <v>1763</v>
      </c>
      <c r="V1126" t="s">
        <v>1015</v>
      </c>
      <c r="Z1126">
        <v>10</v>
      </c>
      <c r="AA1126">
        <v>10</v>
      </c>
      <c r="AC1126">
        <v>387</v>
      </c>
      <c r="AD1126">
        <v>19.5</v>
      </c>
      <c r="AE1126">
        <v>2691</v>
      </c>
      <c r="AF1126">
        <v>27.5</v>
      </c>
      <c r="AG1126" t="s">
        <v>3362</v>
      </c>
      <c r="AH1126">
        <v>3.4299136977637543</v>
      </c>
      <c r="AI1126">
        <v>19.5</v>
      </c>
      <c r="AJ1126" t="s">
        <v>1205</v>
      </c>
      <c r="AK1126" t="s">
        <v>40</v>
      </c>
      <c r="AM1126"/>
      <c r="AN1126">
        <v>1.73</v>
      </c>
      <c r="AO1126">
        <v>0.22135943621178658</v>
      </c>
      <c r="AP1126">
        <v>1.47</v>
      </c>
      <c r="AQ1126">
        <v>0.34785054261852177</v>
      </c>
      <c r="AS1126">
        <v>-0.16300000000000001</v>
      </c>
      <c r="AT1126">
        <v>7.1999999999999998E-3</v>
      </c>
      <c r="AW1126" s="28">
        <f t="shared" si="85"/>
        <v>-0.89179264274104586</v>
      </c>
      <c r="AX1126">
        <f t="shared" si="86"/>
        <v>0.95774647887323949</v>
      </c>
      <c r="AY1126" s="62">
        <f t="shared" si="87"/>
        <v>-0.85411126347029753</v>
      </c>
      <c r="AZ1126" s="68" t="str">
        <f t="shared" si="88"/>
        <v>No</v>
      </c>
      <c r="BA1126" s="68" t="str">
        <f t="shared" si="89"/>
        <v>No</v>
      </c>
    </row>
    <row r="1127" spans="1:53" hidden="1">
      <c r="A1127" t="s">
        <v>1815</v>
      </c>
      <c r="B1127" t="s">
        <v>2731</v>
      </c>
      <c r="C1127">
        <v>82</v>
      </c>
      <c r="F1127" t="s">
        <v>1241</v>
      </c>
      <c r="G1127" t="s">
        <v>1711</v>
      </c>
      <c r="I1127">
        <v>2018</v>
      </c>
      <c r="N1127" t="s">
        <v>36</v>
      </c>
      <c r="P1127" t="s">
        <v>60</v>
      </c>
      <c r="Q1127" t="s">
        <v>900</v>
      </c>
      <c r="R1127" t="s">
        <v>1741</v>
      </c>
      <c r="S1127" t="s">
        <v>1763</v>
      </c>
      <c r="V1127" t="s">
        <v>1015</v>
      </c>
      <c r="Z1127">
        <v>10</v>
      </c>
      <c r="AA1127">
        <v>10</v>
      </c>
      <c r="AC1127">
        <v>387</v>
      </c>
      <c r="AD1127">
        <v>19.5</v>
      </c>
      <c r="AE1127">
        <v>1907</v>
      </c>
      <c r="AF1127">
        <v>27.5</v>
      </c>
      <c r="AG1127" t="s">
        <v>3362</v>
      </c>
      <c r="AH1127">
        <v>3.2803506930460058</v>
      </c>
      <c r="AI1127">
        <v>19.5</v>
      </c>
      <c r="AJ1127" t="s">
        <v>1205</v>
      </c>
      <c r="AK1127" t="s">
        <v>40</v>
      </c>
      <c r="AM1127"/>
      <c r="AN1127">
        <v>1.73</v>
      </c>
      <c r="AO1127">
        <v>0.22135943621178658</v>
      </c>
      <c r="AP1127">
        <v>1.48</v>
      </c>
      <c r="AQ1127">
        <v>0.22135943621178658</v>
      </c>
      <c r="AS1127">
        <v>-0.156</v>
      </c>
      <c r="AT1127">
        <v>3.8999999999999998E-3</v>
      </c>
      <c r="AW1127" s="28">
        <f t="shared" si="85"/>
        <v>-1.1293848786315639</v>
      </c>
      <c r="AX1127">
        <f t="shared" si="86"/>
        <v>0.95774647887323949</v>
      </c>
      <c r="AY1127" s="62">
        <f t="shared" si="87"/>
        <v>-1.0816643908020613</v>
      </c>
      <c r="AZ1127" s="68" t="str">
        <f t="shared" si="88"/>
        <v>No</v>
      </c>
      <c r="BA1127" s="68" t="str">
        <f t="shared" si="89"/>
        <v>No</v>
      </c>
    </row>
    <row r="1128" spans="1:53" hidden="1">
      <c r="A1128" t="s">
        <v>1815</v>
      </c>
      <c r="B1128" t="s">
        <v>3108</v>
      </c>
      <c r="C1128">
        <v>82</v>
      </c>
      <c r="F1128" t="s">
        <v>1241</v>
      </c>
      <c r="G1128" t="s">
        <v>1711</v>
      </c>
      <c r="I1128">
        <v>2019</v>
      </c>
      <c r="N1128" t="s">
        <v>36</v>
      </c>
      <c r="P1128" t="s">
        <v>60</v>
      </c>
      <c r="Q1128" t="s">
        <v>900</v>
      </c>
      <c r="R1128" t="s">
        <v>1741</v>
      </c>
      <c r="S1128" t="s">
        <v>1763</v>
      </c>
      <c r="V1128" t="s">
        <v>1015</v>
      </c>
      <c r="Z1128">
        <v>3</v>
      </c>
      <c r="AA1128">
        <v>3</v>
      </c>
      <c r="AC1128">
        <v>387</v>
      </c>
      <c r="AD1128" s="37">
        <v>19.5</v>
      </c>
      <c r="AE1128">
        <v>1907</v>
      </c>
      <c r="AF1128" s="37">
        <v>27.5</v>
      </c>
      <c r="AG1128" t="s">
        <v>3396</v>
      </c>
      <c r="AH1128">
        <v>3.2803506930460058</v>
      </c>
      <c r="AI1128" s="37">
        <v>19.5</v>
      </c>
      <c r="AJ1128" t="s">
        <v>1797</v>
      </c>
      <c r="AK1128" t="s">
        <v>59</v>
      </c>
      <c r="AM1128"/>
      <c r="AN1128">
        <v>15.8</v>
      </c>
      <c r="AO1128">
        <v>0.17320508075688773</v>
      </c>
      <c r="AP1128">
        <v>9.5</v>
      </c>
      <c r="AQ1128">
        <v>0.17320508075688773</v>
      </c>
      <c r="AS1128">
        <v>-0.50900000000000001</v>
      </c>
      <c r="AT1128">
        <v>2.0000000000000001E-4</v>
      </c>
      <c r="AW1128" s="28">
        <f t="shared" si="85"/>
        <v>-36.373066958946424</v>
      </c>
      <c r="AX1128">
        <f t="shared" si="86"/>
        <v>0.8</v>
      </c>
      <c r="AY1128" s="62">
        <f t="shared" si="87"/>
        <v>-29.09845356715714</v>
      </c>
      <c r="AZ1128" s="68" t="str">
        <f t="shared" si="88"/>
        <v>No</v>
      </c>
      <c r="BA1128" s="68" t="str">
        <f t="shared" si="89"/>
        <v>Yes</v>
      </c>
    </row>
    <row r="1129" spans="1:53" hidden="1">
      <c r="A1129" t="s">
        <v>1815</v>
      </c>
      <c r="B1129" t="s">
        <v>3109</v>
      </c>
      <c r="C1129">
        <v>82</v>
      </c>
      <c r="F1129" t="s">
        <v>1241</v>
      </c>
      <c r="G1129" t="s">
        <v>1711</v>
      </c>
      <c r="I1129">
        <v>2019</v>
      </c>
      <c r="N1129" t="s">
        <v>36</v>
      </c>
      <c r="P1129" t="s">
        <v>60</v>
      </c>
      <c r="Q1129" t="s">
        <v>900</v>
      </c>
      <c r="R1129" t="s">
        <v>1741</v>
      </c>
      <c r="S1129" t="s">
        <v>1763</v>
      </c>
      <c r="V1129" t="s">
        <v>1015</v>
      </c>
      <c r="Z1129">
        <v>3</v>
      </c>
      <c r="AA1129">
        <v>3</v>
      </c>
      <c r="AC1129">
        <v>387</v>
      </c>
      <c r="AD1129" s="37">
        <v>19.5</v>
      </c>
      <c r="AE1129">
        <v>2691</v>
      </c>
      <c r="AF1129" s="37">
        <v>27.5</v>
      </c>
      <c r="AG1129" t="s">
        <v>3396</v>
      </c>
      <c r="AH1129">
        <v>3.4299136977637543</v>
      </c>
      <c r="AI1129" s="37">
        <v>19.5</v>
      </c>
      <c r="AJ1129" t="s">
        <v>1797</v>
      </c>
      <c r="AK1129" t="s">
        <v>59</v>
      </c>
      <c r="AM1129"/>
      <c r="AN1129">
        <v>15.8</v>
      </c>
      <c r="AO1129">
        <v>0.17320508075688773</v>
      </c>
      <c r="AP1129">
        <v>9.6999999999999993</v>
      </c>
      <c r="AQ1129">
        <v>0.69282032302755092</v>
      </c>
      <c r="AS1129">
        <v>-0.48799999999999999</v>
      </c>
      <c r="AT1129">
        <v>1.6999999999999999E-3</v>
      </c>
      <c r="AW1129" s="28">
        <f t="shared" si="85"/>
        <v>-12.079800024315428</v>
      </c>
      <c r="AX1129">
        <f t="shared" si="86"/>
        <v>0.8</v>
      </c>
      <c r="AY1129" s="62">
        <f t="shared" si="87"/>
        <v>-9.6638400194523442</v>
      </c>
      <c r="AZ1129" s="68" t="str">
        <f t="shared" si="88"/>
        <v>No</v>
      </c>
      <c r="BA1129" s="68" t="str">
        <f t="shared" si="89"/>
        <v>No</v>
      </c>
    </row>
    <row r="1130" spans="1:53" hidden="1">
      <c r="A1130" t="s">
        <v>1280</v>
      </c>
      <c r="B1130" t="str">
        <f t="shared" ref="B1130:B1193" si="90">ROW(A1130)&amp;"_Hamraj"</f>
        <v>1130_Hamraj</v>
      </c>
      <c r="C1130" t="s">
        <v>1309</v>
      </c>
      <c r="F1130" t="s">
        <v>1241</v>
      </c>
      <c r="G1130" t="s">
        <v>1281</v>
      </c>
      <c r="I1130">
        <v>2008</v>
      </c>
      <c r="M1130" s="25" t="s">
        <v>36</v>
      </c>
      <c r="N1130" t="s">
        <v>36</v>
      </c>
      <c r="O1130" t="s">
        <v>74</v>
      </c>
      <c r="P1130" t="s">
        <v>60</v>
      </c>
      <c r="Q1130" t="s">
        <v>899</v>
      </c>
      <c r="R1130" t="s">
        <v>828</v>
      </c>
      <c r="S1130" t="s">
        <v>1304</v>
      </c>
      <c r="T1130">
        <v>54</v>
      </c>
      <c r="V1130" t="s">
        <v>907</v>
      </c>
      <c r="Z1130">
        <v>11</v>
      </c>
      <c r="AA1130">
        <v>10</v>
      </c>
      <c r="AG1130" t="str">
        <f t="shared" ref="AG1130:AG1193" si="91">C1130 &amp; "_" &amp;
SUBSTITUTE(TRIM(S1130)," ","_") &amp; "_" &amp;
"D" &amp; TEXT(X1130,"0") &amp; "_" &amp;
"CO2" &amp; IF(AC1130&lt;&gt;"",TEXT(AC1130,"0.00"),"NA") &amp; "_" &amp;
"T" &amp; IF(AD1130&lt;&gt;"",TEXT(AD1130,"0.00"),"NA") &amp; "_" &amp;
"control_outcome" &amp; IF(AN1130&lt;&gt;"",TEXT(AN1130,"0.00"),"NA")</f>
        <v>1HELLO_Pseudocalanus_sp_D0_CO2NA_TNA_control_outcome0.45</v>
      </c>
      <c r="AI1130">
        <v>4</v>
      </c>
      <c r="AJ1130" t="s">
        <v>1308</v>
      </c>
      <c r="AK1130" t="s">
        <v>1279</v>
      </c>
      <c r="AM1130"/>
      <c r="AN1130">
        <v>0.44544302299999999</v>
      </c>
      <c r="AO1130">
        <v>0.171126256</v>
      </c>
      <c r="AP1130">
        <v>0.42959925300000001</v>
      </c>
      <c r="AQ1130">
        <v>0.111506085</v>
      </c>
      <c r="AS1130">
        <f t="shared" ref="AS1130:AS1193" si="92">LN(AP1130)-LN(AN1130)</f>
        <v>-3.6216539864776243E-2</v>
      </c>
      <c r="AT1130">
        <f t="shared" ref="AT1130:AT1193" si="93">(AQ1130^2)/(AA1130*AP1130^2) + (AO1130^2)/(Z1130*AN1130^2)</f>
        <v>2.0154082018712247E-2</v>
      </c>
      <c r="AU1130" t="s">
        <v>3806</v>
      </c>
      <c r="AW1130" s="28">
        <f t="shared" si="85"/>
        <v>-0.10855376625444144</v>
      </c>
      <c r="AX1130">
        <f t="shared" si="86"/>
        <v>0.96</v>
      </c>
      <c r="AY1130" s="62">
        <f t="shared" si="87"/>
        <v>-0.10421161560426377</v>
      </c>
      <c r="AZ1130" s="68" t="str">
        <f t="shared" si="88"/>
        <v>No</v>
      </c>
      <c r="BA1130" s="68" t="str">
        <f t="shared" si="89"/>
        <v>No</v>
      </c>
    </row>
    <row r="1131" spans="1:53" hidden="1">
      <c r="A1131" t="s">
        <v>1280</v>
      </c>
      <c r="B1131" t="str">
        <f t="shared" si="90"/>
        <v>1131_Hamraj</v>
      </c>
      <c r="C1131" t="s">
        <v>1309</v>
      </c>
      <c r="F1131" t="s">
        <v>1241</v>
      </c>
      <c r="G1131" t="s">
        <v>1282</v>
      </c>
      <c r="I1131">
        <v>2008</v>
      </c>
      <c r="M1131" s="25" t="s">
        <v>36</v>
      </c>
      <c r="N1131" t="s">
        <v>36</v>
      </c>
      <c r="O1131" t="s">
        <v>74</v>
      </c>
      <c r="P1131" t="s">
        <v>60</v>
      </c>
      <c r="Q1131" t="s">
        <v>899</v>
      </c>
      <c r="R1131" t="s">
        <v>828</v>
      </c>
      <c r="S1131" t="s">
        <v>1304</v>
      </c>
      <c r="T1131">
        <v>54</v>
      </c>
      <c r="V1131" t="s">
        <v>907</v>
      </c>
      <c r="Z1131">
        <v>11</v>
      </c>
      <c r="AA1131">
        <v>11</v>
      </c>
      <c r="AG1131" t="str">
        <f t="shared" si="91"/>
        <v>1HELLO_Pseudocalanus_sp_D0_CO2NA_TNA_control_outcome0.45</v>
      </c>
      <c r="AI1131">
        <v>6</v>
      </c>
      <c r="AJ1131" t="s">
        <v>1308</v>
      </c>
      <c r="AK1131" t="s">
        <v>1279</v>
      </c>
      <c r="AM1131"/>
      <c r="AN1131">
        <v>0.44544302299999999</v>
      </c>
      <c r="AO1131">
        <v>0.171126256</v>
      </c>
      <c r="AP1131">
        <v>0.55519348899999998</v>
      </c>
      <c r="AQ1131">
        <v>0.24871538200000001</v>
      </c>
      <c r="AS1131">
        <f t="shared" si="92"/>
        <v>0.22024733758725001</v>
      </c>
      <c r="AT1131">
        <f t="shared" si="93"/>
        <v>3.1661187092095422E-2</v>
      </c>
      <c r="AU1131" t="s">
        <v>3806</v>
      </c>
      <c r="AW1131" s="28">
        <f t="shared" si="85"/>
        <v>0.5141128184018332</v>
      </c>
      <c r="AX1131">
        <f t="shared" si="86"/>
        <v>0.96202531645569622</v>
      </c>
      <c r="AY1131" s="62">
        <f t="shared" si="87"/>
        <v>0.4945895468169535</v>
      </c>
      <c r="AZ1131" s="68" t="str">
        <f t="shared" si="88"/>
        <v>No</v>
      </c>
      <c r="BA1131" s="68" t="str">
        <f t="shared" si="89"/>
        <v>No</v>
      </c>
    </row>
    <row r="1132" spans="1:53" hidden="1">
      <c r="A1132" t="s">
        <v>1280</v>
      </c>
      <c r="B1132" t="str">
        <f t="shared" si="90"/>
        <v>1132_Hamraj</v>
      </c>
      <c r="C1132" t="s">
        <v>1309</v>
      </c>
      <c r="F1132" t="s">
        <v>1241</v>
      </c>
      <c r="G1132" t="s">
        <v>1283</v>
      </c>
      <c r="I1132">
        <v>2008</v>
      </c>
      <c r="M1132" s="25" t="s">
        <v>36</v>
      </c>
      <c r="N1132" t="s">
        <v>36</v>
      </c>
      <c r="O1132" t="s">
        <v>74</v>
      </c>
      <c r="P1132" t="s">
        <v>60</v>
      </c>
      <c r="Q1132" t="s">
        <v>899</v>
      </c>
      <c r="R1132" t="s">
        <v>828</v>
      </c>
      <c r="S1132" t="s">
        <v>1304</v>
      </c>
      <c r="T1132">
        <v>54</v>
      </c>
      <c r="V1132" t="s">
        <v>907</v>
      </c>
      <c r="Z1132">
        <v>11</v>
      </c>
      <c r="AA1132">
        <v>10</v>
      </c>
      <c r="AG1132" t="str">
        <f t="shared" si="91"/>
        <v>1HELLO_Pseudocalanus_sp_D0_CO2NA_TNA_control_outcome0.45</v>
      </c>
      <c r="AI1132">
        <v>8</v>
      </c>
      <c r="AJ1132" t="s">
        <v>1308</v>
      </c>
      <c r="AK1132" t="s">
        <v>1279</v>
      </c>
      <c r="AM1132"/>
      <c r="AN1132">
        <v>0.44544302299999999</v>
      </c>
      <c r="AO1132">
        <v>0.171126256</v>
      </c>
      <c r="AP1132">
        <v>0.42746870199999998</v>
      </c>
      <c r="AQ1132">
        <v>0.11053301</v>
      </c>
      <c r="AS1132">
        <f t="shared" si="92"/>
        <v>-4.1188270230302471E-2</v>
      </c>
      <c r="AT1132">
        <f t="shared" si="93"/>
        <v>2.0103165088456068E-2</v>
      </c>
      <c r="AU1132" t="s">
        <v>3806</v>
      </c>
      <c r="AW1132" s="28">
        <f t="shared" si="85"/>
        <v>-0.12344816312995917</v>
      </c>
      <c r="AX1132">
        <f t="shared" si="86"/>
        <v>0.96</v>
      </c>
      <c r="AY1132" s="62">
        <f t="shared" si="87"/>
        <v>-0.1185102366047608</v>
      </c>
      <c r="AZ1132" s="68" t="str">
        <f t="shared" si="88"/>
        <v>No</v>
      </c>
      <c r="BA1132" s="68" t="str">
        <f t="shared" si="89"/>
        <v>No</v>
      </c>
    </row>
    <row r="1133" spans="1:53" hidden="1">
      <c r="A1133" t="s">
        <v>1280</v>
      </c>
      <c r="B1133" t="str">
        <f t="shared" si="90"/>
        <v>1133_Hamraj</v>
      </c>
      <c r="C1133" t="s">
        <v>1310</v>
      </c>
      <c r="F1133" t="s">
        <v>1241</v>
      </c>
      <c r="G1133" t="s">
        <v>1284</v>
      </c>
      <c r="I1133">
        <v>2018</v>
      </c>
      <c r="M1133" s="25" t="s">
        <v>36</v>
      </c>
      <c r="N1133" t="s">
        <v>36</v>
      </c>
      <c r="O1133" t="s">
        <v>74</v>
      </c>
      <c r="P1133" t="s">
        <v>60</v>
      </c>
      <c r="Q1133" t="s">
        <v>899</v>
      </c>
      <c r="R1133" t="s">
        <v>828</v>
      </c>
      <c r="S1133" t="s">
        <v>1305</v>
      </c>
      <c r="T1133">
        <v>21</v>
      </c>
      <c r="V1133" t="s">
        <v>907</v>
      </c>
      <c r="Z1133">
        <v>3</v>
      </c>
      <c r="AA1133">
        <v>3</v>
      </c>
      <c r="AG1133" t="str">
        <f t="shared" si="91"/>
        <v>2HELLO_Parvocalanus_crassiorostris_D0_CO2NA_TNA_control_outcome29.90</v>
      </c>
      <c r="AI1133">
        <v>28</v>
      </c>
      <c r="AJ1133" t="s">
        <v>1308</v>
      </c>
      <c r="AK1133" t="s">
        <v>1279</v>
      </c>
      <c r="AM1133"/>
      <c r="AN1133">
        <v>29.896286</v>
      </c>
      <c r="AO1133">
        <v>22.677164449999999</v>
      </c>
      <c r="AP1133">
        <v>39.317520000000002</v>
      </c>
      <c r="AQ1133">
        <v>22.942980559999999</v>
      </c>
      <c r="AS1133">
        <f t="shared" si="92"/>
        <v>0.27393596242734075</v>
      </c>
      <c r="AT1133">
        <f t="shared" si="93"/>
        <v>0.30529084640113591</v>
      </c>
      <c r="AU1133" t="s">
        <v>3806</v>
      </c>
      <c r="AW1133" s="28">
        <f t="shared" si="85"/>
        <v>0.41302253962864172</v>
      </c>
      <c r="AX1133">
        <f t="shared" si="86"/>
        <v>0.8</v>
      </c>
      <c r="AY1133" s="62">
        <f t="shared" si="87"/>
        <v>0.3304180317029134</v>
      </c>
      <c r="AZ1133" s="68" t="str">
        <f t="shared" si="88"/>
        <v>No</v>
      </c>
      <c r="BA1133" s="68" t="str">
        <f t="shared" si="89"/>
        <v>No</v>
      </c>
    </row>
    <row r="1134" spans="1:53" hidden="1">
      <c r="A1134" t="s">
        <v>1280</v>
      </c>
      <c r="B1134" t="str">
        <f t="shared" si="90"/>
        <v>1134_Hamraj</v>
      </c>
      <c r="C1134" t="s">
        <v>1310</v>
      </c>
      <c r="F1134" t="s">
        <v>1241</v>
      </c>
      <c r="G1134" t="s">
        <v>1285</v>
      </c>
      <c r="I1134">
        <v>2018</v>
      </c>
      <c r="M1134" s="25" t="s">
        <v>36</v>
      </c>
      <c r="N1134" t="s">
        <v>36</v>
      </c>
      <c r="O1134" t="s">
        <v>74</v>
      </c>
      <c r="P1134" t="s">
        <v>60</v>
      </c>
      <c r="Q1134" t="s">
        <v>899</v>
      </c>
      <c r="R1134" t="s">
        <v>828</v>
      </c>
      <c r="S1134" t="s">
        <v>1305</v>
      </c>
      <c r="T1134">
        <v>21</v>
      </c>
      <c r="V1134" t="s">
        <v>907</v>
      </c>
      <c r="Z1134">
        <v>3</v>
      </c>
      <c r="AA1134">
        <v>3</v>
      </c>
      <c r="AG1134" t="str">
        <f t="shared" si="91"/>
        <v>2HELLO_Parvocalanus_crassiorostris_D0_CO2NA_TNA_control_outcome29.90</v>
      </c>
      <c r="AI1134">
        <v>32</v>
      </c>
      <c r="AJ1134" t="s">
        <v>1308</v>
      </c>
      <c r="AK1134" t="s">
        <v>1279</v>
      </c>
      <c r="AM1134"/>
      <c r="AN1134">
        <v>29.896286</v>
      </c>
      <c r="AO1134">
        <v>22.677164449999999</v>
      </c>
      <c r="AP1134">
        <v>313.15474999999998</v>
      </c>
      <c r="AQ1134">
        <v>320.93683829999998</v>
      </c>
      <c r="AS1134">
        <f t="shared" si="92"/>
        <v>2.348963218671392</v>
      </c>
      <c r="AT1134">
        <f t="shared" si="93"/>
        <v>0.54189440932612654</v>
      </c>
      <c r="AU1134" t="s">
        <v>3806</v>
      </c>
      <c r="AW1134" s="28">
        <f t="shared" si="85"/>
        <v>1.24507887049138</v>
      </c>
      <c r="AX1134">
        <f t="shared" si="86"/>
        <v>0.8</v>
      </c>
      <c r="AY1134" s="62">
        <f t="shared" si="87"/>
        <v>0.99606309639310409</v>
      </c>
      <c r="AZ1134" s="68" t="str">
        <f t="shared" si="88"/>
        <v>No</v>
      </c>
      <c r="BA1134" s="68" t="str">
        <f t="shared" si="89"/>
        <v>No</v>
      </c>
    </row>
    <row r="1135" spans="1:53" hidden="1">
      <c r="A1135" t="s">
        <v>1280</v>
      </c>
      <c r="B1135" t="str">
        <f t="shared" si="90"/>
        <v>1135_Hamraj</v>
      </c>
      <c r="C1135" t="s">
        <v>1310</v>
      </c>
      <c r="F1135" t="s">
        <v>1241</v>
      </c>
      <c r="G1135" t="s">
        <v>1286</v>
      </c>
      <c r="I1135">
        <v>2018</v>
      </c>
      <c r="M1135" s="25" t="s">
        <v>36</v>
      </c>
      <c r="N1135" t="s">
        <v>36</v>
      </c>
      <c r="O1135" t="s">
        <v>74</v>
      </c>
      <c r="P1135" t="s">
        <v>60</v>
      </c>
      <c r="Q1135" t="s">
        <v>899</v>
      </c>
      <c r="R1135" t="s">
        <v>828</v>
      </c>
      <c r="S1135" t="s">
        <v>1305</v>
      </c>
      <c r="T1135">
        <v>21</v>
      </c>
      <c r="V1135" t="s">
        <v>907</v>
      </c>
      <c r="Z1135">
        <v>3</v>
      </c>
      <c r="AA1135">
        <v>3</v>
      </c>
      <c r="AG1135" t="str">
        <f t="shared" si="91"/>
        <v>2HELLO_Parvocalanus_crassiorostris_D0_CO2NA_TNA_control_outcome614.10</v>
      </c>
      <c r="AI1135">
        <v>28</v>
      </c>
      <c r="AJ1135" t="s">
        <v>1308</v>
      </c>
      <c r="AK1135" t="s">
        <v>1279</v>
      </c>
      <c r="AM1135"/>
      <c r="AN1135">
        <v>614.10339999999997</v>
      </c>
      <c r="AO1135">
        <v>605.29951860000006</v>
      </c>
      <c r="AP1135">
        <v>92.690690000000004</v>
      </c>
      <c r="AQ1135">
        <v>44.955829039999998</v>
      </c>
      <c r="AS1135">
        <f t="shared" si="92"/>
        <v>-1.8908952818488221</v>
      </c>
      <c r="AT1135">
        <f t="shared" si="93"/>
        <v>0.40225568410108692</v>
      </c>
      <c r="AU1135" t="s">
        <v>3806</v>
      </c>
      <c r="AW1135" s="28">
        <f t="shared" si="85"/>
        <v>-1.2148754902607544</v>
      </c>
      <c r="AX1135">
        <f t="shared" si="86"/>
        <v>0.8</v>
      </c>
      <c r="AY1135" s="62">
        <f t="shared" si="87"/>
        <v>-0.97190039220860358</v>
      </c>
      <c r="AZ1135" s="68" t="str">
        <f t="shared" si="88"/>
        <v>No</v>
      </c>
      <c r="BA1135" s="68" t="str">
        <f t="shared" si="89"/>
        <v>No</v>
      </c>
    </row>
    <row r="1136" spans="1:53" hidden="1">
      <c r="A1136" t="s">
        <v>1280</v>
      </c>
      <c r="B1136" t="str">
        <f t="shared" si="90"/>
        <v>1136_Hamraj</v>
      </c>
      <c r="C1136" t="s">
        <v>1310</v>
      </c>
      <c r="F1136" t="s">
        <v>1241</v>
      </c>
      <c r="G1136" t="s">
        <v>1287</v>
      </c>
      <c r="I1136">
        <v>2018</v>
      </c>
      <c r="M1136" s="25" t="s">
        <v>36</v>
      </c>
      <c r="N1136" t="s">
        <v>36</v>
      </c>
      <c r="O1136" t="s">
        <v>74</v>
      </c>
      <c r="P1136" t="s">
        <v>60</v>
      </c>
      <c r="Q1136" t="s">
        <v>899</v>
      </c>
      <c r="R1136" t="s">
        <v>828</v>
      </c>
      <c r="S1136" t="s">
        <v>1305</v>
      </c>
      <c r="T1136">
        <v>21</v>
      </c>
      <c r="V1136" t="s">
        <v>907</v>
      </c>
      <c r="Z1136">
        <v>3</v>
      </c>
      <c r="AA1136">
        <v>3</v>
      </c>
      <c r="AG1136" t="str">
        <f t="shared" si="91"/>
        <v>2HELLO_Parvocalanus_crassiorostris_D0_CO2NA_TNA_control_outcome614.10</v>
      </c>
      <c r="AI1136">
        <v>32</v>
      </c>
      <c r="AJ1136" t="s">
        <v>1308</v>
      </c>
      <c r="AK1136" t="s">
        <v>1279</v>
      </c>
      <c r="AM1136"/>
      <c r="AN1136">
        <v>614.10339999999997</v>
      </c>
      <c r="AO1136">
        <v>605.29951860000006</v>
      </c>
      <c r="AP1136">
        <v>108.46702000000001</v>
      </c>
      <c r="AQ1136">
        <v>59.75008905</v>
      </c>
      <c r="AS1136">
        <f t="shared" si="92"/>
        <v>-1.7337171542368734</v>
      </c>
      <c r="AT1136">
        <f t="shared" si="93"/>
        <v>0.42499313701912778</v>
      </c>
      <c r="AU1136" t="s">
        <v>3806</v>
      </c>
      <c r="AW1136" s="28">
        <f t="shared" si="85"/>
        <v>-1.1756480993539538</v>
      </c>
      <c r="AX1136">
        <f t="shared" si="86"/>
        <v>0.8</v>
      </c>
      <c r="AY1136" s="62">
        <f t="shared" si="87"/>
        <v>-0.94051847948316303</v>
      </c>
      <c r="AZ1136" s="68" t="str">
        <f t="shared" si="88"/>
        <v>No</v>
      </c>
      <c r="BA1136" s="68" t="str">
        <f t="shared" si="89"/>
        <v>No</v>
      </c>
    </row>
    <row r="1137" spans="1:53" hidden="1">
      <c r="A1137" t="s">
        <v>1280</v>
      </c>
      <c r="B1137" t="str">
        <f t="shared" si="90"/>
        <v>1137_Hamraj</v>
      </c>
      <c r="C1137" t="s">
        <v>1310</v>
      </c>
      <c r="F1137" t="s">
        <v>1241</v>
      </c>
      <c r="G1137" t="s">
        <v>1288</v>
      </c>
      <c r="I1137">
        <v>2018</v>
      </c>
      <c r="M1137" s="25" t="s">
        <v>36</v>
      </c>
      <c r="N1137" t="s">
        <v>36</v>
      </c>
      <c r="O1137" t="s">
        <v>74</v>
      </c>
      <c r="P1137" t="s">
        <v>60</v>
      </c>
      <c r="Q1137" t="s">
        <v>899</v>
      </c>
      <c r="R1137" t="s">
        <v>828</v>
      </c>
      <c r="S1137" t="s">
        <v>1305</v>
      </c>
      <c r="T1137">
        <v>21</v>
      </c>
      <c r="V1137" t="s">
        <v>907</v>
      </c>
      <c r="Z1137">
        <v>3</v>
      </c>
      <c r="AA1137">
        <v>3</v>
      </c>
      <c r="AG1137" t="str">
        <f t="shared" si="91"/>
        <v>2HELLO_Parvocalanus_crassiorostris_D0_CO2NA_TNA_control_outcome44.59</v>
      </c>
      <c r="AI1137">
        <v>28</v>
      </c>
      <c r="AJ1137" t="s">
        <v>1308</v>
      </c>
      <c r="AK1137" t="s">
        <v>1279</v>
      </c>
      <c r="AM1137"/>
      <c r="AN1137">
        <v>44.593257999999999</v>
      </c>
      <c r="AO1137">
        <v>5.8283197910000002</v>
      </c>
      <c r="AP1137">
        <v>150.72198</v>
      </c>
      <c r="AQ1137">
        <v>28.03826527</v>
      </c>
      <c r="AS1137">
        <f t="shared" si="92"/>
        <v>1.2178542660044229</v>
      </c>
      <c r="AT1137">
        <f t="shared" si="93"/>
        <v>1.7229398279214797E-2</v>
      </c>
      <c r="AU1137" t="s">
        <v>3806</v>
      </c>
      <c r="AW1137" s="28">
        <f t="shared" si="85"/>
        <v>5.2409608700018593</v>
      </c>
      <c r="AX1137">
        <f t="shared" si="86"/>
        <v>0.8</v>
      </c>
      <c r="AY1137" s="62">
        <f t="shared" si="87"/>
        <v>4.1927686960014876</v>
      </c>
      <c r="AZ1137" s="68" t="str">
        <f t="shared" si="88"/>
        <v>No</v>
      </c>
      <c r="BA1137" s="68" t="str">
        <f t="shared" si="89"/>
        <v>No</v>
      </c>
    </row>
    <row r="1138" spans="1:53" hidden="1">
      <c r="A1138" t="s">
        <v>1280</v>
      </c>
      <c r="B1138" t="str">
        <f t="shared" si="90"/>
        <v>1138_Hamraj</v>
      </c>
      <c r="C1138" t="s">
        <v>1310</v>
      </c>
      <c r="F1138" t="s">
        <v>1241</v>
      </c>
      <c r="G1138" t="s">
        <v>1289</v>
      </c>
      <c r="I1138">
        <v>2018</v>
      </c>
      <c r="M1138" s="25" t="s">
        <v>36</v>
      </c>
      <c r="N1138" t="s">
        <v>36</v>
      </c>
      <c r="O1138" t="s">
        <v>74</v>
      </c>
      <c r="P1138" t="s">
        <v>60</v>
      </c>
      <c r="Q1138" t="s">
        <v>899</v>
      </c>
      <c r="R1138" t="s">
        <v>828</v>
      </c>
      <c r="S1138" t="s">
        <v>1305</v>
      </c>
      <c r="T1138">
        <v>21</v>
      </c>
      <c r="V1138" t="s">
        <v>907</v>
      </c>
      <c r="Z1138">
        <v>3</v>
      </c>
      <c r="AA1138">
        <v>3</v>
      </c>
      <c r="AG1138" t="str">
        <f t="shared" si="91"/>
        <v>2HELLO_Parvocalanus_crassiorostris_D0_CO2NA_TNA_control_outcome44.59</v>
      </c>
      <c r="AI1138">
        <v>32</v>
      </c>
      <c r="AJ1138" t="s">
        <v>1308</v>
      </c>
      <c r="AK1138" t="s">
        <v>1279</v>
      </c>
      <c r="AM1138"/>
      <c r="AN1138">
        <v>44.593257999999999</v>
      </c>
      <c r="AO1138">
        <v>5.8283197910000002</v>
      </c>
      <c r="AP1138">
        <v>49.133670000000002</v>
      </c>
      <c r="AQ1138">
        <v>27.018104659999999</v>
      </c>
      <c r="AS1138">
        <f t="shared" si="92"/>
        <v>9.6961861486755119E-2</v>
      </c>
      <c r="AT1138">
        <f t="shared" si="93"/>
        <v>0.10648706201646829</v>
      </c>
      <c r="AU1138" t="s">
        <v>3806</v>
      </c>
      <c r="AW1138" s="28">
        <f t="shared" si="85"/>
        <v>0.23231570130260068</v>
      </c>
      <c r="AX1138">
        <f t="shared" si="86"/>
        <v>0.8</v>
      </c>
      <c r="AY1138" s="62">
        <f t="shared" si="87"/>
        <v>0.18585256104208056</v>
      </c>
      <c r="AZ1138" s="68" t="str">
        <f t="shared" si="88"/>
        <v>No</v>
      </c>
      <c r="BA1138" s="68" t="str">
        <f t="shared" si="89"/>
        <v>No</v>
      </c>
    </row>
    <row r="1139" spans="1:53" hidden="1">
      <c r="A1139" t="s">
        <v>1280</v>
      </c>
      <c r="B1139" t="str">
        <f t="shared" si="90"/>
        <v>1139_Hamraj</v>
      </c>
      <c r="C1139" t="s">
        <v>1310</v>
      </c>
      <c r="F1139" t="s">
        <v>1241</v>
      </c>
      <c r="G1139" t="s">
        <v>1290</v>
      </c>
      <c r="I1139">
        <v>2018</v>
      </c>
      <c r="M1139" s="25" t="s">
        <v>36</v>
      </c>
      <c r="N1139" t="s">
        <v>36</v>
      </c>
      <c r="O1139" t="s">
        <v>74</v>
      </c>
      <c r="P1139" t="s">
        <v>60</v>
      </c>
      <c r="Q1139" t="s">
        <v>899</v>
      </c>
      <c r="R1139" t="s">
        <v>828</v>
      </c>
      <c r="S1139" t="s">
        <v>1305</v>
      </c>
      <c r="T1139">
        <v>21</v>
      </c>
      <c r="V1139" t="s">
        <v>907</v>
      </c>
      <c r="Z1139">
        <v>3</v>
      </c>
      <c r="AA1139">
        <v>3</v>
      </c>
      <c r="AG1139" t="str">
        <f t="shared" si="91"/>
        <v>2HELLO_Parvocalanus_crassiorostris_D0_CO2NA_TNA_control_outcome24.59</v>
      </c>
      <c r="AI1139">
        <v>28</v>
      </c>
      <c r="AJ1139" t="s">
        <v>1308</v>
      </c>
      <c r="AK1139" t="s">
        <v>1279</v>
      </c>
      <c r="AM1139"/>
      <c r="AN1139">
        <v>24.590122000000001</v>
      </c>
      <c r="AO1139">
        <v>20.478026310000001</v>
      </c>
      <c r="AP1139">
        <v>210.6336</v>
      </c>
      <c r="AQ1139">
        <v>95.619285110000007</v>
      </c>
      <c r="AS1139">
        <f t="shared" si="92"/>
        <v>2.1477753135514002</v>
      </c>
      <c r="AT1139">
        <f t="shared" si="93"/>
        <v>0.29986442485823006</v>
      </c>
      <c r="AU1139" t="s">
        <v>3806</v>
      </c>
      <c r="AW1139" s="28">
        <f t="shared" si="85"/>
        <v>2.6905809129233393</v>
      </c>
      <c r="AX1139">
        <f t="shared" si="86"/>
        <v>0.8</v>
      </c>
      <c r="AY1139" s="62">
        <f t="shared" si="87"/>
        <v>2.1524647303386715</v>
      </c>
      <c r="AZ1139" s="68" t="str">
        <f t="shared" si="88"/>
        <v>No</v>
      </c>
      <c r="BA1139" s="68" t="str">
        <f t="shared" si="89"/>
        <v>No</v>
      </c>
    </row>
    <row r="1140" spans="1:53" hidden="1">
      <c r="A1140" t="s">
        <v>1280</v>
      </c>
      <c r="B1140" t="str">
        <f t="shared" si="90"/>
        <v>1140_Hamraj</v>
      </c>
      <c r="C1140" t="s">
        <v>1310</v>
      </c>
      <c r="F1140" t="s">
        <v>1241</v>
      </c>
      <c r="G1140" t="s">
        <v>1291</v>
      </c>
      <c r="I1140">
        <v>2018</v>
      </c>
      <c r="M1140" s="25" t="s">
        <v>36</v>
      </c>
      <c r="N1140" t="s">
        <v>36</v>
      </c>
      <c r="O1140" t="s">
        <v>74</v>
      </c>
      <c r="P1140" t="s">
        <v>60</v>
      </c>
      <c r="Q1140" t="s">
        <v>899</v>
      </c>
      <c r="R1140" t="s">
        <v>828</v>
      </c>
      <c r="S1140" t="s">
        <v>1305</v>
      </c>
      <c r="T1140">
        <v>21</v>
      </c>
      <c r="V1140" t="s">
        <v>907</v>
      </c>
      <c r="Z1140">
        <v>3</v>
      </c>
      <c r="AA1140">
        <v>3</v>
      </c>
      <c r="AG1140" t="str">
        <f t="shared" si="91"/>
        <v>2HELLO_Parvocalanus_crassiorostris_D0_CO2NA_TNA_control_outcome24.59</v>
      </c>
      <c r="AI1140">
        <v>32</v>
      </c>
      <c r="AJ1140" t="s">
        <v>1308</v>
      </c>
      <c r="AK1140" t="s">
        <v>1279</v>
      </c>
      <c r="AM1140"/>
      <c r="AN1140">
        <v>24.590122000000001</v>
      </c>
      <c r="AO1140">
        <v>20.478026310000001</v>
      </c>
      <c r="AP1140">
        <v>64.787604999999999</v>
      </c>
      <c r="AQ1140">
        <v>35.688873979999997</v>
      </c>
      <c r="AS1140">
        <f t="shared" si="92"/>
        <v>0.9687694866153107</v>
      </c>
      <c r="AT1140">
        <f t="shared" si="93"/>
        <v>0.33231988231664172</v>
      </c>
      <c r="AU1140" t="s">
        <v>3806</v>
      </c>
      <c r="AW1140" s="28">
        <f t="shared" si="85"/>
        <v>1.3815912383852278</v>
      </c>
      <c r="AX1140">
        <f t="shared" si="86"/>
        <v>0.8</v>
      </c>
      <c r="AY1140" s="62">
        <f t="shared" si="87"/>
        <v>1.1052729907081822</v>
      </c>
      <c r="AZ1140" s="68" t="str">
        <f t="shared" si="88"/>
        <v>No</v>
      </c>
      <c r="BA1140" s="68" t="str">
        <f t="shared" si="89"/>
        <v>No</v>
      </c>
    </row>
    <row r="1141" spans="1:53" hidden="1">
      <c r="A1141" t="s">
        <v>1280</v>
      </c>
      <c r="B1141" t="str">
        <f t="shared" si="90"/>
        <v>1141_Hamraj</v>
      </c>
      <c r="C1141" t="s">
        <v>1311</v>
      </c>
      <c r="F1141" t="s">
        <v>1241</v>
      </c>
      <c r="G1141" t="s">
        <v>1292</v>
      </c>
      <c r="I1141">
        <v>2019</v>
      </c>
      <c r="M1141" s="25" t="s">
        <v>36</v>
      </c>
      <c r="N1141" t="s">
        <v>36</v>
      </c>
      <c r="O1141" t="s">
        <v>3813</v>
      </c>
      <c r="P1141" t="s">
        <v>60</v>
      </c>
      <c r="Q1141" t="s">
        <v>899</v>
      </c>
      <c r="R1141" t="s">
        <v>828</v>
      </c>
      <c r="S1141" t="s">
        <v>836</v>
      </c>
      <c r="T1141">
        <v>63</v>
      </c>
      <c r="V1141" t="s">
        <v>907</v>
      </c>
      <c r="Z1141">
        <v>3</v>
      </c>
      <c r="AA1141">
        <v>3</v>
      </c>
      <c r="AG1141" t="str">
        <f t="shared" si="91"/>
        <v>3HELLO_Calanus_finmarchicus_D0_CO2NA_TNA_control_outcome1.47</v>
      </c>
      <c r="AI1141">
        <v>14</v>
      </c>
      <c r="AJ1141" t="s">
        <v>1308</v>
      </c>
      <c r="AK1141" t="s">
        <v>1279</v>
      </c>
      <c r="AM1141"/>
      <c r="AN1141">
        <v>1.4745098329999999</v>
      </c>
      <c r="AO1141">
        <v>0.498764335</v>
      </c>
      <c r="AP1141">
        <v>1.6000000329999999</v>
      </c>
      <c r="AQ1141">
        <v>0.14117645000000001</v>
      </c>
      <c r="AS1141">
        <f t="shared" si="92"/>
        <v>8.1678031918522465E-2</v>
      </c>
      <c r="AT1141">
        <f t="shared" si="93"/>
        <v>4.0734583343279951E-2</v>
      </c>
      <c r="AU1141" t="s">
        <v>3806</v>
      </c>
      <c r="AW1141" s="28">
        <f t="shared" si="85"/>
        <v>0.34236840676557606</v>
      </c>
      <c r="AX1141">
        <f t="shared" si="86"/>
        <v>0.8</v>
      </c>
      <c r="AY1141" s="62">
        <f t="shared" si="87"/>
        <v>0.27389472541246085</v>
      </c>
      <c r="AZ1141" s="68" t="str">
        <f t="shared" si="88"/>
        <v>No</v>
      </c>
      <c r="BA1141" s="68" t="str">
        <f t="shared" si="89"/>
        <v>No</v>
      </c>
    </row>
    <row r="1142" spans="1:53" hidden="1">
      <c r="A1142" t="s">
        <v>1280</v>
      </c>
      <c r="B1142" t="str">
        <f t="shared" si="90"/>
        <v>1142_Hamraj</v>
      </c>
      <c r="C1142" t="s">
        <v>1311</v>
      </c>
      <c r="F1142" t="s">
        <v>1241</v>
      </c>
      <c r="G1142" t="s">
        <v>1293</v>
      </c>
      <c r="I1142">
        <v>2019</v>
      </c>
      <c r="M1142" s="25" t="s">
        <v>36</v>
      </c>
      <c r="N1142" t="s">
        <v>36</v>
      </c>
      <c r="O1142" t="s">
        <v>3813</v>
      </c>
      <c r="P1142" t="s">
        <v>60</v>
      </c>
      <c r="Q1142" t="s">
        <v>899</v>
      </c>
      <c r="R1142" t="s">
        <v>828</v>
      </c>
      <c r="S1142" t="s">
        <v>836</v>
      </c>
      <c r="T1142">
        <v>63</v>
      </c>
      <c r="V1142" t="s">
        <v>907</v>
      </c>
      <c r="Z1142">
        <v>3</v>
      </c>
      <c r="AA1142">
        <v>3</v>
      </c>
      <c r="AG1142" t="str">
        <f t="shared" si="91"/>
        <v>3HELLO_Calanus_finmarchicus_D0_CO2NA_TNA_control_outcome12.93</v>
      </c>
      <c r="AI1142">
        <v>14</v>
      </c>
      <c r="AJ1142" t="s">
        <v>1308</v>
      </c>
      <c r="AK1142" t="s">
        <v>1279</v>
      </c>
      <c r="AM1142"/>
      <c r="AN1142">
        <v>12.930232670000001</v>
      </c>
      <c r="AO1142">
        <v>0.16770001400000001</v>
      </c>
      <c r="AP1142">
        <v>8.2480619999999991</v>
      </c>
      <c r="AQ1142">
        <v>0.37306074900000002</v>
      </c>
      <c r="AS1142">
        <f t="shared" si="92"/>
        <v>-0.4495899235478813</v>
      </c>
      <c r="AT1142">
        <f t="shared" si="93"/>
        <v>7.3799116132753902E-4</v>
      </c>
      <c r="AU1142" t="s">
        <v>3806</v>
      </c>
      <c r="AW1142" s="28">
        <f t="shared" si="85"/>
        <v>-16.188900743266462</v>
      </c>
      <c r="AX1142">
        <f t="shared" si="86"/>
        <v>0.8</v>
      </c>
      <c r="AY1142" s="62">
        <f t="shared" si="87"/>
        <v>-12.951120594613171</v>
      </c>
      <c r="AZ1142" s="68" t="str">
        <f t="shared" si="88"/>
        <v>No</v>
      </c>
      <c r="BA1142" s="68" t="str">
        <f t="shared" si="89"/>
        <v>Yes</v>
      </c>
    </row>
    <row r="1143" spans="1:53" hidden="1">
      <c r="A1143" t="s">
        <v>1280</v>
      </c>
      <c r="B1143" t="str">
        <f t="shared" si="90"/>
        <v>1143_Hamraj</v>
      </c>
      <c r="C1143" t="s">
        <v>1312</v>
      </c>
      <c r="F1143" t="s">
        <v>1241</v>
      </c>
      <c r="G1143" t="s">
        <v>1294</v>
      </c>
      <c r="I1143">
        <v>1992</v>
      </c>
      <c r="M1143" s="25" t="s">
        <v>36</v>
      </c>
      <c r="N1143" t="s">
        <v>36</v>
      </c>
      <c r="O1143" t="s">
        <v>74</v>
      </c>
      <c r="P1143" t="s">
        <v>60</v>
      </c>
      <c r="Q1143" t="s">
        <v>899</v>
      </c>
      <c r="R1143" t="s">
        <v>828</v>
      </c>
      <c r="S1143" t="s">
        <v>804</v>
      </c>
      <c r="T1143">
        <v>51</v>
      </c>
      <c r="V1143" t="s">
        <v>907</v>
      </c>
      <c r="Z1143">
        <v>4</v>
      </c>
      <c r="AA1143">
        <v>6</v>
      </c>
      <c r="AG1143" t="str">
        <f t="shared" si="91"/>
        <v>4HELLO_Acartia_hudsonica_D0_CO2NA_TNA_control_outcome15.38</v>
      </c>
      <c r="AI1143">
        <v>8</v>
      </c>
      <c r="AJ1143" t="s">
        <v>1308</v>
      </c>
      <c r="AK1143" t="s">
        <v>1279</v>
      </c>
      <c r="AM1143"/>
      <c r="AN1143">
        <v>15.375</v>
      </c>
      <c r="AO1143">
        <v>1.1086778909999999</v>
      </c>
      <c r="AP1143">
        <v>14</v>
      </c>
      <c r="AQ1143">
        <v>2.7568097499999999</v>
      </c>
      <c r="AS1143">
        <f t="shared" si="92"/>
        <v>-9.3685484077323355E-2</v>
      </c>
      <c r="AT1143">
        <f t="shared" si="93"/>
        <v>7.7625167298443123E-3</v>
      </c>
      <c r="AU1143" t="s">
        <v>3806</v>
      </c>
      <c r="AW1143" s="28">
        <f t="shared" si="85"/>
        <v>-0.6023442461106111</v>
      </c>
      <c r="AX1143">
        <f t="shared" si="86"/>
        <v>0.90322580645161288</v>
      </c>
      <c r="AY1143" s="62">
        <f t="shared" si="87"/>
        <v>-0.54405286745474546</v>
      </c>
      <c r="AZ1143" s="68" t="str">
        <f t="shared" si="88"/>
        <v>No</v>
      </c>
      <c r="BA1143" s="68" t="str">
        <f t="shared" si="89"/>
        <v>No</v>
      </c>
    </row>
    <row r="1144" spans="1:53" hidden="1">
      <c r="A1144" t="s">
        <v>1280</v>
      </c>
      <c r="B1144" t="str">
        <f t="shared" si="90"/>
        <v>1144_Hamraj</v>
      </c>
      <c r="C1144" t="s">
        <v>1312</v>
      </c>
      <c r="F1144" t="s">
        <v>1241</v>
      </c>
      <c r="G1144" t="s">
        <v>1295</v>
      </c>
      <c r="I1144">
        <v>1992</v>
      </c>
      <c r="M1144" s="25" t="s">
        <v>36</v>
      </c>
      <c r="N1144" t="s">
        <v>36</v>
      </c>
      <c r="O1144" t="s">
        <v>74</v>
      </c>
      <c r="P1144" t="s">
        <v>60</v>
      </c>
      <c r="Q1144" t="s">
        <v>899</v>
      </c>
      <c r="R1144" t="s">
        <v>828</v>
      </c>
      <c r="S1144" t="s">
        <v>804</v>
      </c>
      <c r="T1144">
        <v>51</v>
      </c>
      <c r="V1144" t="s">
        <v>907</v>
      </c>
      <c r="Z1144">
        <v>4</v>
      </c>
      <c r="AA1144">
        <v>4</v>
      </c>
      <c r="AG1144" t="str">
        <f t="shared" si="91"/>
        <v>4HELLO_Acartia_hudsonica_D0_CO2NA_TNA_control_outcome15.38</v>
      </c>
      <c r="AI1144">
        <v>12</v>
      </c>
      <c r="AJ1144" t="s">
        <v>1308</v>
      </c>
      <c r="AK1144" t="s">
        <v>1279</v>
      </c>
      <c r="AM1144"/>
      <c r="AN1144">
        <v>15.375</v>
      </c>
      <c r="AO1144">
        <v>1.1086778909999999</v>
      </c>
      <c r="AP1144">
        <v>18.75</v>
      </c>
      <c r="AQ1144">
        <v>1.0408329999999999</v>
      </c>
      <c r="AS1144">
        <f t="shared" si="92"/>
        <v>0.19845093872383801</v>
      </c>
      <c r="AT1144">
        <f t="shared" si="93"/>
        <v>2.0703020685561993E-3</v>
      </c>
      <c r="AU1144" t="s">
        <v>3806</v>
      </c>
      <c r="AW1144" s="28">
        <f t="shared" si="85"/>
        <v>3.1386862461637377</v>
      </c>
      <c r="AX1144">
        <f t="shared" si="86"/>
        <v>0.86956521739130432</v>
      </c>
      <c r="AY1144" s="62">
        <f t="shared" si="87"/>
        <v>2.7292923879684676</v>
      </c>
      <c r="AZ1144" s="68" t="str">
        <f t="shared" si="88"/>
        <v>No</v>
      </c>
      <c r="BA1144" s="68" t="str">
        <f t="shared" si="89"/>
        <v>No</v>
      </c>
    </row>
    <row r="1145" spans="1:53" hidden="1">
      <c r="A1145" t="s">
        <v>1280</v>
      </c>
      <c r="B1145" t="str">
        <f t="shared" si="90"/>
        <v>1145_Hamraj</v>
      </c>
      <c r="C1145" t="s">
        <v>1312</v>
      </c>
      <c r="F1145" t="s">
        <v>1241</v>
      </c>
      <c r="G1145" t="s">
        <v>1296</v>
      </c>
      <c r="I1145">
        <v>1992</v>
      </c>
      <c r="M1145" s="25" t="s">
        <v>36</v>
      </c>
      <c r="N1145" t="s">
        <v>36</v>
      </c>
      <c r="O1145" t="s">
        <v>74</v>
      </c>
      <c r="P1145" t="s">
        <v>60</v>
      </c>
      <c r="Q1145" t="s">
        <v>899</v>
      </c>
      <c r="R1145" t="s">
        <v>828</v>
      </c>
      <c r="S1145" t="s">
        <v>804</v>
      </c>
      <c r="T1145">
        <v>51</v>
      </c>
      <c r="V1145" t="s">
        <v>907</v>
      </c>
      <c r="Z1145">
        <v>4</v>
      </c>
      <c r="AA1145">
        <v>4</v>
      </c>
      <c r="AG1145" t="str">
        <f t="shared" si="91"/>
        <v>4HELLO_Acartia_hudsonica_D0_CO2NA_TNA_control_outcome15.38</v>
      </c>
      <c r="AI1145">
        <v>16</v>
      </c>
      <c r="AJ1145" t="s">
        <v>1308</v>
      </c>
      <c r="AK1145" t="s">
        <v>1279</v>
      </c>
      <c r="AM1145"/>
      <c r="AN1145">
        <v>15.375</v>
      </c>
      <c r="AO1145">
        <v>1.1086778909999999</v>
      </c>
      <c r="AP1145">
        <v>26.5</v>
      </c>
      <c r="AQ1145">
        <v>3.4156502550000001</v>
      </c>
      <c r="AS1145">
        <f t="shared" si="92"/>
        <v>0.54440191929959481</v>
      </c>
      <c r="AT1145">
        <f t="shared" si="93"/>
        <v>5.4532484170792478E-3</v>
      </c>
      <c r="AU1145" t="s">
        <v>3806</v>
      </c>
      <c r="AW1145" s="28">
        <f t="shared" si="85"/>
        <v>4.3811720834651986</v>
      </c>
      <c r="AX1145">
        <f t="shared" si="86"/>
        <v>0.86956521739130432</v>
      </c>
      <c r="AY1145" s="62">
        <f t="shared" si="87"/>
        <v>3.8097148551871292</v>
      </c>
      <c r="AZ1145" s="68" t="str">
        <f t="shared" si="88"/>
        <v>No</v>
      </c>
      <c r="BA1145" s="68" t="str">
        <f t="shared" si="89"/>
        <v>No</v>
      </c>
    </row>
    <row r="1146" spans="1:53" hidden="1">
      <c r="A1146" t="s">
        <v>1280</v>
      </c>
      <c r="B1146" t="str">
        <f t="shared" si="90"/>
        <v>1146_Hamraj</v>
      </c>
      <c r="C1146" t="s">
        <v>1313</v>
      </c>
      <c r="F1146" t="s">
        <v>1241</v>
      </c>
      <c r="G1146" t="s">
        <v>1297</v>
      </c>
      <c r="I1146">
        <v>2013</v>
      </c>
      <c r="M1146" s="25" t="s">
        <v>36</v>
      </c>
      <c r="N1146" t="s">
        <v>36</v>
      </c>
      <c r="O1146" t="s">
        <v>74</v>
      </c>
      <c r="P1146" t="s">
        <v>60</v>
      </c>
      <c r="Q1146" t="s">
        <v>899</v>
      </c>
      <c r="R1146" t="s">
        <v>828</v>
      </c>
      <c r="S1146" t="s">
        <v>1306</v>
      </c>
      <c r="T1146">
        <v>38</v>
      </c>
      <c r="V1146" t="s">
        <v>907</v>
      </c>
      <c r="Z1146">
        <v>3</v>
      </c>
      <c r="AA1146">
        <v>5</v>
      </c>
      <c r="AG1146" t="str">
        <f t="shared" si="91"/>
        <v>5HELLO_Centropages_chierchiae_D0_CO2NA_TNA_control_outcome21.52</v>
      </c>
      <c r="AI1146">
        <v>13</v>
      </c>
      <c r="AJ1146" t="s">
        <v>1308</v>
      </c>
      <c r="AK1146" t="s">
        <v>1279</v>
      </c>
      <c r="AM1146"/>
      <c r="AN1146">
        <v>21.516175</v>
      </c>
      <c r="AO1146">
        <v>4.453376188</v>
      </c>
      <c r="AP1146">
        <v>18.031914799999999</v>
      </c>
      <c r="AQ1146">
        <v>3.0942635200000002</v>
      </c>
      <c r="AS1146">
        <f t="shared" si="92"/>
        <v>-0.17666174550717306</v>
      </c>
      <c r="AT1146">
        <f t="shared" si="93"/>
        <v>2.0169234906583337E-2</v>
      </c>
      <c r="AU1146" t="s">
        <v>3806</v>
      </c>
      <c r="AW1146" s="28">
        <f t="shared" si="85"/>
        <v>-0.96658927824370833</v>
      </c>
      <c r="AX1146">
        <f t="shared" si="86"/>
        <v>0.86956521739130432</v>
      </c>
      <c r="AY1146" s="62">
        <f t="shared" si="87"/>
        <v>-0.8405124158640942</v>
      </c>
      <c r="AZ1146" s="68" t="str">
        <f t="shared" si="88"/>
        <v>No</v>
      </c>
      <c r="BA1146" s="68" t="str">
        <f t="shared" si="89"/>
        <v>No</v>
      </c>
    </row>
    <row r="1147" spans="1:53" hidden="1">
      <c r="A1147" t="s">
        <v>1280</v>
      </c>
      <c r="B1147" t="str">
        <f t="shared" si="90"/>
        <v>1147_Hamraj</v>
      </c>
      <c r="C1147" t="s">
        <v>1313</v>
      </c>
      <c r="F1147" t="s">
        <v>1241</v>
      </c>
      <c r="G1147" t="s">
        <v>1298</v>
      </c>
      <c r="I1147">
        <v>2013</v>
      </c>
      <c r="M1147" s="25" t="s">
        <v>36</v>
      </c>
      <c r="N1147" t="s">
        <v>36</v>
      </c>
      <c r="O1147" t="s">
        <v>74</v>
      </c>
      <c r="P1147" t="s">
        <v>60</v>
      </c>
      <c r="Q1147" t="s">
        <v>899</v>
      </c>
      <c r="R1147" t="s">
        <v>828</v>
      </c>
      <c r="S1147" t="s">
        <v>1306</v>
      </c>
      <c r="T1147">
        <v>38</v>
      </c>
      <c r="V1147" t="s">
        <v>907</v>
      </c>
      <c r="Z1147">
        <v>3</v>
      </c>
      <c r="AA1147">
        <v>4</v>
      </c>
      <c r="AG1147" t="str">
        <f t="shared" si="91"/>
        <v>5HELLO_Centropages_chierchiae_D0_CO2NA_TNA_control_outcome21.52</v>
      </c>
      <c r="AI1147">
        <v>19</v>
      </c>
      <c r="AJ1147" t="s">
        <v>1308</v>
      </c>
      <c r="AK1147" t="s">
        <v>1279</v>
      </c>
      <c r="AM1147"/>
      <c r="AN1147">
        <v>21.516175</v>
      </c>
      <c r="AO1147">
        <v>4.453376188</v>
      </c>
      <c r="AP1147">
        <v>27.615308750000001</v>
      </c>
      <c r="AQ1147">
        <v>1.289981193</v>
      </c>
      <c r="AS1147">
        <f t="shared" si="92"/>
        <v>0.24956530594850479</v>
      </c>
      <c r="AT1147">
        <f t="shared" si="93"/>
        <v>1.4825487949295524E-2</v>
      </c>
      <c r="AU1147" t="s">
        <v>3806</v>
      </c>
      <c r="AW1147" s="28">
        <f t="shared" si="85"/>
        <v>2.0408310723017387</v>
      </c>
      <c r="AX1147">
        <f t="shared" si="86"/>
        <v>0.84210526315789469</v>
      </c>
      <c r="AY1147" s="62">
        <f t="shared" si="87"/>
        <v>1.7185945872014641</v>
      </c>
      <c r="AZ1147" s="68" t="str">
        <f t="shared" si="88"/>
        <v>No</v>
      </c>
      <c r="BA1147" s="68" t="str">
        <f t="shared" si="89"/>
        <v>No</v>
      </c>
    </row>
    <row r="1148" spans="1:53" hidden="1">
      <c r="A1148" t="s">
        <v>1280</v>
      </c>
      <c r="B1148" t="str">
        <f t="shared" si="90"/>
        <v>1148_Hamraj</v>
      </c>
      <c r="C1148" t="s">
        <v>1313</v>
      </c>
      <c r="F1148" t="s">
        <v>1241</v>
      </c>
      <c r="G1148" t="s">
        <v>1299</v>
      </c>
      <c r="I1148">
        <v>2013</v>
      </c>
      <c r="M1148" s="25" t="s">
        <v>36</v>
      </c>
      <c r="N1148" t="s">
        <v>36</v>
      </c>
      <c r="O1148" t="s">
        <v>74</v>
      </c>
      <c r="P1148" t="s">
        <v>60</v>
      </c>
      <c r="Q1148" t="s">
        <v>899</v>
      </c>
      <c r="R1148" t="s">
        <v>828</v>
      </c>
      <c r="S1148" t="s">
        <v>1306</v>
      </c>
      <c r="T1148">
        <v>38</v>
      </c>
      <c r="V1148" t="s">
        <v>907</v>
      </c>
      <c r="Z1148">
        <v>3</v>
      </c>
      <c r="AA1148">
        <v>6</v>
      </c>
      <c r="AG1148" t="str">
        <f t="shared" si="91"/>
        <v>5HELLO_Centropages_chierchiae_D0_CO2NA_TNA_control_outcome21.52</v>
      </c>
      <c r="AI1148">
        <v>24</v>
      </c>
      <c r="AJ1148" t="s">
        <v>1308</v>
      </c>
      <c r="AK1148" t="s">
        <v>1279</v>
      </c>
      <c r="AM1148"/>
      <c r="AN1148">
        <v>21.516175</v>
      </c>
      <c r="AO1148">
        <v>4.453376188</v>
      </c>
      <c r="AP1148">
        <v>5.8705530499999998</v>
      </c>
      <c r="AQ1148">
        <v>1.555891334</v>
      </c>
      <c r="AS1148">
        <f t="shared" si="92"/>
        <v>-1.298856132103712</v>
      </c>
      <c r="AT1148">
        <f t="shared" si="93"/>
        <v>2.5987070230949261E-2</v>
      </c>
      <c r="AU1148" t="s">
        <v>3806</v>
      </c>
      <c r="AW1148" s="28">
        <f t="shared" si="85"/>
        <v>-5.7531607697989413</v>
      </c>
      <c r="AX1148">
        <f t="shared" si="86"/>
        <v>0.88888888888888884</v>
      </c>
      <c r="AY1148" s="62">
        <f t="shared" si="87"/>
        <v>-5.1139206842657252</v>
      </c>
      <c r="AZ1148" s="68" t="str">
        <f t="shared" si="88"/>
        <v>No</v>
      </c>
      <c r="BA1148" s="68" t="str">
        <f t="shared" si="89"/>
        <v>No</v>
      </c>
    </row>
    <row r="1149" spans="1:53" hidden="1">
      <c r="A1149" t="s">
        <v>1280</v>
      </c>
      <c r="B1149" t="str">
        <f t="shared" si="90"/>
        <v>1149_Hamraj</v>
      </c>
      <c r="C1149" t="s">
        <v>1314</v>
      </c>
      <c r="F1149" t="s">
        <v>1241</v>
      </c>
      <c r="G1149" t="s">
        <v>1300</v>
      </c>
      <c r="I1149">
        <v>2008</v>
      </c>
      <c r="M1149" s="25" t="s">
        <v>36</v>
      </c>
      <c r="N1149" t="s">
        <v>36</v>
      </c>
      <c r="O1149" t="s">
        <v>74</v>
      </c>
      <c r="P1149" t="s">
        <v>60</v>
      </c>
      <c r="Q1149" t="s">
        <v>899</v>
      </c>
      <c r="R1149" t="s">
        <v>828</v>
      </c>
      <c r="S1149" t="s">
        <v>1307</v>
      </c>
      <c r="T1149">
        <v>21</v>
      </c>
      <c r="V1149" t="s">
        <v>907</v>
      </c>
      <c r="Z1149">
        <v>5</v>
      </c>
      <c r="AA1149">
        <v>5</v>
      </c>
      <c r="AG1149" t="str">
        <f t="shared" si="91"/>
        <v>6HELLO_Schmackeria_dubia_D0_CO2NA_TNA_control_outcome1.17</v>
      </c>
      <c r="AI1149">
        <v>20</v>
      </c>
      <c r="AJ1149" t="s">
        <v>1308</v>
      </c>
      <c r="AK1149" t="s">
        <v>1279</v>
      </c>
      <c r="AM1149"/>
      <c r="AN1149">
        <v>1.1669322</v>
      </c>
      <c r="AO1149">
        <v>2.2410285000000001</v>
      </c>
      <c r="AP1149">
        <v>1.9359556</v>
      </c>
      <c r="AQ1149">
        <v>0.59762470000000001</v>
      </c>
      <c r="AS1149">
        <f t="shared" si="92"/>
        <v>0.5062228007767946</v>
      </c>
      <c r="AT1149">
        <f t="shared" si="93"/>
        <v>0.75668023106594851</v>
      </c>
      <c r="AU1149" t="s">
        <v>3806</v>
      </c>
      <c r="AW1149" s="28">
        <f t="shared" si="85"/>
        <v>0.46890955849429622</v>
      </c>
      <c r="AX1149">
        <f t="shared" si="86"/>
        <v>0.90322580645161288</v>
      </c>
      <c r="AY1149" s="62">
        <f t="shared" si="87"/>
        <v>0.42353121412388045</v>
      </c>
      <c r="AZ1149" s="68" t="str">
        <f t="shared" si="88"/>
        <v>No</v>
      </c>
      <c r="BA1149" s="68" t="str">
        <f t="shared" si="89"/>
        <v>No</v>
      </c>
    </row>
    <row r="1150" spans="1:53" hidden="1">
      <c r="A1150" t="s">
        <v>1280</v>
      </c>
      <c r="B1150" t="str">
        <f t="shared" si="90"/>
        <v>1150_Hamraj</v>
      </c>
      <c r="C1150" t="s">
        <v>1314</v>
      </c>
      <c r="F1150" t="s">
        <v>1241</v>
      </c>
      <c r="G1150" t="s">
        <v>1301</v>
      </c>
      <c r="I1150">
        <v>2008</v>
      </c>
      <c r="M1150" s="25" t="s">
        <v>36</v>
      </c>
      <c r="N1150" t="s">
        <v>36</v>
      </c>
      <c r="O1150" t="s">
        <v>74</v>
      </c>
      <c r="P1150" t="s">
        <v>60</v>
      </c>
      <c r="Q1150" t="s">
        <v>899</v>
      </c>
      <c r="R1150" t="s">
        <v>828</v>
      </c>
      <c r="S1150" t="s">
        <v>1307</v>
      </c>
      <c r="T1150">
        <v>21</v>
      </c>
      <c r="V1150" t="s">
        <v>907</v>
      </c>
      <c r="Z1150">
        <v>5</v>
      </c>
      <c r="AA1150">
        <v>5</v>
      </c>
      <c r="AG1150" t="str">
        <f t="shared" si="91"/>
        <v>6HELLO_Schmackeria_dubia_D0_CO2NA_TNA_control_outcome1.17</v>
      </c>
      <c r="AI1150">
        <v>25</v>
      </c>
      <c r="AJ1150" t="s">
        <v>1308</v>
      </c>
      <c r="AK1150" t="s">
        <v>1279</v>
      </c>
      <c r="AM1150"/>
      <c r="AN1150">
        <v>1.1669322</v>
      </c>
      <c r="AO1150">
        <v>2.2410285000000001</v>
      </c>
      <c r="AP1150">
        <v>2.2966112999999999</v>
      </c>
      <c r="AQ1150">
        <v>1.6534177999999999</v>
      </c>
      <c r="AS1150">
        <f t="shared" si="92"/>
        <v>0.67705643473452981</v>
      </c>
      <c r="AT1150">
        <f t="shared" si="93"/>
        <v>0.84128355034741942</v>
      </c>
      <c r="AU1150" t="s">
        <v>3806</v>
      </c>
      <c r="AW1150" s="28">
        <f t="shared" si="85"/>
        <v>0.57365557052690752</v>
      </c>
      <c r="AX1150">
        <f t="shared" si="86"/>
        <v>0.90322580645161288</v>
      </c>
      <c r="AY1150" s="62">
        <f t="shared" si="87"/>
        <v>0.51814051531462613</v>
      </c>
      <c r="AZ1150" s="68" t="str">
        <f t="shared" si="88"/>
        <v>No</v>
      </c>
      <c r="BA1150" s="68" t="str">
        <f t="shared" si="89"/>
        <v>No</v>
      </c>
    </row>
    <row r="1151" spans="1:53" hidden="1">
      <c r="A1151" t="s">
        <v>1280</v>
      </c>
      <c r="B1151" t="str">
        <f t="shared" si="90"/>
        <v>1151_Hamraj</v>
      </c>
      <c r="C1151" t="s">
        <v>1314</v>
      </c>
      <c r="F1151" t="s">
        <v>1241</v>
      </c>
      <c r="G1151" t="s">
        <v>1302</v>
      </c>
      <c r="I1151">
        <v>2008</v>
      </c>
      <c r="M1151" s="25" t="s">
        <v>36</v>
      </c>
      <c r="N1151" t="s">
        <v>36</v>
      </c>
      <c r="O1151" t="s">
        <v>74</v>
      </c>
      <c r="P1151" t="s">
        <v>60</v>
      </c>
      <c r="Q1151" t="s">
        <v>899</v>
      </c>
      <c r="R1151" t="s">
        <v>828</v>
      </c>
      <c r="S1151" t="s">
        <v>1307</v>
      </c>
      <c r="T1151">
        <v>21</v>
      </c>
      <c r="V1151" t="s">
        <v>907</v>
      </c>
      <c r="Z1151">
        <v>5</v>
      </c>
      <c r="AA1151">
        <v>5</v>
      </c>
      <c r="AG1151" t="str">
        <f t="shared" si="91"/>
        <v>6HELLO_Schmackeria_dubia_D0_CO2NA_TNA_control_outcome1.17</v>
      </c>
      <c r="AI1151">
        <v>30</v>
      </c>
      <c r="AJ1151" t="s">
        <v>1308</v>
      </c>
      <c r="AK1151" t="s">
        <v>1279</v>
      </c>
      <c r="AM1151"/>
      <c r="AN1151">
        <v>1.1669322</v>
      </c>
      <c r="AO1151">
        <v>2.2410285000000001</v>
      </c>
      <c r="AP1151">
        <v>2.4182362999999998</v>
      </c>
      <c r="AQ1151">
        <v>2.6793037000000002</v>
      </c>
      <c r="AS1151">
        <f t="shared" si="92"/>
        <v>0.72866021888036481</v>
      </c>
      <c r="AT1151">
        <f t="shared" si="93"/>
        <v>0.98313548315565158</v>
      </c>
      <c r="AU1151" t="s">
        <v>3806</v>
      </c>
      <c r="AW1151" s="28">
        <f t="shared" si="85"/>
        <v>0.50662001095853559</v>
      </c>
      <c r="AX1151">
        <f t="shared" si="86"/>
        <v>0.90322580645161288</v>
      </c>
      <c r="AY1151" s="62">
        <f t="shared" si="87"/>
        <v>0.45759226796254826</v>
      </c>
      <c r="AZ1151" s="68" t="str">
        <f t="shared" si="88"/>
        <v>No</v>
      </c>
      <c r="BA1151" s="68" t="str">
        <f t="shared" si="89"/>
        <v>No</v>
      </c>
    </row>
    <row r="1152" spans="1:53" hidden="1">
      <c r="A1152" t="s">
        <v>1280</v>
      </c>
      <c r="B1152" t="str">
        <f t="shared" si="90"/>
        <v>1152_Hamraj</v>
      </c>
      <c r="C1152" t="s">
        <v>1314</v>
      </c>
      <c r="F1152" t="s">
        <v>1241</v>
      </c>
      <c r="G1152" t="s">
        <v>1303</v>
      </c>
      <c r="I1152">
        <v>2008</v>
      </c>
      <c r="M1152" s="25" t="s">
        <v>36</v>
      </c>
      <c r="N1152" t="s">
        <v>36</v>
      </c>
      <c r="O1152" t="s">
        <v>74</v>
      </c>
      <c r="P1152" t="s">
        <v>60</v>
      </c>
      <c r="Q1152" t="s">
        <v>899</v>
      </c>
      <c r="R1152" t="s">
        <v>828</v>
      </c>
      <c r="S1152" t="s">
        <v>1307</v>
      </c>
      <c r="T1152">
        <v>21</v>
      </c>
      <c r="V1152" t="s">
        <v>907</v>
      </c>
      <c r="Z1152">
        <v>5</v>
      </c>
      <c r="AA1152">
        <v>5</v>
      </c>
      <c r="AG1152" t="str">
        <f t="shared" si="91"/>
        <v>6HELLO_Schmackeria_dubia_D0_CO2NA_TNA_control_outcome1.17</v>
      </c>
      <c r="AI1152">
        <v>35</v>
      </c>
      <c r="AJ1152" t="s">
        <v>1308</v>
      </c>
      <c r="AK1152" t="s">
        <v>1279</v>
      </c>
      <c r="AM1152"/>
      <c r="AN1152">
        <v>1.1669322</v>
      </c>
      <c r="AO1152">
        <v>2.2410285000000001</v>
      </c>
      <c r="AP1152">
        <v>1.8227141</v>
      </c>
      <c r="AQ1152">
        <v>1.7728995999999999</v>
      </c>
      <c r="AS1152">
        <f t="shared" si="92"/>
        <v>0.44594840006511732</v>
      </c>
      <c r="AT1152">
        <f t="shared" si="93"/>
        <v>0.92683884358896951</v>
      </c>
      <c r="AU1152" t="s">
        <v>3806</v>
      </c>
      <c r="AW1152" s="28">
        <f t="shared" si="85"/>
        <v>0.32455341049425745</v>
      </c>
      <c r="AX1152">
        <f t="shared" si="86"/>
        <v>0.90322580645161288</v>
      </c>
      <c r="AY1152" s="62">
        <f t="shared" si="87"/>
        <v>0.29314501593029707</v>
      </c>
      <c r="AZ1152" s="68" t="str">
        <f t="shared" si="88"/>
        <v>No</v>
      </c>
      <c r="BA1152" s="68" t="str">
        <f t="shared" si="89"/>
        <v>No</v>
      </c>
    </row>
    <row r="1153" spans="1:53" hidden="1">
      <c r="A1153" t="s">
        <v>1280</v>
      </c>
      <c r="B1153" t="str">
        <f t="shared" si="90"/>
        <v>1153_Hamraj</v>
      </c>
      <c r="C1153" t="s">
        <v>1382</v>
      </c>
      <c r="F1153" t="s">
        <v>1241</v>
      </c>
      <c r="G1153" t="s">
        <v>1316</v>
      </c>
      <c r="I1153">
        <v>2013</v>
      </c>
      <c r="M1153" s="25" t="s">
        <v>36</v>
      </c>
      <c r="N1153" t="s">
        <v>36</v>
      </c>
      <c r="O1153" t="s">
        <v>3810</v>
      </c>
      <c r="P1153" t="s">
        <v>60</v>
      </c>
      <c r="Q1153" t="s">
        <v>899</v>
      </c>
      <c r="R1153" t="s">
        <v>828</v>
      </c>
      <c r="S1153" t="s">
        <v>1306</v>
      </c>
      <c r="T1153">
        <v>36</v>
      </c>
      <c r="V1153" t="s">
        <v>907</v>
      </c>
      <c r="Z1153">
        <v>5</v>
      </c>
      <c r="AA1153">
        <v>5</v>
      </c>
      <c r="AG1153" t="str">
        <f t="shared" si="91"/>
        <v>7HELLO_Centropages_chierchiae_D0_CO2NA_TNA_control_outcome2.73</v>
      </c>
      <c r="AI1153">
        <v>13</v>
      </c>
      <c r="AJ1153" t="s">
        <v>1333</v>
      </c>
      <c r="AK1153" t="s">
        <v>42</v>
      </c>
      <c r="AM1153"/>
      <c r="AN1153">
        <v>2.73</v>
      </c>
      <c r="AO1153">
        <v>0.96</v>
      </c>
      <c r="AP1153">
        <v>4.3099999999999996</v>
      </c>
      <c r="AQ1153">
        <v>1.59</v>
      </c>
      <c r="AS1153">
        <f t="shared" si="92"/>
        <v>0.45663629491878788</v>
      </c>
      <c r="AT1153">
        <f t="shared" si="93"/>
        <v>5.1950158364515331E-2</v>
      </c>
      <c r="AW1153" s="28">
        <f t="shared" si="85"/>
        <v>1.2030437478375196</v>
      </c>
      <c r="AX1153">
        <f t="shared" si="86"/>
        <v>0.90322580645161288</v>
      </c>
      <c r="AY1153" s="62">
        <f t="shared" si="87"/>
        <v>1.0866201593371143</v>
      </c>
      <c r="AZ1153" s="68" t="str">
        <f t="shared" si="88"/>
        <v>No</v>
      </c>
      <c r="BA1153" s="68" t="str">
        <f t="shared" si="89"/>
        <v>No</v>
      </c>
    </row>
    <row r="1154" spans="1:53" hidden="1">
      <c r="A1154" t="s">
        <v>1280</v>
      </c>
      <c r="B1154" t="str">
        <f t="shared" si="90"/>
        <v>1154_Hamraj</v>
      </c>
      <c r="C1154" t="s">
        <v>1382</v>
      </c>
      <c r="F1154" t="s">
        <v>1241</v>
      </c>
      <c r="G1154" t="s">
        <v>1316</v>
      </c>
      <c r="I1154">
        <v>2013</v>
      </c>
      <c r="M1154" s="25" t="s">
        <v>36</v>
      </c>
      <c r="N1154" t="s">
        <v>36</v>
      </c>
      <c r="O1154" t="s">
        <v>3810</v>
      </c>
      <c r="P1154" t="s">
        <v>60</v>
      </c>
      <c r="Q1154" t="s">
        <v>899</v>
      </c>
      <c r="R1154" t="s">
        <v>828</v>
      </c>
      <c r="S1154" t="s">
        <v>1306</v>
      </c>
      <c r="T1154">
        <v>36</v>
      </c>
      <c r="V1154" t="s">
        <v>907</v>
      </c>
      <c r="Z1154">
        <v>5</v>
      </c>
      <c r="AA1154">
        <v>4</v>
      </c>
      <c r="AG1154" t="str">
        <f t="shared" si="91"/>
        <v>7HELLO_Centropages_chierchiae_D0_CO2NA_TNA_control_outcome2.73</v>
      </c>
      <c r="AI1154">
        <v>19</v>
      </c>
      <c r="AJ1154" t="s">
        <v>1333</v>
      </c>
      <c r="AK1154" t="s">
        <v>42</v>
      </c>
      <c r="AM1154"/>
      <c r="AN1154">
        <v>2.73</v>
      </c>
      <c r="AO1154">
        <v>0.96</v>
      </c>
      <c r="AP1154">
        <v>8.9499999999999993</v>
      </c>
      <c r="AQ1154">
        <v>1.29</v>
      </c>
      <c r="AS1154">
        <f t="shared" si="92"/>
        <v>1.1873519230898957</v>
      </c>
      <c r="AT1154">
        <f t="shared" si="93"/>
        <v>2.9924970768927226E-2</v>
      </c>
      <c r="AW1154" s="28">
        <f t="shared" ref="AW1154:AW1217" si="94">(AP1154-$AN1154)/SQRT(((AA1154-1)*AQ1154*AQ1154+($Z1154-1)*$AO1154*$AO1154)/(AA1154+$Z1154-2))</f>
        <v>5.5861432258737223</v>
      </c>
      <c r="AX1154">
        <f t="shared" ref="AX1154:AX1217" si="95">1-(3/(4*(AA1154+$Z1154-2)-1))</f>
        <v>0.88888888888888884</v>
      </c>
      <c r="AY1154" s="62">
        <f t="shared" ref="AY1154:AY1217" si="96">AX1154*AW1154</f>
        <v>4.9654606452210865</v>
      </c>
      <c r="AZ1154" s="68" t="str">
        <f t="shared" ref="AZ1154:AZ1217" si="97">IF(AY1154&gt;10,"Yes","No")</f>
        <v>No</v>
      </c>
      <c r="BA1154" s="68" t="str">
        <f t="shared" ref="BA1154:BA1217" si="98">IF(AY1154&lt;-10,"Yes","No")</f>
        <v>No</v>
      </c>
    </row>
    <row r="1155" spans="1:53" hidden="1">
      <c r="A1155" t="s">
        <v>1280</v>
      </c>
      <c r="B1155" t="str">
        <f t="shared" si="90"/>
        <v>1155_Hamraj</v>
      </c>
      <c r="C1155" t="s">
        <v>1382</v>
      </c>
      <c r="F1155" t="s">
        <v>1241</v>
      </c>
      <c r="G1155" t="s">
        <v>1316</v>
      </c>
      <c r="I1155">
        <v>2013</v>
      </c>
      <c r="M1155" s="25" t="s">
        <v>36</v>
      </c>
      <c r="N1155" t="s">
        <v>36</v>
      </c>
      <c r="O1155" t="s">
        <v>3810</v>
      </c>
      <c r="P1155" t="s">
        <v>60</v>
      </c>
      <c r="Q1155" t="s">
        <v>899</v>
      </c>
      <c r="R1155" t="s">
        <v>828</v>
      </c>
      <c r="S1155" t="s">
        <v>1306</v>
      </c>
      <c r="T1155">
        <v>36</v>
      </c>
      <c r="V1155" t="s">
        <v>907</v>
      </c>
      <c r="Z1155">
        <v>5</v>
      </c>
      <c r="AA1155">
        <v>5</v>
      </c>
      <c r="AG1155" t="str">
        <f t="shared" si="91"/>
        <v>7HELLO_Centropages_chierchiae_D0_CO2NA_TNA_control_outcome2.73</v>
      </c>
      <c r="AI1155">
        <v>24</v>
      </c>
      <c r="AJ1155" t="s">
        <v>1333</v>
      </c>
      <c r="AK1155" t="s">
        <v>42</v>
      </c>
      <c r="AM1155"/>
      <c r="AN1155">
        <v>2.73</v>
      </c>
      <c r="AO1155">
        <v>0.96</v>
      </c>
      <c r="AP1155">
        <v>13.13</v>
      </c>
      <c r="AQ1155">
        <v>3.54</v>
      </c>
      <c r="AS1155">
        <f t="shared" si="92"/>
        <v>1.5705980791178367</v>
      </c>
      <c r="AT1155">
        <f t="shared" si="93"/>
        <v>3.9269393084522181E-2</v>
      </c>
      <c r="AW1155" s="28">
        <f t="shared" si="94"/>
        <v>4.0099184259054548</v>
      </c>
      <c r="AX1155">
        <f t="shared" si="95"/>
        <v>0.90322580645161288</v>
      </c>
      <c r="AY1155" s="62">
        <f t="shared" si="96"/>
        <v>3.6218618040436366</v>
      </c>
      <c r="AZ1155" s="68" t="str">
        <f t="shared" si="97"/>
        <v>No</v>
      </c>
      <c r="BA1155" s="68" t="str">
        <f t="shared" si="98"/>
        <v>No</v>
      </c>
    </row>
    <row r="1156" spans="1:53" hidden="1">
      <c r="A1156" t="s">
        <v>1280</v>
      </c>
      <c r="B1156" t="str">
        <f t="shared" si="90"/>
        <v>1156_Hamraj</v>
      </c>
      <c r="C1156" t="s">
        <v>1382</v>
      </c>
      <c r="F1156" t="s">
        <v>1241</v>
      </c>
      <c r="G1156" t="s">
        <v>1316</v>
      </c>
      <c r="I1156">
        <v>2013</v>
      </c>
      <c r="M1156" s="25" t="s">
        <v>36</v>
      </c>
      <c r="N1156" t="s">
        <v>36</v>
      </c>
      <c r="O1156" t="s">
        <v>3810</v>
      </c>
      <c r="P1156" t="s">
        <v>60</v>
      </c>
      <c r="Q1156" t="s">
        <v>899</v>
      </c>
      <c r="R1156" t="s">
        <v>828</v>
      </c>
      <c r="S1156" t="s">
        <v>1306</v>
      </c>
      <c r="T1156">
        <v>36</v>
      </c>
      <c r="V1156" t="s">
        <v>907</v>
      </c>
      <c r="Z1156">
        <v>4</v>
      </c>
      <c r="AA1156">
        <v>4</v>
      </c>
      <c r="AG1156" t="str">
        <f t="shared" si="91"/>
        <v>7HELLO_Centropages_chierchiae_D0_CO2NA_TNA_control_outcome2.81</v>
      </c>
      <c r="AI1156">
        <v>13</v>
      </c>
      <c r="AJ1156" t="s">
        <v>1333</v>
      </c>
      <c r="AK1156" t="s">
        <v>42</v>
      </c>
      <c r="AM1156"/>
      <c r="AN1156">
        <v>2.81</v>
      </c>
      <c r="AO1156">
        <v>0.87</v>
      </c>
      <c r="AP1156">
        <v>5.58</v>
      </c>
      <c r="AQ1156">
        <v>1.9</v>
      </c>
      <c r="AS1156">
        <f t="shared" si="92"/>
        <v>0.68600429304756516</v>
      </c>
      <c r="AT1156">
        <f t="shared" si="93"/>
        <v>5.2949729761797966E-2</v>
      </c>
      <c r="AW1156" s="28">
        <f t="shared" si="94"/>
        <v>1.8745979745633246</v>
      </c>
      <c r="AX1156">
        <f t="shared" si="95"/>
        <v>0.86956521739130432</v>
      </c>
      <c r="AY1156" s="62">
        <f t="shared" si="96"/>
        <v>1.630085195272456</v>
      </c>
      <c r="AZ1156" s="68" t="str">
        <f t="shared" si="97"/>
        <v>No</v>
      </c>
      <c r="BA1156" s="68" t="str">
        <f t="shared" si="98"/>
        <v>No</v>
      </c>
    </row>
    <row r="1157" spans="1:53" hidden="1">
      <c r="A1157" t="s">
        <v>1280</v>
      </c>
      <c r="B1157" t="str">
        <f t="shared" si="90"/>
        <v>1157_Hamraj</v>
      </c>
      <c r="C1157" t="s">
        <v>1382</v>
      </c>
      <c r="F1157" t="s">
        <v>1241</v>
      </c>
      <c r="G1157" t="s">
        <v>1316</v>
      </c>
      <c r="I1157">
        <v>2013</v>
      </c>
      <c r="M1157" s="25" t="s">
        <v>36</v>
      </c>
      <c r="N1157" t="s">
        <v>36</v>
      </c>
      <c r="O1157" t="s">
        <v>3810</v>
      </c>
      <c r="P1157" t="s">
        <v>60</v>
      </c>
      <c r="Q1157" t="s">
        <v>899</v>
      </c>
      <c r="R1157" t="s">
        <v>828</v>
      </c>
      <c r="S1157" t="s">
        <v>1306</v>
      </c>
      <c r="T1157">
        <v>36</v>
      </c>
      <c r="V1157" t="s">
        <v>907</v>
      </c>
      <c r="Z1157">
        <v>4</v>
      </c>
      <c r="AA1157">
        <v>4</v>
      </c>
      <c r="AG1157" t="str">
        <f t="shared" si="91"/>
        <v>7HELLO_Centropages_chierchiae_D0_CO2NA_TNA_control_outcome2.81</v>
      </c>
      <c r="AI1157">
        <v>19</v>
      </c>
      <c r="AJ1157" t="s">
        <v>1333</v>
      </c>
      <c r="AK1157" t="s">
        <v>42</v>
      </c>
      <c r="AM1157"/>
      <c r="AN1157">
        <v>2.81</v>
      </c>
      <c r="AO1157">
        <v>0.87</v>
      </c>
      <c r="AP1157">
        <v>7.98</v>
      </c>
      <c r="AQ1157">
        <v>1.05</v>
      </c>
      <c r="AS1157">
        <f t="shared" si="92"/>
        <v>1.0437539281160628</v>
      </c>
      <c r="AT1157">
        <f t="shared" si="93"/>
        <v>2.8292617001113598E-2</v>
      </c>
      <c r="AW1157" s="28">
        <f t="shared" si="94"/>
        <v>5.3619051549234573</v>
      </c>
      <c r="AX1157">
        <f t="shared" si="95"/>
        <v>0.86956521739130432</v>
      </c>
      <c r="AY1157" s="62">
        <f t="shared" si="96"/>
        <v>4.6625262216725716</v>
      </c>
      <c r="AZ1157" s="68" t="str">
        <f t="shared" si="97"/>
        <v>No</v>
      </c>
      <c r="BA1157" s="68" t="str">
        <f t="shared" si="98"/>
        <v>No</v>
      </c>
    </row>
    <row r="1158" spans="1:53" hidden="1">
      <c r="A1158" t="s">
        <v>1280</v>
      </c>
      <c r="B1158" t="str">
        <f t="shared" si="90"/>
        <v>1158_Hamraj</v>
      </c>
      <c r="C1158" t="s">
        <v>1382</v>
      </c>
      <c r="F1158" t="s">
        <v>1241</v>
      </c>
      <c r="G1158" t="s">
        <v>1316</v>
      </c>
      <c r="I1158">
        <v>2013</v>
      </c>
      <c r="M1158" s="25" t="s">
        <v>36</v>
      </c>
      <c r="N1158" t="s">
        <v>36</v>
      </c>
      <c r="O1158" t="s">
        <v>3810</v>
      </c>
      <c r="P1158" t="s">
        <v>60</v>
      </c>
      <c r="Q1158" t="s">
        <v>899</v>
      </c>
      <c r="R1158" t="s">
        <v>828</v>
      </c>
      <c r="S1158" t="s">
        <v>1306</v>
      </c>
      <c r="T1158">
        <v>36</v>
      </c>
      <c r="V1158" t="s">
        <v>907</v>
      </c>
      <c r="Z1158">
        <v>4</v>
      </c>
      <c r="AA1158">
        <v>4</v>
      </c>
      <c r="AG1158" t="str">
        <f t="shared" si="91"/>
        <v>7HELLO_Centropages_chierchiae_D0_CO2NA_TNA_control_outcome2.81</v>
      </c>
      <c r="AI1158">
        <v>24</v>
      </c>
      <c r="AJ1158" t="s">
        <v>1333</v>
      </c>
      <c r="AK1158" t="s">
        <v>42</v>
      </c>
      <c r="AM1158"/>
      <c r="AN1158">
        <v>2.81</v>
      </c>
      <c r="AO1158">
        <v>0.87</v>
      </c>
      <c r="AP1158">
        <v>15.23</v>
      </c>
      <c r="AQ1158">
        <v>2.93</v>
      </c>
      <c r="AS1158">
        <f t="shared" si="92"/>
        <v>1.6900826835614158</v>
      </c>
      <c r="AT1158">
        <f t="shared" si="93"/>
        <v>3.3217210468794257E-2</v>
      </c>
      <c r="AW1158" s="28">
        <f t="shared" si="94"/>
        <v>5.7467368548043023</v>
      </c>
      <c r="AX1158">
        <f t="shared" si="95"/>
        <v>0.86956521739130432</v>
      </c>
      <c r="AY1158" s="62">
        <f t="shared" si="96"/>
        <v>4.9971624824385232</v>
      </c>
      <c r="AZ1158" s="68" t="str">
        <f t="shared" si="97"/>
        <v>No</v>
      </c>
      <c r="BA1158" s="68" t="str">
        <f t="shared" si="98"/>
        <v>No</v>
      </c>
    </row>
    <row r="1159" spans="1:53" hidden="1">
      <c r="A1159" t="s">
        <v>1280</v>
      </c>
      <c r="B1159" t="str">
        <f t="shared" si="90"/>
        <v>1159_Hamraj</v>
      </c>
      <c r="C1159" t="s">
        <v>1383</v>
      </c>
      <c r="F1159" t="s">
        <v>1241</v>
      </c>
      <c r="G1159" t="s">
        <v>1281</v>
      </c>
      <c r="I1159">
        <v>2008</v>
      </c>
      <c r="M1159" s="25" t="s">
        <v>36</v>
      </c>
      <c r="N1159" t="s">
        <v>36</v>
      </c>
      <c r="O1159" t="s">
        <v>3811</v>
      </c>
      <c r="P1159" t="s">
        <v>60</v>
      </c>
      <c r="Q1159" t="s">
        <v>899</v>
      </c>
      <c r="R1159" t="s">
        <v>828</v>
      </c>
      <c r="S1159" t="s">
        <v>1304</v>
      </c>
      <c r="T1159">
        <v>54</v>
      </c>
      <c r="V1159" t="s">
        <v>907</v>
      </c>
      <c r="Z1159">
        <v>5</v>
      </c>
      <c r="AA1159">
        <v>18</v>
      </c>
      <c r="AG1159" t="str">
        <f t="shared" si="91"/>
        <v>8HELLO_Pseudocalanus_sp_D0_CO2NA_TNA_control_outcome0.07</v>
      </c>
      <c r="AI1159">
        <v>4</v>
      </c>
      <c r="AJ1159" t="s">
        <v>1333</v>
      </c>
      <c r="AK1159" t="s">
        <v>42</v>
      </c>
      <c r="AM1159"/>
      <c r="AN1159">
        <v>6.8713627999999999E-2</v>
      </c>
      <c r="AO1159">
        <v>3.3180481999999997E-2</v>
      </c>
      <c r="AP1159">
        <v>0.10773352</v>
      </c>
      <c r="AQ1159">
        <v>3.3110493999999997E-2</v>
      </c>
      <c r="AS1159">
        <f t="shared" si="92"/>
        <v>0.44971322137153003</v>
      </c>
      <c r="AT1159">
        <f t="shared" si="93"/>
        <v>5.1882302659374636E-2</v>
      </c>
      <c r="AW1159" s="28">
        <f t="shared" si="94"/>
        <v>1.1780003823048502</v>
      </c>
      <c r="AX1159">
        <f t="shared" si="95"/>
        <v>0.96385542168674698</v>
      </c>
      <c r="AY1159" s="62">
        <f t="shared" si="96"/>
        <v>1.1354220552335905</v>
      </c>
      <c r="AZ1159" s="68" t="str">
        <f t="shared" si="97"/>
        <v>No</v>
      </c>
      <c r="BA1159" s="68" t="str">
        <f t="shared" si="98"/>
        <v>No</v>
      </c>
    </row>
    <row r="1160" spans="1:53" hidden="1">
      <c r="A1160" t="s">
        <v>1280</v>
      </c>
      <c r="B1160" t="str">
        <f t="shared" si="90"/>
        <v>1160_Hamraj</v>
      </c>
      <c r="C1160" t="s">
        <v>1383</v>
      </c>
      <c r="F1160" t="s">
        <v>1241</v>
      </c>
      <c r="G1160" t="s">
        <v>1281</v>
      </c>
      <c r="I1160">
        <v>2008</v>
      </c>
      <c r="M1160" s="25" t="s">
        <v>36</v>
      </c>
      <c r="N1160" t="s">
        <v>36</v>
      </c>
      <c r="O1160" t="s">
        <v>3811</v>
      </c>
      <c r="P1160" t="s">
        <v>60</v>
      </c>
      <c r="Q1160" t="s">
        <v>899</v>
      </c>
      <c r="R1160" t="s">
        <v>828</v>
      </c>
      <c r="S1160" t="s">
        <v>1304</v>
      </c>
      <c r="T1160">
        <v>54</v>
      </c>
      <c r="V1160" t="s">
        <v>907</v>
      </c>
      <c r="Z1160">
        <v>5</v>
      </c>
      <c r="AA1160">
        <v>9</v>
      </c>
      <c r="AG1160" t="str">
        <f t="shared" si="91"/>
        <v>8HELLO_Pseudocalanus_sp_D0_CO2NA_TNA_control_outcome0.07</v>
      </c>
      <c r="AI1160">
        <v>8</v>
      </c>
      <c r="AJ1160" t="s">
        <v>1333</v>
      </c>
      <c r="AK1160" t="s">
        <v>42</v>
      </c>
      <c r="AM1160"/>
      <c r="AN1160">
        <v>6.8713627999999999E-2</v>
      </c>
      <c r="AO1160">
        <v>3.3180481999999997E-2</v>
      </c>
      <c r="AP1160">
        <v>0.192436569</v>
      </c>
      <c r="AQ1160">
        <v>5.3306701999999997E-2</v>
      </c>
      <c r="AS1160">
        <f t="shared" si="92"/>
        <v>1.0298190384595549</v>
      </c>
      <c r="AT1160">
        <f t="shared" si="93"/>
        <v>5.5160757644310138E-2</v>
      </c>
      <c r="AW1160" s="28">
        <f t="shared" si="94"/>
        <v>2.6017348511085978</v>
      </c>
      <c r="AX1160">
        <f t="shared" si="95"/>
        <v>0.93617021276595747</v>
      </c>
      <c r="AY1160" s="62">
        <f t="shared" si="96"/>
        <v>2.4356666691229427</v>
      </c>
      <c r="AZ1160" s="68" t="str">
        <f t="shared" si="97"/>
        <v>No</v>
      </c>
      <c r="BA1160" s="68" t="str">
        <f t="shared" si="98"/>
        <v>No</v>
      </c>
    </row>
    <row r="1161" spans="1:53" hidden="1">
      <c r="A1161" t="s">
        <v>1280</v>
      </c>
      <c r="B1161" t="str">
        <f t="shared" si="90"/>
        <v>1161_Hamraj</v>
      </c>
      <c r="C1161" t="s">
        <v>1383</v>
      </c>
      <c r="F1161" t="s">
        <v>1241</v>
      </c>
      <c r="G1161" t="s">
        <v>1281</v>
      </c>
      <c r="I1161">
        <v>2008</v>
      </c>
      <c r="M1161" s="25" t="s">
        <v>36</v>
      </c>
      <c r="N1161" t="s">
        <v>36</v>
      </c>
      <c r="O1161" t="s">
        <v>3811</v>
      </c>
      <c r="P1161" t="s">
        <v>60</v>
      </c>
      <c r="Q1161" t="s">
        <v>899</v>
      </c>
      <c r="R1161" t="s">
        <v>828</v>
      </c>
      <c r="S1161" t="s">
        <v>1304</v>
      </c>
      <c r="T1161">
        <v>54</v>
      </c>
      <c r="V1161" t="s">
        <v>907</v>
      </c>
      <c r="Z1161">
        <v>5</v>
      </c>
      <c r="AA1161">
        <v>9</v>
      </c>
      <c r="AG1161" t="str">
        <f t="shared" si="91"/>
        <v>8HELLO_Pseudocalanus_sp_D0_CO2NA_TNA_control_outcome0.07</v>
      </c>
      <c r="AI1161">
        <v>10</v>
      </c>
      <c r="AJ1161" t="s">
        <v>1333</v>
      </c>
      <c r="AK1161" t="s">
        <v>42</v>
      </c>
      <c r="AM1161"/>
      <c r="AN1161">
        <v>6.8713627999999999E-2</v>
      </c>
      <c r="AO1161">
        <v>3.3180481999999997E-2</v>
      </c>
      <c r="AP1161">
        <v>0.141983529</v>
      </c>
      <c r="AQ1161">
        <v>3.3253482000000001E-2</v>
      </c>
      <c r="AS1161">
        <f t="shared" si="92"/>
        <v>0.72576350863674377</v>
      </c>
      <c r="AT1161">
        <f t="shared" si="93"/>
        <v>5.2729495077562721E-2</v>
      </c>
      <c r="AW1161" s="28">
        <f t="shared" si="94"/>
        <v>2.2049876283100542</v>
      </c>
      <c r="AX1161">
        <f t="shared" si="95"/>
        <v>0.93617021276595747</v>
      </c>
      <c r="AY1161" s="62">
        <f t="shared" si="96"/>
        <v>2.0642437371413274</v>
      </c>
      <c r="AZ1161" s="68" t="str">
        <f t="shared" si="97"/>
        <v>No</v>
      </c>
      <c r="BA1161" s="68" t="str">
        <f t="shared" si="98"/>
        <v>No</v>
      </c>
    </row>
    <row r="1162" spans="1:53" hidden="1">
      <c r="A1162" t="s">
        <v>1280</v>
      </c>
      <c r="B1162" t="str">
        <f t="shared" si="90"/>
        <v>1162_Hamraj</v>
      </c>
      <c r="C1162" t="s">
        <v>1385</v>
      </c>
      <c r="F1162" t="s">
        <v>1241</v>
      </c>
      <c r="G1162" t="s">
        <v>1317</v>
      </c>
      <c r="I1162">
        <v>2014</v>
      </c>
      <c r="M1162" s="25" t="s">
        <v>36</v>
      </c>
      <c r="N1162" t="s">
        <v>36</v>
      </c>
      <c r="O1162" t="s">
        <v>3811</v>
      </c>
      <c r="P1162" t="s">
        <v>60</v>
      </c>
      <c r="Q1162" t="s">
        <v>899</v>
      </c>
      <c r="R1162" t="s">
        <v>828</v>
      </c>
      <c r="S1162" t="s">
        <v>1324</v>
      </c>
      <c r="T1162">
        <v>79</v>
      </c>
      <c r="V1162" t="s">
        <v>907</v>
      </c>
      <c r="Z1162">
        <v>94</v>
      </c>
      <c r="AA1162">
        <v>95</v>
      </c>
      <c r="AG1162" t="str">
        <f t="shared" si="91"/>
        <v>9HELLO_Calanus_hyperboreus_D0_CO2NA_TNA_control_outcome0.01</v>
      </c>
      <c r="AI1162">
        <v>10</v>
      </c>
      <c r="AJ1162" t="s">
        <v>1333</v>
      </c>
      <c r="AK1162" t="s">
        <v>42</v>
      </c>
      <c r="AM1162"/>
      <c r="AN1162">
        <v>1.0722519E-2</v>
      </c>
      <c r="AO1162">
        <v>4.8324520000000001E-3</v>
      </c>
      <c r="AP1162">
        <v>1.2011111999999999E-2</v>
      </c>
      <c r="AQ1162">
        <v>7.8676170000000004E-3</v>
      </c>
      <c r="AS1162">
        <f t="shared" si="92"/>
        <v>0.11348611193234337</v>
      </c>
      <c r="AT1162">
        <f t="shared" si="93"/>
        <v>6.6772365637008842E-3</v>
      </c>
      <c r="AW1162" s="28">
        <f t="shared" si="94"/>
        <v>0.19713062221396221</v>
      </c>
      <c r="AX1162">
        <f t="shared" si="95"/>
        <v>0.99598393574297184</v>
      </c>
      <c r="AY1162" s="62">
        <f t="shared" si="96"/>
        <v>0.19633893296812299</v>
      </c>
      <c r="AZ1162" s="68" t="str">
        <f t="shared" si="97"/>
        <v>No</v>
      </c>
      <c r="BA1162" s="68" t="str">
        <f t="shared" si="98"/>
        <v>No</v>
      </c>
    </row>
    <row r="1163" spans="1:53" hidden="1">
      <c r="A1163" t="s">
        <v>1280</v>
      </c>
      <c r="B1163" t="str">
        <f t="shared" si="90"/>
        <v>1163_Hamraj</v>
      </c>
      <c r="C1163" t="s">
        <v>1386</v>
      </c>
      <c r="F1163" t="s">
        <v>1241</v>
      </c>
      <c r="G1163" t="s">
        <v>1318</v>
      </c>
      <c r="I1163">
        <v>2019</v>
      </c>
      <c r="M1163" s="25" t="s">
        <v>36</v>
      </c>
      <c r="N1163" t="s">
        <v>36</v>
      </c>
      <c r="O1163" t="s">
        <v>3812</v>
      </c>
      <c r="P1163" t="s">
        <v>60</v>
      </c>
      <c r="Q1163" t="s">
        <v>899</v>
      </c>
      <c r="R1163" t="s">
        <v>868</v>
      </c>
      <c r="S1163" t="s">
        <v>1325</v>
      </c>
      <c r="T1163">
        <v>32</v>
      </c>
      <c r="V1163" t="s">
        <v>907</v>
      </c>
      <c r="Z1163">
        <v>16</v>
      </c>
      <c r="AA1163">
        <v>16</v>
      </c>
      <c r="AG1163" t="str">
        <f t="shared" si="91"/>
        <v>10HELLO_Tigriopus_californicus_D0_CO2NA_TNA_control_outcome0.15</v>
      </c>
      <c r="AI1163">
        <v>25</v>
      </c>
      <c r="AJ1163" t="s">
        <v>1333</v>
      </c>
      <c r="AK1163" t="s">
        <v>42</v>
      </c>
      <c r="AM1163"/>
      <c r="AN1163">
        <v>0.15157117000000001</v>
      </c>
      <c r="AO1163">
        <v>7.3937119999999995E-2</v>
      </c>
      <c r="AP1163">
        <v>0.1116451</v>
      </c>
      <c r="AQ1163">
        <v>5.9149760000000003E-2</v>
      </c>
      <c r="AS1163">
        <f t="shared" si="92"/>
        <v>-0.30573019344365804</v>
      </c>
      <c r="AT1163">
        <f t="shared" si="93"/>
        <v>3.2415198261266973E-2</v>
      </c>
      <c r="AW1163" s="28">
        <f t="shared" si="94"/>
        <v>-0.59633036539105444</v>
      </c>
      <c r="AX1163">
        <f t="shared" si="95"/>
        <v>0.97478991596638653</v>
      </c>
      <c r="AY1163" s="62">
        <f t="shared" si="96"/>
        <v>-0.58129682676775052</v>
      </c>
      <c r="AZ1163" s="68" t="str">
        <f t="shared" si="97"/>
        <v>No</v>
      </c>
      <c r="BA1163" s="68" t="str">
        <f t="shared" si="98"/>
        <v>No</v>
      </c>
    </row>
    <row r="1164" spans="1:53" hidden="1">
      <c r="A1164" t="s">
        <v>1280</v>
      </c>
      <c r="B1164" t="str">
        <f t="shared" si="90"/>
        <v>1164_Hamraj</v>
      </c>
      <c r="C1164" t="s">
        <v>1386</v>
      </c>
      <c r="F1164" t="s">
        <v>1241</v>
      </c>
      <c r="G1164" t="s">
        <v>1318</v>
      </c>
      <c r="I1164">
        <v>2019</v>
      </c>
      <c r="M1164" s="25" t="s">
        <v>36</v>
      </c>
      <c r="N1164" t="s">
        <v>36</v>
      </c>
      <c r="O1164" t="s">
        <v>3812</v>
      </c>
      <c r="P1164" t="s">
        <v>60</v>
      </c>
      <c r="Q1164" t="s">
        <v>899</v>
      </c>
      <c r="R1164" t="s">
        <v>868</v>
      </c>
      <c r="S1164" t="s">
        <v>1325</v>
      </c>
      <c r="T1164">
        <v>32</v>
      </c>
      <c r="V1164" t="s">
        <v>907</v>
      </c>
      <c r="Z1164">
        <v>16</v>
      </c>
      <c r="AA1164">
        <v>16</v>
      </c>
      <c r="AG1164" t="str">
        <f t="shared" si="91"/>
        <v>10HELLO_Tigriopus_californicus_D0_CO2NA_TNA_control_outcome0.15</v>
      </c>
      <c r="AI1164">
        <v>27.5</v>
      </c>
      <c r="AJ1164" t="s">
        <v>1333</v>
      </c>
      <c r="AK1164" t="s">
        <v>42</v>
      </c>
      <c r="AM1164"/>
      <c r="AN1164">
        <v>0.15157117000000001</v>
      </c>
      <c r="AO1164">
        <v>7.3937119999999995E-2</v>
      </c>
      <c r="AP1164">
        <v>0.11608133</v>
      </c>
      <c r="AQ1164">
        <v>6.2107200000000001E-2</v>
      </c>
      <c r="AS1164">
        <f t="shared" si="92"/>
        <v>-0.26676421749368817</v>
      </c>
      <c r="AT1164">
        <f t="shared" si="93"/>
        <v>3.2763272915306126E-2</v>
      </c>
      <c r="AW1164" s="28">
        <f t="shared" si="94"/>
        <v>-0.51977795978050378</v>
      </c>
      <c r="AX1164">
        <f t="shared" si="95"/>
        <v>0.97478991596638653</v>
      </c>
      <c r="AY1164" s="62">
        <f t="shared" si="96"/>
        <v>-0.50667431373561711</v>
      </c>
      <c r="AZ1164" s="68" t="str">
        <f t="shared" si="97"/>
        <v>No</v>
      </c>
      <c r="BA1164" s="68" t="str">
        <f t="shared" si="98"/>
        <v>No</v>
      </c>
    </row>
    <row r="1165" spans="1:53" hidden="1">
      <c r="A1165" t="s">
        <v>1280</v>
      </c>
      <c r="B1165" t="str">
        <f t="shared" si="90"/>
        <v>1165_Hamraj</v>
      </c>
      <c r="C1165" t="s">
        <v>1386</v>
      </c>
      <c r="F1165" t="s">
        <v>1241</v>
      </c>
      <c r="G1165" t="s">
        <v>1318</v>
      </c>
      <c r="I1165">
        <v>2019</v>
      </c>
      <c r="M1165" s="25" t="s">
        <v>36</v>
      </c>
      <c r="N1165" t="s">
        <v>36</v>
      </c>
      <c r="O1165" t="s">
        <v>3812</v>
      </c>
      <c r="P1165" t="s">
        <v>60</v>
      </c>
      <c r="Q1165" t="s">
        <v>899</v>
      </c>
      <c r="R1165" t="s">
        <v>868</v>
      </c>
      <c r="S1165" t="s">
        <v>1325</v>
      </c>
      <c r="T1165">
        <v>32</v>
      </c>
      <c r="V1165" t="s">
        <v>907</v>
      </c>
      <c r="Z1165">
        <v>16</v>
      </c>
      <c r="AA1165">
        <v>16</v>
      </c>
      <c r="AG1165" t="str">
        <f t="shared" si="91"/>
        <v>10HELLO_Tigriopus_californicus_D0_CO2NA_TNA_control_outcome0.15</v>
      </c>
      <c r="AI1165">
        <v>30</v>
      </c>
      <c r="AJ1165" t="s">
        <v>1333</v>
      </c>
      <c r="AK1165" t="s">
        <v>42</v>
      </c>
      <c r="AM1165"/>
      <c r="AN1165">
        <v>0.15157117000000001</v>
      </c>
      <c r="AO1165">
        <v>7.3937119999999995E-2</v>
      </c>
      <c r="AP1165">
        <v>0.11829945</v>
      </c>
      <c r="AQ1165">
        <v>6.2107160000000002E-2</v>
      </c>
      <c r="AS1165">
        <f t="shared" si="92"/>
        <v>-0.24783616184284352</v>
      </c>
      <c r="AT1165">
        <f t="shared" si="93"/>
        <v>3.2098619488592911E-2</v>
      </c>
      <c r="AW1165" s="28">
        <f t="shared" si="94"/>
        <v>-0.48729189389917599</v>
      </c>
      <c r="AX1165">
        <f t="shared" si="95"/>
        <v>0.97478991596638653</v>
      </c>
      <c r="AY1165" s="62">
        <f t="shared" si="96"/>
        <v>-0.47500722430507908</v>
      </c>
      <c r="AZ1165" s="68" t="str">
        <f t="shared" si="97"/>
        <v>No</v>
      </c>
      <c r="BA1165" s="68" t="str">
        <f t="shared" si="98"/>
        <v>No</v>
      </c>
    </row>
    <row r="1166" spans="1:53" hidden="1">
      <c r="A1166" t="s">
        <v>1280</v>
      </c>
      <c r="B1166" t="str">
        <f t="shared" si="90"/>
        <v>1166_Hamraj</v>
      </c>
      <c r="C1166" t="s">
        <v>1386</v>
      </c>
      <c r="F1166" t="s">
        <v>1241</v>
      </c>
      <c r="G1166" t="s">
        <v>1318</v>
      </c>
      <c r="I1166">
        <v>2019</v>
      </c>
      <c r="M1166" s="25" t="s">
        <v>36</v>
      </c>
      <c r="N1166" t="s">
        <v>36</v>
      </c>
      <c r="O1166" t="s">
        <v>3812</v>
      </c>
      <c r="P1166" t="s">
        <v>60</v>
      </c>
      <c r="Q1166" t="s">
        <v>899</v>
      </c>
      <c r="R1166" t="s">
        <v>868</v>
      </c>
      <c r="S1166" t="s">
        <v>1325</v>
      </c>
      <c r="T1166">
        <v>44</v>
      </c>
      <c r="V1166" t="s">
        <v>907</v>
      </c>
      <c r="Z1166">
        <v>16</v>
      </c>
      <c r="AA1166">
        <v>16</v>
      </c>
      <c r="AG1166" t="str">
        <f t="shared" si="91"/>
        <v>10HELLO_Tigriopus_californicus_D0_CO2NA_TNA_control_outcome0.18</v>
      </c>
      <c r="AI1166">
        <v>25</v>
      </c>
      <c r="AJ1166" t="s">
        <v>1333</v>
      </c>
      <c r="AK1166" t="s">
        <v>42</v>
      </c>
      <c r="AM1166"/>
      <c r="AN1166">
        <v>0.17818853000000001</v>
      </c>
      <c r="AO1166">
        <v>0.14787436000000001</v>
      </c>
      <c r="AP1166">
        <v>0.12643254000000001</v>
      </c>
      <c r="AQ1166">
        <v>6.8022120000000005E-2</v>
      </c>
      <c r="AS1166">
        <f t="shared" si="92"/>
        <v>-0.3431332617936298</v>
      </c>
      <c r="AT1166">
        <f t="shared" si="93"/>
        <v>6.1134373528845085E-2</v>
      </c>
      <c r="AW1166" s="28">
        <f t="shared" si="94"/>
        <v>-0.44967961785680066</v>
      </c>
      <c r="AX1166">
        <f t="shared" si="95"/>
        <v>0.97478991596638653</v>
      </c>
      <c r="AY1166" s="62">
        <f t="shared" si="96"/>
        <v>-0.43834315690242753</v>
      </c>
      <c r="AZ1166" s="68" t="str">
        <f t="shared" si="97"/>
        <v>No</v>
      </c>
      <c r="BA1166" s="68" t="str">
        <f t="shared" si="98"/>
        <v>No</v>
      </c>
    </row>
    <row r="1167" spans="1:53" hidden="1">
      <c r="A1167" t="s">
        <v>1280</v>
      </c>
      <c r="B1167" t="str">
        <f t="shared" si="90"/>
        <v>1167_Hamraj</v>
      </c>
      <c r="C1167" t="s">
        <v>1386</v>
      </c>
      <c r="F1167" t="s">
        <v>1241</v>
      </c>
      <c r="G1167" t="s">
        <v>1318</v>
      </c>
      <c r="I1167">
        <v>2019</v>
      </c>
      <c r="M1167" s="25" t="s">
        <v>36</v>
      </c>
      <c r="N1167" t="s">
        <v>36</v>
      </c>
      <c r="O1167" t="s">
        <v>3812</v>
      </c>
      <c r="P1167" t="s">
        <v>60</v>
      </c>
      <c r="Q1167" t="s">
        <v>899</v>
      </c>
      <c r="R1167" t="s">
        <v>868</v>
      </c>
      <c r="S1167" t="s">
        <v>1325</v>
      </c>
      <c r="T1167">
        <v>44</v>
      </c>
      <c r="V1167" t="s">
        <v>907</v>
      </c>
      <c r="Z1167">
        <v>16</v>
      </c>
      <c r="AA1167">
        <v>16</v>
      </c>
      <c r="AG1167" t="str">
        <f t="shared" si="91"/>
        <v>10HELLO_Tigriopus_californicus_D0_CO2NA_TNA_control_outcome0.18</v>
      </c>
      <c r="AI1167">
        <v>27.5</v>
      </c>
      <c r="AJ1167" t="s">
        <v>1333</v>
      </c>
      <c r="AK1167" t="s">
        <v>42</v>
      </c>
      <c r="AM1167"/>
      <c r="AN1167">
        <v>0.17818853000000001</v>
      </c>
      <c r="AO1167">
        <v>0.14787436000000001</v>
      </c>
      <c r="AP1167">
        <v>4.6580407999999997E-2</v>
      </c>
      <c r="AQ1167">
        <v>4.4362288E-2</v>
      </c>
      <c r="AS1167">
        <f t="shared" si="92"/>
        <v>-1.3416621235421826</v>
      </c>
      <c r="AT1167">
        <f t="shared" si="93"/>
        <v>9.9732700458066037E-2</v>
      </c>
      <c r="AW1167" s="28">
        <f t="shared" si="94"/>
        <v>-1.2055676313483525</v>
      </c>
      <c r="AX1167">
        <f t="shared" si="95"/>
        <v>0.97478991596638653</v>
      </c>
      <c r="AY1167" s="62">
        <f t="shared" si="96"/>
        <v>-1.1751751700538562</v>
      </c>
      <c r="AZ1167" s="68" t="str">
        <f t="shared" si="97"/>
        <v>No</v>
      </c>
      <c r="BA1167" s="68" t="str">
        <f t="shared" si="98"/>
        <v>No</v>
      </c>
    </row>
    <row r="1168" spans="1:53" hidden="1">
      <c r="A1168" t="s">
        <v>1280</v>
      </c>
      <c r="B1168" t="str">
        <f t="shared" si="90"/>
        <v>1168_Hamraj</v>
      </c>
      <c r="C1168" t="s">
        <v>1386</v>
      </c>
      <c r="F1168" t="s">
        <v>1241</v>
      </c>
      <c r="G1168" t="s">
        <v>1318</v>
      </c>
      <c r="I1168">
        <v>2019</v>
      </c>
      <c r="M1168" s="25" t="s">
        <v>36</v>
      </c>
      <c r="N1168" t="s">
        <v>36</v>
      </c>
      <c r="O1168" t="s">
        <v>3812</v>
      </c>
      <c r="P1168" t="s">
        <v>60</v>
      </c>
      <c r="Q1168" t="s">
        <v>899</v>
      </c>
      <c r="R1168" t="s">
        <v>868</v>
      </c>
      <c r="S1168" t="s">
        <v>1325</v>
      </c>
      <c r="T1168">
        <v>44</v>
      </c>
      <c r="V1168" t="s">
        <v>907</v>
      </c>
      <c r="Z1168">
        <v>16</v>
      </c>
      <c r="AA1168">
        <v>16</v>
      </c>
      <c r="AG1168" t="str">
        <f t="shared" si="91"/>
        <v>10HELLO_Tigriopus_californicus_D0_CO2NA_TNA_control_outcome0.18</v>
      </c>
      <c r="AI1168">
        <v>30</v>
      </c>
      <c r="AJ1168" t="s">
        <v>1333</v>
      </c>
      <c r="AK1168" t="s">
        <v>42</v>
      </c>
      <c r="AM1168"/>
      <c r="AN1168">
        <v>0.17818853000000001</v>
      </c>
      <c r="AO1168">
        <v>0.14787436000000001</v>
      </c>
      <c r="AP1168">
        <v>0.19149722</v>
      </c>
      <c r="AQ1168">
        <v>0.11534195999999999</v>
      </c>
      <c r="AS1168">
        <f t="shared" si="92"/>
        <v>7.2031144459944851E-2</v>
      </c>
      <c r="AT1168">
        <f t="shared" si="93"/>
        <v>6.5717454277976553E-2</v>
      </c>
      <c r="AW1168" s="28">
        <f t="shared" si="94"/>
        <v>0.10035995429223679</v>
      </c>
      <c r="AX1168">
        <f t="shared" si="95"/>
        <v>0.97478991596638653</v>
      </c>
      <c r="AY1168" s="62">
        <f t="shared" si="96"/>
        <v>9.7829871410919894E-2</v>
      </c>
      <c r="AZ1168" s="68" t="str">
        <f t="shared" si="97"/>
        <v>No</v>
      </c>
      <c r="BA1168" s="68" t="str">
        <f t="shared" si="98"/>
        <v>No</v>
      </c>
    </row>
    <row r="1169" spans="1:53" hidden="1">
      <c r="A1169" t="s">
        <v>1280</v>
      </c>
      <c r="B1169" t="str">
        <f t="shared" si="90"/>
        <v>1169_Hamraj</v>
      </c>
      <c r="C1169" t="s">
        <v>1386</v>
      </c>
      <c r="F1169" t="s">
        <v>1241</v>
      </c>
      <c r="G1169" t="s">
        <v>1318</v>
      </c>
      <c r="I1169">
        <v>2019</v>
      </c>
      <c r="M1169" s="25" t="s">
        <v>36</v>
      </c>
      <c r="N1169" t="s">
        <v>36</v>
      </c>
      <c r="O1169" t="s">
        <v>3812</v>
      </c>
      <c r="P1169" t="s">
        <v>60</v>
      </c>
      <c r="Q1169" t="s">
        <v>899</v>
      </c>
      <c r="R1169" t="s">
        <v>868</v>
      </c>
      <c r="S1169" t="s">
        <v>1325</v>
      </c>
      <c r="T1169">
        <v>44</v>
      </c>
      <c r="V1169" t="s">
        <v>907</v>
      </c>
      <c r="Z1169">
        <v>16</v>
      </c>
      <c r="AA1169">
        <v>16</v>
      </c>
      <c r="AG1169" t="str">
        <f t="shared" si="91"/>
        <v>10HELLO_Tigriopus_californicus_D0_CO2NA_TNA_control_outcome0.32</v>
      </c>
      <c r="AI1169">
        <v>25</v>
      </c>
      <c r="AJ1169" t="s">
        <v>1333</v>
      </c>
      <c r="AK1169" t="s">
        <v>42</v>
      </c>
      <c r="AM1169"/>
      <c r="AN1169">
        <v>0.32310537</v>
      </c>
      <c r="AO1169">
        <v>0.32236596000000001</v>
      </c>
      <c r="AP1169">
        <v>0.15157117000000001</v>
      </c>
      <c r="AQ1169">
        <v>9.4639520000000005E-2</v>
      </c>
      <c r="AS1169">
        <f t="shared" si="92"/>
        <v>-0.75692320931432899</v>
      </c>
      <c r="AT1169">
        <f t="shared" si="93"/>
        <v>8.6580699295270694E-2</v>
      </c>
      <c r="AW1169" s="28">
        <f t="shared" si="94"/>
        <v>-0.7220446365814448</v>
      </c>
      <c r="AX1169">
        <f t="shared" si="95"/>
        <v>0.97478991596638653</v>
      </c>
      <c r="AY1169" s="62">
        <f t="shared" si="96"/>
        <v>-0.70384183061720673</v>
      </c>
      <c r="AZ1169" s="68" t="str">
        <f t="shared" si="97"/>
        <v>No</v>
      </c>
      <c r="BA1169" s="68" t="str">
        <f t="shared" si="98"/>
        <v>No</v>
      </c>
    </row>
    <row r="1170" spans="1:53" hidden="1">
      <c r="A1170" t="s">
        <v>1280</v>
      </c>
      <c r="B1170" t="str">
        <f t="shared" si="90"/>
        <v>1170_Hamraj</v>
      </c>
      <c r="C1170" t="s">
        <v>1386</v>
      </c>
      <c r="F1170" t="s">
        <v>1241</v>
      </c>
      <c r="G1170" t="s">
        <v>1318</v>
      </c>
      <c r="I1170">
        <v>2019</v>
      </c>
      <c r="M1170" s="25" t="s">
        <v>36</v>
      </c>
      <c r="N1170" t="s">
        <v>36</v>
      </c>
      <c r="O1170" t="s">
        <v>3812</v>
      </c>
      <c r="P1170" t="s">
        <v>60</v>
      </c>
      <c r="Q1170" t="s">
        <v>899</v>
      </c>
      <c r="R1170" t="s">
        <v>868</v>
      </c>
      <c r="S1170" t="s">
        <v>1325</v>
      </c>
      <c r="T1170">
        <v>44</v>
      </c>
      <c r="V1170" t="s">
        <v>907</v>
      </c>
      <c r="Z1170">
        <v>16</v>
      </c>
      <c r="AA1170">
        <v>16</v>
      </c>
      <c r="AG1170" t="str">
        <f t="shared" si="91"/>
        <v>10HELLO_Tigriopus_californicus_D0_CO2NA_TNA_control_outcome0.32</v>
      </c>
      <c r="AI1170">
        <v>27.5</v>
      </c>
      <c r="AJ1170" t="s">
        <v>1333</v>
      </c>
      <c r="AK1170" t="s">
        <v>42</v>
      </c>
      <c r="AM1170"/>
      <c r="AN1170">
        <v>0.32310537</v>
      </c>
      <c r="AO1170">
        <v>0.32236596000000001</v>
      </c>
      <c r="AP1170">
        <v>0.15304989999999999</v>
      </c>
      <c r="AQ1170">
        <v>0.10646952</v>
      </c>
      <c r="AS1170">
        <f t="shared" si="92"/>
        <v>-0.74721448092378928</v>
      </c>
      <c r="AT1170">
        <f t="shared" si="93"/>
        <v>9.246003177480519E-2</v>
      </c>
      <c r="AW1170" s="28">
        <f t="shared" si="94"/>
        <v>-0.70839361938638179</v>
      </c>
      <c r="AX1170">
        <f t="shared" si="95"/>
        <v>0.97478991596638653</v>
      </c>
      <c r="AY1170" s="62">
        <f t="shared" si="96"/>
        <v>-0.69053495671277554</v>
      </c>
      <c r="AZ1170" s="68" t="str">
        <f t="shared" si="97"/>
        <v>No</v>
      </c>
      <c r="BA1170" s="68" t="str">
        <f t="shared" si="98"/>
        <v>No</v>
      </c>
    </row>
    <row r="1171" spans="1:53" hidden="1">
      <c r="A1171" t="s">
        <v>1280</v>
      </c>
      <c r="B1171" t="str">
        <f t="shared" si="90"/>
        <v>1171_Hamraj</v>
      </c>
      <c r="C1171" t="s">
        <v>1386</v>
      </c>
      <c r="F1171" t="s">
        <v>1241</v>
      </c>
      <c r="G1171" t="s">
        <v>1318</v>
      </c>
      <c r="I1171">
        <v>2019</v>
      </c>
      <c r="M1171" s="25" t="s">
        <v>36</v>
      </c>
      <c r="N1171" t="s">
        <v>36</v>
      </c>
      <c r="O1171" t="s">
        <v>3812</v>
      </c>
      <c r="P1171" t="s">
        <v>60</v>
      </c>
      <c r="Q1171" t="s">
        <v>899</v>
      </c>
      <c r="R1171" t="s">
        <v>868</v>
      </c>
      <c r="S1171" t="s">
        <v>1325</v>
      </c>
      <c r="T1171">
        <v>44</v>
      </c>
      <c r="V1171" t="s">
        <v>907</v>
      </c>
      <c r="Z1171">
        <v>16</v>
      </c>
      <c r="AA1171">
        <v>16</v>
      </c>
      <c r="AG1171" t="str">
        <f t="shared" si="91"/>
        <v>10HELLO_Tigriopus_californicus_D0_CO2NA_TNA_control_outcome0.32</v>
      </c>
      <c r="AI1171">
        <v>30</v>
      </c>
      <c r="AJ1171" t="s">
        <v>1333</v>
      </c>
      <c r="AK1171" t="s">
        <v>42</v>
      </c>
      <c r="AM1171"/>
      <c r="AN1171">
        <v>0.32310537</v>
      </c>
      <c r="AO1171">
        <v>0.32236596000000001</v>
      </c>
      <c r="AP1171">
        <v>0.13308687999999999</v>
      </c>
      <c r="AQ1171">
        <v>0.10055448</v>
      </c>
      <c r="AS1171">
        <f t="shared" si="92"/>
        <v>-0.8869763448931498</v>
      </c>
      <c r="AT1171">
        <f t="shared" si="93"/>
        <v>9.7893247009064571E-2</v>
      </c>
      <c r="AW1171" s="28">
        <f t="shared" si="94"/>
        <v>-0.79579162496494771</v>
      </c>
      <c r="AX1171">
        <f t="shared" si="95"/>
        <v>0.97478991596638653</v>
      </c>
      <c r="AY1171" s="62">
        <f t="shared" si="96"/>
        <v>-0.77572965122633553</v>
      </c>
      <c r="AZ1171" s="68" t="str">
        <f t="shared" si="97"/>
        <v>No</v>
      </c>
      <c r="BA1171" s="68" t="str">
        <f t="shared" si="98"/>
        <v>No</v>
      </c>
    </row>
    <row r="1172" spans="1:53" hidden="1">
      <c r="A1172" t="s">
        <v>1280</v>
      </c>
      <c r="B1172" t="str">
        <f t="shared" si="90"/>
        <v>1172_Hamraj</v>
      </c>
      <c r="C1172" t="s">
        <v>1384</v>
      </c>
      <c r="F1172" t="s">
        <v>1241</v>
      </c>
      <c r="G1172" t="s">
        <v>1319</v>
      </c>
      <c r="I1172">
        <v>2011</v>
      </c>
      <c r="M1172" s="25" t="s">
        <v>36</v>
      </c>
      <c r="N1172" t="s">
        <v>36</v>
      </c>
      <c r="O1172" t="s">
        <v>3810</v>
      </c>
      <c r="P1172" t="s">
        <v>60</v>
      </c>
      <c r="Q1172" t="s">
        <v>899</v>
      </c>
      <c r="R1172" t="s">
        <v>868</v>
      </c>
      <c r="S1172" t="s">
        <v>1326</v>
      </c>
      <c r="T1172">
        <v>41</v>
      </c>
      <c r="V1172" t="s">
        <v>907</v>
      </c>
      <c r="Z1172">
        <v>3</v>
      </c>
      <c r="AA1172">
        <v>3</v>
      </c>
      <c r="AG1172" t="str">
        <f t="shared" si="91"/>
        <v>11HELLO_Oithona_davisae_D0_CO2NA_TNA_control_outcome0.01</v>
      </c>
      <c r="AI1172">
        <v>20</v>
      </c>
      <c r="AJ1172" t="s">
        <v>1333</v>
      </c>
      <c r="AK1172" t="s">
        <v>42</v>
      </c>
      <c r="AM1172"/>
      <c r="AN1172">
        <v>1.1210213E-2</v>
      </c>
      <c r="AO1172">
        <v>1.9958979999999999E-3</v>
      </c>
      <c r="AP1172">
        <v>2.1451622E-2</v>
      </c>
      <c r="AQ1172">
        <v>1.475206E-3</v>
      </c>
      <c r="AS1172">
        <f t="shared" si="92"/>
        <v>0.64897502243515337</v>
      </c>
      <c r="AT1172">
        <f t="shared" si="93"/>
        <v>1.2142806454989791E-2</v>
      </c>
      <c r="AW1172" s="28">
        <f t="shared" si="94"/>
        <v>5.835659412143551</v>
      </c>
      <c r="AX1172">
        <f t="shared" si="95"/>
        <v>0.8</v>
      </c>
      <c r="AY1172" s="62">
        <f t="shared" si="96"/>
        <v>4.668527529714841</v>
      </c>
      <c r="AZ1172" s="68" t="str">
        <f t="shared" si="97"/>
        <v>No</v>
      </c>
      <c r="BA1172" s="68" t="str">
        <f t="shared" si="98"/>
        <v>No</v>
      </c>
    </row>
    <row r="1173" spans="1:53" hidden="1">
      <c r="A1173" t="s">
        <v>1280</v>
      </c>
      <c r="B1173" t="str">
        <f t="shared" si="90"/>
        <v>1173_Hamraj</v>
      </c>
      <c r="C1173" t="s">
        <v>1384</v>
      </c>
      <c r="F1173" t="s">
        <v>1241</v>
      </c>
      <c r="G1173" t="s">
        <v>1319</v>
      </c>
      <c r="I1173">
        <v>2011</v>
      </c>
      <c r="M1173" s="25" t="s">
        <v>36</v>
      </c>
      <c r="N1173" t="s">
        <v>36</v>
      </c>
      <c r="O1173" t="s">
        <v>3810</v>
      </c>
      <c r="P1173" t="s">
        <v>60</v>
      </c>
      <c r="Q1173" t="s">
        <v>899</v>
      </c>
      <c r="R1173" t="s">
        <v>868</v>
      </c>
      <c r="S1173" t="s">
        <v>1326</v>
      </c>
      <c r="T1173">
        <v>41</v>
      </c>
      <c r="V1173" t="s">
        <v>907</v>
      </c>
      <c r="Z1173">
        <v>3</v>
      </c>
      <c r="AA1173">
        <v>3</v>
      </c>
      <c r="AG1173" t="str">
        <f t="shared" si="91"/>
        <v>11HELLO_Oithona_davisae_D0_CO2NA_TNA_control_outcome0.01</v>
      </c>
      <c r="AI1173">
        <v>24</v>
      </c>
      <c r="AJ1173" t="s">
        <v>1333</v>
      </c>
      <c r="AK1173" t="s">
        <v>42</v>
      </c>
      <c r="AM1173"/>
      <c r="AN1173">
        <v>1.1210213E-2</v>
      </c>
      <c r="AO1173">
        <v>1.9958979999999999E-3</v>
      </c>
      <c r="AP1173">
        <v>3.0532659E-2</v>
      </c>
      <c r="AQ1173">
        <v>1.924959E-3</v>
      </c>
      <c r="AS1173">
        <f t="shared" si="92"/>
        <v>1.0019716598196413</v>
      </c>
      <c r="AT1173">
        <f t="shared" si="93"/>
        <v>1.1891344485024975E-2</v>
      </c>
      <c r="AW1173" s="28">
        <f t="shared" si="94"/>
        <v>9.8546232140915624</v>
      </c>
      <c r="AX1173">
        <f t="shared" si="95"/>
        <v>0.8</v>
      </c>
      <c r="AY1173" s="62">
        <f t="shared" si="96"/>
        <v>7.8836985712732499</v>
      </c>
      <c r="AZ1173" s="68" t="str">
        <f t="shared" si="97"/>
        <v>No</v>
      </c>
      <c r="BA1173" s="68" t="str">
        <f t="shared" si="98"/>
        <v>No</v>
      </c>
    </row>
    <row r="1174" spans="1:53" hidden="1">
      <c r="A1174" t="s">
        <v>1280</v>
      </c>
      <c r="B1174" t="str">
        <f t="shared" si="90"/>
        <v>1174_Hamraj</v>
      </c>
      <c r="C1174" t="s">
        <v>1384</v>
      </c>
      <c r="F1174" t="s">
        <v>1241</v>
      </c>
      <c r="G1174" t="s">
        <v>1319</v>
      </c>
      <c r="I1174">
        <v>2011</v>
      </c>
      <c r="M1174" s="25" t="s">
        <v>36</v>
      </c>
      <c r="N1174" t="s">
        <v>36</v>
      </c>
      <c r="O1174" t="s">
        <v>3810</v>
      </c>
      <c r="P1174" t="s">
        <v>60</v>
      </c>
      <c r="Q1174" t="s">
        <v>899</v>
      </c>
      <c r="R1174" t="s">
        <v>868</v>
      </c>
      <c r="S1174" t="s">
        <v>1326</v>
      </c>
      <c r="T1174">
        <v>41</v>
      </c>
      <c r="V1174" t="s">
        <v>907</v>
      </c>
      <c r="Z1174">
        <v>3</v>
      </c>
      <c r="AA1174">
        <v>3</v>
      </c>
      <c r="AG1174" t="str">
        <f t="shared" si="91"/>
        <v>11HELLO_Oithona_davisae_D0_CO2NA_TNA_control_outcome0.01</v>
      </c>
      <c r="AI1174">
        <v>28</v>
      </c>
      <c r="AJ1174" t="s">
        <v>1333</v>
      </c>
      <c r="AK1174" t="s">
        <v>42</v>
      </c>
      <c r="AM1174"/>
      <c r="AN1174">
        <v>1.1210213E-2</v>
      </c>
      <c r="AO1174">
        <v>1.9958979999999999E-3</v>
      </c>
      <c r="AP1174">
        <v>3.6922586E-2</v>
      </c>
      <c r="AQ1174">
        <v>2.3858500000000001E-3</v>
      </c>
      <c r="AS1174">
        <f t="shared" si="92"/>
        <v>1.1919982127230613</v>
      </c>
      <c r="AT1174">
        <f t="shared" si="93"/>
        <v>1.1958228637366734E-2</v>
      </c>
      <c r="AW1174" s="28">
        <f t="shared" si="94"/>
        <v>11.689924804365271</v>
      </c>
      <c r="AX1174">
        <f t="shared" si="95"/>
        <v>0.8</v>
      </c>
      <c r="AY1174" s="62">
        <f t="shared" si="96"/>
        <v>9.3519398434922163</v>
      </c>
      <c r="AZ1174" s="68" t="str">
        <f t="shared" si="97"/>
        <v>No</v>
      </c>
      <c r="BA1174" s="68" t="str">
        <f t="shared" si="98"/>
        <v>No</v>
      </c>
    </row>
    <row r="1175" spans="1:53" hidden="1">
      <c r="A1175" t="s">
        <v>1280</v>
      </c>
      <c r="B1175" t="str">
        <f t="shared" si="90"/>
        <v>1175_Hamraj</v>
      </c>
      <c r="C1175" t="s">
        <v>1388</v>
      </c>
      <c r="F1175" t="s">
        <v>1241</v>
      </c>
      <c r="G1175" t="s">
        <v>1320</v>
      </c>
      <c r="I1175">
        <v>2005</v>
      </c>
      <c r="M1175" s="25" t="s">
        <v>36</v>
      </c>
      <c r="N1175" t="s">
        <v>36</v>
      </c>
      <c r="O1175" t="s">
        <v>3810</v>
      </c>
      <c r="P1175" t="s">
        <v>60</v>
      </c>
      <c r="Q1175" t="s">
        <v>899</v>
      </c>
      <c r="R1175" t="s">
        <v>868</v>
      </c>
      <c r="S1175" t="s">
        <v>1327</v>
      </c>
      <c r="T1175">
        <v>50</v>
      </c>
      <c r="V1175" t="s">
        <v>907</v>
      </c>
      <c r="Z1175">
        <v>8</v>
      </c>
      <c r="AA1175">
        <v>9</v>
      </c>
      <c r="AG1175" t="str">
        <f t="shared" si="91"/>
        <v>12HELLO_Oithona_similis_D0_CO2NA_TNA_control_outcome0.06</v>
      </c>
      <c r="AI1175">
        <v>10</v>
      </c>
      <c r="AJ1175" t="s">
        <v>1333</v>
      </c>
      <c r="AK1175" t="s">
        <v>42</v>
      </c>
      <c r="AM1175"/>
      <c r="AN1175">
        <v>5.7498634999999999E-2</v>
      </c>
      <c r="AO1175">
        <v>2.3640682E-2</v>
      </c>
      <c r="AP1175">
        <v>8.2723771000000001E-2</v>
      </c>
      <c r="AQ1175">
        <v>4.1922354000000002E-2</v>
      </c>
      <c r="AS1175">
        <f t="shared" si="92"/>
        <v>0.3637457888541249</v>
      </c>
      <c r="AT1175">
        <f t="shared" si="93"/>
        <v>4.966642762801203E-2</v>
      </c>
      <c r="AW1175" s="28">
        <f t="shared" si="94"/>
        <v>0.7287531096826273</v>
      </c>
      <c r="AX1175">
        <f t="shared" si="95"/>
        <v>0.94915254237288138</v>
      </c>
      <c r="AY1175" s="62">
        <f t="shared" si="96"/>
        <v>0.69169786681740897</v>
      </c>
      <c r="AZ1175" s="68" t="str">
        <f t="shared" si="97"/>
        <v>No</v>
      </c>
      <c r="BA1175" s="68" t="str">
        <f t="shared" si="98"/>
        <v>No</v>
      </c>
    </row>
    <row r="1176" spans="1:53" hidden="1">
      <c r="A1176" t="s">
        <v>1280</v>
      </c>
      <c r="B1176" t="str">
        <f t="shared" si="90"/>
        <v>1176_Hamraj</v>
      </c>
      <c r="C1176" t="s">
        <v>1388</v>
      </c>
      <c r="F1176" t="s">
        <v>1241</v>
      </c>
      <c r="G1176" t="s">
        <v>1320</v>
      </c>
      <c r="I1176">
        <v>2005</v>
      </c>
      <c r="M1176" s="25" t="s">
        <v>36</v>
      </c>
      <c r="N1176" t="s">
        <v>36</v>
      </c>
      <c r="O1176" t="s">
        <v>3810</v>
      </c>
      <c r="P1176" t="s">
        <v>60</v>
      </c>
      <c r="Q1176" t="s">
        <v>899</v>
      </c>
      <c r="R1176" t="s">
        <v>868</v>
      </c>
      <c r="S1176" t="s">
        <v>1327</v>
      </c>
      <c r="T1176">
        <v>50</v>
      </c>
      <c r="V1176" t="s">
        <v>907</v>
      </c>
      <c r="Z1176">
        <v>8</v>
      </c>
      <c r="AA1176">
        <v>7</v>
      </c>
      <c r="AG1176" t="str">
        <f t="shared" si="91"/>
        <v>12HELLO_Oithona_similis_D0_CO2NA_TNA_control_outcome0.06</v>
      </c>
      <c r="AI1176">
        <v>15</v>
      </c>
      <c r="AJ1176" t="s">
        <v>1333</v>
      </c>
      <c r="AK1176" t="s">
        <v>42</v>
      </c>
      <c r="AM1176"/>
      <c r="AN1176">
        <v>5.7498634999999999E-2</v>
      </c>
      <c r="AO1176">
        <v>2.3640682E-2</v>
      </c>
      <c r="AP1176">
        <v>0.19404575800000001</v>
      </c>
      <c r="AQ1176">
        <v>5.4998070000000003E-2</v>
      </c>
      <c r="AS1176">
        <f t="shared" si="92"/>
        <v>1.21633278883961</v>
      </c>
      <c r="AT1176">
        <f t="shared" si="93"/>
        <v>3.260669914338335E-2</v>
      </c>
      <c r="AW1176" s="28">
        <f t="shared" si="94"/>
        <v>3.3146877687876177</v>
      </c>
      <c r="AX1176">
        <f t="shared" si="95"/>
        <v>0.94117647058823528</v>
      </c>
      <c r="AY1176" s="62">
        <f t="shared" si="96"/>
        <v>3.1197061353295226</v>
      </c>
      <c r="AZ1176" s="68" t="str">
        <f t="shared" si="97"/>
        <v>No</v>
      </c>
      <c r="BA1176" s="68" t="str">
        <f t="shared" si="98"/>
        <v>No</v>
      </c>
    </row>
    <row r="1177" spans="1:53" hidden="1">
      <c r="A1177" t="s">
        <v>1280</v>
      </c>
      <c r="B1177" t="str">
        <f t="shared" si="90"/>
        <v>1177_Hamraj</v>
      </c>
      <c r="C1177" t="s">
        <v>1388</v>
      </c>
      <c r="F1177" t="s">
        <v>1241</v>
      </c>
      <c r="G1177" t="s">
        <v>1320</v>
      </c>
      <c r="I1177">
        <v>2005</v>
      </c>
      <c r="M1177" s="25" t="s">
        <v>36</v>
      </c>
      <c r="N1177" t="s">
        <v>36</v>
      </c>
      <c r="O1177" t="s">
        <v>3810</v>
      </c>
      <c r="P1177" t="s">
        <v>60</v>
      </c>
      <c r="Q1177" t="s">
        <v>899</v>
      </c>
      <c r="R1177" t="s">
        <v>868</v>
      </c>
      <c r="S1177" t="s">
        <v>1327</v>
      </c>
      <c r="T1177">
        <v>50</v>
      </c>
      <c r="V1177" t="s">
        <v>907</v>
      </c>
      <c r="Z1177">
        <v>8</v>
      </c>
      <c r="AA1177">
        <v>7</v>
      </c>
      <c r="AG1177" t="str">
        <f t="shared" si="91"/>
        <v>12HELLO_Oithona_similis_D0_CO2NA_TNA_control_outcome0.06</v>
      </c>
      <c r="AI1177">
        <v>20</v>
      </c>
      <c r="AJ1177" t="s">
        <v>1333</v>
      </c>
      <c r="AK1177" t="s">
        <v>42</v>
      </c>
      <c r="AM1177"/>
      <c r="AN1177">
        <v>5.7498634999999999E-2</v>
      </c>
      <c r="AO1177">
        <v>2.3640682E-2</v>
      </c>
      <c r="AP1177">
        <v>0.28169875599999999</v>
      </c>
      <c r="AQ1177">
        <v>6.2548836999999996E-2</v>
      </c>
      <c r="AS1177">
        <f t="shared" si="92"/>
        <v>1.5890770504360452</v>
      </c>
      <c r="AT1177">
        <f t="shared" si="93"/>
        <v>2.8173960714370953E-2</v>
      </c>
      <c r="AW1177" s="28">
        <f t="shared" si="94"/>
        <v>4.8847317546258715</v>
      </c>
      <c r="AX1177">
        <f t="shared" si="95"/>
        <v>0.94117647058823528</v>
      </c>
      <c r="AY1177" s="62">
        <f t="shared" si="96"/>
        <v>4.5973945925890556</v>
      </c>
      <c r="AZ1177" s="68" t="str">
        <f t="shared" si="97"/>
        <v>No</v>
      </c>
      <c r="BA1177" s="68" t="str">
        <f t="shared" si="98"/>
        <v>No</v>
      </c>
    </row>
    <row r="1178" spans="1:53" hidden="1">
      <c r="A1178" t="s">
        <v>1280</v>
      </c>
      <c r="B1178" t="str">
        <f t="shared" si="90"/>
        <v>1178_Hamraj</v>
      </c>
      <c r="C1178" t="s">
        <v>1388</v>
      </c>
      <c r="F1178" t="s">
        <v>1241</v>
      </c>
      <c r="G1178" t="s">
        <v>1320</v>
      </c>
      <c r="I1178">
        <v>2005</v>
      </c>
      <c r="M1178" s="25" t="s">
        <v>36</v>
      </c>
      <c r="N1178" t="s">
        <v>36</v>
      </c>
      <c r="O1178" t="s">
        <v>3810</v>
      </c>
      <c r="P1178" t="s">
        <v>60</v>
      </c>
      <c r="Q1178" t="s">
        <v>899</v>
      </c>
      <c r="R1178" t="s">
        <v>868</v>
      </c>
      <c r="S1178" t="s">
        <v>1327</v>
      </c>
      <c r="T1178">
        <v>50</v>
      </c>
      <c r="V1178" t="s">
        <v>907</v>
      </c>
      <c r="Z1178">
        <v>8</v>
      </c>
      <c r="AA1178">
        <v>5</v>
      </c>
      <c r="AG1178" t="str">
        <f t="shared" si="91"/>
        <v>12HELLO_Oithona_similis_D0_CO2NA_TNA_control_outcome0.06</v>
      </c>
      <c r="AI1178">
        <v>25</v>
      </c>
      <c r="AJ1178" t="s">
        <v>1333</v>
      </c>
      <c r="AK1178" t="s">
        <v>42</v>
      </c>
      <c r="AM1178"/>
      <c r="AN1178">
        <v>5.7498634999999999E-2</v>
      </c>
      <c r="AO1178">
        <v>2.3640682E-2</v>
      </c>
      <c r="AP1178">
        <v>0.35508579000000001</v>
      </c>
      <c r="AQ1178">
        <v>4.6539560000000001E-2</v>
      </c>
      <c r="AS1178">
        <f t="shared" si="92"/>
        <v>1.8205982138606034</v>
      </c>
      <c r="AT1178">
        <f t="shared" si="93"/>
        <v>2.4566394066004024E-2</v>
      </c>
      <c r="AW1178" s="28">
        <f t="shared" si="94"/>
        <v>8.8011832613995846</v>
      </c>
      <c r="AX1178">
        <f t="shared" si="95"/>
        <v>0.93023255813953487</v>
      </c>
      <c r="AY1178" s="62">
        <f t="shared" si="96"/>
        <v>8.1871472199065902</v>
      </c>
      <c r="AZ1178" s="68" t="str">
        <f t="shared" si="97"/>
        <v>No</v>
      </c>
      <c r="BA1178" s="68" t="str">
        <f t="shared" si="98"/>
        <v>No</v>
      </c>
    </row>
    <row r="1179" spans="1:53" hidden="1">
      <c r="A1179" t="s">
        <v>1280</v>
      </c>
      <c r="B1179" t="str">
        <f t="shared" si="90"/>
        <v>1179_Hamraj</v>
      </c>
      <c r="C1179" t="s">
        <v>1389</v>
      </c>
      <c r="F1179" t="s">
        <v>1241</v>
      </c>
      <c r="G1179" t="s">
        <v>1321</v>
      </c>
      <c r="I1179">
        <v>2016</v>
      </c>
      <c r="M1179" s="25" t="s">
        <v>36</v>
      </c>
      <c r="N1179" t="s">
        <v>36</v>
      </c>
      <c r="O1179" t="s">
        <v>3810</v>
      </c>
      <c r="P1179" t="s">
        <v>60</v>
      </c>
      <c r="Q1179" t="s">
        <v>899</v>
      </c>
      <c r="R1179" t="s">
        <v>828</v>
      </c>
      <c r="S1179" t="s">
        <v>1328</v>
      </c>
      <c r="T1179">
        <v>4</v>
      </c>
      <c r="V1179" t="s">
        <v>907</v>
      </c>
      <c r="Z1179">
        <v>10</v>
      </c>
      <c r="AA1179">
        <v>10</v>
      </c>
      <c r="AG1179" t="str">
        <f t="shared" si="91"/>
        <v>13HELLO_Pseudodiaptomus_annandalei_D0_CO2NA_TNA_control_outcome7.46</v>
      </c>
      <c r="AI1179">
        <v>24</v>
      </c>
      <c r="AJ1179" t="s">
        <v>1333</v>
      </c>
      <c r="AK1179" t="s">
        <v>42</v>
      </c>
      <c r="AM1179"/>
      <c r="AN1179">
        <v>7.4608926999999996</v>
      </c>
      <c r="AO1179">
        <v>0.823791355</v>
      </c>
      <c r="AP1179">
        <v>9.9283590000000004</v>
      </c>
      <c r="AQ1179">
        <v>1.029384624</v>
      </c>
      <c r="AS1179">
        <f t="shared" si="92"/>
        <v>0.28572013566733334</v>
      </c>
      <c r="AT1179">
        <f t="shared" si="93"/>
        <v>2.2941180709277523E-3</v>
      </c>
      <c r="AW1179" s="28">
        <f t="shared" si="94"/>
        <v>2.646721512181013</v>
      </c>
      <c r="AX1179">
        <f t="shared" si="95"/>
        <v>0.95774647887323949</v>
      </c>
      <c r="AY1179" s="62">
        <f t="shared" si="96"/>
        <v>2.5348882088494209</v>
      </c>
      <c r="AZ1179" s="68" t="str">
        <f t="shared" si="97"/>
        <v>No</v>
      </c>
      <c r="BA1179" s="68" t="str">
        <f t="shared" si="98"/>
        <v>No</v>
      </c>
    </row>
    <row r="1180" spans="1:53" hidden="1">
      <c r="A1180" t="s">
        <v>1280</v>
      </c>
      <c r="B1180" t="str">
        <f t="shared" si="90"/>
        <v>1180_Hamraj</v>
      </c>
      <c r="C1180" t="s">
        <v>1389</v>
      </c>
      <c r="F1180" t="s">
        <v>1241</v>
      </c>
      <c r="G1180" t="s">
        <v>1321</v>
      </c>
      <c r="I1180">
        <v>2016</v>
      </c>
      <c r="M1180" s="25" t="s">
        <v>36</v>
      </c>
      <c r="N1180" t="s">
        <v>36</v>
      </c>
      <c r="O1180" t="s">
        <v>3810</v>
      </c>
      <c r="P1180" t="s">
        <v>60</v>
      </c>
      <c r="Q1180" t="s">
        <v>899</v>
      </c>
      <c r="R1180" t="s">
        <v>828</v>
      </c>
      <c r="S1180" t="s">
        <v>1328</v>
      </c>
      <c r="T1180">
        <v>4</v>
      </c>
      <c r="V1180" t="s">
        <v>907</v>
      </c>
      <c r="Z1180">
        <v>10</v>
      </c>
      <c r="AA1180">
        <v>10</v>
      </c>
      <c r="AG1180" t="str">
        <f t="shared" si="91"/>
        <v>13HELLO_Pseudodiaptomus_annandalei_D0_CO2NA_TNA_control_outcome7.46</v>
      </c>
      <c r="AI1180">
        <v>26</v>
      </c>
      <c r="AJ1180" t="s">
        <v>1333</v>
      </c>
      <c r="AK1180" t="s">
        <v>42</v>
      </c>
      <c r="AM1180"/>
      <c r="AN1180">
        <v>7.4608926999999996</v>
      </c>
      <c r="AO1180">
        <v>0.823791355</v>
      </c>
      <c r="AP1180">
        <v>11.744695999999999</v>
      </c>
      <c r="AQ1180">
        <v>2.0581968759999998</v>
      </c>
      <c r="AS1180">
        <f t="shared" si="92"/>
        <v>0.45372666248552163</v>
      </c>
      <c r="AT1180">
        <f t="shared" si="93"/>
        <v>4.2902119264878356E-3</v>
      </c>
      <c r="AW1180" s="28">
        <f t="shared" si="94"/>
        <v>2.7326958893130162</v>
      </c>
      <c r="AX1180">
        <f t="shared" si="95"/>
        <v>0.95774647887323949</v>
      </c>
      <c r="AY1180" s="62">
        <f t="shared" si="96"/>
        <v>2.6172298658209172</v>
      </c>
      <c r="AZ1180" s="68" t="str">
        <f t="shared" si="97"/>
        <v>No</v>
      </c>
      <c r="BA1180" s="68" t="str">
        <f t="shared" si="98"/>
        <v>No</v>
      </c>
    </row>
    <row r="1181" spans="1:53" hidden="1">
      <c r="A1181" t="s">
        <v>1280</v>
      </c>
      <c r="B1181" t="str">
        <f t="shared" si="90"/>
        <v>1181_Hamraj</v>
      </c>
      <c r="C1181" t="s">
        <v>1389</v>
      </c>
      <c r="F1181" t="s">
        <v>1241</v>
      </c>
      <c r="G1181" t="s">
        <v>1321</v>
      </c>
      <c r="I1181">
        <v>2016</v>
      </c>
      <c r="M1181" s="25" t="s">
        <v>36</v>
      </c>
      <c r="N1181" t="s">
        <v>36</v>
      </c>
      <c r="O1181" t="s">
        <v>3810</v>
      </c>
      <c r="P1181" t="s">
        <v>60</v>
      </c>
      <c r="Q1181" t="s">
        <v>899</v>
      </c>
      <c r="R1181" t="s">
        <v>828</v>
      </c>
      <c r="S1181" t="s">
        <v>1328</v>
      </c>
      <c r="T1181">
        <v>4</v>
      </c>
      <c r="V1181" t="s">
        <v>907</v>
      </c>
      <c r="Z1181">
        <v>10</v>
      </c>
      <c r="AA1181">
        <v>10</v>
      </c>
      <c r="AG1181" t="str">
        <f t="shared" si="91"/>
        <v>13HELLO_Pseudodiaptomus_annandalei_D0_CO2NA_TNA_control_outcome7.46</v>
      </c>
      <c r="AI1181">
        <v>28</v>
      </c>
      <c r="AJ1181" t="s">
        <v>1333</v>
      </c>
      <c r="AK1181" t="s">
        <v>42</v>
      </c>
      <c r="AM1181"/>
      <c r="AN1181">
        <v>7.4608926999999996</v>
      </c>
      <c r="AO1181">
        <v>0.823791355</v>
      </c>
      <c r="AP1181">
        <v>12.844799</v>
      </c>
      <c r="AQ1181">
        <v>2.8822737850000002</v>
      </c>
      <c r="AS1181">
        <f t="shared" si="92"/>
        <v>0.54326391039155242</v>
      </c>
      <c r="AT1181">
        <f t="shared" si="93"/>
        <v>6.2543277215392707E-3</v>
      </c>
      <c r="AW1181" s="28">
        <f t="shared" si="94"/>
        <v>2.5399550835979463</v>
      </c>
      <c r="AX1181">
        <f t="shared" si="95"/>
        <v>0.95774647887323949</v>
      </c>
      <c r="AY1181" s="62">
        <f t="shared" si="96"/>
        <v>2.4326330378121179</v>
      </c>
      <c r="AZ1181" s="68" t="str">
        <f t="shared" si="97"/>
        <v>No</v>
      </c>
      <c r="BA1181" s="68" t="str">
        <f t="shared" si="98"/>
        <v>No</v>
      </c>
    </row>
    <row r="1182" spans="1:53" hidden="1">
      <c r="A1182" t="s">
        <v>1280</v>
      </c>
      <c r="B1182" t="str">
        <f t="shared" si="90"/>
        <v>1182_Hamraj</v>
      </c>
      <c r="C1182" t="s">
        <v>1389</v>
      </c>
      <c r="F1182" t="s">
        <v>1241</v>
      </c>
      <c r="G1182" t="s">
        <v>1321</v>
      </c>
      <c r="I1182">
        <v>2016</v>
      </c>
      <c r="M1182" s="25" t="s">
        <v>36</v>
      </c>
      <c r="N1182" t="s">
        <v>36</v>
      </c>
      <c r="O1182" t="s">
        <v>3810</v>
      </c>
      <c r="P1182" t="s">
        <v>60</v>
      </c>
      <c r="Q1182" t="s">
        <v>899</v>
      </c>
      <c r="R1182" t="s">
        <v>828</v>
      </c>
      <c r="S1182" t="s">
        <v>1328</v>
      </c>
      <c r="T1182">
        <v>4</v>
      </c>
      <c r="V1182" t="s">
        <v>907</v>
      </c>
      <c r="Z1182">
        <v>10</v>
      </c>
      <c r="AA1182">
        <v>10</v>
      </c>
      <c r="AG1182" t="str">
        <f t="shared" si="91"/>
        <v>13HELLO_Pseudodiaptomus_annandalei_D0_CO2NA_TNA_control_outcome7.46</v>
      </c>
      <c r="AI1182">
        <v>30</v>
      </c>
      <c r="AJ1182" t="s">
        <v>1333</v>
      </c>
      <c r="AK1182" t="s">
        <v>42</v>
      </c>
      <c r="AM1182"/>
      <c r="AN1182">
        <v>7.4608926999999996</v>
      </c>
      <c r="AO1182">
        <v>0.823791355</v>
      </c>
      <c r="AP1182">
        <v>14.856627</v>
      </c>
      <c r="AQ1182">
        <v>4.3231276530000002</v>
      </c>
      <c r="AS1182">
        <f t="shared" si="92"/>
        <v>0.68877095639366415</v>
      </c>
      <c r="AT1182">
        <f t="shared" si="93"/>
        <v>9.686647254245213E-3</v>
      </c>
      <c r="AW1182" s="28">
        <f t="shared" si="94"/>
        <v>2.3765840725179208</v>
      </c>
      <c r="AX1182">
        <f t="shared" si="95"/>
        <v>0.95774647887323949</v>
      </c>
      <c r="AY1182" s="62">
        <f t="shared" si="96"/>
        <v>2.2761650272002623</v>
      </c>
      <c r="AZ1182" s="68" t="str">
        <f t="shared" si="97"/>
        <v>No</v>
      </c>
      <c r="BA1182" s="68" t="str">
        <f t="shared" si="98"/>
        <v>No</v>
      </c>
    </row>
    <row r="1183" spans="1:53" hidden="1">
      <c r="A1183" t="s">
        <v>1280</v>
      </c>
      <c r="B1183" t="str">
        <f t="shared" si="90"/>
        <v>1183_Hamraj</v>
      </c>
      <c r="C1183" t="s">
        <v>1389</v>
      </c>
      <c r="F1183" t="s">
        <v>1241</v>
      </c>
      <c r="G1183" t="s">
        <v>1321</v>
      </c>
      <c r="I1183">
        <v>2016</v>
      </c>
      <c r="M1183" s="25" t="s">
        <v>36</v>
      </c>
      <c r="N1183" t="s">
        <v>36</v>
      </c>
      <c r="O1183" t="s">
        <v>3810</v>
      </c>
      <c r="P1183" t="s">
        <v>60</v>
      </c>
      <c r="Q1183" t="s">
        <v>899</v>
      </c>
      <c r="R1183" t="s">
        <v>828</v>
      </c>
      <c r="S1183" t="s">
        <v>1328</v>
      </c>
      <c r="T1183">
        <v>4</v>
      </c>
      <c r="V1183" t="s">
        <v>907</v>
      </c>
      <c r="Z1183">
        <v>10</v>
      </c>
      <c r="AA1183">
        <v>10</v>
      </c>
      <c r="AG1183" t="str">
        <f t="shared" si="91"/>
        <v>13HELLO_Pseudodiaptomus_annandalei_D0_CO2NA_TNA_control_outcome7.46</v>
      </c>
      <c r="AI1183">
        <v>32</v>
      </c>
      <c r="AJ1183" t="s">
        <v>1333</v>
      </c>
      <c r="AK1183" t="s">
        <v>42</v>
      </c>
      <c r="AM1183"/>
      <c r="AN1183">
        <v>7.4608926999999996</v>
      </c>
      <c r="AO1183">
        <v>0.823791355</v>
      </c>
      <c r="AP1183">
        <v>17.913450000000001</v>
      </c>
      <c r="AQ1183">
        <v>11.32293361</v>
      </c>
      <c r="AS1183">
        <f t="shared" si="92"/>
        <v>0.87587675540186938</v>
      </c>
      <c r="AT1183">
        <f t="shared" si="93"/>
        <v>4.1173063016994783E-2</v>
      </c>
      <c r="AW1183" s="28">
        <f t="shared" si="94"/>
        <v>1.3020636839602433</v>
      </c>
      <c r="AX1183">
        <f t="shared" si="95"/>
        <v>0.95774647887323949</v>
      </c>
      <c r="AY1183" s="62">
        <f t="shared" si="96"/>
        <v>1.2470469085816416</v>
      </c>
      <c r="AZ1183" s="68" t="str">
        <f t="shared" si="97"/>
        <v>No</v>
      </c>
      <c r="BA1183" s="68" t="str">
        <f t="shared" si="98"/>
        <v>No</v>
      </c>
    </row>
    <row r="1184" spans="1:53" hidden="1">
      <c r="A1184" t="s">
        <v>1280</v>
      </c>
      <c r="B1184" t="str">
        <f t="shared" si="90"/>
        <v>1184_Hamraj</v>
      </c>
      <c r="C1184" t="s">
        <v>1389</v>
      </c>
      <c r="F1184" t="s">
        <v>1241</v>
      </c>
      <c r="G1184" t="s">
        <v>1321</v>
      </c>
      <c r="I1184">
        <v>2016</v>
      </c>
      <c r="M1184" s="25" t="s">
        <v>36</v>
      </c>
      <c r="N1184" t="s">
        <v>36</v>
      </c>
      <c r="O1184" t="s">
        <v>3810</v>
      </c>
      <c r="P1184" t="s">
        <v>60</v>
      </c>
      <c r="Q1184" t="s">
        <v>899</v>
      </c>
      <c r="R1184" t="s">
        <v>828</v>
      </c>
      <c r="S1184" t="s">
        <v>1328</v>
      </c>
      <c r="T1184">
        <v>4</v>
      </c>
      <c r="V1184" t="s">
        <v>907</v>
      </c>
      <c r="Z1184">
        <v>10</v>
      </c>
      <c r="AA1184">
        <v>10</v>
      </c>
      <c r="AG1184" t="str">
        <f t="shared" si="91"/>
        <v>13HELLO_Pseudodiaptomus_annandalei_D0_CO2NA_TNA_control_outcome7.46</v>
      </c>
      <c r="AI1184">
        <v>34</v>
      </c>
      <c r="AJ1184" t="s">
        <v>1333</v>
      </c>
      <c r="AK1184" t="s">
        <v>42</v>
      </c>
      <c r="AM1184"/>
      <c r="AN1184">
        <v>7.4608926999999996</v>
      </c>
      <c r="AO1184">
        <v>0.823791355</v>
      </c>
      <c r="AP1184">
        <v>20.5792</v>
      </c>
      <c r="AQ1184">
        <v>12.35317521</v>
      </c>
      <c r="AS1184">
        <f t="shared" si="92"/>
        <v>1.0146057850226513</v>
      </c>
      <c r="AT1184">
        <f t="shared" si="93"/>
        <v>3.7252121829048461E-2</v>
      </c>
      <c r="AW1184" s="28">
        <f t="shared" si="94"/>
        <v>1.4984790010591238</v>
      </c>
      <c r="AX1184">
        <f t="shared" si="95"/>
        <v>0.95774647887323949</v>
      </c>
      <c r="AY1184" s="62">
        <f t="shared" si="96"/>
        <v>1.4351629869298652</v>
      </c>
      <c r="AZ1184" s="68" t="str">
        <f t="shared" si="97"/>
        <v>No</v>
      </c>
      <c r="BA1184" s="68" t="str">
        <f t="shared" si="98"/>
        <v>No</v>
      </c>
    </row>
    <row r="1185" spans="1:53" hidden="1">
      <c r="A1185" t="s">
        <v>1280</v>
      </c>
      <c r="B1185" t="str">
        <f t="shared" si="90"/>
        <v>1185_Hamraj</v>
      </c>
      <c r="C1185" t="s">
        <v>1389</v>
      </c>
      <c r="F1185" t="s">
        <v>1241</v>
      </c>
      <c r="G1185" t="s">
        <v>1321</v>
      </c>
      <c r="I1185">
        <v>2016</v>
      </c>
      <c r="M1185" s="25" t="s">
        <v>36</v>
      </c>
      <c r="N1185" t="s">
        <v>36</v>
      </c>
      <c r="O1185" t="s">
        <v>3810</v>
      </c>
      <c r="P1185" t="s">
        <v>60</v>
      </c>
      <c r="Q1185" t="s">
        <v>899</v>
      </c>
      <c r="R1185" t="s">
        <v>828</v>
      </c>
      <c r="S1185" t="s">
        <v>1328</v>
      </c>
      <c r="T1185">
        <v>4</v>
      </c>
      <c r="V1185" t="s">
        <v>907</v>
      </c>
      <c r="Z1185">
        <v>10</v>
      </c>
      <c r="AA1185">
        <v>10</v>
      </c>
      <c r="AG1185" t="str">
        <f t="shared" si="91"/>
        <v>13HELLO_Pseudodiaptomus_annandalei_D0_CO2NA_TNA_control_outcome7.46</v>
      </c>
      <c r="AI1185">
        <v>36</v>
      </c>
      <c r="AJ1185" t="s">
        <v>1333</v>
      </c>
      <c r="AK1185" t="s">
        <v>42</v>
      </c>
      <c r="AM1185"/>
      <c r="AN1185">
        <v>7.4608926999999996</v>
      </c>
      <c r="AO1185">
        <v>0.823791355</v>
      </c>
      <c r="AP1185">
        <v>27.213408000000001</v>
      </c>
      <c r="AQ1185">
        <v>7.8230290499999997</v>
      </c>
      <c r="AS1185">
        <f t="shared" si="92"/>
        <v>1.2940347210870771</v>
      </c>
      <c r="AT1185">
        <f t="shared" si="93"/>
        <v>9.4830183510422519E-3</v>
      </c>
      <c r="AW1185" s="28">
        <f t="shared" si="94"/>
        <v>3.5511401433687264</v>
      </c>
      <c r="AX1185">
        <f t="shared" si="95"/>
        <v>0.95774647887323949</v>
      </c>
      <c r="AY1185" s="62">
        <f t="shared" si="96"/>
        <v>3.4010919682968086</v>
      </c>
      <c r="AZ1185" s="68" t="str">
        <f t="shared" si="97"/>
        <v>No</v>
      </c>
      <c r="BA1185" s="68" t="str">
        <f t="shared" si="98"/>
        <v>No</v>
      </c>
    </row>
    <row r="1186" spans="1:53" hidden="1">
      <c r="A1186" t="s">
        <v>1280</v>
      </c>
      <c r="B1186" t="str">
        <f t="shared" si="90"/>
        <v>1186_Hamraj</v>
      </c>
      <c r="C1186" t="s">
        <v>1387</v>
      </c>
      <c r="F1186" t="s">
        <v>1241</v>
      </c>
      <c r="G1186" t="s">
        <v>1322</v>
      </c>
      <c r="I1186">
        <v>2004</v>
      </c>
      <c r="M1186" s="25" t="s">
        <v>36</v>
      </c>
      <c r="N1186" t="s">
        <v>36</v>
      </c>
      <c r="O1186" t="s">
        <v>3810</v>
      </c>
      <c r="P1186" t="s">
        <v>60</v>
      </c>
      <c r="Q1186" t="s">
        <v>899</v>
      </c>
      <c r="R1186" t="s">
        <v>828</v>
      </c>
      <c r="S1186" t="s">
        <v>1329</v>
      </c>
      <c r="T1186">
        <v>30</v>
      </c>
      <c r="V1186" t="s">
        <v>907</v>
      </c>
      <c r="Z1186">
        <v>5</v>
      </c>
      <c r="AA1186">
        <v>5</v>
      </c>
      <c r="AG1186" t="str">
        <f t="shared" si="91"/>
        <v>14HELLO_Pseudodiaptomus_hessei_D0_CO2NA_TNA_control_outcome2.67</v>
      </c>
      <c r="AI1186">
        <v>15</v>
      </c>
      <c r="AJ1186" t="s">
        <v>1333</v>
      </c>
      <c r="AK1186" t="s">
        <v>42</v>
      </c>
      <c r="AM1186"/>
      <c r="AN1186">
        <v>2.670623</v>
      </c>
      <c r="AO1186">
        <v>0.44510379999999999</v>
      </c>
      <c r="AP1186">
        <v>3.6350148</v>
      </c>
      <c r="AQ1186">
        <v>0.66765580000000002</v>
      </c>
      <c r="AS1186">
        <f t="shared" si="92"/>
        <v>0.30830140397651351</v>
      </c>
      <c r="AT1186">
        <f t="shared" si="93"/>
        <v>1.2302743807324905E-2</v>
      </c>
      <c r="AW1186" s="28">
        <f t="shared" si="94"/>
        <v>1.6996734061883083</v>
      </c>
      <c r="AX1186">
        <f t="shared" si="95"/>
        <v>0.90322580645161288</v>
      </c>
      <c r="AY1186" s="62">
        <f t="shared" si="96"/>
        <v>1.5351888830087945</v>
      </c>
      <c r="AZ1186" s="68" t="str">
        <f t="shared" si="97"/>
        <v>No</v>
      </c>
      <c r="BA1186" s="68" t="str">
        <f t="shared" si="98"/>
        <v>No</v>
      </c>
    </row>
    <row r="1187" spans="1:53" hidden="1">
      <c r="A1187" t="s">
        <v>1280</v>
      </c>
      <c r="B1187" t="str">
        <f t="shared" si="90"/>
        <v>1187_Hamraj</v>
      </c>
      <c r="C1187" t="s">
        <v>1387</v>
      </c>
      <c r="F1187" t="s">
        <v>1241</v>
      </c>
      <c r="G1187" t="s">
        <v>1322</v>
      </c>
      <c r="I1187">
        <v>2004</v>
      </c>
      <c r="M1187" s="25" t="s">
        <v>36</v>
      </c>
      <c r="N1187" t="s">
        <v>36</v>
      </c>
      <c r="O1187" t="s">
        <v>3810</v>
      </c>
      <c r="P1187" t="s">
        <v>60</v>
      </c>
      <c r="Q1187" t="s">
        <v>899</v>
      </c>
      <c r="R1187" t="s">
        <v>828</v>
      </c>
      <c r="S1187" t="s">
        <v>1329</v>
      </c>
      <c r="T1187">
        <v>30</v>
      </c>
      <c r="V1187" t="s">
        <v>907</v>
      </c>
      <c r="Z1187">
        <v>5</v>
      </c>
      <c r="AA1187">
        <v>5</v>
      </c>
      <c r="AG1187" t="str">
        <f t="shared" si="91"/>
        <v>14HELLO_Pseudodiaptomus_hessei_D0_CO2NA_TNA_control_outcome2.67</v>
      </c>
      <c r="AI1187">
        <v>20</v>
      </c>
      <c r="AJ1187" t="s">
        <v>1333</v>
      </c>
      <c r="AK1187" t="s">
        <v>42</v>
      </c>
      <c r="AM1187"/>
      <c r="AN1187">
        <v>2.670623</v>
      </c>
      <c r="AO1187">
        <v>0.44510379999999999</v>
      </c>
      <c r="AP1187">
        <v>7.1958456000000002</v>
      </c>
      <c r="AQ1187">
        <v>1.7062316</v>
      </c>
      <c r="AS1187">
        <f t="shared" si="92"/>
        <v>0.99119208096594558</v>
      </c>
      <c r="AT1187">
        <f t="shared" si="93"/>
        <v>1.6800110039394169E-2</v>
      </c>
      <c r="AW1187" s="28">
        <f t="shared" si="94"/>
        <v>3.6292808932911886</v>
      </c>
      <c r="AX1187">
        <f t="shared" si="95"/>
        <v>0.90322580645161288</v>
      </c>
      <c r="AY1187" s="62">
        <f t="shared" si="96"/>
        <v>3.2780601616823639</v>
      </c>
      <c r="AZ1187" s="68" t="str">
        <f t="shared" si="97"/>
        <v>No</v>
      </c>
      <c r="BA1187" s="68" t="str">
        <f t="shared" si="98"/>
        <v>No</v>
      </c>
    </row>
    <row r="1188" spans="1:53" hidden="1">
      <c r="A1188" t="s">
        <v>1280</v>
      </c>
      <c r="B1188" t="str">
        <f t="shared" si="90"/>
        <v>1188_Hamraj</v>
      </c>
      <c r="C1188" t="s">
        <v>1387</v>
      </c>
      <c r="F1188" t="s">
        <v>1241</v>
      </c>
      <c r="G1188" t="s">
        <v>1322</v>
      </c>
      <c r="I1188">
        <v>2004</v>
      </c>
      <c r="M1188" s="25" t="s">
        <v>36</v>
      </c>
      <c r="N1188" t="s">
        <v>36</v>
      </c>
      <c r="O1188" t="s">
        <v>3810</v>
      </c>
      <c r="P1188" t="s">
        <v>60</v>
      </c>
      <c r="Q1188" t="s">
        <v>899</v>
      </c>
      <c r="R1188" t="s">
        <v>828</v>
      </c>
      <c r="S1188" t="s">
        <v>1329</v>
      </c>
      <c r="T1188">
        <v>30</v>
      </c>
      <c r="V1188" t="s">
        <v>907</v>
      </c>
      <c r="Z1188">
        <v>5</v>
      </c>
      <c r="AA1188">
        <v>5</v>
      </c>
      <c r="AG1188" t="str">
        <f t="shared" si="91"/>
        <v>14HELLO_Pseudodiaptomus_hessei_D0_CO2NA_TNA_control_outcome2.67</v>
      </c>
      <c r="AI1188">
        <v>25</v>
      </c>
      <c r="AJ1188" t="s">
        <v>1333</v>
      </c>
      <c r="AK1188" t="s">
        <v>42</v>
      </c>
      <c r="AM1188"/>
      <c r="AN1188">
        <v>2.670623</v>
      </c>
      <c r="AO1188">
        <v>0.44510379999999999</v>
      </c>
      <c r="AP1188">
        <v>13.278931999999999</v>
      </c>
      <c r="AQ1188">
        <v>2.670623</v>
      </c>
      <c r="AS1188">
        <f t="shared" si="92"/>
        <v>1.6038669406000405</v>
      </c>
      <c r="AT1188">
        <f t="shared" si="93"/>
        <v>1.3645188693842901E-2</v>
      </c>
      <c r="AW1188" s="28">
        <f t="shared" si="94"/>
        <v>5.5411379658341051</v>
      </c>
      <c r="AX1188">
        <f t="shared" si="95"/>
        <v>0.90322580645161288</v>
      </c>
      <c r="AY1188" s="62">
        <f t="shared" si="96"/>
        <v>5.0048988078501591</v>
      </c>
      <c r="AZ1188" s="68" t="str">
        <f t="shared" si="97"/>
        <v>No</v>
      </c>
      <c r="BA1188" s="68" t="str">
        <f t="shared" si="98"/>
        <v>No</v>
      </c>
    </row>
    <row r="1189" spans="1:53" hidden="1">
      <c r="A1189" t="s">
        <v>1280</v>
      </c>
      <c r="B1189" t="str">
        <f t="shared" si="90"/>
        <v>1189_Hamraj</v>
      </c>
      <c r="C1189" t="s">
        <v>1387</v>
      </c>
      <c r="F1189" t="s">
        <v>1241</v>
      </c>
      <c r="G1189" t="s">
        <v>1322</v>
      </c>
      <c r="I1189">
        <v>2004</v>
      </c>
      <c r="M1189" s="25" t="s">
        <v>36</v>
      </c>
      <c r="N1189" t="s">
        <v>36</v>
      </c>
      <c r="O1189" t="s">
        <v>3810</v>
      </c>
      <c r="P1189" t="s">
        <v>60</v>
      </c>
      <c r="Q1189" t="s">
        <v>899</v>
      </c>
      <c r="R1189" t="s">
        <v>828</v>
      </c>
      <c r="S1189" t="s">
        <v>1329</v>
      </c>
      <c r="T1189">
        <v>30</v>
      </c>
      <c r="V1189" t="s">
        <v>907</v>
      </c>
      <c r="Z1189">
        <v>5</v>
      </c>
      <c r="AA1189">
        <v>5</v>
      </c>
      <c r="AG1189" t="str">
        <f t="shared" si="91"/>
        <v>14HELLO_Pseudodiaptomus_hessei_D0_CO2NA_TNA_control_outcome2.67</v>
      </c>
      <c r="AI1189">
        <v>30</v>
      </c>
      <c r="AJ1189" t="s">
        <v>1333</v>
      </c>
      <c r="AK1189" t="s">
        <v>42</v>
      </c>
      <c r="AM1189"/>
      <c r="AN1189">
        <v>2.670623</v>
      </c>
      <c r="AO1189">
        <v>0.44510379999999999</v>
      </c>
      <c r="AP1189">
        <v>19.955490000000001</v>
      </c>
      <c r="AQ1189">
        <v>2.9673600000000002</v>
      </c>
      <c r="AS1189">
        <f t="shared" si="92"/>
        <v>2.0111925149210301</v>
      </c>
      <c r="AT1189">
        <f t="shared" si="93"/>
        <v>9.9778290484146669E-3</v>
      </c>
      <c r="AW1189" s="28">
        <f t="shared" si="94"/>
        <v>8.1466516788197563</v>
      </c>
      <c r="AX1189">
        <f t="shared" si="95"/>
        <v>0.90322580645161288</v>
      </c>
      <c r="AY1189" s="62">
        <f t="shared" si="96"/>
        <v>7.3582660324823603</v>
      </c>
      <c r="AZ1189" s="68" t="str">
        <f t="shared" si="97"/>
        <v>No</v>
      </c>
      <c r="BA1189" s="68" t="str">
        <f t="shared" si="98"/>
        <v>No</v>
      </c>
    </row>
    <row r="1190" spans="1:53" hidden="1">
      <c r="A1190" t="s">
        <v>1280</v>
      </c>
      <c r="B1190" t="str">
        <f t="shared" si="90"/>
        <v>1190_Hamraj</v>
      </c>
      <c r="C1190" t="s">
        <v>1387</v>
      </c>
      <c r="F1190" t="s">
        <v>1241</v>
      </c>
      <c r="G1190" t="s">
        <v>1322</v>
      </c>
      <c r="I1190">
        <v>2004</v>
      </c>
      <c r="M1190" s="25" t="s">
        <v>36</v>
      </c>
      <c r="N1190" t="s">
        <v>36</v>
      </c>
      <c r="O1190" t="s">
        <v>3810</v>
      </c>
      <c r="P1190" t="s">
        <v>60</v>
      </c>
      <c r="Q1190" t="s">
        <v>899</v>
      </c>
      <c r="R1190" t="s">
        <v>828</v>
      </c>
      <c r="S1190" t="s">
        <v>1329</v>
      </c>
      <c r="T1190">
        <v>30</v>
      </c>
      <c r="V1190" t="s">
        <v>907</v>
      </c>
      <c r="Z1190">
        <v>5</v>
      </c>
      <c r="AA1190">
        <v>5</v>
      </c>
      <c r="AG1190" t="str">
        <f t="shared" si="91"/>
        <v>14HELLO_Pseudodiaptomus_hessei_D0_CO2NA_TNA_control_outcome1.93</v>
      </c>
      <c r="AI1190">
        <v>15</v>
      </c>
      <c r="AJ1190" t="s">
        <v>1333</v>
      </c>
      <c r="AK1190" t="s">
        <v>42</v>
      </c>
      <c r="AM1190"/>
      <c r="AN1190">
        <v>1.9287833999999999</v>
      </c>
      <c r="AO1190">
        <v>0.51928779999999997</v>
      </c>
      <c r="AP1190">
        <v>2.670623</v>
      </c>
      <c r="AQ1190">
        <v>0.81602359999999996</v>
      </c>
      <c r="AS1190">
        <f t="shared" si="92"/>
        <v>0.32542233706710511</v>
      </c>
      <c r="AT1190">
        <f t="shared" si="93"/>
        <v>3.3169874456526659E-2</v>
      </c>
      <c r="AW1190" s="28">
        <f t="shared" si="94"/>
        <v>1.0846522030867216</v>
      </c>
      <c r="AX1190">
        <f t="shared" si="95"/>
        <v>0.90322580645161288</v>
      </c>
      <c r="AY1190" s="62">
        <f t="shared" si="96"/>
        <v>0.97968586085252274</v>
      </c>
      <c r="AZ1190" s="68" t="str">
        <f t="shared" si="97"/>
        <v>No</v>
      </c>
      <c r="BA1190" s="68" t="str">
        <f t="shared" si="98"/>
        <v>No</v>
      </c>
    </row>
    <row r="1191" spans="1:53" hidden="1">
      <c r="A1191" t="s">
        <v>1280</v>
      </c>
      <c r="B1191" t="str">
        <f t="shared" si="90"/>
        <v>1191_Hamraj</v>
      </c>
      <c r="C1191" t="s">
        <v>1387</v>
      </c>
      <c r="F1191" t="s">
        <v>1241</v>
      </c>
      <c r="G1191" t="s">
        <v>1322</v>
      </c>
      <c r="I1191">
        <v>2004</v>
      </c>
      <c r="M1191" s="25" t="s">
        <v>36</v>
      </c>
      <c r="N1191" t="s">
        <v>36</v>
      </c>
      <c r="O1191" t="s">
        <v>3810</v>
      </c>
      <c r="P1191" t="s">
        <v>60</v>
      </c>
      <c r="Q1191" t="s">
        <v>899</v>
      </c>
      <c r="R1191" t="s">
        <v>828</v>
      </c>
      <c r="S1191" t="s">
        <v>1329</v>
      </c>
      <c r="T1191">
        <v>30</v>
      </c>
      <c r="V1191" t="s">
        <v>907</v>
      </c>
      <c r="Z1191">
        <v>5</v>
      </c>
      <c r="AA1191">
        <v>5</v>
      </c>
      <c r="AG1191" t="str">
        <f t="shared" si="91"/>
        <v>14HELLO_Pseudodiaptomus_hessei_D0_CO2NA_TNA_control_outcome1.93</v>
      </c>
      <c r="AI1191">
        <v>20</v>
      </c>
      <c r="AJ1191" t="s">
        <v>1333</v>
      </c>
      <c r="AK1191" t="s">
        <v>42</v>
      </c>
      <c r="AM1191"/>
      <c r="AN1191">
        <v>1.9287833999999999</v>
      </c>
      <c r="AO1191">
        <v>0.51928779999999997</v>
      </c>
      <c r="AP1191">
        <v>5.2670620000000001</v>
      </c>
      <c r="AQ1191">
        <v>0.44510349999999999</v>
      </c>
      <c r="AS1191">
        <f t="shared" si="92"/>
        <v>1.0045832703784447</v>
      </c>
      <c r="AT1191">
        <f t="shared" si="93"/>
        <v>1.5925325186540072E-2</v>
      </c>
      <c r="AW1191" s="28">
        <f t="shared" si="94"/>
        <v>6.9026868214062631</v>
      </c>
      <c r="AX1191">
        <f t="shared" si="95"/>
        <v>0.90322580645161288</v>
      </c>
      <c r="AY1191" s="62">
        <f t="shared" si="96"/>
        <v>6.2346848709475919</v>
      </c>
      <c r="AZ1191" s="68" t="str">
        <f t="shared" si="97"/>
        <v>No</v>
      </c>
      <c r="BA1191" s="68" t="str">
        <f t="shared" si="98"/>
        <v>No</v>
      </c>
    </row>
    <row r="1192" spans="1:53" hidden="1">
      <c r="A1192" t="s">
        <v>1280</v>
      </c>
      <c r="B1192" t="str">
        <f t="shared" si="90"/>
        <v>1192_Hamraj</v>
      </c>
      <c r="C1192" t="s">
        <v>1387</v>
      </c>
      <c r="F1192" t="s">
        <v>1241</v>
      </c>
      <c r="G1192" t="s">
        <v>1322</v>
      </c>
      <c r="I1192">
        <v>2004</v>
      </c>
      <c r="M1192" s="25" t="s">
        <v>36</v>
      </c>
      <c r="N1192" t="s">
        <v>36</v>
      </c>
      <c r="O1192" t="s">
        <v>3810</v>
      </c>
      <c r="P1192" t="s">
        <v>60</v>
      </c>
      <c r="Q1192" t="s">
        <v>899</v>
      </c>
      <c r="R1192" t="s">
        <v>828</v>
      </c>
      <c r="S1192" t="s">
        <v>1329</v>
      </c>
      <c r="T1192">
        <v>30</v>
      </c>
      <c r="V1192" t="s">
        <v>907</v>
      </c>
      <c r="Z1192">
        <v>5</v>
      </c>
      <c r="AA1192">
        <v>5</v>
      </c>
      <c r="AG1192" t="str">
        <f t="shared" si="91"/>
        <v>14HELLO_Pseudodiaptomus_hessei_D0_CO2NA_TNA_control_outcome1.93</v>
      </c>
      <c r="AI1192">
        <v>25</v>
      </c>
      <c r="AJ1192" t="s">
        <v>1333</v>
      </c>
      <c r="AK1192" t="s">
        <v>42</v>
      </c>
      <c r="AM1192"/>
      <c r="AN1192">
        <v>1.9287833999999999</v>
      </c>
      <c r="AO1192">
        <v>0.51928779999999997</v>
      </c>
      <c r="AP1192">
        <v>10.534124</v>
      </c>
      <c r="AQ1192">
        <v>1.632047</v>
      </c>
      <c r="AS1192">
        <f t="shared" si="92"/>
        <v>1.6977304509383901</v>
      </c>
      <c r="AT1192">
        <f t="shared" si="93"/>
        <v>1.9297671830146464E-2</v>
      </c>
      <c r="AW1192" s="28">
        <f t="shared" si="94"/>
        <v>7.1057425429573975</v>
      </c>
      <c r="AX1192">
        <f t="shared" si="95"/>
        <v>0.90322580645161288</v>
      </c>
      <c r="AY1192" s="62">
        <f t="shared" si="96"/>
        <v>6.41809003880023</v>
      </c>
      <c r="AZ1192" s="68" t="str">
        <f t="shared" si="97"/>
        <v>No</v>
      </c>
      <c r="BA1192" s="68" t="str">
        <f t="shared" si="98"/>
        <v>No</v>
      </c>
    </row>
    <row r="1193" spans="1:53" hidden="1">
      <c r="A1193" t="s">
        <v>1280</v>
      </c>
      <c r="B1193" t="str">
        <f t="shared" si="90"/>
        <v>1193_Hamraj</v>
      </c>
      <c r="C1193" t="s">
        <v>1387</v>
      </c>
      <c r="F1193" t="s">
        <v>1241</v>
      </c>
      <c r="G1193" t="s">
        <v>1322</v>
      </c>
      <c r="I1193">
        <v>2004</v>
      </c>
      <c r="M1193" s="25" t="s">
        <v>36</v>
      </c>
      <c r="N1193" t="s">
        <v>36</v>
      </c>
      <c r="O1193" t="s">
        <v>3810</v>
      </c>
      <c r="P1193" t="s">
        <v>60</v>
      </c>
      <c r="Q1193" t="s">
        <v>899</v>
      </c>
      <c r="R1193" t="s">
        <v>828</v>
      </c>
      <c r="S1193" t="s">
        <v>1329</v>
      </c>
      <c r="T1193">
        <v>30</v>
      </c>
      <c r="V1193" t="s">
        <v>907</v>
      </c>
      <c r="Z1193">
        <v>5</v>
      </c>
      <c r="AA1193">
        <v>5</v>
      </c>
      <c r="AG1193" t="str">
        <f t="shared" si="91"/>
        <v>14HELLO_Pseudodiaptomus_hessei_D0_CO2NA_TNA_control_outcome1.93</v>
      </c>
      <c r="AI1193">
        <v>30</v>
      </c>
      <c r="AJ1193" t="s">
        <v>1333</v>
      </c>
      <c r="AK1193" t="s">
        <v>42</v>
      </c>
      <c r="AM1193"/>
      <c r="AN1193">
        <v>1.9287833999999999</v>
      </c>
      <c r="AO1193">
        <v>0.51928779999999997</v>
      </c>
      <c r="AP1193">
        <v>12.759644</v>
      </c>
      <c r="AQ1193">
        <v>0.593472</v>
      </c>
      <c r="AS1193">
        <f t="shared" si="92"/>
        <v>1.8893979363805218</v>
      </c>
      <c r="AT1193">
        <f t="shared" si="93"/>
        <v>1.4929705850027777E-2</v>
      </c>
      <c r="AW1193" s="28">
        <f t="shared" si="94"/>
        <v>19.423548219448406</v>
      </c>
      <c r="AX1193">
        <f t="shared" si="95"/>
        <v>0.90322580645161288</v>
      </c>
      <c r="AY1193" s="62">
        <f t="shared" si="96"/>
        <v>17.543850004663078</v>
      </c>
      <c r="AZ1193" s="68" t="str">
        <f t="shared" si="97"/>
        <v>Yes</v>
      </c>
      <c r="BA1193" s="68" t="str">
        <f t="shared" si="98"/>
        <v>No</v>
      </c>
    </row>
    <row r="1194" spans="1:53" hidden="1">
      <c r="A1194" t="s">
        <v>1280</v>
      </c>
      <c r="B1194" t="str">
        <f t="shared" ref="B1194:B1257" si="99">ROW(A1194)&amp;"_Hamraj"</f>
        <v>1194_Hamraj</v>
      </c>
      <c r="C1194" t="s">
        <v>1390</v>
      </c>
      <c r="F1194" t="s">
        <v>1241</v>
      </c>
      <c r="G1194" t="s">
        <v>1323</v>
      </c>
      <c r="I1194">
        <v>2014</v>
      </c>
      <c r="M1194" s="25" t="s">
        <v>36</v>
      </c>
      <c r="N1194" t="s">
        <v>36</v>
      </c>
      <c r="O1194" t="s">
        <v>3811</v>
      </c>
      <c r="P1194" t="s">
        <v>60</v>
      </c>
      <c r="Q1194" t="s">
        <v>899</v>
      </c>
      <c r="R1194" t="s">
        <v>828</v>
      </c>
      <c r="S1194" t="s">
        <v>1330</v>
      </c>
      <c r="T1194">
        <v>13</v>
      </c>
      <c r="V1194" t="s">
        <v>907</v>
      </c>
      <c r="Z1194">
        <v>45</v>
      </c>
      <c r="AA1194">
        <v>9</v>
      </c>
      <c r="AG1194" t="str">
        <f t="shared" ref="AG1194:AG1257" si="100">C1194 &amp; "_" &amp;
SUBSTITUTE(TRIM(S1194)," ","_") &amp; "_" &amp;
"D" &amp; TEXT(X1194,"0") &amp; "_" &amp;
"CO2" &amp; IF(AC1194&lt;&gt;"",TEXT(AC1194,"0.00"),"NA") &amp; "_" &amp;
"T" &amp; IF(AD1194&lt;&gt;"",TEXT(AD1194,"0.00"),"NA") &amp; "_" &amp;
"control_outcome" &amp; IF(AN1194&lt;&gt;"",TEXT(AN1194,"0.00"),"NA")</f>
        <v>15HELLO_Eucalanus_inermis_D0_CO2NA_TNA_control_outcome1.74</v>
      </c>
      <c r="AI1194">
        <v>17</v>
      </c>
      <c r="AJ1194" t="s">
        <v>1333</v>
      </c>
      <c r="AK1194" t="s">
        <v>42</v>
      </c>
      <c r="AM1194"/>
      <c r="AN1194">
        <v>1.7424999999999999</v>
      </c>
      <c r="AO1194">
        <v>0.2475</v>
      </c>
      <c r="AP1194">
        <v>2.415</v>
      </c>
      <c r="AQ1194">
        <v>7.4999999999999997E-2</v>
      </c>
      <c r="AS1194">
        <f t="shared" ref="AS1194:AS1257" si="101">LN(AP1194)-LN(AN1194)</f>
        <v>0.32637842345199419</v>
      </c>
      <c r="AT1194">
        <f t="shared" ref="AT1194:AT1257" si="102">(AQ1194^2)/(AA1194*AP1194^2) + (AO1194^2)/(Z1194*AN1194^2)</f>
        <v>5.5548755961360428E-4</v>
      </c>
      <c r="AW1194" s="28">
        <f t="shared" si="94"/>
        <v>2.9295228256345474</v>
      </c>
      <c r="AX1194">
        <f t="shared" si="95"/>
        <v>0.98550724637681164</v>
      </c>
      <c r="AY1194" s="62">
        <f t="shared" si="96"/>
        <v>2.8870659730891193</v>
      </c>
      <c r="AZ1194" s="68" t="str">
        <f t="shared" si="97"/>
        <v>No</v>
      </c>
      <c r="BA1194" s="68" t="str">
        <f t="shared" si="98"/>
        <v>No</v>
      </c>
    </row>
    <row r="1195" spans="1:53" hidden="1">
      <c r="A1195" t="s">
        <v>1280</v>
      </c>
      <c r="B1195" t="str">
        <f t="shared" si="99"/>
        <v>1195_Hamraj</v>
      </c>
      <c r="C1195" t="s">
        <v>1390</v>
      </c>
      <c r="F1195" t="s">
        <v>1241</v>
      </c>
      <c r="G1195" t="s">
        <v>1323</v>
      </c>
      <c r="I1195">
        <v>2014</v>
      </c>
      <c r="M1195" s="25" t="s">
        <v>36</v>
      </c>
      <c r="N1195" t="s">
        <v>36</v>
      </c>
      <c r="O1195" t="s">
        <v>3811</v>
      </c>
      <c r="P1195" t="s">
        <v>60</v>
      </c>
      <c r="Q1195" t="s">
        <v>899</v>
      </c>
      <c r="R1195" t="s">
        <v>828</v>
      </c>
      <c r="S1195" t="s">
        <v>1330</v>
      </c>
      <c r="T1195">
        <v>13</v>
      </c>
      <c r="V1195" t="s">
        <v>907</v>
      </c>
      <c r="Z1195">
        <v>45</v>
      </c>
      <c r="AA1195">
        <v>5</v>
      </c>
      <c r="AG1195" t="str">
        <f t="shared" si="100"/>
        <v>15HELLO_Eucalanus_inermis_D0_CO2NA_TNA_control_outcome1.74</v>
      </c>
      <c r="AI1195">
        <v>23</v>
      </c>
      <c r="AJ1195" t="s">
        <v>1333</v>
      </c>
      <c r="AK1195" t="s">
        <v>42</v>
      </c>
      <c r="AM1195"/>
      <c r="AN1195">
        <v>1.7424999999999999</v>
      </c>
      <c r="AO1195">
        <v>0.2475</v>
      </c>
      <c r="AP1195">
        <v>5.875</v>
      </c>
      <c r="AQ1195">
        <v>0.44500000000000001</v>
      </c>
      <c r="AS1195">
        <f t="shared" si="101"/>
        <v>1.2153851963776807</v>
      </c>
      <c r="AT1195">
        <f t="shared" si="102"/>
        <v>1.595775676905201E-3</v>
      </c>
      <c r="AW1195" s="28">
        <f t="shared" si="94"/>
        <v>15.331482654046852</v>
      </c>
      <c r="AX1195">
        <f t="shared" si="95"/>
        <v>0.98429319371727753</v>
      </c>
      <c r="AY1195" s="62">
        <f t="shared" si="96"/>
        <v>15.090674025972818</v>
      </c>
      <c r="AZ1195" s="68" t="str">
        <f t="shared" si="97"/>
        <v>Yes</v>
      </c>
      <c r="BA1195" s="68" t="str">
        <f t="shared" si="98"/>
        <v>No</v>
      </c>
    </row>
    <row r="1196" spans="1:53" hidden="1">
      <c r="A1196" t="s">
        <v>1280</v>
      </c>
      <c r="B1196" t="str">
        <f t="shared" si="99"/>
        <v>1196_Hamraj</v>
      </c>
      <c r="C1196" t="s">
        <v>1390</v>
      </c>
      <c r="F1196" t="s">
        <v>1241</v>
      </c>
      <c r="G1196" t="s">
        <v>1323</v>
      </c>
      <c r="I1196">
        <v>2014</v>
      </c>
      <c r="M1196" s="25" t="s">
        <v>36</v>
      </c>
      <c r="N1196" t="s">
        <v>36</v>
      </c>
      <c r="O1196" t="s">
        <v>3811</v>
      </c>
      <c r="P1196" t="s">
        <v>60</v>
      </c>
      <c r="Q1196" t="s">
        <v>899</v>
      </c>
      <c r="R1196" t="s">
        <v>828</v>
      </c>
      <c r="S1196" t="s">
        <v>1331</v>
      </c>
      <c r="T1196">
        <v>13</v>
      </c>
      <c r="V1196" t="s">
        <v>907</v>
      </c>
      <c r="Z1196">
        <v>9</v>
      </c>
      <c r="AA1196">
        <v>2</v>
      </c>
      <c r="AG1196" t="str">
        <f t="shared" si="100"/>
        <v>15HELLO_Rhincalanus_rostrifrons_D0_CO2NA_TNA_control_outcome5.62</v>
      </c>
      <c r="AI1196">
        <v>17</v>
      </c>
      <c r="AJ1196" t="s">
        <v>1333</v>
      </c>
      <c r="AK1196" t="s">
        <v>42</v>
      </c>
      <c r="AM1196"/>
      <c r="AN1196">
        <v>5.6150000000000002</v>
      </c>
      <c r="AO1196">
        <v>0.71</v>
      </c>
      <c r="AP1196">
        <v>7.0125000000000002</v>
      </c>
      <c r="AQ1196">
        <v>0.41749999999999998</v>
      </c>
      <c r="AS1196">
        <f t="shared" si="101"/>
        <v>0.22225268265840814</v>
      </c>
      <c r="AT1196">
        <f t="shared" si="102"/>
        <v>3.5488385864908124E-3</v>
      </c>
      <c r="AW1196" s="28">
        <f t="shared" si="94"/>
        <v>2.0440020694811079</v>
      </c>
      <c r="AX1196">
        <f t="shared" si="95"/>
        <v>0.91428571428571426</v>
      </c>
      <c r="AY1196" s="62">
        <f t="shared" si="96"/>
        <v>1.8688018920970129</v>
      </c>
      <c r="AZ1196" s="68" t="str">
        <f t="shared" si="97"/>
        <v>No</v>
      </c>
      <c r="BA1196" s="68" t="str">
        <f t="shared" si="98"/>
        <v>No</v>
      </c>
    </row>
    <row r="1197" spans="1:53" hidden="1">
      <c r="A1197" t="s">
        <v>1280</v>
      </c>
      <c r="B1197" t="str">
        <f t="shared" si="99"/>
        <v>1197_Hamraj</v>
      </c>
      <c r="C1197" t="s">
        <v>1390</v>
      </c>
      <c r="F1197" t="s">
        <v>1241</v>
      </c>
      <c r="G1197" t="s">
        <v>1323</v>
      </c>
      <c r="I1197">
        <v>2014</v>
      </c>
      <c r="M1197" s="25" t="s">
        <v>36</v>
      </c>
      <c r="N1197" t="s">
        <v>36</v>
      </c>
      <c r="O1197" t="s">
        <v>3811</v>
      </c>
      <c r="P1197" t="s">
        <v>60</v>
      </c>
      <c r="Q1197" t="s">
        <v>899</v>
      </c>
      <c r="R1197" t="s">
        <v>828</v>
      </c>
      <c r="S1197" t="s">
        <v>1332</v>
      </c>
      <c r="T1197">
        <v>13</v>
      </c>
      <c r="V1197" t="s">
        <v>907</v>
      </c>
      <c r="Z1197">
        <v>22</v>
      </c>
      <c r="AA1197">
        <v>11</v>
      </c>
      <c r="AG1197" t="str">
        <f t="shared" si="100"/>
        <v>15HELLO_Subeucalanus_subtenuis_D0_CO2NA_TNA_control_outcome7.76</v>
      </c>
      <c r="AI1197">
        <v>17</v>
      </c>
      <c r="AJ1197" t="s">
        <v>1333</v>
      </c>
      <c r="AK1197" t="s">
        <v>42</v>
      </c>
      <c r="AM1197"/>
      <c r="AN1197">
        <v>7.7575000000000003</v>
      </c>
      <c r="AO1197">
        <v>1.1425000000000001</v>
      </c>
      <c r="AP1197">
        <v>10.737500000000001</v>
      </c>
      <c r="AQ1197">
        <v>1.1625000000000001</v>
      </c>
      <c r="AS1197">
        <f t="shared" si="101"/>
        <v>0.32508216996997552</v>
      </c>
      <c r="AT1197">
        <f t="shared" si="102"/>
        <v>2.0515122175731532E-3</v>
      </c>
      <c r="AW1197" s="28">
        <f t="shared" si="94"/>
        <v>2.5935829777198602</v>
      </c>
      <c r="AX1197">
        <f t="shared" si="95"/>
        <v>0.97560975609756095</v>
      </c>
      <c r="AY1197" s="62">
        <f t="shared" si="96"/>
        <v>2.5303248563120588</v>
      </c>
      <c r="AZ1197" s="68" t="str">
        <f t="shared" si="97"/>
        <v>No</v>
      </c>
      <c r="BA1197" s="68" t="str">
        <f t="shared" si="98"/>
        <v>No</v>
      </c>
    </row>
    <row r="1198" spans="1:53" hidden="1">
      <c r="A1198" t="s">
        <v>1280</v>
      </c>
      <c r="B1198" t="str">
        <f t="shared" si="99"/>
        <v>1198_Hamraj</v>
      </c>
      <c r="C1198" t="s">
        <v>1390</v>
      </c>
      <c r="F1198" t="s">
        <v>1241</v>
      </c>
      <c r="G1198" t="s">
        <v>1323</v>
      </c>
      <c r="I1198">
        <v>2014</v>
      </c>
      <c r="M1198" s="25" t="s">
        <v>36</v>
      </c>
      <c r="N1198" t="s">
        <v>36</v>
      </c>
      <c r="O1198" t="s">
        <v>3811</v>
      </c>
      <c r="P1198" t="s">
        <v>60</v>
      </c>
      <c r="Q1198" t="s">
        <v>899</v>
      </c>
      <c r="R1198" t="s">
        <v>828</v>
      </c>
      <c r="S1198" t="s">
        <v>1332</v>
      </c>
      <c r="T1198">
        <v>13</v>
      </c>
      <c r="V1198" t="s">
        <v>907</v>
      </c>
      <c r="Z1198">
        <v>22</v>
      </c>
      <c r="AA1198">
        <v>9</v>
      </c>
      <c r="AG1198" t="str">
        <f t="shared" si="100"/>
        <v>15HELLO_Subeucalanus_subtenuis_D0_CO2NA_TNA_control_outcome7.76</v>
      </c>
      <c r="AI1198">
        <v>23</v>
      </c>
      <c r="AJ1198" t="s">
        <v>1333</v>
      </c>
      <c r="AK1198" t="s">
        <v>42</v>
      </c>
      <c r="AM1198"/>
      <c r="AN1198">
        <v>7.7575000000000003</v>
      </c>
      <c r="AO1198">
        <v>1.1425000000000001</v>
      </c>
      <c r="AP1198">
        <v>16.392499999999998</v>
      </c>
      <c r="AQ1198">
        <v>0.52249999999999996</v>
      </c>
      <c r="AS1198">
        <f t="shared" si="101"/>
        <v>0.74816379581523895</v>
      </c>
      <c r="AT1198">
        <f t="shared" si="102"/>
        <v>1.0988160953916651E-3</v>
      </c>
      <c r="AU1198" t="s">
        <v>1413</v>
      </c>
      <c r="AW1198" s="28">
        <f t="shared" si="94"/>
        <v>8.5476875295824009</v>
      </c>
      <c r="AX1198">
        <f t="shared" si="95"/>
        <v>0.97391304347826091</v>
      </c>
      <c r="AY1198" s="62">
        <f t="shared" si="96"/>
        <v>8.3247043766367739</v>
      </c>
      <c r="AZ1198" s="68" t="str">
        <f t="shared" si="97"/>
        <v>No</v>
      </c>
      <c r="BA1198" s="68" t="str">
        <f t="shared" si="98"/>
        <v>No</v>
      </c>
    </row>
    <row r="1199" spans="1:53" hidden="1">
      <c r="A1199" t="s">
        <v>1280</v>
      </c>
      <c r="B1199" t="str">
        <f t="shared" si="99"/>
        <v>1199_Hamraj</v>
      </c>
      <c r="C1199" t="s">
        <v>1391</v>
      </c>
      <c r="F1199" t="s">
        <v>1241</v>
      </c>
      <c r="G1199" t="s">
        <v>1334</v>
      </c>
      <c r="I1199">
        <v>2016</v>
      </c>
      <c r="M1199" s="25" t="s">
        <v>36</v>
      </c>
      <c r="N1199" t="s">
        <v>36</v>
      </c>
      <c r="O1199" t="s">
        <v>74</v>
      </c>
      <c r="P1199" t="s">
        <v>60</v>
      </c>
      <c r="Q1199" t="s">
        <v>899</v>
      </c>
      <c r="R1199" t="s">
        <v>828</v>
      </c>
      <c r="S1199" t="s">
        <v>913</v>
      </c>
      <c r="T1199">
        <v>37</v>
      </c>
      <c r="V1199" t="s">
        <v>907</v>
      </c>
      <c r="Z1199">
        <v>8</v>
      </c>
      <c r="AA1199">
        <v>8</v>
      </c>
      <c r="AG1199" t="str">
        <f t="shared" si="100"/>
        <v>16HELLO_Calanus_sinicus_D0_CO2NA_TNA_control_outcome95.54</v>
      </c>
      <c r="AI1199">
        <v>12</v>
      </c>
      <c r="AJ1199" t="s">
        <v>69</v>
      </c>
      <c r="AK1199" t="s">
        <v>69</v>
      </c>
      <c r="AM1199"/>
      <c r="AN1199">
        <v>95.544353670000007</v>
      </c>
      <c r="AO1199">
        <v>8.5080629999999999</v>
      </c>
      <c r="AP1199">
        <v>97.963706669999993</v>
      </c>
      <c r="AQ1199">
        <v>6.3911306669999997</v>
      </c>
      <c r="AS1199">
        <f t="shared" si="101"/>
        <v>2.5006493971109656E-2</v>
      </c>
      <c r="AT1199">
        <f t="shared" si="102"/>
        <v>1.5232287480741015E-3</v>
      </c>
      <c r="AU1199" t="s">
        <v>1413</v>
      </c>
      <c r="AW1199" s="28">
        <f t="shared" si="94"/>
        <v>0.321533636693623</v>
      </c>
      <c r="AX1199">
        <f t="shared" si="95"/>
        <v>0.94545454545454544</v>
      </c>
      <c r="AY1199" s="62">
        <f t="shared" si="96"/>
        <v>0.30399543832851628</v>
      </c>
      <c r="AZ1199" s="68" t="str">
        <f t="shared" si="97"/>
        <v>No</v>
      </c>
      <c r="BA1199" s="68" t="str">
        <f t="shared" si="98"/>
        <v>No</v>
      </c>
    </row>
    <row r="1200" spans="1:53" hidden="1">
      <c r="A1200" t="s">
        <v>1280</v>
      </c>
      <c r="B1200" t="str">
        <f t="shared" si="99"/>
        <v>1200_Hamraj</v>
      </c>
      <c r="C1200" t="s">
        <v>1392</v>
      </c>
      <c r="F1200" t="s">
        <v>1241</v>
      </c>
      <c r="G1200" t="s">
        <v>1335</v>
      </c>
      <c r="I1200">
        <v>2012</v>
      </c>
      <c r="M1200" s="25" t="s">
        <v>36</v>
      </c>
      <c r="N1200" t="s">
        <v>36</v>
      </c>
      <c r="O1200" t="s">
        <v>3807</v>
      </c>
      <c r="P1200" t="s">
        <v>60</v>
      </c>
      <c r="Q1200" t="s">
        <v>899</v>
      </c>
      <c r="R1200" t="s">
        <v>828</v>
      </c>
      <c r="S1200" t="s">
        <v>1404</v>
      </c>
      <c r="T1200">
        <v>63</v>
      </c>
      <c r="V1200" t="s">
        <v>907</v>
      </c>
      <c r="Z1200">
        <v>5</v>
      </c>
      <c r="AA1200">
        <v>5</v>
      </c>
      <c r="AG1200" t="str">
        <f t="shared" si="100"/>
        <v>17HELLO_Calanus_glacialis_D0_CO2NA_TNA_control_outcome96.00</v>
      </c>
      <c r="AI1200">
        <v>5</v>
      </c>
      <c r="AJ1200" t="s">
        <v>69</v>
      </c>
      <c r="AK1200" t="s">
        <v>69</v>
      </c>
      <c r="AM1200"/>
      <c r="AN1200">
        <v>96</v>
      </c>
      <c r="AO1200">
        <v>2</v>
      </c>
      <c r="AP1200">
        <v>91</v>
      </c>
      <c r="AQ1200">
        <v>8</v>
      </c>
      <c r="AS1200">
        <f t="shared" si="101"/>
        <v>-5.3488684950986354E-2</v>
      </c>
      <c r="AT1200">
        <f t="shared" si="102"/>
        <v>1.6325125957680903E-3</v>
      </c>
      <c r="AU1200" t="s">
        <v>1413</v>
      </c>
      <c r="AW1200" s="28">
        <f t="shared" si="94"/>
        <v>-0.8574929257125441</v>
      </c>
      <c r="AX1200">
        <f t="shared" si="95"/>
        <v>0.90322580645161288</v>
      </c>
      <c r="AY1200" s="62">
        <f t="shared" si="96"/>
        <v>-0.77450973935326561</v>
      </c>
      <c r="AZ1200" s="68" t="str">
        <f t="shared" si="97"/>
        <v>No</v>
      </c>
      <c r="BA1200" s="68" t="str">
        <f t="shared" si="98"/>
        <v>No</v>
      </c>
    </row>
    <row r="1201" spans="1:53" hidden="1">
      <c r="A1201" t="s">
        <v>1280</v>
      </c>
      <c r="B1201" t="str">
        <f t="shared" si="99"/>
        <v>1201_Hamraj</v>
      </c>
      <c r="C1201" t="s">
        <v>1392</v>
      </c>
      <c r="F1201" t="s">
        <v>1241</v>
      </c>
      <c r="G1201" t="s">
        <v>1336</v>
      </c>
      <c r="I1201">
        <v>2012</v>
      </c>
      <c r="M1201" s="25" t="s">
        <v>36</v>
      </c>
      <c r="N1201" t="s">
        <v>36</v>
      </c>
      <c r="O1201" t="s">
        <v>3807</v>
      </c>
      <c r="P1201" t="s">
        <v>60</v>
      </c>
      <c r="Q1201" t="s">
        <v>899</v>
      </c>
      <c r="R1201" t="s">
        <v>828</v>
      </c>
      <c r="S1201" t="s">
        <v>1404</v>
      </c>
      <c r="T1201">
        <v>63</v>
      </c>
      <c r="V1201" t="s">
        <v>907</v>
      </c>
      <c r="Z1201">
        <v>5</v>
      </c>
      <c r="AA1201">
        <v>5</v>
      </c>
      <c r="AG1201" t="str">
        <f t="shared" si="100"/>
        <v>17HELLO_Calanus_glacialis_D0_CO2NA_TNA_control_outcome96.00</v>
      </c>
      <c r="AI1201">
        <v>10</v>
      </c>
      <c r="AJ1201" t="s">
        <v>69</v>
      </c>
      <c r="AK1201" t="s">
        <v>69</v>
      </c>
      <c r="AM1201"/>
      <c r="AN1201">
        <v>96</v>
      </c>
      <c r="AO1201">
        <v>2</v>
      </c>
      <c r="AP1201">
        <v>81</v>
      </c>
      <c r="AQ1201">
        <v>6</v>
      </c>
      <c r="AS1201">
        <f t="shared" si="101"/>
        <v>-0.16989903679539697</v>
      </c>
      <c r="AT1201">
        <f t="shared" si="102"/>
        <v>1.1841992455418381E-3</v>
      </c>
      <c r="AU1201" t="s">
        <v>1413</v>
      </c>
      <c r="AW1201" s="28">
        <f t="shared" si="94"/>
        <v>-3.3541019662496843</v>
      </c>
      <c r="AX1201">
        <f t="shared" si="95"/>
        <v>0.90322580645161288</v>
      </c>
      <c r="AY1201" s="62">
        <f t="shared" si="96"/>
        <v>-3.0295114533868115</v>
      </c>
      <c r="AZ1201" s="68" t="str">
        <f t="shared" si="97"/>
        <v>No</v>
      </c>
      <c r="BA1201" s="68" t="str">
        <f t="shared" si="98"/>
        <v>No</v>
      </c>
    </row>
    <row r="1202" spans="1:53" hidden="1">
      <c r="A1202" t="s">
        <v>1280</v>
      </c>
      <c r="B1202" t="str">
        <f t="shared" si="99"/>
        <v>1202_Hamraj</v>
      </c>
      <c r="C1202" t="s">
        <v>1392</v>
      </c>
      <c r="F1202" t="s">
        <v>1241</v>
      </c>
      <c r="G1202" t="s">
        <v>1337</v>
      </c>
      <c r="I1202">
        <v>2012</v>
      </c>
      <c r="M1202" s="25" t="s">
        <v>36</v>
      </c>
      <c r="N1202" t="s">
        <v>36</v>
      </c>
      <c r="O1202" t="s">
        <v>3807</v>
      </c>
      <c r="P1202" t="s">
        <v>60</v>
      </c>
      <c r="Q1202" t="s">
        <v>899</v>
      </c>
      <c r="R1202" t="s">
        <v>828</v>
      </c>
      <c r="S1202" t="s">
        <v>836</v>
      </c>
      <c r="T1202">
        <v>63</v>
      </c>
      <c r="V1202" t="s">
        <v>907</v>
      </c>
      <c r="Z1202">
        <v>5</v>
      </c>
      <c r="AA1202">
        <v>5</v>
      </c>
      <c r="AG1202" t="str">
        <f t="shared" si="100"/>
        <v>17HELLO_Calanus_finmarchicus_D0_CO2NA_TNA_control_outcome95.00</v>
      </c>
      <c r="AI1202">
        <v>5</v>
      </c>
      <c r="AJ1202" t="s">
        <v>69</v>
      </c>
      <c r="AK1202" t="s">
        <v>69</v>
      </c>
      <c r="AM1202"/>
      <c r="AN1202">
        <v>95</v>
      </c>
      <c r="AO1202">
        <v>5</v>
      </c>
      <c r="AP1202">
        <v>97</v>
      </c>
      <c r="AQ1202">
        <v>3</v>
      </c>
      <c r="AS1202">
        <f t="shared" si="101"/>
        <v>2.0834086902842053E-2</v>
      </c>
      <c r="AT1202">
        <f t="shared" si="102"/>
        <v>7.4532281669374733E-4</v>
      </c>
      <c r="AU1202" t="s">
        <v>1413</v>
      </c>
      <c r="AW1202" s="28">
        <f t="shared" si="94"/>
        <v>0.48507125007266594</v>
      </c>
      <c r="AX1202">
        <f t="shared" si="95"/>
        <v>0.90322580645161288</v>
      </c>
      <c r="AY1202" s="62">
        <f t="shared" si="96"/>
        <v>0.43812887103337567</v>
      </c>
      <c r="AZ1202" s="68" t="str">
        <f t="shared" si="97"/>
        <v>No</v>
      </c>
      <c r="BA1202" s="68" t="str">
        <f t="shared" si="98"/>
        <v>No</v>
      </c>
    </row>
    <row r="1203" spans="1:53" hidden="1">
      <c r="A1203" t="s">
        <v>1280</v>
      </c>
      <c r="B1203" t="str">
        <f t="shared" si="99"/>
        <v>1203_Hamraj</v>
      </c>
      <c r="C1203" t="s">
        <v>1392</v>
      </c>
      <c r="F1203" t="s">
        <v>1241</v>
      </c>
      <c r="G1203" t="s">
        <v>1338</v>
      </c>
      <c r="I1203">
        <v>2012</v>
      </c>
      <c r="M1203" s="25" t="s">
        <v>36</v>
      </c>
      <c r="N1203" t="s">
        <v>36</v>
      </c>
      <c r="O1203" t="s">
        <v>3807</v>
      </c>
      <c r="P1203" t="s">
        <v>60</v>
      </c>
      <c r="Q1203" t="s">
        <v>899</v>
      </c>
      <c r="R1203" t="s">
        <v>828</v>
      </c>
      <c r="S1203" t="s">
        <v>836</v>
      </c>
      <c r="T1203">
        <v>63</v>
      </c>
      <c r="V1203" t="s">
        <v>907</v>
      </c>
      <c r="Z1203">
        <v>5</v>
      </c>
      <c r="AA1203">
        <v>5</v>
      </c>
      <c r="AG1203" t="str">
        <f t="shared" si="100"/>
        <v>17HELLO_Calanus_finmarchicus_D0_CO2NA_TNA_control_outcome95.00</v>
      </c>
      <c r="AI1203">
        <v>10</v>
      </c>
      <c r="AJ1203" t="s">
        <v>69</v>
      </c>
      <c r="AK1203" t="s">
        <v>69</v>
      </c>
      <c r="AM1203"/>
      <c r="AN1203">
        <v>95</v>
      </c>
      <c r="AO1203">
        <v>5</v>
      </c>
      <c r="AP1203">
        <v>83</v>
      </c>
      <c r="AQ1203">
        <v>7</v>
      </c>
      <c r="AS1203">
        <f t="shared" si="101"/>
        <v>-0.1350362838039425</v>
      </c>
      <c r="AT1203">
        <f t="shared" si="102"/>
        <v>1.9765743211808623E-3</v>
      </c>
      <c r="AU1203" t="s">
        <v>1413</v>
      </c>
      <c r="AW1203" s="28">
        <f t="shared" si="94"/>
        <v>-1.9727878476642875</v>
      </c>
      <c r="AX1203">
        <f t="shared" si="95"/>
        <v>0.90322580645161288</v>
      </c>
      <c r="AY1203" s="62">
        <f t="shared" si="96"/>
        <v>-1.7818728946645177</v>
      </c>
      <c r="AZ1203" s="68" t="str">
        <f t="shared" si="97"/>
        <v>No</v>
      </c>
      <c r="BA1203" s="68" t="str">
        <f t="shared" si="98"/>
        <v>No</v>
      </c>
    </row>
    <row r="1204" spans="1:53" hidden="1">
      <c r="A1204" t="s">
        <v>1280</v>
      </c>
      <c r="B1204" t="str">
        <f t="shared" si="99"/>
        <v>1204_Hamraj</v>
      </c>
      <c r="C1204" t="s">
        <v>1393</v>
      </c>
      <c r="F1204" t="s">
        <v>1241</v>
      </c>
      <c r="G1204" t="s">
        <v>1339</v>
      </c>
      <c r="I1204">
        <v>2018</v>
      </c>
      <c r="M1204" s="25" t="s">
        <v>36</v>
      </c>
      <c r="N1204" t="s">
        <v>36</v>
      </c>
      <c r="O1204" t="s">
        <v>3808</v>
      </c>
      <c r="P1204" t="s">
        <v>60</v>
      </c>
      <c r="Q1204" t="s">
        <v>899</v>
      </c>
      <c r="R1204" t="s">
        <v>828</v>
      </c>
      <c r="S1204" t="s">
        <v>852</v>
      </c>
      <c r="T1204">
        <v>58</v>
      </c>
      <c r="V1204" t="s">
        <v>907</v>
      </c>
      <c r="Z1204">
        <v>5</v>
      </c>
      <c r="AA1204">
        <v>10</v>
      </c>
      <c r="AG1204" t="str">
        <f t="shared" si="100"/>
        <v>18HELLO_Eurytemora_affinis_D0_CO2NA_TNA_control_outcome79.01</v>
      </c>
      <c r="AI1204">
        <v>10</v>
      </c>
      <c r="AJ1204" t="s">
        <v>69</v>
      </c>
      <c r="AK1204" t="s">
        <v>69</v>
      </c>
      <c r="AM1204"/>
      <c r="AN1204">
        <v>79.008223999999998</v>
      </c>
      <c r="AO1204">
        <v>10.542185999999999</v>
      </c>
      <c r="AP1204">
        <v>61.337142999999998</v>
      </c>
      <c r="AQ1204">
        <v>13.957846999999999</v>
      </c>
      <c r="AS1204">
        <f t="shared" si="101"/>
        <v>-0.2531663671723754</v>
      </c>
      <c r="AT1204">
        <f t="shared" si="102"/>
        <v>8.7391238264868699E-3</v>
      </c>
      <c r="AU1204" t="s">
        <v>1413</v>
      </c>
      <c r="AW1204" s="28">
        <f t="shared" si="94"/>
        <v>-1.3590219291142813</v>
      </c>
      <c r="AX1204">
        <f t="shared" si="95"/>
        <v>0.94117647058823528</v>
      </c>
      <c r="AY1204" s="62">
        <f t="shared" si="96"/>
        <v>-1.2790794626957942</v>
      </c>
      <c r="AZ1204" s="68" t="str">
        <f t="shared" si="97"/>
        <v>No</v>
      </c>
      <c r="BA1204" s="68" t="str">
        <f t="shared" si="98"/>
        <v>No</v>
      </c>
    </row>
    <row r="1205" spans="1:53" hidden="1">
      <c r="A1205" t="s">
        <v>1280</v>
      </c>
      <c r="B1205" t="str">
        <f t="shared" si="99"/>
        <v>1205_Hamraj</v>
      </c>
      <c r="C1205" t="s">
        <v>1393</v>
      </c>
      <c r="F1205" t="s">
        <v>1241</v>
      </c>
      <c r="G1205" t="s">
        <v>1340</v>
      </c>
      <c r="I1205">
        <v>2018</v>
      </c>
      <c r="M1205" s="25" t="s">
        <v>36</v>
      </c>
      <c r="N1205" t="s">
        <v>36</v>
      </c>
      <c r="O1205" t="s">
        <v>3808</v>
      </c>
      <c r="P1205" t="s">
        <v>60</v>
      </c>
      <c r="Q1205" t="s">
        <v>899</v>
      </c>
      <c r="R1205" t="s">
        <v>828</v>
      </c>
      <c r="S1205" t="s">
        <v>852</v>
      </c>
      <c r="T1205">
        <v>58</v>
      </c>
      <c r="V1205" t="s">
        <v>907</v>
      </c>
      <c r="Z1205">
        <v>5</v>
      </c>
      <c r="AA1205">
        <v>10</v>
      </c>
      <c r="AG1205" t="str">
        <f t="shared" si="100"/>
        <v>18HELLO_Eurytemora_affinis_D0_CO2NA_TNA_control_outcome80.13</v>
      </c>
      <c r="AI1205">
        <v>10</v>
      </c>
      <c r="AJ1205" t="s">
        <v>69</v>
      </c>
      <c r="AK1205" t="s">
        <v>69</v>
      </c>
      <c r="AM1205"/>
      <c r="AN1205">
        <v>80.132000000000005</v>
      </c>
      <c r="AO1205">
        <v>10.255699999999999</v>
      </c>
      <c r="AP1205">
        <v>68.726410000000001</v>
      </c>
      <c r="AQ1205">
        <v>12.25318</v>
      </c>
      <c r="AS1205">
        <f t="shared" si="101"/>
        <v>-0.15354172452708426</v>
      </c>
      <c r="AT1205">
        <f t="shared" si="102"/>
        <v>6.4547414831863919E-3</v>
      </c>
      <c r="AU1205" t="s">
        <v>1413</v>
      </c>
      <c r="AW1205" s="28">
        <f t="shared" si="94"/>
        <v>-0.97692194046508951</v>
      </c>
      <c r="AX1205">
        <f t="shared" si="95"/>
        <v>0.94117647058823528</v>
      </c>
      <c r="AY1205" s="62">
        <f t="shared" si="96"/>
        <v>-0.91945594396714303</v>
      </c>
      <c r="AZ1205" s="68" t="str">
        <f t="shared" si="97"/>
        <v>No</v>
      </c>
      <c r="BA1205" s="68" t="str">
        <f t="shared" si="98"/>
        <v>No</v>
      </c>
    </row>
    <row r="1206" spans="1:53" hidden="1">
      <c r="A1206" t="s">
        <v>1280</v>
      </c>
      <c r="B1206" t="str">
        <f t="shared" si="99"/>
        <v>1206_Hamraj</v>
      </c>
      <c r="C1206" t="s">
        <v>1394</v>
      </c>
      <c r="F1206" t="s">
        <v>1241</v>
      </c>
      <c r="G1206" t="s">
        <v>1341</v>
      </c>
      <c r="I1206">
        <v>2008</v>
      </c>
      <c r="M1206" s="25" t="s">
        <v>36</v>
      </c>
      <c r="N1206" t="s">
        <v>36</v>
      </c>
      <c r="O1206" t="s">
        <v>3809</v>
      </c>
      <c r="P1206" t="s">
        <v>60</v>
      </c>
      <c r="Q1206" t="s">
        <v>899</v>
      </c>
      <c r="R1206" t="s">
        <v>828</v>
      </c>
      <c r="S1206" t="s">
        <v>1405</v>
      </c>
      <c r="T1206">
        <v>22</v>
      </c>
      <c r="V1206" t="s">
        <v>907</v>
      </c>
      <c r="Z1206">
        <v>4</v>
      </c>
      <c r="AA1206">
        <v>4</v>
      </c>
      <c r="AG1206" t="str">
        <f t="shared" si="100"/>
        <v>19HELLO_Tigriopus_japonicus_D0_CO2NA_TNA_control_outcome100.00</v>
      </c>
      <c r="AI1206">
        <v>25</v>
      </c>
      <c r="AJ1206" t="s">
        <v>69</v>
      </c>
      <c r="AK1206" t="s">
        <v>69</v>
      </c>
      <c r="AM1206"/>
      <c r="AN1206">
        <v>100</v>
      </c>
      <c r="AO1206">
        <v>4</v>
      </c>
      <c r="AP1206">
        <v>88</v>
      </c>
      <c r="AQ1206">
        <v>6</v>
      </c>
      <c r="AS1206">
        <f t="shared" si="101"/>
        <v>-0.12783337150988494</v>
      </c>
      <c r="AT1206">
        <f t="shared" si="102"/>
        <v>1.5621900826446281E-3</v>
      </c>
      <c r="AU1206" t="s">
        <v>1413</v>
      </c>
      <c r="AW1206" s="28">
        <f t="shared" si="94"/>
        <v>-2.3533936216582085</v>
      </c>
      <c r="AX1206">
        <f t="shared" si="95"/>
        <v>0.86956521739130432</v>
      </c>
      <c r="AY1206" s="62">
        <f t="shared" si="96"/>
        <v>-2.0464292362245291</v>
      </c>
      <c r="AZ1206" s="68" t="str">
        <f t="shared" si="97"/>
        <v>No</v>
      </c>
      <c r="BA1206" s="68" t="str">
        <f t="shared" si="98"/>
        <v>No</v>
      </c>
    </row>
    <row r="1207" spans="1:53" hidden="1">
      <c r="A1207" t="s">
        <v>1280</v>
      </c>
      <c r="B1207" t="str">
        <f t="shared" si="99"/>
        <v>1207_Hamraj</v>
      </c>
      <c r="C1207" t="s">
        <v>1395</v>
      </c>
      <c r="F1207" t="s">
        <v>1241</v>
      </c>
      <c r="G1207" t="s">
        <v>1342</v>
      </c>
      <c r="I1207">
        <v>2015</v>
      </c>
      <c r="M1207" s="25" t="s">
        <v>36</v>
      </c>
      <c r="N1207" t="s">
        <v>36</v>
      </c>
      <c r="O1207" t="s">
        <v>74</v>
      </c>
      <c r="P1207" t="s">
        <v>60</v>
      </c>
      <c r="Q1207" t="s">
        <v>899</v>
      </c>
      <c r="R1207" t="s">
        <v>828</v>
      </c>
      <c r="S1207" t="s">
        <v>1406</v>
      </c>
      <c r="T1207">
        <v>40</v>
      </c>
      <c r="V1207" t="s">
        <v>907</v>
      </c>
      <c r="Z1207">
        <v>7</v>
      </c>
      <c r="AA1207">
        <v>7</v>
      </c>
      <c r="AG1207" t="str">
        <f t="shared" si="100"/>
        <v>20HELLO_Acartia_sp_D0_CO2NA_TNA_control_outcome17.13</v>
      </c>
      <c r="AI1207">
        <v>17.5</v>
      </c>
      <c r="AJ1207" t="s">
        <v>69</v>
      </c>
      <c r="AK1207" t="s">
        <v>69</v>
      </c>
      <c r="AM1207"/>
      <c r="AN1207">
        <v>17.13</v>
      </c>
      <c r="AO1207">
        <v>8.73</v>
      </c>
      <c r="AP1207">
        <v>12.51</v>
      </c>
      <c r="AQ1207">
        <v>6.82</v>
      </c>
      <c r="AS1207">
        <f t="shared" si="101"/>
        <v>-0.314302987857209</v>
      </c>
      <c r="AT1207">
        <f t="shared" si="102"/>
        <v>7.9561235409983444E-2</v>
      </c>
      <c r="AU1207" t="s">
        <v>1413</v>
      </c>
      <c r="AW1207" s="28">
        <f t="shared" si="94"/>
        <v>-0.589779838479358</v>
      </c>
      <c r="AX1207">
        <f t="shared" si="95"/>
        <v>0.93617021276595747</v>
      </c>
      <c r="AY1207" s="62">
        <f t="shared" si="96"/>
        <v>-0.5521343168742926</v>
      </c>
      <c r="AZ1207" s="68" t="str">
        <f t="shared" si="97"/>
        <v>No</v>
      </c>
      <c r="BA1207" s="68" t="str">
        <f t="shared" si="98"/>
        <v>No</v>
      </c>
    </row>
    <row r="1208" spans="1:53" hidden="1">
      <c r="A1208" t="s">
        <v>1280</v>
      </c>
      <c r="B1208" t="str">
        <f t="shared" si="99"/>
        <v>1208_Hamraj</v>
      </c>
      <c r="C1208" t="s">
        <v>1396</v>
      </c>
      <c r="F1208" t="s">
        <v>1241</v>
      </c>
      <c r="G1208" t="s">
        <v>1343</v>
      </c>
      <c r="I1208">
        <v>2018</v>
      </c>
      <c r="M1208" s="25" t="s">
        <v>36</v>
      </c>
      <c r="N1208" t="s">
        <v>36</v>
      </c>
      <c r="O1208" t="s">
        <v>3809</v>
      </c>
      <c r="P1208" t="s">
        <v>60</v>
      </c>
      <c r="Q1208" t="s">
        <v>899</v>
      </c>
      <c r="R1208" t="s">
        <v>868</v>
      </c>
      <c r="S1208" t="s">
        <v>1405</v>
      </c>
      <c r="T1208">
        <v>35</v>
      </c>
      <c r="V1208" t="s">
        <v>907</v>
      </c>
      <c r="Z1208">
        <v>10</v>
      </c>
      <c r="AA1208">
        <v>10</v>
      </c>
      <c r="AG1208" t="str">
        <f t="shared" si="100"/>
        <v>21HELLO_Tigriopus_japonicus_D0_CO2NA_TNA_control_outcome98.51</v>
      </c>
      <c r="AI1208">
        <v>22</v>
      </c>
      <c r="AJ1208" t="s">
        <v>69</v>
      </c>
      <c r="AK1208" t="s">
        <v>69</v>
      </c>
      <c r="AM1208"/>
      <c r="AN1208">
        <v>98.514861109999998</v>
      </c>
      <c r="AO1208">
        <v>8.1572059039999996</v>
      </c>
      <c r="AP1208">
        <v>99.970690000000005</v>
      </c>
      <c r="AQ1208">
        <v>9.2686357999999996E-2</v>
      </c>
      <c r="AS1208">
        <f t="shared" si="101"/>
        <v>1.4669632015019474E-2</v>
      </c>
      <c r="AT1208">
        <f t="shared" si="102"/>
        <v>6.8569944311578019E-4</v>
      </c>
      <c r="AU1208" t="s">
        <v>1413</v>
      </c>
      <c r="AW1208" s="28">
        <f t="shared" si="94"/>
        <v>0.25238054451142622</v>
      </c>
      <c r="AX1208">
        <f t="shared" si="95"/>
        <v>0.95774647887323949</v>
      </c>
      <c r="AY1208" s="62">
        <f t="shared" si="96"/>
        <v>0.24171657784192935</v>
      </c>
      <c r="AZ1208" s="68" t="str">
        <f t="shared" si="97"/>
        <v>No</v>
      </c>
      <c r="BA1208" s="68" t="str">
        <f t="shared" si="98"/>
        <v>No</v>
      </c>
    </row>
    <row r="1209" spans="1:53" hidden="1">
      <c r="A1209" t="s">
        <v>1280</v>
      </c>
      <c r="B1209" t="str">
        <f t="shared" si="99"/>
        <v>1209_Hamraj</v>
      </c>
      <c r="C1209" t="s">
        <v>1396</v>
      </c>
      <c r="F1209" t="s">
        <v>1241</v>
      </c>
      <c r="G1209" t="s">
        <v>1344</v>
      </c>
      <c r="I1209">
        <v>2018</v>
      </c>
      <c r="M1209" s="25" t="s">
        <v>36</v>
      </c>
      <c r="N1209" t="s">
        <v>36</v>
      </c>
      <c r="O1209" t="s">
        <v>3809</v>
      </c>
      <c r="P1209" t="s">
        <v>60</v>
      </c>
      <c r="Q1209" t="s">
        <v>899</v>
      </c>
      <c r="R1209" t="s">
        <v>868</v>
      </c>
      <c r="S1209" t="s">
        <v>1405</v>
      </c>
      <c r="T1209">
        <v>35</v>
      </c>
      <c r="V1209" t="s">
        <v>907</v>
      </c>
      <c r="Z1209">
        <v>10</v>
      </c>
      <c r="AA1209">
        <v>10</v>
      </c>
      <c r="AG1209" t="str">
        <f t="shared" si="100"/>
        <v>21HELLO_Tigriopus_japonicus_D0_CO2NA_TNA_control_outcome98.51</v>
      </c>
      <c r="AI1209">
        <v>24</v>
      </c>
      <c r="AJ1209" t="s">
        <v>69</v>
      </c>
      <c r="AK1209" t="s">
        <v>69</v>
      </c>
      <c r="AM1209"/>
      <c r="AN1209">
        <v>98.514861109999998</v>
      </c>
      <c r="AO1209">
        <v>8.1572059039999996</v>
      </c>
      <c r="AP1209">
        <v>99.920869999999994</v>
      </c>
      <c r="AQ1209">
        <v>0.25023103099999999</v>
      </c>
      <c r="AS1209">
        <f t="shared" si="101"/>
        <v>1.4171161734116922E-2</v>
      </c>
      <c r="AT1209">
        <f t="shared" si="102"/>
        <v>6.8624063294519871E-4</v>
      </c>
      <c r="AU1209" t="s">
        <v>1413</v>
      </c>
      <c r="AW1209" s="28">
        <f t="shared" si="94"/>
        <v>0.24364493948874036</v>
      </c>
      <c r="AX1209">
        <f t="shared" si="95"/>
        <v>0.95774647887323949</v>
      </c>
      <c r="AY1209" s="62">
        <f t="shared" si="96"/>
        <v>0.23335008289062459</v>
      </c>
      <c r="AZ1209" s="68" t="str">
        <f t="shared" si="97"/>
        <v>No</v>
      </c>
      <c r="BA1209" s="68" t="str">
        <f t="shared" si="98"/>
        <v>No</v>
      </c>
    </row>
    <row r="1210" spans="1:53" hidden="1">
      <c r="A1210" t="s">
        <v>1280</v>
      </c>
      <c r="B1210" t="str">
        <f t="shared" si="99"/>
        <v>1210_Hamraj</v>
      </c>
      <c r="C1210" t="s">
        <v>1396</v>
      </c>
      <c r="F1210" t="s">
        <v>1241</v>
      </c>
      <c r="G1210" t="s">
        <v>1345</v>
      </c>
      <c r="I1210">
        <v>2018</v>
      </c>
      <c r="M1210" s="25" t="s">
        <v>36</v>
      </c>
      <c r="N1210" t="s">
        <v>36</v>
      </c>
      <c r="O1210" t="s">
        <v>3809</v>
      </c>
      <c r="P1210" t="s">
        <v>60</v>
      </c>
      <c r="Q1210" t="s">
        <v>899</v>
      </c>
      <c r="R1210" t="s">
        <v>868</v>
      </c>
      <c r="S1210" t="s">
        <v>1405</v>
      </c>
      <c r="T1210">
        <v>35</v>
      </c>
      <c r="V1210" t="s">
        <v>907</v>
      </c>
      <c r="Z1210">
        <v>10</v>
      </c>
      <c r="AA1210">
        <v>10</v>
      </c>
      <c r="AG1210" t="str">
        <f t="shared" si="100"/>
        <v>21HELLO_Tigriopus_japonicus_D0_CO2NA_TNA_control_outcome98.51</v>
      </c>
      <c r="AI1210">
        <v>26</v>
      </c>
      <c r="AJ1210" t="s">
        <v>69</v>
      </c>
      <c r="AK1210" t="s">
        <v>69</v>
      </c>
      <c r="AM1210"/>
      <c r="AN1210">
        <v>98.514861109999998</v>
      </c>
      <c r="AO1210">
        <v>8.1572059039999996</v>
      </c>
      <c r="AP1210">
        <v>99.865179999999995</v>
      </c>
      <c r="AQ1210">
        <v>0.42633827400000002</v>
      </c>
      <c r="AS1210">
        <f t="shared" si="101"/>
        <v>1.3613665337923742E-2</v>
      </c>
      <c r="AT1210">
        <f t="shared" si="102"/>
        <v>6.8743603938632724E-4</v>
      </c>
      <c r="AU1210" t="s">
        <v>1413</v>
      </c>
      <c r="AW1210" s="28">
        <f t="shared" si="94"/>
        <v>0.23378549029423989</v>
      </c>
      <c r="AX1210">
        <f t="shared" si="95"/>
        <v>0.95774647887323949</v>
      </c>
      <c r="AY1210" s="62">
        <f t="shared" si="96"/>
        <v>0.22390723014096217</v>
      </c>
      <c r="AZ1210" s="68" t="str">
        <f t="shared" si="97"/>
        <v>No</v>
      </c>
      <c r="BA1210" s="68" t="str">
        <f t="shared" si="98"/>
        <v>No</v>
      </c>
    </row>
    <row r="1211" spans="1:53" hidden="1">
      <c r="A1211" t="s">
        <v>1280</v>
      </c>
      <c r="B1211" t="str">
        <f t="shared" si="99"/>
        <v>1211_Hamraj</v>
      </c>
      <c r="C1211" t="s">
        <v>1396</v>
      </c>
      <c r="F1211" t="s">
        <v>1241</v>
      </c>
      <c r="G1211" t="s">
        <v>1346</v>
      </c>
      <c r="I1211">
        <v>2018</v>
      </c>
      <c r="M1211" s="25" t="s">
        <v>36</v>
      </c>
      <c r="N1211" t="s">
        <v>36</v>
      </c>
      <c r="O1211" t="s">
        <v>3809</v>
      </c>
      <c r="P1211" t="s">
        <v>60</v>
      </c>
      <c r="Q1211" t="s">
        <v>899</v>
      </c>
      <c r="R1211" t="s">
        <v>868</v>
      </c>
      <c r="S1211" t="s">
        <v>1405</v>
      </c>
      <c r="T1211">
        <v>35</v>
      </c>
      <c r="V1211" t="s">
        <v>907</v>
      </c>
      <c r="Z1211">
        <v>10</v>
      </c>
      <c r="AA1211">
        <v>10</v>
      </c>
      <c r="AG1211" t="str">
        <f t="shared" si="100"/>
        <v>21HELLO_Tigriopus_japonicus_D0_CO2NA_TNA_control_outcome98.51</v>
      </c>
      <c r="AI1211">
        <v>28</v>
      </c>
      <c r="AJ1211" t="s">
        <v>69</v>
      </c>
      <c r="AK1211" t="s">
        <v>69</v>
      </c>
      <c r="AM1211"/>
      <c r="AN1211">
        <v>98.514861109999998</v>
      </c>
      <c r="AO1211">
        <v>8.1572059039999996</v>
      </c>
      <c r="AP1211">
        <v>99.813890000000001</v>
      </c>
      <c r="AQ1211">
        <v>0.58853149500000002</v>
      </c>
      <c r="AS1211">
        <f t="shared" si="101"/>
        <v>1.309994097885081E-2</v>
      </c>
      <c r="AT1211">
        <f t="shared" si="102"/>
        <v>6.8909010697095028E-4</v>
      </c>
      <c r="AU1211" t="s">
        <v>1413</v>
      </c>
      <c r="AW1211" s="28">
        <f t="shared" si="94"/>
        <v>0.22462855834291806</v>
      </c>
      <c r="AX1211">
        <f t="shared" si="95"/>
        <v>0.95774647887323949</v>
      </c>
      <c r="AY1211" s="62">
        <f t="shared" si="96"/>
        <v>0.2151372108073018</v>
      </c>
      <c r="AZ1211" s="68" t="str">
        <f t="shared" si="97"/>
        <v>No</v>
      </c>
      <c r="BA1211" s="68" t="str">
        <f t="shared" si="98"/>
        <v>No</v>
      </c>
    </row>
    <row r="1212" spans="1:53" hidden="1">
      <c r="A1212" t="s">
        <v>1280</v>
      </c>
      <c r="B1212" t="str">
        <f t="shared" si="99"/>
        <v>1212_Hamraj</v>
      </c>
      <c r="C1212" t="s">
        <v>1396</v>
      </c>
      <c r="F1212" t="s">
        <v>1241</v>
      </c>
      <c r="G1212" t="s">
        <v>1347</v>
      </c>
      <c r="I1212">
        <v>2018</v>
      </c>
      <c r="M1212" s="25" t="s">
        <v>36</v>
      </c>
      <c r="N1212" t="s">
        <v>36</v>
      </c>
      <c r="O1212" t="s">
        <v>3809</v>
      </c>
      <c r="P1212" t="s">
        <v>60</v>
      </c>
      <c r="Q1212" t="s">
        <v>899</v>
      </c>
      <c r="R1212" t="s">
        <v>868</v>
      </c>
      <c r="S1212" t="s">
        <v>1405</v>
      </c>
      <c r="T1212">
        <v>35</v>
      </c>
      <c r="V1212" t="s">
        <v>907</v>
      </c>
      <c r="Z1212">
        <v>10</v>
      </c>
      <c r="AA1212">
        <v>10</v>
      </c>
      <c r="AG1212" t="str">
        <f t="shared" si="100"/>
        <v>21HELLO_Tigriopus_japonicus_D0_CO2NA_TNA_control_outcome98.51</v>
      </c>
      <c r="AI1212">
        <v>30</v>
      </c>
      <c r="AJ1212" t="s">
        <v>69</v>
      </c>
      <c r="AK1212" t="s">
        <v>69</v>
      </c>
      <c r="AM1212"/>
      <c r="AN1212">
        <v>98.514861109999998</v>
      </c>
      <c r="AO1212">
        <v>8.1572059039999996</v>
      </c>
      <c r="AP1212">
        <v>99.761129999999994</v>
      </c>
      <c r="AQ1212">
        <v>0.75537326500000002</v>
      </c>
      <c r="AS1212">
        <f t="shared" si="101"/>
        <v>1.2571217482001629E-2</v>
      </c>
      <c r="AT1212">
        <f t="shared" si="102"/>
        <v>6.9134673011110972E-4</v>
      </c>
      <c r="AU1212" t="s">
        <v>1413</v>
      </c>
      <c r="AW1212" s="28">
        <f t="shared" si="94"/>
        <v>0.21514497203894156</v>
      </c>
      <c r="AX1212">
        <f t="shared" si="95"/>
        <v>0.95774647887323949</v>
      </c>
      <c r="AY1212" s="62">
        <f t="shared" si="96"/>
        <v>0.20605433941757784</v>
      </c>
      <c r="AZ1212" s="68" t="str">
        <f t="shared" si="97"/>
        <v>No</v>
      </c>
      <c r="BA1212" s="68" t="str">
        <f t="shared" si="98"/>
        <v>No</v>
      </c>
    </row>
    <row r="1213" spans="1:53" hidden="1">
      <c r="A1213" t="s">
        <v>1280</v>
      </c>
      <c r="B1213" t="str">
        <f t="shared" si="99"/>
        <v>1213_Hamraj</v>
      </c>
      <c r="C1213" t="s">
        <v>1396</v>
      </c>
      <c r="F1213" t="s">
        <v>1241</v>
      </c>
      <c r="G1213" t="s">
        <v>1348</v>
      </c>
      <c r="I1213">
        <v>2018</v>
      </c>
      <c r="M1213" s="25" t="s">
        <v>36</v>
      </c>
      <c r="N1213" t="s">
        <v>36</v>
      </c>
      <c r="O1213" t="s">
        <v>3809</v>
      </c>
      <c r="P1213" t="s">
        <v>60</v>
      </c>
      <c r="Q1213" t="s">
        <v>899</v>
      </c>
      <c r="R1213" t="s">
        <v>868</v>
      </c>
      <c r="S1213" t="s">
        <v>1405</v>
      </c>
      <c r="T1213">
        <v>35</v>
      </c>
      <c r="V1213" t="s">
        <v>907</v>
      </c>
      <c r="Z1213">
        <v>10</v>
      </c>
      <c r="AA1213">
        <v>10</v>
      </c>
      <c r="AG1213" t="str">
        <f t="shared" si="100"/>
        <v>21HELLO_Tigriopus_japonicus_D0_CO2NA_TNA_control_outcome98.51</v>
      </c>
      <c r="AI1213">
        <v>32</v>
      </c>
      <c r="AJ1213" t="s">
        <v>69</v>
      </c>
      <c r="AK1213" t="s">
        <v>69</v>
      </c>
      <c r="AM1213"/>
      <c r="AN1213">
        <v>98.514861109999998</v>
      </c>
      <c r="AO1213">
        <v>8.1572059039999996</v>
      </c>
      <c r="AP1213">
        <v>96.569410000000005</v>
      </c>
      <c r="AQ1213">
        <v>9.9216461589999998</v>
      </c>
      <c r="AS1213">
        <f t="shared" si="101"/>
        <v>-1.9945386608542393E-2</v>
      </c>
      <c r="AT1213">
        <f t="shared" si="102"/>
        <v>1.7411865819088727E-3</v>
      </c>
      <c r="AU1213" t="s">
        <v>1413</v>
      </c>
      <c r="AW1213" s="28">
        <f t="shared" si="94"/>
        <v>-0.2142007034102302</v>
      </c>
      <c r="AX1213">
        <f t="shared" si="95"/>
        <v>0.95774647887323949</v>
      </c>
      <c r="AY1213" s="62">
        <f t="shared" si="96"/>
        <v>-0.20514996946331909</v>
      </c>
      <c r="AZ1213" s="68" t="str">
        <f t="shared" si="97"/>
        <v>No</v>
      </c>
      <c r="BA1213" s="68" t="str">
        <f t="shared" si="98"/>
        <v>No</v>
      </c>
    </row>
    <row r="1214" spans="1:53" hidden="1">
      <c r="A1214" t="s">
        <v>1280</v>
      </c>
      <c r="B1214" t="str">
        <f t="shared" si="99"/>
        <v>1214_Hamraj</v>
      </c>
      <c r="C1214" t="s">
        <v>1396</v>
      </c>
      <c r="F1214" t="s">
        <v>1241</v>
      </c>
      <c r="G1214" t="s">
        <v>1349</v>
      </c>
      <c r="I1214">
        <v>2018</v>
      </c>
      <c r="M1214" s="25" t="s">
        <v>36</v>
      </c>
      <c r="N1214" t="s">
        <v>36</v>
      </c>
      <c r="O1214" t="s">
        <v>3809</v>
      </c>
      <c r="P1214" t="s">
        <v>60</v>
      </c>
      <c r="Q1214" t="s">
        <v>899</v>
      </c>
      <c r="R1214" t="s">
        <v>868</v>
      </c>
      <c r="S1214" t="s">
        <v>1405</v>
      </c>
      <c r="T1214">
        <v>35</v>
      </c>
      <c r="V1214" t="s">
        <v>907</v>
      </c>
      <c r="Z1214">
        <v>10</v>
      </c>
      <c r="AA1214">
        <v>10</v>
      </c>
      <c r="AG1214" t="str">
        <f t="shared" si="100"/>
        <v>21HELLO_Tigriopus_japonicus_D0_CO2NA_TNA_control_outcome98.51</v>
      </c>
      <c r="AI1214">
        <v>34</v>
      </c>
      <c r="AJ1214" t="s">
        <v>69</v>
      </c>
      <c r="AK1214" t="s">
        <v>69</v>
      </c>
      <c r="AM1214"/>
      <c r="AN1214">
        <v>98.514861109999998</v>
      </c>
      <c r="AO1214">
        <v>8.1572059039999996</v>
      </c>
      <c r="AP1214">
        <v>79.924970000000002</v>
      </c>
      <c r="AQ1214">
        <v>9.9216461589999998</v>
      </c>
      <c r="AS1214">
        <f t="shared" si="101"/>
        <v>-0.20911909141692941</v>
      </c>
      <c r="AT1214">
        <f t="shared" si="102"/>
        <v>2.2266130111393135E-3</v>
      </c>
      <c r="AU1214" t="s">
        <v>1413</v>
      </c>
      <c r="AW1214" s="28">
        <f t="shared" si="94"/>
        <v>-2.0468094683096907</v>
      </c>
      <c r="AX1214">
        <f t="shared" si="95"/>
        <v>0.95774647887323949</v>
      </c>
      <c r="AY1214" s="62">
        <f t="shared" si="96"/>
        <v>-1.9603245611980138</v>
      </c>
      <c r="AZ1214" s="68" t="str">
        <f t="shared" si="97"/>
        <v>No</v>
      </c>
      <c r="BA1214" s="68" t="str">
        <f t="shared" si="98"/>
        <v>No</v>
      </c>
    </row>
    <row r="1215" spans="1:53" hidden="1">
      <c r="A1215" t="s">
        <v>1280</v>
      </c>
      <c r="B1215" t="str">
        <f t="shared" si="99"/>
        <v>1215_Hamraj</v>
      </c>
      <c r="C1215" t="s">
        <v>1396</v>
      </c>
      <c r="F1215" t="s">
        <v>1241</v>
      </c>
      <c r="G1215" t="s">
        <v>1350</v>
      </c>
      <c r="I1215">
        <v>2018</v>
      </c>
      <c r="M1215" s="25" t="s">
        <v>36</v>
      </c>
      <c r="N1215" t="s">
        <v>36</v>
      </c>
      <c r="O1215" t="s">
        <v>3809</v>
      </c>
      <c r="P1215" t="s">
        <v>60</v>
      </c>
      <c r="Q1215" t="s">
        <v>899</v>
      </c>
      <c r="R1215" t="s">
        <v>868</v>
      </c>
      <c r="S1215" t="s">
        <v>1405</v>
      </c>
      <c r="T1215">
        <v>35</v>
      </c>
      <c r="V1215" t="s">
        <v>907</v>
      </c>
      <c r="Z1215">
        <v>10</v>
      </c>
      <c r="AA1215">
        <v>10</v>
      </c>
      <c r="AG1215" t="str">
        <f t="shared" si="100"/>
        <v>21HELLO_Tigriopus_japonicus_D0_CO2NA_TNA_control_outcome98.51</v>
      </c>
      <c r="AI1215">
        <v>36</v>
      </c>
      <c r="AJ1215" t="s">
        <v>69</v>
      </c>
      <c r="AK1215" t="s">
        <v>69</v>
      </c>
      <c r="AM1215"/>
      <c r="AN1215">
        <v>98.514861109999998</v>
      </c>
      <c r="AO1215">
        <v>8.1572059039999996</v>
      </c>
      <c r="AP1215">
        <v>46.241886000000001</v>
      </c>
      <c r="AQ1215">
        <v>12.75772855</v>
      </c>
      <c r="AS1215">
        <f t="shared" si="101"/>
        <v>-0.75632140028129324</v>
      </c>
      <c r="AT1215">
        <f t="shared" si="102"/>
        <v>8.2972078721675561E-3</v>
      </c>
      <c r="AU1215" t="s">
        <v>1413</v>
      </c>
      <c r="AW1215" s="28">
        <f t="shared" si="94"/>
        <v>-4.8819184942192173</v>
      </c>
      <c r="AX1215">
        <f t="shared" si="95"/>
        <v>0.95774647887323949</v>
      </c>
      <c r="AY1215" s="62">
        <f t="shared" si="96"/>
        <v>-4.6756402479846031</v>
      </c>
      <c r="AZ1215" s="68" t="str">
        <f t="shared" si="97"/>
        <v>No</v>
      </c>
      <c r="BA1215" s="68" t="str">
        <f t="shared" si="98"/>
        <v>No</v>
      </c>
    </row>
    <row r="1216" spans="1:53" hidden="1">
      <c r="A1216" t="s">
        <v>1280</v>
      </c>
      <c r="B1216" t="str">
        <f t="shared" si="99"/>
        <v>1216_Hamraj</v>
      </c>
      <c r="C1216" t="s">
        <v>1396</v>
      </c>
      <c r="F1216" t="s">
        <v>1241</v>
      </c>
      <c r="G1216" t="s">
        <v>1351</v>
      </c>
      <c r="I1216">
        <v>2018</v>
      </c>
      <c r="M1216" s="25" t="s">
        <v>36</v>
      </c>
      <c r="N1216" t="s">
        <v>36</v>
      </c>
      <c r="O1216" t="s">
        <v>3809</v>
      </c>
      <c r="P1216" t="s">
        <v>60</v>
      </c>
      <c r="Q1216" t="s">
        <v>899</v>
      </c>
      <c r="R1216" t="s">
        <v>868</v>
      </c>
      <c r="S1216" t="s">
        <v>1407</v>
      </c>
      <c r="T1216">
        <v>75</v>
      </c>
      <c r="V1216" t="s">
        <v>907</v>
      </c>
      <c r="Z1216">
        <v>10</v>
      </c>
      <c r="AA1216">
        <v>10</v>
      </c>
      <c r="AG1216" t="str">
        <f t="shared" si="100"/>
        <v>21HELLO_Tigriopus_kingsejongensis_D0_CO2NA_TNA_control_outcome100.00</v>
      </c>
      <c r="AI1216">
        <v>10</v>
      </c>
      <c r="AJ1216" t="s">
        <v>69</v>
      </c>
      <c r="AK1216" t="s">
        <v>69</v>
      </c>
      <c r="AM1216"/>
      <c r="AN1216">
        <v>100</v>
      </c>
      <c r="AO1216">
        <v>0.01</v>
      </c>
      <c r="AP1216">
        <v>99.959236000000004</v>
      </c>
      <c r="AQ1216">
        <v>0.128907087</v>
      </c>
      <c r="AS1216">
        <f t="shared" si="101"/>
        <v>-4.0772310777104082E-4</v>
      </c>
      <c r="AT1216">
        <f t="shared" si="102"/>
        <v>1.6730592905097466E-7</v>
      </c>
      <c r="AU1216" t="s">
        <v>1413</v>
      </c>
      <c r="AW1216" s="28">
        <f t="shared" si="94"/>
        <v>-0.44587398928446015</v>
      </c>
      <c r="AX1216">
        <f t="shared" si="95"/>
        <v>0.95774647887323949</v>
      </c>
      <c r="AY1216" s="62">
        <f t="shared" si="96"/>
        <v>-0.42703424325835621</v>
      </c>
      <c r="AZ1216" s="68" t="str">
        <f t="shared" si="97"/>
        <v>No</v>
      </c>
      <c r="BA1216" s="68" t="str">
        <f t="shared" si="98"/>
        <v>No</v>
      </c>
    </row>
    <row r="1217" spans="1:53" hidden="1">
      <c r="A1217" t="s">
        <v>1280</v>
      </c>
      <c r="B1217" t="str">
        <f t="shared" si="99"/>
        <v>1217_Hamraj</v>
      </c>
      <c r="C1217" t="s">
        <v>1396</v>
      </c>
      <c r="F1217" t="s">
        <v>1241</v>
      </c>
      <c r="G1217" t="s">
        <v>1352</v>
      </c>
      <c r="I1217">
        <v>2018</v>
      </c>
      <c r="M1217" s="25" t="s">
        <v>36</v>
      </c>
      <c r="N1217" t="s">
        <v>36</v>
      </c>
      <c r="O1217" t="s">
        <v>3809</v>
      </c>
      <c r="P1217" t="s">
        <v>60</v>
      </c>
      <c r="Q1217" t="s">
        <v>899</v>
      </c>
      <c r="R1217" t="s">
        <v>868</v>
      </c>
      <c r="S1217" t="s">
        <v>1407</v>
      </c>
      <c r="T1217">
        <v>75</v>
      </c>
      <c r="V1217" t="s">
        <v>907</v>
      </c>
      <c r="Z1217">
        <v>10</v>
      </c>
      <c r="AA1217">
        <v>10</v>
      </c>
      <c r="AG1217" t="str">
        <f t="shared" si="100"/>
        <v>21HELLO_Tigriopus_kingsejongensis_D0_CO2NA_TNA_control_outcome100.00</v>
      </c>
      <c r="AI1217">
        <v>12</v>
      </c>
      <c r="AJ1217" t="s">
        <v>69</v>
      </c>
      <c r="AK1217" t="s">
        <v>69</v>
      </c>
      <c r="AM1217"/>
      <c r="AN1217">
        <v>100</v>
      </c>
      <c r="AO1217">
        <v>0.01</v>
      </c>
      <c r="AP1217">
        <v>99.420529999999999</v>
      </c>
      <c r="AQ1217">
        <v>1.832445036</v>
      </c>
      <c r="AS1217">
        <f t="shared" si="101"/>
        <v>-5.8115544164420996E-3</v>
      </c>
      <c r="AT1217">
        <f t="shared" si="102"/>
        <v>3.3972112206794934E-5</v>
      </c>
      <c r="AU1217" t="s">
        <v>1413</v>
      </c>
      <c r="AW1217" s="28">
        <f t="shared" si="94"/>
        <v>-0.44720693636890485</v>
      </c>
      <c r="AX1217">
        <f t="shared" si="95"/>
        <v>0.95774647887323949</v>
      </c>
      <c r="AY1217" s="62">
        <f t="shared" si="96"/>
        <v>-0.4283108686350075</v>
      </c>
      <c r="AZ1217" s="68" t="str">
        <f t="shared" si="97"/>
        <v>No</v>
      </c>
      <c r="BA1217" s="68" t="str">
        <f t="shared" si="98"/>
        <v>No</v>
      </c>
    </row>
    <row r="1218" spans="1:53" hidden="1">
      <c r="A1218" t="s">
        <v>1280</v>
      </c>
      <c r="B1218" t="str">
        <f t="shared" si="99"/>
        <v>1218_Hamraj</v>
      </c>
      <c r="C1218" t="s">
        <v>1396</v>
      </c>
      <c r="F1218" t="s">
        <v>1241</v>
      </c>
      <c r="G1218" t="s">
        <v>1353</v>
      </c>
      <c r="I1218">
        <v>2018</v>
      </c>
      <c r="M1218" s="25" t="s">
        <v>36</v>
      </c>
      <c r="N1218" t="s">
        <v>36</v>
      </c>
      <c r="O1218" t="s">
        <v>3809</v>
      </c>
      <c r="P1218" t="s">
        <v>60</v>
      </c>
      <c r="Q1218" t="s">
        <v>899</v>
      </c>
      <c r="R1218" t="s">
        <v>868</v>
      </c>
      <c r="S1218" t="s">
        <v>1407</v>
      </c>
      <c r="T1218">
        <v>75</v>
      </c>
      <c r="V1218" t="s">
        <v>907</v>
      </c>
      <c r="Z1218">
        <v>10</v>
      </c>
      <c r="AA1218">
        <v>10</v>
      </c>
      <c r="AG1218" t="str">
        <f t="shared" si="100"/>
        <v>21HELLO_Tigriopus_kingsejongensis_D0_CO2NA_TNA_control_outcome100.00</v>
      </c>
      <c r="AI1218">
        <v>14</v>
      </c>
      <c r="AJ1218" t="s">
        <v>69</v>
      </c>
      <c r="AK1218" t="s">
        <v>69</v>
      </c>
      <c r="AM1218"/>
      <c r="AN1218">
        <v>100</v>
      </c>
      <c r="AO1218">
        <v>0.01</v>
      </c>
      <c r="AP1218">
        <v>97.542366000000001</v>
      </c>
      <c r="AQ1218">
        <v>7.7717210950000002</v>
      </c>
      <c r="AS1218">
        <f t="shared" si="101"/>
        <v>-2.4883379285181029E-2</v>
      </c>
      <c r="AT1218">
        <f t="shared" si="102"/>
        <v>6.3481696726807148E-4</v>
      </c>
      <c r="AU1218" t="s">
        <v>1413</v>
      </c>
      <c r="AW1218" s="28">
        <f t="shared" ref="AW1218:AW1281" si="103">(AP1218-$AN1218)/SQRT(((AA1218-1)*AQ1218*AQ1218+($Z1218-1)*$AO1218*$AO1218)/(AA1218+$Z1218-2))</f>
        <v>-0.44721322529237734</v>
      </c>
      <c r="AX1218">
        <f t="shared" ref="AX1218:AX1281" si="104">1-(3/(4*(AA1218+$Z1218-2)-1))</f>
        <v>0.95774647887323949</v>
      </c>
      <c r="AY1218" s="62">
        <f t="shared" ref="AY1218:AY1281" si="105">AX1218*AW1218</f>
        <v>-0.42831689182931915</v>
      </c>
      <c r="AZ1218" s="68" t="str">
        <f t="shared" ref="AZ1218:AZ1281" si="106">IF(AY1218&gt;10,"Yes","No")</f>
        <v>No</v>
      </c>
      <c r="BA1218" s="68" t="str">
        <f t="shared" ref="BA1218:BA1281" si="107">IF(AY1218&lt;-10,"Yes","No")</f>
        <v>No</v>
      </c>
    </row>
    <row r="1219" spans="1:53" hidden="1">
      <c r="A1219" t="s">
        <v>1280</v>
      </c>
      <c r="B1219" t="str">
        <f t="shared" si="99"/>
        <v>1219_Hamraj</v>
      </c>
      <c r="C1219" t="s">
        <v>1396</v>
      </c>
      <c r="F1219" t="s">
        <v>1241</v>
      </c>
      <c r="G1219" t="s">
        <v>1354</v>
      </c>
      <c r="I1219">
        <v>2018</v>
      </c>
      <c r="M1219" s="25" t="s">
        <v>36</v>
      </c>
      <c r="N1219" t="s">
        <v>36</v>
      </c>
      <c r="O1219" t="s">
        <v>3809</v>
      </c>
      <c r="P1219" t="s">
        <v>60</v>
      </c>
      <c r="Q1219" t="s">
        <v>899</v>
      </c>
      <c r="R1219" t="s">
        <v>868</v>
      </c>
      <c r="S1219" t="s">
        <v>1407</v>
      </c>
      <c r="T1219">
        <v>75</v>
      </c>
      <c r="V1219" t="s">
        <v>907</v>
      </c>
      <c r="Z1219">
        <v>10</v>
      </c>
      <c r="AA1219">
        <v>10</v>
      </c>
      <c r="AG1219" t="str">
        <f t="shared" si="100"/>
        <v>21HELLO_Tigriopus_kingsejongensis_D0_CO2NA_TNA_control_outcome100.00</v>
      </c>
      <c r="AI1219">
        <v>16</v>
      </c>
      <c r="AJ1219" t="s">
        <v>69</v>
      </c>
      <c r="AK1219" t="s">
        <v>69</v>
      </c>
      <c r="AM1219"/>
      <c r="AN1219">
        <v>100</v>
      </c>
      <c r="AO1219">
        <v>0.01</v>
      </c>
      <c r="AP1219">
        <v>98.360609999999994</v>
      </c>
      <c r="AQ1219">
        <v>2.8361203420000001</v>
      </c>
      <c r="AS1219">
        <f t="shared" si="101"/>
        <v>-1.652976695131958E-2</v>
      </c>
      <c r="AT1219">
        <f t="shared" si="102"/>
        <v>8.3140399401327244E-5</v>
      </c>
      <c r="AU1219" t="s">
        <v>1413</v>
      </c>
      <c r="AW1219" s="28">
        <f t="shared" si="103"/>
        <v>-0.81746642624010024</v>
      </c>
      <c r="AX1219">
        <f t="shared" si="104"/>
        <v>0.95774647887323949</v>
      </c>
      <c r="AY1219" s="62">
        <f t="shared" si="105"/>
        <v>-0.78292559132854678</v>
      </c>
      <c r="AZ1219" s="68" t="str">
        <f t="shared" si="106"/>
        <v>No</v>
      </c>
      <c r="BA1219" s="68" t="str">
        <f t="shared" si="107"/>
        <v>No</v>
      </c>
    </row>
    <row r="1220" spans="1:53" hidden="1">
      <c r="A1220" t="s">
        <v>1280</v>
      </c>
      <c r="B1220" t="str">
        <f t="shared" si="99"/>
        <v>1220_Hamraj</v>
      </c>
      <c r="C1220" t="s">
        <v>1396</v>
      </c>
      <c r="F1220" t="s">
        <v>1241</v>
      </c>
      <c r="G1220" t="s">
        <v>1355</v>
      </c>
      <c r="I1220">
        <v>2018</v>
      </c>
      <c r="M1220" s="25" t="s">
        <v>36</v>
      </c>
      <c r="N1220" t="s">
        <v>36</v>
      </c>
      <c r="O1220" t="s">
        <v>3809</v>
      </c>
      <c r="P1220" t="s">
        <v>60</v>
      </c>
      <c r="Q1220" t="s">
        <v>899</v>
      </c>
      <c r="R1220" t="s">
        <v>868</v>
      </c>
      <c r="S1220" t="s">
        <v>1407</v>
      </c>
      <c r="T1220">
        <v>75</v>
      </c>
      <c r="V1220" t="s">
        <v>907</v>
      </c>
      <c r="Z1220">
        <v>10</v>
      </c>
      <c r="AA1220">
        <v>10</v>
      </c>
      <c r="AG1220" t="str">
        <f t="shared" si="100"/>
        <v>21HELLO_Tigriopus_kingsejongensis_D0_CO2NA_TNA_control_outcome100.00</v>
      </c>
      <c r="AI1220">
        <v>18</v>
      </c>
      <c r="AJ1220" t="s">
        <v>69</v>
      </c>
      <c r="AK1220" t="s">
        <v>69</v>
      </c>
      <c r="AM1220"/>
      <c r="AN1220">
        <v>100</v>
      </c>
      <c r="AO1220">
        <v>0.01</v>
      </c>
      <c r="AP1220">
        <v>92.440740000000005</v>
      </c>
      <c r="AQ1220">
        <v>9.9264528209999998</v>
      </c>
      <c r="AS1220">
        <f t="shared" si="101"/>
        <v>-7.8602395421396132E-2</v>
      </c>
      <c r="AT1220">
        <f t="shared" si="102"/>
        <v>1.1530860428685141E-3</v>
      </c>
      <c r="AU1220" t="s">
        <v>1413</v>
      </c>
      <c r="AW1220" s="28">
        <f t="shared" si="103"/>
        <v>-1.0769610032485581</v>
      </c>
      <c r="AX1220">
        <f t="shared" si="104"/>
        <v>0.95774647887323949</v>
      </c>
      <c r="AY1220" s="62">
        <f t="shared" si="105"/>
        <v>-1.0314556087450979</v>
      </c>
      <c r="AZ1220" s="68" t="str">
        <f t="shared" si="106"/>
        <v>No</v>
      </c>
      <c r="BA1220" s="68" t="str">
        <f t="shared" si="107"/>
        <v>No</v>
      </c>
    </row>
    <row r="1221" spans="1:53" hidden="1">
      <c r="A1221" t="s">
        <v>1280</v>
      </c>
      <c r="B1221" t="str">
        <f t="shared" si="99"/>
        <v>1221_Hamraj</v>
      </c>
      <c r="C1221" t="s">
        <v>1396</v>
      </c>
      <c r="F1221" t="s">
        <v>1241</v>
      </c>
      <c r="G1221" t="s">
        <v>1356</v>
      </c>
      <c r="I1221">
        <v>2018</v>
      </c>
      <c r="M1221" s="25" t="s">
        <v>36</v>
      </c>
      <c r="N1221" t="s">
        <v>36</v>
      </c>
      <c r="O1221" t="s">
        <v>3809</v>
      </c>
      <c r="P1221" t="s">
        <v>60</v>
      </c>
      <c r="Q1221" t="s">
        <v>899</v>
      </c>
      <c r="R1221" t="s">
        <v>868</v>
      </c>
      <c r="S1221" t="s">
        <v>1407</v>
      </c>
      <c r="T1221">
        <v>75</v>
      </c>
      <c r="V1221" t="s">
        <v>907</v>
      </c>
      <c r="Z1221">
        <v>10</v>
      </c>
      <c r="AA1221">
        <v>10</v>
      </c>
      <c r="AG1221" t="str">
        <f t="shared" si="100"/>
        <v>21HELLO_Tigriopus_kingsejongensis_D0_CO2NA_TNA_control_outcome100.00</v>
      </c>
      <c r="AI1221">
        <v>20</v>
      </c>
      <c r="AJ1221" t="s">
        <v>69</v>
      </c>
      <c r="AK1221" t="s">
        <v>69</v>
      </c>
      <c r="AM1221"/>
      <c r="AN1221">
        <v>100</v>
      </c>
      <c r="AO1221">
        <v>0.01</v>
      </c>
      <c r="AP1221">
        <v>82.942170000000004</v>
      </c>
      <c r="AQ1221">
        <v>8.4991746100000007</v>
      </c>
      <c r="AS1221">
        <f t="shared" si="101"/>
        <v>-0.18702656802043371</v>
      </c>
      <c r="AT1221">
        <f t="shared" si="102"/>
        <v>1.0500334392369824E-3</v>
      </c>
      <c r="AU1221" t="s">
        <v>1413</v>
      </c>
      <c r="AW1221" s="28">
        <f t="shared" si="103"/>
        <v>-2.8383224183489011</v>
      </c>
      <c r="AX1221">
        <f t="shared" si="104"/>
        <v>0.95774647887323949</v>
      </c>
      <c r="AY1221" s="62">
        <f t="shared" si="105"/>
        <v>-2.7183933020806377</v>
      </c>
      <c r="AZ1221" s="68" t="str">
        <f t="shared" si="106"/>
        <v>No</v>
      </c>
      <c r="BA1221" s="68" t="str">
        <f t="shared" si="107"/>
        <v>No</v>
      </c>
    </row>
    <row r="1222" spans="1:53" hidden="1">
      <c r="A1222" t="s">
        <v>1280</v>
      </c>
      <c r="B1222" t="str">
        <f t="shared" si="99"/>
        <v>1222_Hamraj</v>
      </c>
      <c r="C1222" t="s">
        <v>1396</v>
      </c>
      <c r="F1222" t="s">
        <v>1241</v>
      </c>
      <c r="G1222" t="s">
        <v>1357</v>
      </c>
      <c r="I1222">
        <v>2018</v>
      </c>
      <c r="M1222" s="25" t="s">
        <v>36</v>
      </c>
      <c r="N1222" t="s">
        <v>36</v>
      </c>
      <c r="O1222" t="s">
        <v>3809</v>
      </c>
      <c r="P1222" t="s">
        <v>60</v>
      </c>
      <c r="Q1222" t="s">
        <v>899</v>
      </c>
      <c r="R1222" t="s">
        <v>868</v>
      </c>
      <c r="S1222" t="s">
        <v>1407</v>
      </c>
      <c r="T1222">
        <v>75</v>
      </c>
      <c r="V1222" t="s">
        <v>907</v>
      </c>
      <c r="Z1222">
        <v>10</v>
      </c>
      <c r="AA1222">
        <v>10</v>
      </c>
      <c r="AG1222" t="str">
        <f t="shared" si="100"/>
        <v>21HELLO_Tigriopus_kingsejongensis_D0_CO2NA_TNA_control_outcome100.00</v>
      </c>
      <c r="AI1222">
        <v>22</v>
      </c>
      <c r="AJ1222" t="s">
        <v>69</v>
      </c>
      <c r="AK1222" t="s">
        <v>69</v>
      </c>
      <c r="AM1222"/>
      <c r="AN1222">
        <v>100</v>
      </c>
      <c r="AO1222">
        <v>0.01</v>
      </c>
      <c r="AP1222">
        <v>75.682839999999999</v>
      </c>
      <c r="AQ1222">
        <v>14.18061752</v>
      </c>
      <c r="AS1222">
        <f t="shared" si="101"/>
        <v>-0.27861873552150662</v>
      </c>
      <c r="AT1222">
        <f t="shared" si="102"/>
        <v>3.5107149546845053E-3</v>
      </c>
      <c r="AU1222" t="s">
        <v>1413</v>
      </c>
      <c r="AW1222" s="28">
        <f t="shared" si="103"/>
        <v>-2.425116457099366</v>
      </c>
      <c r="AX1222">
        <f t="shared" si="104"/>
        <v>0.95774647887323949</v>
      </c>
      <c r="AY1222" s="62">
        <f t="shared" si="105"/>
        <v>-2.3226467476444634</v>
      </c>
      <c r="AZ1222" s="68" t="str">
        <f t="shared" si="106"/>
        <v>No</v>
      </c>
      <c r="BA1222" s="68" t="str">
        <f t="shared" si="107"/>
        <v>No</v>
      </c>
    </row>
    <row r="1223" spans="1:53" hidden="1">
      <c r="A1223" t="s">
        <v>1280</v>
      </c>
      <c r="B1223" t="str">
        <f t="shared" si="99"/>
        <v>1223_Hamraj</v>
      </c>
      <c r="C1223" t="s">
        <v>1396</v>
      </c>
      <c r="F1223" t="s">
        <v>1241</v>
      </c>
      <c r="G1223" t="s">
        <v>1358</v>
      </c>
      <c r="I1223">
        <v>2018</v>
      </c>
      <c r="M1223" s="25" t="s">
        <v>36</v>
      </c>
      <c r="N1223" t="s">
        <v>36</v>
      </c>
      <c r="O1223" t="s">
        <v>3809</v>
      </c>
      <c r="P1223" t="s">
        <v>60</v>
      </c>
      <c r="Q1223" t="s">
        <v>899</v>
      </c>
      <c r="R1223" t="s">
        <v>868</v>
      </c>
      <c r="S1223" t="s">
        <v>1407</v>
      </c>
      <c r="T1223">
        <v>75</v>
      </c>
      <c r="V1223" t="s">
        <v>907</v>
      </c>
      <c r="Z1223">
        <v>10</v>
      </c>
      <c r="AA1223">
        <v>10</v>
      </c>
      <c r="AG1223" t="str">
        <f t="shared" si="100"/>
        <v>21HELLO_Tigriopus_kingsejongensis_D0_CO2NA_TNA_control_outcome100.00</v>
      </c>
      <c r="AI1223">
        <v>24</v>
      </c>
      <c r="AJ1223" t="s">
        <v>69</v>
      </c>
      <c r="AK1223" t="s">
        <v>69</v>
      </c>
      <c r="AM1223"/>
      <c r="AN1223">
        <v>100</v>
      </c>
      <c r="AO1223">
        <v>0.01</v>
      </c>
      <c r="AP1223">
        <v>58.997729999999997</v>
      </c>
      <c r="AQ1223">
        <v>24.143895069999999</v>
      </c>
      <c r="AS1223">
        <f t="shared" si="101"/>
        <v>-0.52767121739880896</v>
      </c>
      <c r="AT1223">
        <f t="shared" si="102"/>
        <v>1.6747272690035883E-2</v>
      </c>
      <c r="AU1223" t="s">
        <v>1413</v>
      </c>
      <c r="AW1223" s="28">
        <f t="shared" si="103"/>
        <v>-2.4016821304218676</v>
      </c>
      <c r="AX1223">
        <f t="shared" si="104"/>
        <v>0.95774647887323949</v>
      </c>
      <c r="AY1223" s="62">
        <f t="shared" si="105"/>
        <v>-2.300202603784324</v>
      </c>
      <c r="AZ1223" s="68" t="str">
        <f t="shared" si="106"/>
        <v>No</v>
      </c>
      <c r="BA1223" s="68" t="str">
        <f t="shared" si="107"/>
        <v>No</v>
      </c>
    </row>
    <row r="1224" spans="1:53" hidden="1">
      <c r="A1224" t="s">
        <v>1280</v>
      </c>
      <c r="B1224" t="str">
        <f t="shared" si="99"/>
        <v>1224_Hamraj</v>
      </c>
      <c r="C1224" t="s">
        <v>1396</v>
      </c>
      <c r="F1224" t="s">
        <v>1241</v>
      </c>
      <c r="G1224" t="s">
        <v>1359</v>
      </c>
      <c r="I1224">
        <v>2018</v>
      </c>
      <c r="M1224" s="25" t="s">
        <v>36</v>
      </c>
      <c r="N1224" t="s">
        <v>36</v>
      </c>
      <c r="O1224" t="s">
        <v>3809</v>
      </c>
      <c r="P1224" t="s">
        <v>60</v>
      </c>
      <c r="Q1224" t="s">
        <v>899</v>
      </c>
      <c r="R1224" t="s">
        <v>868</v>
      </c>
      <c r="S1224" t="s">
        <v>1407</v>
      </c>
      <c r="T1224">
        <v>75</v>
      </c>
      <c r="V1224" t="s">
        <v>907</v>
      </c>
      <c r="Z1224">
        <v>10</v>
      </c>
      <c r="AA1224">
        <v>10</v>
      </c>
      <c r="AG1224" t="str">
        <f t="shared" si="100"/>
        <v>21HELLO_Tigriopus_kingsejongensis_D0_CO2NA_TNA_control_outcome100.00</v>
      </c>
      <c r="AI1224">
        <v>26</v>
      </c>
      <c r="AJ1224" t="s">
        <v>69</v>
      </c>
      <c r="AK1224" t="s">
        <v>69</v>
      </c>
      <c r="AM1224"/>
      <c r="AN1224">
        <v>100</v>
      </c>
      <c r="AO1224">
        <v>0.01</v>
      </c>
      <c r="AP1224">
        <v>46.363052000000003</v>
      </c>
      <c r="AQ1224">
        <v>36.869611880000001</v>
      </c>
      <c r="AS1224">
        <f t="shared" si="101"/>
        <v>-0.76866733706908974</v>
      </c>
      <c r="AT1224">
        <f t="shared" si="102"/>
        <v>6.3240181029303982E-2</v>
      </c>
      <c r="AU1224" t="s">
        <v>1413</v>
      </c>
      <c r="AW1224" s="28">
        <f t="shared" si="103"/>
        <v>-2.0573608629983493</v>
      </c>
      <c r="AX1224">
        <f t="shared" si="104"/>
        <v>0.95774647887323949</v>
      </c>
      <c r="AY1224" s="62">
        <f t="shared" si="105"/>
        <v>-1.9704301223082783</v>
      </c>
      <c r="AZ1224" s="68" t="str">
        <f t="shared" si="106"/>
        <v>No</v>
      </c>
      <c r="BA1224" s="68" t="str">
        <f t="shared" si="107"/>
        <v>No</v>
      </c>
    </row>
    <row r="1225" spans="1:53" hidden="1">
      <c r="A1225" t="s">
        <v>1280</v>
      </c>
      <c r="B1225" t="str">
        <f t="shared" si="99"/>
        <v>1225_Hamraj</v>
      </c>
      <c r="C1225" t="s">
        <v>1396</v>
      </c>
      <c r="F1225" t="s">
        <v>1241</v>
      </c>
      <c r="G1225" t="s">
        <v>1360</v>
      </c>
      <c r="I1225">
        <v>2018</v>
      </c>
      <c r="M1225" s="25" t="s">
        <v>36</v>
      </c>
      <c r="N1225" t="s">
        <v>36</v>
      </c>
      <c r="O1225" t="s">
        <v>3809</v>
      </c>
      <c r="P1225" t="s">
        <v>60</v>
      </c>
      <c r="Q1225" t="s">
        <v>899</v>
      </c>
      <c r="R1225" t="s">
        <v>868</v>
      </c>
      <c r="S1225" t="s">
        <v>1407</v>
      </c>
      <c r="T1225">
        <v>75</v>
      </c>
      <c r="V1225" t="s">
        <v>907</v>
      </c>
      <c r="Z1225">
        <v>10</v>
      </c>
      <c r="AA1225">
        <v>10</v>
      </c>
      <c r="AG1225" t="str">
        <f t="shared" si="100"/>
        <v>21HELLO_Tigriopus_kingsejongensis_D0_CO2NA_TNA_control_outcome100.00</v>
      </c>
      <c r="AI1225">
        <v>28</v>
      </c>
      <c r="AJ1225" t="s">
        <v>69</v>
      </c>
      <c r="AK1225" t="s">
        <v>69</v>
      </c>
      <c r="AM1225"/>
      <c r="AN1225">
        <v>100</v>
      </c>
      <c r="AO1225">
        <v>0.01</v>
      </c>
      <c r="AP1225">
        <v>36.407314</v>
      </c>
      <c r="AQ1225">
        <v>31.197358550000001</v>
      </c>
      <c r="AS1225">
        <f t="shared" si="101"/>
        <v>-1.0104004974640084</v>
      </c>
      <c r="AT1225">
        <f t="shared" si="102"/>
        <v>7.3427438060258102E-2</v>
      </c>
      <c r="AU1225" t="s">
        <v>1413</v>
      </c>
      <c r="AW1225" s="28">
        <f t="shared" si="103"/>
        <v>-2.8827323391704023</v>
      </c>
      <c r="AX1225">
        <f t="shared" si="104"/>
        <v>0.95774647887323949</v>
      </c>
      <c r="AY1225" s="62">
        <f t="shared" si="105"/>
        <v>-2.7609267473744699</v>
      </c>
      <c r="AZ1225" s="68" t="str">
        <f t="shared" si="106"/>
        <v>No</v>
      </c>
      <c r="BA1225" s="68" t="str">
        <f t="shared" si="107"/>
        <v>No</v>
      </c>
    </row>
    <row r="1226" spans="1:53" hidden="1">
      <c r="A1226" t="s">
        <v>1280</v>
      </c>
      <c r="B1226" t="str">
        <f t="shared" si="99"/>
        <v>1226_Hamraj</v>
      </c>
      <c r="C1226" t="s">
        <v>1397</v>
      </c>
      <c r="F1226" t="s">
        <v>1241</v>
      </c>
      <c r="G1226" t="s">
        <v>1284</v>
      </c>
      <c r="I1226">
        <v>2018</v>
      </c>
      <c r="M1226" s="25" t="s">
        <v>36</v>
      </c>
      <c r="N1226" t="s">
        <v>36</v>
      </c>
      <c r="O1226" t="s">
        <v>74</v>
      </c>
      <c r="P1226" t="s">
        <v>60</v>
      </c>
      <c r="Q1226" t="s">
        <v>899</v>
      </c>
      <c r="R1226" t="s">
        <v>828</v>
      </c>
      <c r="S1226" t="s">
        <v>1408</v>
      </c>
      <c r="T1226">
        <v>21</v>
      </c>
      <c r="V1226" t="s">
        <v>907</v>
      </c>
      <c r="Z1226">
        <v>3</v>
      </c>
      <c r="AA1226">
        <v>3</v>
      </c>
      <c r="AG1226" t="str">
        <f t="shared" si="100"/>
        <v>22HELLO_Parvocalanus_crassirostris_D0_CO2NA_TNA_control_outcome100.00</v>
      </c>
      <c r="AI1226">
        <v>28</v>
      </c>
      <c r="AJ1226" t="s">
        <v>69</v>
      </c>
      <c r="AK1226" t="s">
        <v>69</v>
      </c>
      <c r="AM1226"/>
      <c r="AN1226">
        <v>100</v>
      </c>
      <c r="AO1226">
        <v>0.74348280899999997</v>
      </c>
      <c r="AP1226">
        <v>91.685140000000004</v>
      </c>
      <c r="AQ1226">
        <v>3.9624645940000001</v>
      </c>
      <c r="AS1226">
        <f t="shared" si="101"/>
        <v>-8.6809870020795543E-2</v>
      </c>
      <c r="AT1226">
        <f t="shared" si="102"/>
        <v>6.4102915932936219E-4</v>
      </c>
      <c r="AU1226" t="s">
        <v>1413</v>
      </c>
      <c r="AW1226" s="28">
        <f t="shared" si="103"/>
        <v>-2.9166965612001965</v>
      </c>
      <c r="AX1226">
        <f t="shared" si="104"/>
        <v>0.8</v>
      </c>
      <c r="AY1226" s="62">
        <f t="shared" si="105"/>
        <v>-2.3333572489601573</v>
      </c>
      <c r="AZ1226" s="68" t="str">
        <f t="shared" si="106"/>
        <v>No</v>
      </c>
      <c r="BA1226" s="68" t="str">
        <f t="shared" si="107"/>
        <v>No</v>
      </c>
    </row>
    <row r="1227" spans="1:53" hidden="1">
      <c r="A1227" t="s">
        <v>1280</v>
      </c>
      <c r="B1227" t="str">
        <f t="shared" si="99"/>
        <v>1227_Hamraj</v>
      </c>
      <c r="C1227" t="s">
        <v>1397</v>
      </c>
      <c r="F1227" t="s">
        <v>1241</v>
      </c>
      <c r="G1227" t="s">
        <v>1285</v>
      </c>
      <c r="I1227">
        <v>2018</v>
      </c>
      <c r="M1227" s="25" t="s">
        <v>36</v>
      </c>
      <c r="N1227" t="s">
        <v>36</v>
      </c>
      <c r="O1227" t="s">
        <v>74</v>
      </c>
      <c r="P1227" t="s">
        <v>60</v>
      </c>
      <c r="Q1227" t="s">
        <v>899</v>
      </c>
      <c r="R1227" t="s">
        <v>828</v>
      </c>
      <c r="S1227" t="s">
        <v>1408</v>
      </c>
      <c r="T1227">
        <v>21</v>
      </c>
      <c r="V1227" t="s">
        <v>907</v>
      </c>
      <c r="Z1227">
        <v>3</v>
      </c>
      <c r="AA1227">
        <v>3</v>
      </c>
      <c r="AG1227" t="str">
        <f t="shared" si="100"/>
        <v>22HELLO_Parvocalanus_crassirostris_D0_CO2NA_TNA_control_outcome100.00</v>
      </c>
      <c r="AI1227">
        <v>32</v>
      </c>
      <c r="AJ1227" t="s">
        <v>69</v>
      </c>
      <c r="AK1227" t="s">
        <v>69</v>
      </c>
      <c r="AM1227"/>
      <c r="AN1227">
        <v>100</v>
      </c>
      <c r="AO1227">
        <v>0.74348280899999997</v>
      </c>
      <c r="AP1227">
        <v>75.037080000000003</v>
      </c>
      <c r="AQ1227">
        <v>7.8704735110000001</v>
      </c>
      <c r="AS1227">
        <f t="shared" si="101"/>
        <v>-0.28718779462719368</v>
      </c>
      <c r="AT1227">
        <f t="shared" si="102"/>
        <v>3.6855750735359546E-3</v>
      </c>
      <c r="AU1227" t="s">
        <v>1413</v>
      </c>
      <c r="AW1227" s="28">
        <f t="shared" si="103"/>
        <v>-4.4656057725997336</v>
      </c>
      <c r="AX1227">
        <f t="shared" si="104"/>
        <v>0.8</v>
      </c>
      <c r="AY1227" s="62">
        <f t="shared" si="105"/>
        <v>-3.5724846180797871</v>
      </c>
      <c r="AZ1227" s="68" t="str">
        <f t="shared" si="106"/>
        <v>No</v>
      </c>
      <c r="BA1227" s="68" t="str">
        <f t="shared" si="107"/>
        <v>No</v>
      </c>
    </row>
    <row r="1228" spans="1:53" hidden="1">
      <c r="A1228" t="s">
        <v>1280</v>
      </c>
      <c r="B1228" t="str">
        <f t="shared" si="99"/>
        <v>1228_Hamraj</v>
      </c>
      <c r="C1228" t="s">
        <v>1397</v>
      </c>
      <c r="F1228" t="s">
        <v>1241</v>
      </c>
      <c r="G1228" t="s">
        <v>1286</v>
      </c>
      <c r="I1228">
        <v>2018</v>
      </c>
      <c r="M1228" s="25" t="s">
        <v>36</v>
      </c>
      <c r="N1228" t="s">
        <v>36</v>
      </c>
      <c r="O1228" t="s">
        <v>74</v>
      </c>
      <c r="P1228" t="s">
        <v>60</v>
      </c>
      <c r="Q1228" t="s">
        <v>899</v>
      </c>
      <c r="R1228" t="s">
        <v>828</v>
      </c>
      <c r="S1228" t="s">
        <v>1408</v>
      </c>
      <c r="T1228">
        <v>21</v>
      </c>
      <c r="V1228" t="s">
        <v>907</v>
      </c>
      <c r="Z1228">
        <v>3</v>
      </c>
      <c r="AA1228">
        <v>3</v>
      </c>
      <c r="AG1228" t="str">
        <f t="shared" si="100"/>
        <v>22HELLO_Parvocalanus_crassirostris_D0_CO2NA_TNA_control_outcome100.00</v>
      </c>
      <c r="AI1228">
        <v>28</v>
      </c>
      <c r="AJ1228" t="s">
        <v>69</v>
      </c>
      <c r="AK1228" t="s">
        <v>69</v>
      </c>
      <c r="AM1228"/>
      <c r="AN1228">
        <v>100</v>
      </c>
      <c r="AO1228">
        <v>0.77070891600000002</v>
      </c>
      <c r="AP1228">
        <v>46.277126000000003</v>
      </c>
      <c r="AQ1228">
        <v>9.0333447099999997</v>
      </c>
      <c r="AS1228">
        <f t="shared" si="101"/>
        <v>-0.77052238585020794</v>
      </c>
      <c r="AT1228">
        <f t="shared" si="102"/>
        <v>1.2720952875050033E-2</v>
      </c>
      <c r="AU1228" t="s">
        <v>1413</v>
      </c>
      <c r="AW1228" s="28">
        <f t="shared" si="103"/>
        <v>-8.3801293060441715</v>
      </c>
      <c r="AX1228">
        <f t="shared" si="104"/>
        <v>0.8</v>
      </c>
      <c r="AY1228" s="62">
        <f t="shared" si="105"/>
        <v>-6.7041034448353374</v>
      </c>
      <c r="AZ1228" s="68" t="str">
        <f t="shared" si="106"/>
        <v>No</v>
      </c>
      <c r="BA1228" s="68" t="str">
        <f t="shared" si="107"/>
        <v>No</v>
      </c>
    </row>
    <row r="1229" spans="1:53" hidden="1">
      <c r="A1229" t="s">
        <v>1280</v>
      </c>
      <c r="B1229" t="str">
        <f t="shared" si="99"/>
        <v>1229_Hamraj</v>
      </c>
      <c r="C1229" t="s">
        <v>1397</v>
      </c>
      <c r="F1229" t="s">
        <v>1241</v>
      </c>
      <c r="G1229" t="s">
        <v>1287</v>
      </c>
      <c r="I1229">
        <v>2018</v>
      </c>
      <c r="M1229" s="25" t="s">
        <v>36</v>
      </c>
      <c r="N1229" t="s">
        <v>36</v>
      </c>
      <c r="O1229" t="s">
        <v>74</v>
      </c>
      <c r="P1229" t="s">
        <v>60</v>
      </c>
      <c r="Q1229" t="s">
        <v>899</v>
      </c>
      <c r="R1229" t="s">
        <v>828</v>
      </c>
      <c r="S1229" t="s">
        <v>1408</v>
      </c>
      <c r="T1229">
        <v>21</v>
      </c>
      <c r="V1229" t="s">
        <v>907</v>
      </c>
      <c r="Z1229">
        <v>3</v>
      </c>
      <c r="AA1229">
        <v>3</v>
      </c>
      <c r="AG1229" t="str">
        <f t="shared" si="100"/>
        <v>22HELLO_Parvocalanus_crassirostris_D0_CO2NA_TNA_control_outcome100.00</v>
      </c>
      <c r="AI1229">
        <v>32</v>
      </c>
      <c r="AJ1229" t="s">
        <v>69</v>
      </c>
      <c r="AK1229" t="s">
        <v>69</v>
      </c>
      <c r="AM1229"/>
      <c r="AN1229">
        <v>100</v>
      </c>
      <c r="AO1229">
        <v>0.77070891600000002</v>
      </c>
      <c r="AP1229">
        <v>53.441947999999996</v>
      </c>
      <c r="AQ1229">
        <v>11.764868509999999</v>
      </c>
      <c r="AS1229">
        <f t="shared" si="101"/>
        <v>-0.62657420532825459</v>
      </c>
      <c r="AT1229">
        <f t="shared" si="102"/>
        <v>1.6174107049112544E-2</v>
      </c>
      <c r="AU1229" t="s">
        <v>1413</v>
      </c>
      <c r="AW1229" s="28">
        <f t="shared" si="103"/>
        <v>-5.5846097869607219</v>
      </c>
      <c r="AX1229">
        <f t="shared" si="104"/>
        <v>0.8</v>
      </c>
      <c r="AY1229" s="62">
        <f t="shared" si="105"/>
        <v>-4.467687829568578</v>
      </c>
      <c r="AZ1229" s="68" t="str">
        <f t="shared" si="106"/>
        <v>No</v>
      </c>
      <c r="BA1229" s="68" t="str">
        <f t="shared" si="107"/>
        <v>No</v>
      </c>
    </row>
    <row r="1230" spans="1:53" hidden="1">
      <c r="A1230" t="s">
        <v>1280</v>
      </c>
      <c r="B1230" t="str">
        <f t="shared" si="99"/>
        <v>1230_Hamraj</v>
      </c>
      <c r="C1230" t="s">
        <v>1398</v>
      </c>
      <c r="F1230" t="s">
        <v>1241</v>
      </c>
      <c r="G1230" t="s">
        <v>1361</v>
      </c>
      <c r="I1230">
        <v>2018</v>
      </c>
      <c r="M1230" s="25" t="s">
        <v>36</v>
      </c>
      <c r="N1230" t="s">
        <v>36</v>
      </c>
      <c r="O1230" t="s">
        <v>74</v>
      </c>
      <c r="P1230" t="s">
        <v>60</v>
      </c>
      <c r="Q1230" t="s">
        <v>899</v>
      </c>
      <c r="R1230" t="s">
        <v>828</v>
      </c>
      <c r="S1230" t="s">
        <v>851</v>
      </c>
      <c r="T1230">
        <v>50</v>
      </c>
      <c r="V1230" t="s">
        <v>907</v>
      </c>
      <c r="Z1230">
        <v>3</v>
      </c>
      <c r="AA1230">
        <v>3</v>
      </c>
      <c r="AG1230" t="str">
        <f t="shared" si="100"/>
        <v>23HELLO_Acartia_bifilosa_D0_CO2NA_TNA_control_outcome42.80</v>
      </c>
      <c r="AI1230">
        <v>10</v>
      </c>
      <c r="AJ1230" t="s">
        <v>69</v>
      </c>
      <c r="AK1230" t="s">
        <v>69</v>
      </c>
      <c r="AM1230"/>
      <c r="AN1230">
        <v>42.8</v>
      </c>
      <c r="AO1230">
        <v>29.5</v>
      </c>
      <c r="AP1230">
        <v>70.900000000000006</v>
      </c>
      <c r="AQ1230">
        <v>5.24</v>
      </c>
      <c r="AS1230">
        <f t="shared" si="101"/>
        <v>0.50473233095033043</v>
      </c>
      <c r="AT1230">
        <f t="shared" si="102"/>
        <v>0.16017700493815676</v>
      </c>
      <c r="AU1230" t="s">
        <v>1413</v>
      </c>
      <c r="AW1230" s="28">
        <f t="shared" si="103"/>
        <v>1.3263369442006343</v>
      </c>
      <c r="AX1230">
        <f t="shared" si="104"/>
        <v>0.8</v>
      </c>
      <c r="AY1230" s="62">
        <f t="shared" si="105"/>
        <v>1.0610695553605074</v>
      </c>
      <c r="AZ1230" s="68" t="str">
        <f t="shared" si="106"/>
        <v>No</v>
      </c>
      <c r="BA1230" s="68" t="str">
        <f t="shared" si="107"/>
        <v>No</v>
      </c>
    </row>
    <row r="1231" spans="1:53" hidden="1">
      <c r="A1231" t="s">
        <v>1280</v>
      </c>
      <c r="B1231" t="str">
        <f t="shared" si="99"/>
        <v>1231_Hamraj</v>
      </c>
      <c r="C1231" t="s">
        <v>1398</v>
      </c>
      <c r="F1231" t="s">
        <v>1241</v>
      </c>
      <c r="G1231" t="s">
        <v>1362</v>
      </c>
      <c r="I1231">
        <v>2004</v>
      </c>
      <c r="M1231" s="25" t="s">
        <v>36</v>
      </c>
      <c r="N1231" t="s">
        <v>36</v>
      </c>
      <c r="O1231" t="s">
        <v>74</v>
      </c>
      <c r="P1231" t="s">
        <v>60</v>
      </c>
      <c r="Q1231" t="s">
        <v>899</v>
      </c>
      <c r="R1231" t="s">
        <v>828</v>
      </c>
      <c r="S1231" t="s">
        <v>851</v>
      </c>
      <c r="T1231">
        <v>50</v>
      </c>
      <c r="V1231" t="s">
        <v>907</v>
      </c>
      <c r="Z1231">
        <v>3</v>
      </c>
      <c r="AA1231">
        <v>3</v>
      </c>
      <c r="AG1231" t="str">
        <f t="shared" si="100"/>
        <v>23HELLO_Acartia_bifilosa_D0_CO2NA_TNA_control_outcome42.80</v>
      </c>
      <c r="AI1231">
        <v>20</v>
      </c>
      <c r="AJ1231" t="s">
        <v>69</v>
      </c>
      <c r="AK1231" t="s">
        <v>69</v>
      </c>
      <c r="AM1231"/>
      <c r="AN1231">
        <v>42.8</v>
      </c>
      <c r="AO1231">
        <v>29.5</v>
      </c>
      <c r="AP1231">
        <v>83.3</v>
      </c>
      <c r="AQ1231">
        <v>28.9</v>
      </c>
      <c r="AS1231">
        <f t="shared" si="101"/>
        <v>0.66591044658504606</v>
      </c>
      <c r="AT1231">
        <f t="shared" si="102"/>
        <v>0.19847843241745713</v>
      </c>
      <c r="AU1231" t="s">
        <v>1413</v>
      </c>
      <c r="AW1231" s="28">
        <f t="shared" si="103"/>
        <v>1.3869131058325832</v>
      </c>
      <c r="AX1231">
        <f t="shared" si="104"/>
        <v>0.8</v>
      </c>
      <c r="AY1231" s="62">
        <f t="shared" si="105"/>
        <v>1.1095304846660665</v>
      </c>
      <c r="AZ1231" s="68" t="str">
        <f t="shared" si="106"/>
        <v>No</v>
      </c>
      <c r="BA1231" s="68" t="str">
        <f t="shared" si="107"/>
        <v>No</v>
      </c>
    </row>
    <row r="1232" spans="1:53" hidden="1">
      <c r="A1232" t="s">
        <v>1280</v>
      </c>
      <c r="B1232" t="str">
        <f t="shared" si="99"/>
        <v>1232_Hamraj</v>
      </c>
      <c r="C1232" t="s">
        <v>1398</v>
      </c>
      <c r="F1232" t="s">
        <v>1241</v>
      </c>
      <c r="G1232" t="s">
        <v>1363</v>
      </c>
      <c r="I1232">
        <v>2004</v>
      </c>
      <c r="M1232" s="25" t="s">
        <v>36</v>
      </c>
      <c r="N1232" t="s">
        <v>36</v>
      </c>
      <c r="O1232" t="s">
        <v>74</v>
      </c>
      <c r="P1232" t="s">
        <v>60</v>
      </c>
      <c r="Q1232" t="s">
        <v>899</v>
      </c>
      <c r="R1232" t="s">
        <v>828</v>
      </c>
      <c r="S1232" t="s">
        <v>1409</v>
      </c>
      <c r="T1232">
        <v>50</v>
      </c>
      <c r="V1232" t="s">
        <v>907</v>
      </c>
      <c r="Z1232">
        <v>3</v>
      </c>
      <c r="AA1232">
        <v>3</v>
      </c>
      <c r="AG1232" t="str">
        <f t="shared" si="100"/>
        <v>23HELLO_Acartia_clausi_D0_CO2NA_TNA_control_outcome20.00</v>
      </c>
      <c r="AI1232">
        <v>10</v>
      </c>
      <c r="AJ1232" t="s">
        <v>69</v>
      </c>
      <c r="AK1232" t="s">
        <v>69</v>
      </c>
      <c r="AM1232"/>
      <c r="AN1232">
        <v>20</v>
      </c>
      <c r="AO1232">
        <v>0.01</v>
      </c>
      <c r="AP1232">
        <v>59.6</v>
      </c>
      <c r="AQ1232">
        <v>13.6</v>
      </c>
      <c r="AS1232">
        <f t="shared" si="101"/>
        <v>1.0919233005173132</v>
      </c>
      <c r="AT1232">
        <f t="shared" si="102"/>
        <v>1.7356658862964128E-2</v>
      </c>
      <c r="AU1232" t="s">
        <v>1413</v>
      </c>
      <c r="AW1232" s="28">
        <f t="shared" si="103"/>
        <v>4.117856024323534</v>
      </c>
      <c r="AX1232">
        <f t="shared" si="104"/>
        <v>0.8</v>
      </c>
      <c r="AY1232" s="62">
        <f t="shared" si="105"/>
        <v>3.2942848194588272</v>
      </c>
      <c r="AZ1232" s="68" t="str">
        <f t="shared" si="106"/>
        <v>No</v>
      </c>
      <c r="BA1232" s="68" t="str">
        <f t="shared" si="107"/>
        <v>No</v>
      </c>
    </row>
    <row r="1233" spans="1:53" hidden="1">
      <c r="A1233" t="s">
        <v>1280</v>
      </c>
      <c r="B1233" t="str">
        <f t="shared" si="99"/>
        <v>1233_Hamraj</v>
      </c>
      <c r="C1233" t="s">
        <v>1398</v>
      </c>
      <c r="F1233" t="s">
        <v>1241</v>
      </c>
      <c r="G1233" t="s">
        <v>1364</v>
      </c>
      <c r="I1233">
        <v>2004</v>
      </c>
      <c r="M1233" s="25" t="s">
        <v>36</v>
      </c>
      <c r="N1233" t="s">
        <v>36</v>
      </c>
      <c r="O1233" t="s">
        <v>74</v>
      </c>
      <c r="P1233" t="s">
        <v>60</v>
      </c>
      <c r="Q1233" t="s">
        <v>899</v>
      </c>
      <c r="R1233" t="s">
        <v>828</v>
      </c>
      <c r="S1233" t="s">
        <v>1409</v>
      </c>
      <c r="T1233">
        <v>50</v>
      </c>
      <c r="V1233" t="s">
        <v>907</v>
      </c>
      <c r="Z1233">
        <v>3</v>
      </c>
      <c r="AA1233">
        <v>3</v>
      </c>
      <c r="AG1233" t="str">
        <f t="shared" si="100"/>
        <v>23HELLO_Acartia_clausi_D0_CO2NA_TNA_control_outcome20.00</v>
      </c>
      <c r="AI1233">
        <v>20</v>
      </c>
      <c r="AJ1233" t="s">
        <v>69</v>
      </c>
      <c r="AK1233" t="s">
        <v>69</v>
      </c>
      <c r="AM1233"/>
      <c r="AN1233">
        <v>20</v>
      </c>
      <c r="AO1233">
        <v>0.01</v>
      </c>
      <c r="AP1233">
        <v>86.5</v>
      </c>
      <c r="AQ1233">
        <v>7.31</v>
      </c>
      <c r="AS1233">
        <f t="shared" si="101"/>
        <v>1.464412140383843</v>
      </c>
      <c r="AT1233">
        <f t="shared" si="102"/>
        <v>2.3806551310323319E-3</v>
      </c>
      <c r="AU1233" t="s">
        <v>1413</v>
      </c>
      <c r="AW1233" s="28">
        <f t="shared" si="103"/>
        <v>12.865268659386913</v>
      </c>
      <c r="AX1233">
        <f t="shared" si="104"/>
        <v>0.8</v>
      </c>
      <c r="AY1233" s="62">
        <f t="shared" si="105"/>
        <v>10.292214927509532</v>
      </c>
      <c r="AZ1233" s="68" t="str">
        <f t="shared" si="106"/>
        <v>Yes</v>
      </c>
      <c r="BA1233" s="68" t="str">
        <f t="shared" si="107"/>
        <v>No</v>
      </c>
    </row>
    <row r="1234" spans="1:53" hidden="1">
      <c r="A1234" t="s">
        <v>1280</v>
      </c>
      <c r="B1234" t="str">
        <f t="shared" si="99"/>
        <v>1234_Hamraj</v>
      </c>
      <c r="C1234" t="s">
        <v>1398</v>
      </c>
      <c r="F1234" t="s">
        <v>1241</v>
      </c>
      <c r="G1234" t="s">
        <v>1365</v>
      </c>
      <c r="I1234">
        <v>2004</v>
      </c>
      <c r="M1234" s="25" t="s">
        <v>36</v>
      </c>
      <c r="N1234" t="s">
        <v>36</v>
      </c>
      <c r="O1234" t="s">
        <v>74</v>
      </c>
      <c r="P1234" t="s">
        <v>60</v>
      </c>
      <c r="Q1234" t="s">
        <v>899</v>
      </c>
      <c r="R1234" t="s">
        <v>828</v>
      </c>
      <c r="S1234" t="s">
        <v>1410</v>
      </c>
      <c r="T1234">
        <v>50</v>
      </c>
      <c r="V1234" t="s">
        <v>907</v>
      </c>
      <c r="Z1234">
        <v>3</v>
      </c>
      <c r="AA1234">
        <v>3</v>
      </c>
      <c r="AG1234" t="str">
        <f t="shared" si="100"/>
        <v>23HELLO_Acartia_discaudata_D0_CO2NA_TNA_control_outcome11.90</v>
      </c>
      <c r="AI1234">
        <v>10</v>
      </c>
      <c r="AJ1234" t="s">
        <v>69</v>
      </c>
      <c r="AK1234" t="s">
        <v>69</v>
      </c>
      <c r="AM1234"/>
      <c r="AN1234">
        <v>11.9</v>
      </c>
      <c r="AO1234">
        <v>4.13</v>
      </c>
      <c r="AP1234">
        <v>43.3</v>
      </c>
      <c r="AQ1234">
        <v>31.8</v>
      </c>
      <c r="AS1234">
        <f t="shared" si="101"/>
        <v>1.2916142348909605</v>
      </c>
      <c r="AT1234">
        <f t="shared" si="102"/>
        <v>0.21993648980732516</v>
      </c>
      <c r="AU1234" t="s">
        <v>1413</v>
      </c>
      <c r="AW1234" s="28">
        <f t="shared" si="103"/>
        <v>1.3847946678949647</v>
      </c>
      <c r="AX1234">
        <f t="shared" si="104"/>
        <v>0.8</v>
      </c>
      <c r="AY1234" s="62">
        <f t="shared" si="105"/>
        <v>1.1078357343159719</v>
      </c>
      <c r="AZ1234" s="68" t="str">
        <f t="shared" si="106"/>
        <v>No</v>
      </c>
      <c r="BA1234" s="68" t="str">
        <f t="shared" si="107"/>
        <v>No</v>
      </c>
    </row>
    <row r="1235" spans="1:53" hidden="1">
      <c r="A1235" t="s">
        <v>1280</v>
      </c>
      <c r="B1235" t="str">
        <f t="shared" si="99"/>
        <v>1235_Hamraj</v>
      </c>
      <c r="C1235" t="s">
        <v>1398</v>
      </c>
      <c r="F1235" t="s">
        <v>1241</v>
      </c>
      <c r="G1235" t="s">
        <v>1366</v>
      </c>
      <c r="I1235">
        <v>2004</v>
      </c>
      <c r="M1235" s="25" t="s">
        <v>36</v>
      </c>
      <c r="N1235" t="s">
        <v>36</v>
      </c>
      <c r="O1235" t="s">
        <v>74</v>
      </c>
      <c r="P1235" t="s">
        <v>60</v>
      </c>
      <c r="Q1235" t="s">
        <v>899</v>
      </c>
      <c r="R1235" t="s">
        <v>828</v>
      </c>
      <c r="S1235" t="s">
        <v>1410</v>
      </c>
      <c r="T1235">
        <v>50</v>
      </c>
      <c r="V1235" t="s">
        <v>907</v>
      </c>
      <c r="Z1235">
        <v>3</v>
      </c>
      <c r="AA1235">
        <v>3</v>
      </c>
      <c r="AG1235" t="str">
        <f t="shared" si="100"/>
        <v>23HELLO_Acartia_discaudata_D0_CO2NA_TNA_control_outcome11.90</v>
      </c>
      <c r="AI1235">
        <v>20</v>
      </c>
      <c r="AJ1235" t="s">
        <v>69</v>
      </c>
      <c r="AK1235" t="s">
        <v>69</v>
      </c>
      <c r="AM1235"/>
      <c r="AN1235">
        <v>11.9</v>
      </c>
      <c r="AO1235">
        <v>4.13</v>
      </c>
      <c r="AP1235">
        <v>45</v>
      </c>
      <c r="AQ1235">
        <v>18</v>
      </c>
      <c r="AS1235">
        <f t="shared" si="101"/>
        <v>1.3301240896528359</v>
      </c>
      <c r="AT1235">
        <f t="shared" si="102"/>
        <v>9.3483275663206453E-2</v>
      </c>
      <c r="AU1235" t="s">
        <v>1413</v>
      </c>
      <c r="AW1235" s="28">
        <f t="shared" si="103"/>
        <v>2.5347175479190942</v>
      </c>
      <c r="AX1235">
        <f t="shared" si="104"/>
        <v>0.8</v>
      </c>
      <c r="AY1235" s="62">
        <f t="shared" si="105"/>
        <v>2.0277740383352754</v>
      </c>
      <c r="AZ1235" s="68" t="str">
        <f t="shared" si="106"/>
        <v>No</v>
      </c>
      <c r="BA1235" s="68" t="str">
        <f t="shared" si="107"/>
        <v>No</v>
      </c>
    </row>
    <row r="1236" spans="1:53" hidden="1">
      <c r="A1236" t="s">
        <v>1280</v>
      </c>
      <c r="B1236" t="str">
        <f t="shared" si="99"/>
        <v>1236_Hamraj</v>
      </c>
      <c r="C1236" t="s">
        <v>1399</v>
      </c>
      <c r="F1236" t="s">
        <v>1241</v>
      </c>
      <c r="G1236" t="s">
        <v>1367</v>
      </c>
      <c r="I1236">
        <v>2004</v>
      </c>
      <c r="M1236" s="25" t="s">
        <v>36</v>
      </c>
      <c r="N1236" t="s">
        <v>36</v>
      </c>
      <c r="O1236" t="s">
        <v>3808</v>
      </c>
      <c r="P1236" t="s">
        <v>60</v>
      </c>
      <c r="Q1236" t="s">
        <v>899</v>
      </c>
      <c r="R1236" t="s">
        <v>828</v>
      </c>
      <c r="S1236" t="s">
        <v>1411</v>
      </c>
      <c r="T1236">
        <v>31</v>
      </c>
      <c r="V1236" t="s">
        <v>907</v>
      </c>
      <c r="Z1236">
        <v>3</v>
      </c>
      <c r="AA1236">
        <v>3</v>
      </c>
      <c r="AG1236" t="str">
        <f t="shared" si="100"/>
        <v>24HELLO_Pseudodiaptomus_euryhalinus_D0_CO2NA_TNA_control_outcome67.00</v>
      </c>
      <c r="AI1236">
        <v>21.9</v>
      </c>
      <c r="AJ1236" t="s">
        <v>69</v>
      </c>
      <c r="AK1236" t="s">
        <v>69</v>
      </c>
      <c r="AM1236"/>
      <c r="AN1236">
        <v>67</v>
      </c>
      <c r="AO1236">
        <v>13.9</v>
      </c>
      <c r="AP1236">
        <v>71.3</v>
      </c>
      <c r="AQ1236">
        <v>11.6</v>
      </c>
      <c r="AS1236">
        <f t="shared" si="101"/>
        <v>6.2203708029284321E-2</v>
      </c>
      <c r="AT1236">
        <f t="shared" si="102"/>
        <v>2.3169909607748992E-2</v>
      </c>
      <c r="AU1236" t="s">
        <v>1413</v>
      </c>
      <c r="AW1236" s="28">
        <f t="shared" si="103"/>
        <v>0.33589137550607912</v>
      </c>
      <c r="AX1236">
        <f t="shared" si="104"/>
        <v>0.8</v>
      </c>
      <c r="AY1236" s="62">
        <f t="shared" si="105"/>
        <v>0.26871310040486329</v>
      </c>
      <c r="AZ1236" s="68" t="str">
        <f t="shared" si="106"/>
        <v>No</v>
      </c>
      <c r="BA1236" s="68" t="str">
        <f t="shared" si="107"/>
        <v>No</v>
      </c>
    </row>
    <row r="1237" spans="1:53" hidden="1">
      <c r="A1237" t="s">
        <v>1280</v>
      </c>
      <c r="B1237" t="str">
        <f t="shared" si="99"/>
        <v>1237_Hamraj</v>
      </c>
      <c r="C1237" t="s">
        <v>1399</v>
      </c>
      <c r="F1237" t="s">
        <v>1241</v>
      </c>
      <c r="G1237" t="s">
        <v>1368</v>
      </c>
      <c r="I1237">
        <v>2014</v>
      </c>
      <c r="M1237" s="25" t="s">
        <v>36</v>
      </c>
      <c r="N1237" t="s">
        <v>36</v>
      </c>
      <c r="O1237" t="s">
        <v>3808</v>
      </c>
      <c r="P1237" t="s">
        <v>60</v>
      </c>
      <c r="Q1237" t="s">
        <v>899</v>
      </c>
      <c r="R1237" t="s">
        <v>828</v>
      </c>
      <c r="S1237" t="s">
        <v>1411</v>
      </c>
      <c r="T1237">
        <v>31</v>
      </c>
      <c r="V1237" t="s">
        <v>907</v>
      </c>
      <c r="Z1237">
        <v>3</v>
      </c>
      <c r="AA1237">
        <v>3</v>
      </c>
      <c r="AG1237" t="str">
        <f t="shared" si="100"/>
        <v>24HELLO_Pseudodiaptomus_euryhalinus_D0_CO2NA_TNA_control_outcome67.00</v>
      </c>
      <c r="AI1237">
        <v>24.2</v>
      </c>
      <c r="AJ1237" t="s">
        <v>69</v>
      </c>
      <c r="AK1237" t="s">
        <v>69</v>
      </c>
      <c r="AM1237"/>
      <c r="AN1237">
        <v>67</v>
      </c>
      <c r="AO1237">
        <v>13.9</v>
      </c>
      <c r="AP1237">
        <v>80.2</v>
      </c>
      <c r="AQ1237">
        <v>11.4</v>
      </c>
      <c r="AS1237">
        <f t="shared" si="101"/>
        <v>0.17983089548150311</v>
      </c>
      <c r="AT1237">
        <f t="shared" si="102"/>
        <v>2.1081954848222159E-2</v>
      </c>
      <c r="AU1237" t="s">
        <v>1413</v>
      </c>
      <c r="AW1237" s="28">
        <f t="shared" si="103"/>
        <v>1.0384208747770021</v>
      </c>
      <c r="AX1237">
        <f t="shared" si="104"/>
        <v>0.8</v>
      </c>
      <c r="AY1237" s="62">
        <f t="shared" si="105"/>
        <v>0.8307366998216017</v>
      </c>
      <c r="AZ1237" s="68" t="str">
        <f t="shared" si="106"/>
        <v>No</v>
      </c>
      <c r="BA1237" s="68" t="str">
        <f t="shared" si="107"/>
        <v>No</v>
      </c>
    </row>
    <row r="1238" spans="1:53" hidden="1">
      <c r="A1238" t="s">
        <v>1280</v>
      </c>
      <c r="B1238" t="str">
        <f t="shared" si="99"/>
        <v>1238_Hamraj</v>
      </c>
      <c r="C1238" t="s">
        <v>1399</v>
      </c>
      <c r="F1238" t="s">
        <v>1241</v>
      </c>
      <c r="G1238" t="s">
        <v>1369</v>
      </c>
      <c r="I1238">
        <v>2014</v>
      </c>
      <c r="M1238" s="25" t="s">
        <v>36</v>
      </c>
      <c r="N1238" t="s">
        <v>36</v>
      </c>
      <c r="O1238" t="s">
        <v>3808</v>
      </c>
      <c r="P1238" t="s">
        <v>60</v>
      </c>
      <c r="Q1238" t="s">
        <v>899</v>
      </c>
      <c r="R1238" t="s">
        <v>828</v>
      </c>
      <c r="S1238" t="s">
        <v>1411</v>
      </c>
      <c r="T1238">
        <v>31</v>
      </c>
      <c r="V1238" t="s">
        <v>907</v>
      </c>
      <c r="Z1238">
        <v>3</v>
      </c>
      <c r="AA1238">
        <v>3</v>
      </c>
      <c r="AG1238" t="str">
        <f t="shared" si="100"/>
        <v>24HELLO_Pseudodiaptomus_euryhalinus_D0_CO2NA_TNA_control_outcome67.00</v>
      </c>
      <c r="AI1238">
        <v>27.8</v>
      </c>
      <c r="AJ1238" t="s">
        <v>69</v>
      </c>
      <c r="AK1238" t="s">
        <v>69</v>
      </c>
      <c r="AM1238"/>
      <c r="AN1238">
        <v>67</v>
      </c>
      <c r="AO1238">
        <v>13.9</v>
      </c>
      <c r="AP1238">
        <v>64</v>
      </c>
      <c r="AQ1238">
        <v>11.4</v>
      </c>
      <c r="AS1238">
        <f t="shared" si="101"/>
        <v>-4.5809536031294229E-2</v>
      </c>
      <c r="AT1238">
        <f t="shared" si="102"/>
        <v>2.4923093980888468E-2</v>
      </c>
      <c r="AU1238" t="s">
        <v>1413</v>
      </c>
      <c r="AW1238" s="28">
        <f t="shared" si="103"/>
        <v>-0.2360047442675004</v>
      </c>
      <c r="AX1238">
        <f t="shared" si="104"/>
        <v>0.8</v>
      </c>
      <c r="AY1238" s="62">
        <f t="shared" si="105"/>
        <v>-0.18880379541400033</v>
      </c>
      <c r="AZ1238" s="68" t="str">
        <f t="shared" si="106"/>
        <v>No</v>
      </c>
      <c r="BA1238" s="68" t="str">
        <f t="shared" si="107"/>
        <v>No</v>
      </c>
    </row>
    <row r="1239" spans="1:53" hidden="1">
      <c r="A1239" t="s">
        <v>1280</v>
      </c>
      <c r="B1239" t="str">
        <f t="shared" si="99"/>
        <v>1239_Hamraj</v>
      </c>
      <c r="C1239" t="s">
        <v>1399</v>
      </c>
      <c r="F1239" t="s">
        <v>1241</v>
      </c>
      <c r="G1239" t="s">
        <v>1370</v>
      </c>
      <c r="I1239">
        <v>2014</v>
      </c>
      <c r="M1239" s="25" t="s">
        <v>36</v>
      </c>
      <c r="N1239" t="s">
        <v>36</v>
      </c>
      <c r="O1239" t="s">
        <v>3808</v>
      </c>
      <c r="P1239" t="s">
        <v>60</v>
      </c>
      <c r="Q1239" t="s">
        <v>899</v>
      </c>
      <c r="R1239" t="s">
        <v>828</v>
      </c>
      <c r="S1239" t="s">
        <v>1411</v>
      </c>
      <c r="T1239">
        <v>31</v>
      </c>
      <c r="V1239" t="s">
        <v>907</v>
      </c>
      <c r="Z1239">
        <v>3</v>
      </c>
      <c r="AA1239">
        <v>3</v>
      </c>
      <c r="AG1239" t="str">
        <f t="shared" si="100"/>
        <v>24HELLO_Pseudodiaptomus_euryhalinus_D0_CO2NA_TNA_control_outcome67.00</v>
      </c>
      <c r="AI1239">
        <v>30.1</v>
      </c>
      <c r="AJ1239" t="s">
        <v>69</v>
      </c>
      <c r="AK1239" t="s">
        <v>69</v>
      </c>
      <c r="AM1239"/>
      <c r="AN1239">
        <v>67</v>
      </c>
      <c r="AO1239">
        <v>13.9</v>
      </c>
      <c r="AP1239">
        <v>58.4</v>
      </c>
      <c r="AQ1239">
        <v>14.3</v>
      </c>
      <c r="AS1239">
        <f t="shared" si="101"/>
        <v>-0.13737672955678448</v>
      </c>
      <c r="AT1239">
        <f t="shared" si="102"/>
        <v>3.4332887265080311E-2</v>
      </c>
      <c r="AU1239" t="s">
        <v>1413</v>
      </c>
      <c r="AW1239" s="28">
        <f t="shared" si="103"/>
        <v>-0.60986772928359134</v>
      </c>
      <c r="AX1239">
        <f t="shared" si="104"/>
        <v>0.8</v>
      </c>
      <c r="AY1239" s="62">
        <f t="shared" si="105"/>
        <v>-0.48789418342687307</v>
      </c>
      <c r="AZ1239" s="68" t="str">
        <f t="shared" si="106"/>
        <v>No</v>
      </c>
      <c r="BA1239" s="68" t="str">
        <f t="shared" si="107"/>
        <v>No</v>
      </c>
    </row>
    <row r="1240" spans="1:53" hidden="1">
      <c r="A1240" t="s">
        <v>1280</v>
      </c>
      <c r="B1240" t="str">
        <f t="shared" si="99"/>
        <v>1240_Hamraj</v>
      </c>
      <c r="C1240" t="s">
        <v>1400</v>
      </c>
      <c r="F1240" t="s">
        <v>1241</v>
      </c>
      <c r="G1240" t="s">
        <v>1371</v>
      </c>
      <c r="I1240">
        <v>2011</v>
      </c>
      <c r="M1240" s="25" t="s">
        <v>36</v>
      </c>
      <c r="N1240" t="s">
        <v>36</v>
      </c>
      <c r="O1240" t="s">
        <v>3808</v>
      </c>
      <c r="P1240" t="s">
        <v>60</v>
      </c>
      <c r="Q1240" t="s">
        <v>899</v>
      </c>
      <c r="R1240" t="s">
        <v>828</v>
      </c>
      <c r="S1240" t="s">
        <v>1328</v>
      </c>
      <c r="T1240">
        <v>22</v>
      </c>
      <c r="V1240" t="s">
        <v>907</v>
      </c>
      <c r="Z1240">
        <v>3</v>
      </c>
      <c r="AA1240">
        <v>3</v>
      </c>
      <c r="AG1240" t="str">
        <f t="shared" si="100"/>
        <v>25HELLO_Pseudodiaptomus_annandalei_D0_CO2NA_TNA_control_outcome0.04</v>
      </c>
      <c r="AI1240">
        <v>25</v>
      </c>
      <c r="AJ1240" t="s">
        <v>69</v>
      </c>
      <c r="AK1240" t="s">
        <v>69</v>
      </c>
      <c r="AM1240"/>
      <c r="AN1240">
        <v>3.7612515999999999E-2</v>
      </c>
      <c r="AO1240">
        <v>5.9968449E-2</v>
      </c>
      <c r="AP1240">
        <v>4.0927856999999998E-2</v>
      </c>
      <c r="AQ1240">
        <v>4.7554239999999998E-2</v>
      </c>
      <c r="AS1240">
        <f t="shared" si="101"/>
        <v>8.447406410318159E-2</v>
      </c>
      <c r="AT1240">
        <f t="shared" si="102"/>
        <v>1.2973506590958237</v>
      </c>
      <c r="AU1240" t="s">
        <v>1413</v>
      </c>
      <c r="AW1240" s="28">
        <f t="shared" si="103"/>
        <v>6.1260788476316615E-2</v>
      </c>
      <c r="AX1240">
        <f t="shared" si="104"/>
        <v>0.8</v>
      </c>
      <c r="AY1240" s="62">
        <f t="shared" si="105"/>
        <v>4.9008630781053296E-2</v>
      </c>
      <c r="AZ1240" s="68" t="str">
        <f t="shared" si="106"/>
        <v>No</v>
      </c>
      <c r="BA1240" s="68" t="str">
        <f t="shared" si="107"/>
        <v>No</v>
      </c>
    </row>
    <row r="1241" spans="1:53" hidden="1">
      <c r="A1241" t="s">
        <v>1280</v>
      </c>
      <c r="B1241" t="str">
        <f t="shared" si="99"/>
        <v>1241_Hamraj</v>
      </c>
      <c r="C1241" t="s">
        <v>1400</v>
      </c>
      <c r="F1241" t="s">
        <v>1241</v>
      </c>
      <c r="G1241" t="s">
        <v>1372</v>
      </c>
      <c r="I1241">
        <v>2011</v>
      </c>
      <c r="M1241" s="25" t="s">
        <v>36</v>
      </c>
      <c r="N1241" t="s">
        <v>36</v>
      </c>
      <c r="O1241" t="s">
        <v>3808</v>
      </c>
      <c r="P1241" t="s">
        <v>60</v>
      </c>
      <c r="Q1241" t="s">
        <v>899</v>
      </c>
      <c r="R1241" t="s">
        <v>828</v>
      </c>
      <c r="S1241" t="s">
        <v>1328</v>
      </c>
      <c r="T1241">
        <v>22</v>
      </c>
      <c r="V1241" t="s">
        <v>907</v>
      </c>
      <c r="Z1241">
        <v>3</v>
      </c>
      <c r="AA1241">
        <v>3</v>
      </c>
      <c r="AG1241" t="str">
        <f t="shared" si="100"/>
        <v>25HELLO_Pseudodiaptomus_annandalei_D0_CO2NA_TNA_control_outcome0.04</v>
      </c>
      <c r="AI1241">
        <v>32</v>
      </c>
      <c r="AJ1241" t="s">
        <v>69</v>
      </c>
      <c r="AK1241" t="s">
        <v>69</v>
      </c>
      <c r="AM1241"/>
      <c r="AN1241">
        <v>3.7612515999999999E-2</v>
      </c>
      <c r="AO1241">
        <v>5.9968449E-2</v>
      </c>
      <c r="AP1241">
        <v>8.2808599999999996E-2</v>
      </c>
      <c r="AQ1241">
        <v>0.106641</v>
      </c>
      <c r="AS1241">
        <f t="shared" si="101"/>
        <v>0.78919505338537732</v>
      </c>
      <c r="AT1241">
        <f t="shared" si="102"/>
        <v>1.4001541988264838</v>
      </c>
      <c r="AU1241" t="s">
        <v>1413</v>
      </c>
      <c r="AW1241" s="28">
        <f t="shared" si="103"/>
        <v>0.52242795337568138</v>
      </c>
      <c r="AX1241">
        <f t="shared" si="104"/>
        <v>0.8</v>
      </c>
      <c r="AY1241" s="62">
        <f t="shared" si="105"/>
        <v>0.41794236270054513</v>
      </c>
      <c r="AZ1241" s="68" t="str">
        <f t="shared" si="106"/>
        <v>No</v>
      </c>
      <c r="BA1241" s="68" t="str">
        <f t="shared" si="107"/>
        <v>No</v>
      </c>
    </row>
    <row r="1242" spans="1:53" hidden="1">
      <c r="A1242" t="s">
        <v>1280</v>
      </c>
      <c r="B1242" t="str">
        <f t="shared" si="99"/>
        <v>1242_Hamraj</v>
      </c>
      <c r="C1242" t="s">
        <v>1401</v>
      </c>
      <c r="F1242" t="s">
        <v>1241</v>
      </c>
      <c r="G1242" t="s">
        <v>1373</v>
      </c>
      <c r="I1242">
        <v>2015</v>
      </c>
      <c r="M1242" s="25" t="s">
        <v>36</v>
      </c>
      <c r="N1242" t="s">
        <v>36</v>
      </c>
      <c r="O1242" t="s">
        <v>3808</v>
      </c>
      <c r="P1242" t="s">
        <v>60</v>
      </c>
      <c r="Q1242" t="s">
        <v>899</v>
      </c>
      <c r="R1242" t="s">
        <v>828</v>
      </c>
      <c r="S1242" t="s">
        <v>852</v>
      </c>
      <c r="T1242">
        <v>33</v>
      </c>
      <c r="V1242" t="s">
        <v>907</v>
      </c>
      <c r="Z1242">
        <v>6</v>
      </c>
      <c r="AA1242">
        <v>4</v>
      </c>
      <c r="AG1242" t="str">
        <f t="shared" si="100"/>
        <v>26HELLO_Eurytemora_affinis_D0_CO2NA_TNA_control_outcome0.82</v>
      </c>
      <c r="AI1242">
        <v>25</v>
      </c>
      <c r="AJ1242" t="s">
        <v>69</v>
      </c>
      <c r="AK1242" t="s">
        <v>69</v>
      </c>
      <c r="AM1242"/>
      <c r="AN1242">
        <v>0.81555310700000005</v>
      </c>
      <c r="AO1242">
        <v>0.116574893</v>
      </c>
      <c r="AP1242">
        <v>0.86284557500000003</v>
      </c>
      <c r="AQ1242">
        <v>0.12971976700000001</v>
      </c>
      <c r="AS1242">
        <f t="shared" si="101"/>
        <v>5.636919337496768E-2</v>
      </c>
      <c r="AT1242">
        <f t="shared" si="102"/>
        <v>9.0557824541117726E-3</v>
      </c>
      <c r="AU1242" t="s">
        <v>1413</v>
      </c>
      <c r="AW1242" s="28">
        <f t="shared" si="103"/>
        <v>0.38869215324401124</v>
      </c>
      <c r="AX1242">
        <f t="shared" si="104"/>
        <v>0.90322580645161288</v>
      </c>
      <c r="AY1242" s="62">
        <f t="shared" si="105"/>
        <v>0.35107678357523597</v>
      </c>
      <c r="AZ1242" s="68" t="str">
        <f t="shared" si="106"/>
        <v>No</v>
      </c>
      <c r="BA1242" s="68" t="str">
        <f t="shared" si="107"/>
        <v>No</v>
      </c>
    </row>
    <row r="1243" spans="1:53" hidden="1">
      <c r="A1243" t="s">
        <v>1280</v>
      </c>
      <c r="B1243" t="str">
        <f t="shared" si="99"/>
        <v>1243_Hamraj</v>
      </c>
      <c r="C1243" t="s">
        <v>1401</v>
      </c>
      <c r="F1243" t="s">
        <v>1241</v>
      </c>
      <c r="G1243" t="s">
        <v>1374</v>
      </c>
      <c r="I1243">
        <v>2015</v>
      </c>
      <c r="M1243" s="25" t="s">
        <v>36</v>
      </c>
      <c r="N1243" t="s">
        <v>36</v>
      </c>
      <c r="O1243" t="s">
        <v>3808</v>
      </c>
      <c r="P1243" t="s">
        <v>60</v>
      </c>
      <c r="Q1243" t="s">
        <v>899</v>
      </c>
      <c r="R1243" t="s">
        <v>828</v>
      </c>
      <c r="S1243" t="s">
        <v>852</v>
      </c>
      <c r="T1243">
        <v>33</v>
      </c>
      <c r="V1243" t="s">
        <v>907</v>
      </c>
      <c r="Z1243">
        <v>6</v>
      </c>
      <c r="AA1243">
        <v>3</v>
      </c>
      <c r="AG1243" t="str">
        <f t="shared" si="100"/>
        <v>26HELLO_Eurytemora_affinis_D0_CO2NA_TNA_control_outcome0.82</v>
      </c>
      <c r="AI1243">
        <v>30</v>
      </c>
      <c r="AJ1243" t="s">
        <v>69</v>
      </c>
      <c r="AK1243" t="s">
        <v>69</v>
      </c>
      <c r="AM1243"/>
      <c r="AN1243">
        <v>0.81555310700000005</v>
      </c>
      <c r="AO1243">
        <v>0.116574893</v>
      </c>
      <c r="AP1243">
        <v>0.86246372299999996</v>
      </c>
      <c r="AQ1243">
        <v>5.9242676000000001E-2</v>
      </c>
      <c r="AS1243">
        <f t="shared" si="101"/>
        <v>5.5926545779342196E-2</v>
      </c>
      <c r="AT1243">
        <f t="shared" si="102"/>
        <v>4.9780659121608862E-3</v>
      </c>
      <c r="AU1243" t="s">
        <v>1413</v>
      </c>
      <c r="AW1243" s="28">
        <f t="shared" si="103"/>
        <v>0.45329656888751363</v>
      </c>
      <c r="AX1243">
        <f t="shared" si="104"/>
        <v>0.88888888888888884</v>
      </c>
      <c r="AY1243" s="62">
        <f t="shared" si="105"/>
        <v>0.40293028345556764</v>
      </c>
      <c r="AZ1243" s="68" t="str">
        <f t="shared" si="106"/>
        <v>No</v>
      </c>
      <c r="BA1243" s="68" t="str">
        <f t="shared" si="107"/>
        <v>No</v>
      </c>
    </row>
    <row r="1244" spans="1:53" hidden="1">
      <c r="A1244" t="s">
        <v>1280</v>
      </c>
      <c r="B1244" t="str">
        <f t="shared" si="99"/>
        <v>1244_Hamraj</v>
      </c>
      <c r="C1244" t="s">
        <v>1401</v>
      </c>
      <c r="F1244" t="s">
        <v>1241</v>
      </c>
      <c r="G1244" t="s">
        <v>1375</v>
      </c>
      <c r="I1244">
        <v>2015</v>
      </c>
      <c r="M1244" s="25" t="s">
        <v>36</v>
      </c>
      <c r="N1244" t="s">
        <v>36</v>
      </c>
      <c r="O1244" t="s">
        <v>3808</v>
      </c>
      <c r="P1244" t="s">
        <v>60</v>
      </c>
      <c r="Q1244" t="s">
        <v>899</v>
      </c>
      <c r="R1244" t="s">
        <v>828</v>
      </c>
      <c r="S1244" t="s">
        <v>852</v>
      </c>
      <c r="T1244">
        <v>33</v>
      </c>
      <c r="V1244" t="s">
        <v>907</v>
      </c>
      <c r="Z1244">
        <v>6</v>
      </c>
      <c r="AA1244">
        <v>3</v>
      </c>
      <c r="AG1244" t="str">
        <f t="shared" si="100"/>
        <v>26HELLO_Eurytemora_affinis_D0_CO2NA_TNA_control_outcome0.82</v>
      </c>
      <c r="AI1244">
        <v>35</v>
      </c>
      <c r="AJ1244" t="s">
        <v>69</v>
      </c>
      <c r="AK1244" t="s">
        <v>69</v>
      </c>
      <c r="AM1244"/>
      <c r="AN1244">
        <v>0.81555310700000005</v>
      </c>
      <c r="AO1244">
        <v>0.116574893</v>
      </c>
      <c r="AP1244">
        <v>6.8190266999999999E-2</v>
      </c>
      <c r="AQ1244">
        <v>5.8944802999999997E-2</v>
      </c>
      <c r="AS1244">
        <f t="shared" si="101"/>
        <v>-2.4815646998967269</v>
      </c>
      <c r="AT1244">
        <f t="shared" si="102"/>
        <v>0.25247734694415619</v>
      </c>
      <c r="AU1244" t="s">
        <v>1413</v>
      </c>
      <c r="AW1244" s="28">
        <f t="shared" si="103"/>
        <v>-7.2251494753463561</v>
      </c>
      <c r="AX1244">
        <f t="shared" si="104"/>
        <v>0.88888888888888884</v>
      </c>
      <c r="AY1244" s="62">
        <f t="shared" si="105"/>
        <v>-6.4223550891967607</v>
      </c>
      <c r="AZ1244" s="68" t="str">
        <f t="shared" si="106"/>
        <v>No</v>
      </c>
      <c r="BA1244" s="68" t="str">
        <f t="shared" si="107"/>
        <v>No</v>
      </c>
    </row>
    <row r="1245" spans="1:53" hidden="1">
      <c r="A1245" t="s">
        <v>1280</v>
      </c>
      <c r="B1245" t="str">
        <f t="shared" si="99"/>
        <v>1245_Hamraj</v>
      </c>
      <c r="C1245" t="s">
        <v>1402</v>
      </c>
      <c r="F1245" t="s">
        <v>1241</v>
      </c>
      <c r="G1245" t="s">
        <v>1376</v>
      </c>
      <c r="I1245">
        <v>2009</v>
      </c>
      <c r="M1245" s="25" t="s">
        <v>36</v>
      </c>
      <c r="N1245" t="s">
        <v>36</v>
      </c>
      <c r="O1245" t="s">
        <v>74</v>
      </c>
      <c r="P1245" t="s">
        <v>60</v>
      </c>
      <c r="Q1245" t="s">
        <v>899</v>
      </c>
      <c r="R1245" t="s">
        <v>828</v>
      </c>
      <c r="S1245" t="s">
        <v>1412</v>
      </c>
      <c r="T1245">
        <v>26</v>
      </c>
      <c r="V1245" t="s">
        <v>907</v>
      </c>
      <c r="Z1245">
        <v>6</v>
      </c>
      <c r="AA1245">
        <v>6</v>
      </c>
      <c r="AG1245" t="str">
        <f t="shared" si="100"/>
        <v>27HELLO_Pseudodiaptomus_pelagicus_D0_CO2NA_TNA_control_outcome81.30</v>
      </c>
      <c r="AI1245">
        <v>26</v>
      </c>
      <c r="AJ1245" t="s">
        <v>69</v>
      </c>
      <c r="AK1245" t="s">
        <v>69</v>
      </c>
      <c r="AM1245"/>
      <c r="AN1245">
        <v>81.3</v>
      </c>
      <c r="AO1245">
        <v>22.7</v>
      </c>
      <c r="AP1245">
        <v>86.3</v>
      </c>
      <c r="AQ1245">
        <v>24.6</v>
      </c>
      <c r="AS1245">
        <f t="shared" si="101"/>
        <v>5.9683581535616703E-2</v>
      </c>
      <c r="AT1245">
        <f t="shared" si="102"/>
        <v>2.6535751317863544E-2</v>
      </c>
      <c r="AU1245" t="s">
        <v>1413</v>
      </c>
      <c r="AW1245" s="28">
        <f t="shared" si="103"/>
        <v>0.21124613010536511</v>
      </c>
      <c r="AX1245">
        <f t="shared" si="104"/>
        <v>0.92307692307692313</v>
      </c>
      <c r="AY1245" s="62">
        <f t="shared" si="105"/>
        <v>0.1949964277895678</v>
      </c>
      <c r="AZ1245" s="68" t="str">
        <f t="shared" si="106"/>
        <v>No</v>
      </c>
      <c r="BA1245" s="68" t="str">
        <f t="shared" si="107"/>
        <v>No</v>
      </c>
    </row>
    <row r="1246" spans="1:53" hidden="1">
      <c r="A1246" t="s">
        <v>1280</v>
      </c>
      <c r="B1246" t="str">
        <f t="shared" si="99"/>
        <v>1246_Hamraj</v>
      </c>
      <c r="C1246" t="s">
        <v>1402</v>
      </c>
      <c r="F1246" t="s">
        <v>1241</v>
      </c>
      <c r="G1246" t="s">
        <v>1377</v>
      </c>
      <c r="I1246">
        <v>2009</v>
      </c>
      <c r="M1246" s="25" t="s">
        <v>36</v>
      </c>
      <c r="N1246" t="s">
        <v>36</v>
      </c>
      <c r="O1246" t="s">
        <v>74</v>
      </c>
      <c r="P1246" t="s">
        <v>60</v>
      </c>
      <c r="Q1246" t="s">
        <v>899</v>
      </c>
      <c r="R1246" t="s">
        <v>828</v>
      </c>
      <c r="S1246" t="s">
        <v>1412</v>
      </c>
      <c r="T1246">
        <v>26</v>
      </c>
      <c r="V1246" t="s">
        <v>907</v>
      </c>
      <c r="Z1246">
        <v>6</v>
      </c>
      <c r="AA1246">
        <v>6</v>
      </c>
      <c r="AG1246" t="str">
        <f t="shared" si="100"/>
        <v>27HELLO_Pseudodiaptomus_pelagicus_D0_CO2NA_TNA_control_outcome81.30</v>
      </c>
      <c r="AI1246">
        <v>28</v>
      </c>
      <c r="AJ1246" t="s">
        <v>69</v>
      </c>
      <c r="AK1246" t="s">
        <v>69</v>
      </c>
      <c r="AM1246"/>
      <c r="AN1246">
        <v>81.3</v>
      </c>
      <c r="AO1246">
        <v>22.7</v>
      </c>
      <c r="AP1246">
        <v>100</v>
      </c>
      <c r="AQ1246">
        <v>9</v>
      </c>
      <c r="AS1246">
        <f t="shared" si="101"/>
        <v>0.20702416943432667</v>
      </c>
      <c r="AT1246">
        <f t="shared" si="102"/>
        <v>1.4343297214644963E-2</v>
      </c>
      <c r="AU1246" t="s">
        <v>1413</v>
      </c>
      <c r="AW1246" s="28">
        <f t="shared" si="103"/>
        <v>1.0829984655726013</v>
      </c>
      <c r="AX1246">
        <f t="shared" si="104"/>
        <v>0.92307692307692313</v>
      </c>
      <c r="AY1246" s="62">
        <f t="shared" si="105"/>
        <v>0.99969089129778588</v>
      </c>
      <c r="AZ1246" s="68" t="str">
        <f t="shared" si="106"/>
        <v>No</v>
      </c>
      <c r="BA1246" s="68" t="str">
        <f t="shared" si="107"/>
        <v>No</v>
      </c>
    </row>
    <row r="1247" spans="1:53" hidden="1">
      <c r="A1247" t="s">
        <v>1280</v>
      </c>
      <c r="B1247" t="str">
        <f t="shared" si="99"/>
        <v>1247_Hamraj</v>
      </c>
      <c r="C1247" t="s">
        <v>1402</v>
      </c>
      <c r="F1247" t="s">
        <v>1241</v>
      </c>
      <c r="G1247" t="s">
        <v>1378</v>
      </c>
      <c r="I1247">
        <v>2009</v>
      </c>
      <c r="M1247" s="25" t="s">
        <v>36</v>
      </c>
      <c r="N1247" t="s">
        <v>36</v>
      </c>
      <c r="O1247" t="s">
        <v>74</v>
      </c>
      <c r="P1247" t="s">
        <v>60</v>
      </c>
      <c r="Q1247" t="s">
        <v>899</v>
      </c>
      <c r="R1247" t="s">
        <v>828</v>
      </c>
      <c r="S1247" t="s">
        <v>1412</v>
      </c>
      <c r="T1247">
        <v>26</v>
      </c>
      <c r="V1247" t="s">
        <v>907</v>
      </c>
      <c r="Z1247">
        <v>6</v>
      </c>
      <c r="AA1247">
        <v>6</v>
      </c>
      <c r="AG1247" t="str">
        <f t="shared" si="100"/>
        <v>27HELLO_Pseudodiaptomus_pelagicus_D0_CO2NA_TNA_control_outcome81.30</v>
      </c>
      <c r="AI1247">
        <v>30</v>
      </c>
      <c r="AJ1247" t="s">
        <v>69</v>
      </c>
      <c r="AK1247" t="s">
        <v>69</v>
      </c>
      <c r="AM1247"/>
      <c r="AN1247">
        <v>81.3</v>
      </c>
      <c r="AO1247">
        <v>22.7</v>
      </c>
      <c r="AP1247">
        <v>74.3</v>
      </c>
      <c r="AQ1247">
        <v>9.8000000000000007</v>
      </c>
      <c r="AS1247">
        <f t="shared" si="101"/>
        <v>-9.0035064830051859E-2</v>
      </c>
      <c r="AT1247">
        <f t="shared" si="102"/>
        <v>1.5892798285504012E-2</v>
      </c>
      <c r="AU1247" t="s">
        <v>1413</v>
      </c>
      <c r="AW1247" s="28">
        <f t="shared" si="103"/>
        <v>-0.40038258902099338</v>
      </c>
      <c r="AX1247">
        <f t="shared" si="104"/>
        <v>0.92307692307692313</v>
      </c>
      <c r="AY1247" s="62">
        <f t="shared" si="105"/>
        <v>-0.36958392832707082</v>
      </c>
      <c r="AZ1247" s="68" t="str">
        <f t="shared" si="106"/>
        <v>No</v>
      </c>
      <c r="BA1247" s="68" t="str">
        <f t="shared" si="107"/>
        <v>No</v>
      </c>
    </row>
    <row r="1248" spans="1:53" hidden="1">
      <c r="A1248" t="s">
        <v>1280</v>
      </c>
      <c r="B1248" t="str">
        <f t="shared" si="99"/>
        <v>1248_Hamraj</v>
      </c>
      <c r="C1248" t="s">
        <v>1402</v>
      </c>
      <c r="F1248" t="s">
        <v>1241</v>
      </c>
      <c r="G1248" t="s">
        <v>1379</v>
      </c>
      <c r="I1248">
        <v>2009</v>
      </c>
      <c r="M1248" s="25" t="s">
        <v>36</v>
      </c>
      <c r="N1248" t="s">
        <v>36</v>
      </c>
      <c r="O1248" t="s">
        <v>74</v>
      </c>
      <c r="P1248" t="s">
        <v>60</v>
      </c>
      <c r="Q1248" t="s">
        <v>899</v>
      </c>
      <c r="R1248" t="s">
        <v>828</v>
      </c>
      <c r="S1248" t="s">
        <v>1412</v>
      </c>
      <c r="T1248">
        <v>26</v>
      </c>
      <c r="V1248" t="s">
        <v>907</v>
      </c>
      <c r="Z1248">
        <v>6</v>
      </c>
      <c r="AA1248">
        <v>6</v>
      </c>
      <c r="AG1248" t="str">
        <f t="shared" si="100"/>
        <v>27HELLO_Pseudodiaptomus_pelagicus_D0_CO2NA_TNA_control_outcome81.30</v>
      </c>
      <c r="AI1248">
        <v>32</v>
      </c>
      <c r="AJ1248" t="s">
        <v>69</v>
      </c>
      <c r="AK1248" t="s">
        <v>69</v>
      </c>
      <c r="AM1248"/>
      <c r="AN1248">
        <v>81.3</v>
      </c>
      <c r="AO1248">
        <v>22.7</v>
      </c>
      <c r="AP1248">
        <v>66.7</v>
      </c>
      <c r="AQ1248">
        <v>8.9</v>
      </c>
      <c r="AS1248">
        <f t="shared" si="101"/>
        <v>-0.19794106363218678</v>
      </c>
      <c r="AT1248">
        <f t="shared" si="102"/>
        <v>1.5960704065941952E-2</v>
      </c>
      <c r="AU1248" t="s">
        <v>1413</v>
      </c>
      <c r="AW1248" s="28">
        <f t="shared" si="103"/>
        <v>-0.84682159422598235</v>
      </c>
      <c r="AX1248">
        <f t="shared" si="104"/>
        <v>0.92307692307692313</v>
      </c>
      <c r="AY1248" s="62">
        <f t="shared" si="105"/>
        <v>-0.78168147159321455</v>
      </c>
      <c r="AZ1248" s="68" t="str">
        <f t="shared" si="106"/>
        <v>No</v>
      </c>
      <c r="BA1248" s="68" t="str">
        <f t="shared" si="107"/>
        <v>No</v>
      </c>
    </row>
    <row r="1249" spans="1:53" hidden="1">
      <c r="A1249" t="s">
        <v>1280</v>
      </c>
      <c r="B1249" t="str">
        <f t="shared" si="99"/>
        <v>1249_Hamraj</v>
      </c>
      <c r="C1249" t="s">
        <v>1402</v>
      </c>
      <c r="F1249" t="s">
        <v>1241</v>
      </c>
      <c r="G1249" t="s">
        <v>1380</v>
      </c>
      <c r="I1249">
        <v>2009</v>
      </c>
      <c r="M1249" s="25" t="s">
        <v>36</v>
      </c>
      <c r="N1249" t="s">
        <v>36</v>
      </c>
      <c r="O1249" t="s">
        <v>74</v>
      </c>
      <c r="P1249" t="s">
        <v>60</v>
      </c>
      <c r="Q1249" t="s">
        <v>899</v>
      </c>
      <c r="R1249" t="s">
        <v>828</v>
      </c>
      <c r="S1249" t="s">
        <v>1412</v>
      </c>
      <c r="T1249">
        <v>26</v>
      </c>
      <c r="V1249" t="s">
        <v>907</v>
      </c>
      <c r="Z1249">
        <v>6</v>
      </c>
      <c r="AA1249">
        <v>6</v>
      </c>
      <c r="AG1249" t="str">
        <f t="shared" si="100"/>
        <v>27HELLO_Pseudodiaptomus_pelagicus_D0_CO2NA_TNA_control_outcome81.30</v>
      </c>
      <c r="AI1249">
        <v>34</v>
      </c>
      <c r="AJ1249" t="s">
        <v>69</v>
      </c>
      <c r="AK1249" t="s">
        <v>69</v>
      </c>
      <c r="AM1249"/>
      <c r="AN1249">
        <v>81.3</v>
      </c>
      <c r="AO1249">
        <v>22.7</v>
      </c>
      <c r="AP1249">
        <v>62.5</v>
      </c>
      <c r="AQ1249">
        <v>10</v>
      </c>
      <c r="AS1249">
        <f t="shared" si="101"/>
        <v>-0.26297945981140902</v>
      </c>
      <c r="AT1249">
        <f t="shared" si="102"/>
        <v>1.7259963881311631E-2</v>
      </c>
      <c r="AU1249" t="s">
        <v>1413</v>
      </c>
      <c r="AW1249" s="28">
        <f t="shared" si="103"/>
        <v>-1.0718473010218823</v>
      </c>
      <c r="AX1249">
        <f t="shared" si="104"/>
        <v>0.92307692307692313</v>
      </c>
      <c r="AY1249" s="62">
        <f t="shared" si="105"/>
        <v>-0.98939750863558373</v>
      </c>
      <c r="AZ1249" s="68" t="str">
        <f t="shared" si="106"/>
        <v>No</v>
      </c>
      <c r="BA1249" s="68" t="str">
        <f t="shared" si="107"/>
        <v>No</v>
      </c>
    </row>
    <row r="1250" spans="1:53" hidden="1">
      <c r="A1250" t="s">
        <v>1280</v>
      </c>
      <c r="B1250" t="str">
        <f t="shared" si="99"/>
        <v>1250_Hamraj</v>
      </c>
      <c r="C1250" t="s">
        <v>1403</v>
      </c>
      <c r="F1250" t="s">
        <v>1241</v>
      </c>
      <c r="G1250" t="s">
        <v>1381</v>
      </c>
      <c r="I1250">
        <v>2016</v>
      </c>
      <c r="M1250" s="25" t="s">
        <v>36</v>
      </c>
      <c r="N1250" t="s">
        <v>36</v>
      </c>
      <c r="O1250" t="s">
        <v>3808</v>
      </c>
      <c r="P1250" t="s">
        <v>60</v>
      </c>
      <c r="Q1250" t="s">
        <v>899</v>
      </c>
      <c r="R1250" t="s">
        <v>828</v>
      </c>
      <c r="S1250" t="s">
        <v>852</v>
      </c>
      <c r="T1250">
        <v>49</v>
      </c>
      <c r="V1250" t="s">
        <v>907</v>
      </c>
      <c r="Z1250">
        <v>7</v>
      </c>
      <c r="AA1250">
        <v>5</v>
      </c>
      <c r="AG1250" t="str">
        <f t="shared" si="100"/>
        <v>28HELLO_Eurytemora_affinis_D0_CO2NA_TNA_control_outcome52.83</v>
      </c>
      <c r="AI1250">
        <v>24</v>
      </c>
      <c r="AJ1250" t="s">
        <v>69</v>
      </c>
      <c r="AK1250" t="s">
        <v>69</v>
      </c>
      <c r="AM1250"/>
      <c r="AN1250">
        <v>52.829600249999999</v>
      </c>
      <c r="AO1250">
        <v>16.89</v>
      </c>
      <c r="AP1250">
        <v>49.763932250000003</v>
      </c>
      <c r="AQ1250">
        <v>9.52</v>
      </c>
      <c r="AS1250">
        <f t="shared" si="101"/>
        <v>-5.9781174798756442E-2</v>
      </c>
      <c r="AT1250">
        <f t="shared" si="102"/>
        <v>2.192119087177527E-2</v>
      </c>
      <c r="AU1250" t="s">
        <v>1413</v>
      </c>
      <c r="AW1250" s="28">
        <f t="shared" si="103"/>
        <v>-0.21286516734314687</v>
      </c>
      <c r="AX1250">
        <f t="shared" si="104"/>
        <v>0.92307692307692313</v>
      </c>
      <c r="AY1250" s="62">
        <f t="shared" si="105"/>
        <v>-0.19649092370136634</v>
      </c>
      <c r="AZ1250" s="68" t="str">
        <f t="shared" si="106"/>
        <v>No</v>
      </c>
      <c r="BA1250" s="68" t="str">
        <f t="shared" si="107"/>
        <v>No</v>
      </c>
    </row>
    <row r="1251" spans="1:53" hidden="1">
      <c r="A1251" t="s">
        <v>1280</v>
      </c>
      <c r="B1251" t="str">
        <f t="shared" si="99"/>
        <v>1251_Hamraj</v>
      </c>
      <c r="C1251" t="s">
        <v>1480</v>
      </c>
      <c r="F1251" t="s">
        <v>1241</v>
      </c>
      <c r="G1251" t="s">
        <v>1414</v>
      </c>
      <c r="I1251">
        <v>2013</v>
      </c>
      <c r="M1251" s="25" t="s">
        <v>36</v>
      </c>
      <c r="N1251" t="s">
        <v>36</v>
      </c>
      <c r="O1251" t="s">
        <v>74</v>
      </c>
      <c r="P1251" t="s">
        <v>60</v>
      </c>
      <c r="Q1251" t="s">
        <v>899</v>
      </c>
      <c r="R1251" t="s">
        <v>828</v>
      </c>
      <c r="S1251" t="s">
        <v>1306</v>
      </c>
      <c r="T1251">
        <v>36</v>
      </c>
      <c r="V1251" t="s">
        <v>907</v>
      </c>
      <c r="Z1251">
        <v>5</v>
      </c>
      <c r="AA1251">
        <v>5</v>
      </c>
      <c r="AG1251" t="str">
        <f t="shared" si="100"/>
        <v>29HELLO_Centropages_chierchiae_D0_CO2NA_TNA_control_outcome11.40</v>
      </c>
      <c r="AI1251">
        <v>19</v>
      </c>
      <c r="AJ1251" t="s">
        <v>1499</v>
      </c>
      <c r="AK1251" t="s">
        <v>59</v>
      </c>
      <c r="AM1251"/>
      <c r="AN1251">
        <v>11.4</v>
      </c>
      <c r="AO1251">
        <v>16.72722332</v>
      </c>
      <c r="AP1251">
        <v>90.2</v>
      </c>
      <c r="AQ1251">
        <v>4.2071367940000002</v>
      </c>
      <c r="AS1251">
        <f t="shared" si="101"/>
        <v>2.0684160716681284</v>
      </c>
      <c r="AT1251">
        <f t="shared" si="102"/>
        <v>0.43102913003337773</v>
      </c>
      <c r="AW1251" s="28">
        <f t="shared" si="103"/>
        <v>6.4609700861171042</v>
      </c>
      <c r="AX1251">
        <f t="shared" si="104"/>
        <v>0.90322580645161288</v>
      </c>
      <c r="AY1251" s="62">
        <f t="shared" si="105"/>
        <v>5.8357149164928686</v>
      </c>
      <c r="AZ1251" s="68" t="str">
        <f t="shared" si="106"/>
        <v>No</v>
      </c>
      <c r="BA1251" s="68" t="str">
        <f t="shared" si="107"/>
        <v>No</v>
      </c>
    </row>
    <row r="1252" spans="1:53" hidden="1">
      <c r="A1252" t="s">
        <v>1280</v>
      </c>
      <c r="B1252" t="str">
        <f t="shared" si="99"/>
        <v>1252_Hamraj</v>
      </c>
      <c r="C1252" t="s">
        <v>1480</v>
      </c>
      <c r="F1252" t="s">
        <v>1241</v>
      </c>
      <c r="G1252" t="s">
        <v>1415</v>
      </c>
      <c r="I1252">
        <v>2013</v>
      </c>
      <c r="M1252" s="25" t="s">
        <v>36</v>
      </c>
      <c r="N1252" t="s">
        <v>36</v>
      </c>
      <c r="O1252" t="s">
        <v>74</v>
      </c>
      <c r="P1252" t="s">
        <v>60</v>
      </c>
      <c r="Q1252" t="s">
        <v>899</v>
      </c>
      <c r="R1252" t="s">
        <v>828</v>
      </c>
      <c r="S1252" t="s">
        <v>1306</v>
      </c>
      <c r="T1252">
        <v>36</v>
      </c>
      <c r="V1252" t="s">
        <v>907</v>
      </c>
      <c r="Z1252">
        <v>5</v>
      </c>
      <c r="AA1252">
        <v>5</v>
      </c>
      <c r="AG1252" t="str">
        <f t="shared" si="100"/>
        <v>29HELLO_Centropages_chierchiae_D0_CO2NA_TNA_control_outcome20.00</v>
      </c>
      <c r="AI1252">
        <v>19</v>
      </c>
      <c r="AJ1252" t="s">
        <v>1499</v>
      </c>
      <c r="AK1252" t="s">
        <v>59</v>
      </c>
      <c r="AM1252"/>
      <c r="AN1252">
        <v>20</v>
      </c>
      <c r="AO1252">
        <v>19.352002479999999</v>
      </c>
      <c r="AP1252">
        <v>75.8</v>
      </c>
      <c r="AQ1252">
        <v>5.540758071</v>
      </c>
      <c r="AS1252">
        <f t="shared" si="101"/>
        <v>1.3323660190943349</v>
      </c>
      <c r="AT1252">
        <f t="shared" si="102"/>
        <v>0.18831863638512658</v>
      </c>
      <c r="AW1252" s="28">
        <f t="shared" si="103"/>
        <v>3.9202564535862066</v>
      </c>
      <c r="AX1252">
        <f t="shared" si="104"/>
        <v>0.90322580645161288</v>
      </c>
      <c r="AY1252" s="62">
        <f t="shared" si="105"/>
        <v>3.5408767967875412</v>
      </c>
      <c r="AZ1252" s="68" t="str">
        <f t="shared" si="106"/>
        <v>No</v>
      </c>
      <c r="BA1252" s="68" t="str">
        <f t="shared" si="107"/>
        <v>No</v>
      </c>
    </row>
    <row r="1253" spans="1:53" hidden="1">
      <c r="A1253" t="s">
        <v>1280</v>
      </c>
      <c r="B1253" t="str">
        <f t="shared" si="99"/>
        <v>1253_Hamraj</v>
      </c>
      <c r="C1253" t="s">
        <v>1480</v>
      </c>
      <c r="F1253" t="s">
        <v>1241</v>
      </c>
      <c r="G1253" t="s">
        <v>1416</v>
      </c>
      <c r="I1253">
        <v>2013</v>
      </c>
      <c r="M1253" s="25" t="s">
        <v>36</v>
      </c>
      <c r="N1253" t="s">
        <v>36</v>
      </c>
      <c r="O1253" t="s">
        <v>74</v>
      </c>
      <c r="P1253" t="s">
        <v>60</v>
      </c>
      <c r="Q1253" t="s">
        <v>899</v>
      </c>
      <c r="R1253" t="s">
        <v>828</v>
      </c>
      <c r="S1253" t="s">
        <v>1306</v>
      </c>
      <c r="T1253">
        <v>36</v>
      </c>
      <c r="V1253" t="s">
        <v>907</v>
      </c>
      <c r="Z1253">
        <v>5</v>
      </c>
      <c r="AA1253">
        <v>5</v>
      </c>
      <c r="AG1253" t="str">
        <f t="shared" si="100"/>
        <v>29HELLO_Centropages_chierchiae_D0_CO2NA_TNA_control_outcome11.40</v>
      </c>
      <c r="AI1253">
        <v>24</v>
      </c>
      <c r="AJ1253" t="s">
        <v>1499</v>
      </c>
      <c r="AK1253" t="s">
        <v>59</v>
      </c>
      <c r="AM1253"/>
      <c r="AN1253">
        <v>11.4</v>
      </c>
      <c r="AO1253">
        <v>16.72722332</v>
      </c>
      <c r="AP1253">
        <v>87.6</v>
      </c>
      <c r="AQ1253">
        <v>10.62073444</v>
      </c>
      <c r="AS1253">
        <f t="shared" si="101"/>
        <v>2.0391676425418961</v>
      </c>
      <c r="AT1253">
        <f t="shared" si="102"/>
        <v>0.43353391758830462</v>
      </c>
      <c r="AW1253" s="28">
        <f t="shared" si="103"/>
        <v>5.4386964663478379</v>
      </c>
      <c r="AX1253">
        <f t="shared" si="104"/>
        <v>0.90322580645161288</v>
      </c>
      <c r="AY1253" s="62">
        <f t="shared" si="105"/>
        <v>4.9123710018625628</v>
      </c>
      <c r="AZ1253" s="68" t="str">
        <f t="shared" si="106"/>
        <v>No</v>
      </c>
      <c r="BA1253" s="68" t="str">
        <f t="shared" si="107"/>
        <v>No</v>
      </c>
    </row>
    <row r="1254" spans="1:53" hidden="1">
      <c r="A1254" t="s">
        <v>1280</v>
      </c>
      <c r="B1254" t="str">
        <f t="shared" si="99"/>
        <v>1254_Hamraj</v>
      </c>
      <c r="C1254" t="s">
        <v>1480</v>
      </c>
      <c r="F1254" t="s">
        <v>1241</v>
      </c>
      <c r="G1254" t="s">
        <v>1417</v>
      </c>
      <c r="I1254">
        <v>2013</v>
      </c>
      <c r="M1254" s="25" t="s">
        <v>36</v>
      </c>
      <c r="N1254" t="s">
        <v>36</v>
      </c>
      <c r="O1254" t="s">
        <v>74</v>
      </c>
      <c r="P1254" t="s">
        <v>60</v>
      </c>
      <c r="Q1254" t="s">
        <v>899</v>
      </c>
      <c r="R1254" t="s">
        <v>828</v>
      </c>
      <c r="S1254" t="s">
        <v>1306</v>
      </c>
      <c r="T1254">
        <v>36</v>
      </c>
      <c r="V1254" t="s">
        <v>907</v>
      </c>
      <c r="Z1254">
        <v>5</v>
      </c>
      <c r="AA1254">
        <v>5</v>
      </c>
      <c r="AG1254" t="str">
        <f t="shared" si="100"/>
        <v>29HELLO_Centropages_chierchiae_D0_CO2NA_TNA_control_outcome20.00</v>
      </c>
      <c r="AI1254">
        <v>24</v>
      </c>
      <c r="AJ1254" t="s">
        <v>1499</v>
      </c>
      <c r="AK1254" t="s">
        <v>59</v>
      </c>
      <c r="AM1254"/>
      <c r="AN1254">
        <v>20</v>
      </c>
      <c r="AO1254">
        <v>19.352002479999999</v>
      </c>
      <c r="AP1254">
        <v>68</v>
      </c>
      <c r="AQ1254">
        <v>3.4641016150000001</v>
      </c>
      <c r="AS1254">
        <f t="shared" si="101"/>
        <v>1.2237754316221161</v>
      </c>
      <c r="AT1254">
        <f t="shared" si="102"/>
        <v>0.18776903113479029</v>
      </c>
      <c r="AW1254" s="28">
        <f t="shared" si="103"/>
        <v>3.4528800061420402</v>
      </c>
      <c r="AX1254">
        <f t="shared" si="104"/>
        <v>0.90322580645161288</v>
      </c>
      <c r="AY1254" s="62">
        <f t="shared" si="105"/>
        <v>3.1187303281282941</v>
      </c>
      <c r="AZ1254" s="68" t="str">
        <f t="shared" si="106"/>
        <v>No</v>
      </c>
      <c r="BA1254" s="68" t="str">
        <f t="shared" si="107"/>
        <v>No</v>
      </c>
    </row>
    <row r="1255" spans="1:53" hidden="1">
      <c r="A1255" t="s">
        <v>1280</v>
      </c>
      <c r="B1255" t="str">
        <f t="shared" si="99"/>
        <v>1255_Hamraj</v>
      </c>
      <c r="C1255" t="s">
        <v>1481</v>
      </c>
      <c r="F1255" t="s">
        <v>1241</v>
      </c>
      <c r="G1255" t="s">
        <v>1418</v>
      </c>
      <c r="I1255">
        <v>2019</v>
      </c>
      <c r="M1255" s="25" t="s">
        <v>36</v>
      </c>
      <c r="N1255" t="s">
        <v>36</v>
      </c>
      <c r="O1255" t="s">
        <v>74</v>
      </c>
      <c r="P1255" t="s">
        <v>60</v>
      </c>
      <c r="Q1255" t="s">
        <v>899</v>
      </c>
      <c r="R1255" t="s">
        <v>828</v>
      </c>
      <c r="S1255" t="s">
        <v>1328</v>
      </c>
      <c r="T1255">
        <v>11</v>
      </c>
      <c r="V1255" t="s">
        <v>907</v>
      </c>
      <c r="Z1255">
        <v>12</v>
      </c>
      <c r="AA1255">
        <v>12</v>
      </c>
      <c r="AG1255" t="str">
        <f t="shared" si="100"/>
        <v>30HELLO_Pseudodiaptomus_annandalei_D0_CO2NA_TNA_control_outcome87.00</v>
      </c>
      <c r="AI1255">
        <v>34</v>
      </c>
      <c r="AJ1255" t="s">
        <v>1499</v>
      </c>
      <c r="AK1255" t="s">
        <v>59</v>
      </c>
      <c r="AM1255"/>
      <c r="AN1255">
        <v>87</v>
      </c>
      <c r="AO1255">
        <v>34.641016149999999</v>
      </c>
      <c r="AP1255">
        <v>70</v>
      </c>
      <c r="AQ1255">
        <v>17.32050808</v>
      </c>
      <c r="AS1255">
        <f t="shared" si="101"/>
        <v>-0.21741287660522435</v>
      </c>
      <c r="AT1255">
        <f t="shared" si="102"/>
        <v>1.8313825729957278E-2</v>
      </c>
      <c r="AW1255" s="28">
        <f t="shared" si="103"/>
        <v>-0.62075223182803418</v>
      </c>
      <c r="AX1255">
        <f t="shared" si="104"/>
        <v>0.96551724137931039</v>
      </c>
      <c r="AY1255" s="62">
        <f t="shared" si="105"/>
        <v>-0.59934698245465368</v>
      </c>
      <c r="AZ1255" s="68" t="str">
        <f t="shared" si="106"/>
        <v>No</v>
      </c>
      <c r="BA1255" s="68" t="str">
        <f t="shared" si="107"/>
        <v>No</v>
      </c>
    </row>
    <row r="1256" spans="1:53" hidden="1">
      <c r="A1256" t="s">
        <v>1280</v>
      </c>
      <c r="B1256" t="str">
        <f t="shared" si="99"/>
        <v>1256_Hamraj</v>
      </c>
      <c r="C1256" t="s">
        <v>1481</v>
      </c>
      <c r="F1256" t="s">
        <v>1241</v>
      </c>
      <c r="G1256" t="s">
        <v>1419</v>
      </c>
      <c r="I1256">
        <v>2019</v>
      </c>
      <c r="M1256" s="25" t="s">
        <v>36</v>
      </c>
      <c r="N1256" t="s">
        <v>36</v>
      </c>
      <c r="O1256" t="s">
        <v>74</v>
      </c>
      <c r="P1256" t="s">
        <v>60</v>
      </c>
      <c r="Q1256" t="s">
        <v>899</v>
      </c>
      <c r="R1256" t="s">
        <v>828</v>
      </c>
      <c r="S1256" t="s">
        <v>1328</v>
      </c>
      <c r="T1256">
        <v>11</v>
      </c>
      <c r="V1256" t="s">
        <v>907</v>
      </c>
      <c r="Z1256">
        <v>12</v>
      </c>
      <c r="AA1256">
        <v>12</v>
      </c>
      <c r="AG1256" t="str">
        <f t="shared" si="100"/>
        <v>30HELLO_Pseudodiaptomus_annandalei_D0_CO2NA_TNA_control_outcome87.00</v>
      </c>
      <c r="AI1256">
        <v>34</v>
      </c>
      <c r="AJ1256" t="s">
        <v>1499</v>
      </c>
      <c r="AK1256" t="s">
        <v>59</v>
      </c>
      <c r="AM1256"/>
      <c r="AN1256">
        <v>87</v>
      </c>
      <c r="AO1256">
        <v>6.9282032300000003</v>
      </c>
      <c r="AP1256">
        <v>68</v>
      </c>
      <c r="AQ1256">
        <v>41.56921938</v>
      </c>
      <c r="AS1256">
        <f t="shared" si="101"/>
        <v>-0.24640041347847674</v>
      </c>
      <c r="AT1256">
        <f t="shared" si="102"/>
        <v>3.1670339906077566E-2</v>
      </c>
      <c r="AW1256" s="28">
        <f t="shared" si="103"/>
        <v>-0.63759825247867807</v>
      </c>
      <c r="AX1256">
        <f t="shared" si="104"/>
        <v>0.96551724137931039</v>
      </c>
      <c r="AY1256" s="62">
        <f t="shared" si="105"/>
        <v>-0.61561210584148229</v>
      </c>
      <c r="AZ1256" s="68" t="str">
        <f t="shared" si="106"/>
        <v>No</v>
      </c>
      <c r="BA1256" s="68" t="str">
        <f t="shared" si="107"/>
        <v>No</v>
      </c>
    </row>
    <row r="1257" spans="1:53" hidden="1">
      <c r="A1257" t="s">
        <v>1280</v>
      </c>
      <c r="B1257" t="str">
        <f t="shared" si="99"/>
        <v>1257_Hamraj</v>
      </c>
      <c r="C1257" t="s">
        <v>1481</v>
      </c>
      <c r="F1257" t="s">
        <v>1241</v>
      </c>
      <c r="G1257" t="s">
        <v>1420</v>
      </c>
      <c r="I1257">
        <v>2019</v>
      </c>
      <c r="M1257" s="25" t="s">
        <v>36</v>
      </c>
      <c r="N1257" t="s">
        <v>36</v>
      </c>
      <c r="O1257" t="s">
        <v>74</v>
      </c>
      <c r="P1257" t="s">
        <v>60</v>
      </c>
      <c r="Q1257" t="s">
        <v>899</v>
      </c>
      <c r="R1257" t="s">
        <v>828</v>
      </c>
      <c r="S1257" t="s">
        <v>1328</v>
      </c>
      <c r="T1257">
        <v>11</v>
      </c>
      <c r="V1257" t="s">
        <v>907</v>
      </c>
      <c r="Z1257">
        <v>12</v>
      </c>
      <c r="AA1257">
        <v>12</v>
      </c>
      <c r="AG1257" t="str">
        <f t="shared" si="100"/>
        <v>30HELLO_Pseudodiaptomus_annandalei_D0_CO2NA_TNA_control_outcome85.00</v>
      </c>
      <c r="AI1257">
        <v>34</v>
      </c>
      <c r="AJ1257" t="s">
        <v>1499</v>
      </c>
      <c r="AK1257" t="s">
        <v>59</v>
      </c>
      <c r="AM1257"/>
      <c r="AN1257">
        <v>85</v>
      </c>
      <c r="AO1257">
        <v>6.9282032300000003</v>
      </c>
      <c r="AP1257">
        <v>66</v>
      </c>
      <c r="AQ1257">
        <v>31.176914539999999</v>
      </c>
      <c r="AS1257">
        <f t="shared" si="101"/>
        <v>-0.25299651446389149</v>
      </c>
      <c r="AT1257">
        <f t="shared" si="102"/>
        <v>1.9148674544748546E-2</v>
      </c>
      <c r="AW1257" s="28">
        <f t="shared" si="103"/>
        <v>-0.8413341411679679</v>
      </c>
      <c r="AX1257">
        <f t="shared" si="104"/>
        <v>0.96551724137931039</v>
      </c>
      <c r="AY1257" s="62">
        <f t="shared" si="105"/>
        <v>-0.81232261905872771</v>
      </c>
      <c r="AZ1257" s="68" t="str">
        <f t="shared" si="106"/>
        <v>No</v>
      </c>
      <c r="BA1257" s="68" t="str">
        <f t="shared" si="107"/>
        <v>No</v>
      </c>
    </row>
    <row r="1258" spans="1:53" hidden="1">
      <c r="A1258" t="s">
        <v>1280</v>
      </c>
      <c r="B1258" t="str">
        <f t="shared" ref="B1258:B1321" si="108">ROW(A1258)&amp;"_Hamraj"</f>
        <v>1258_Hamraj</v>
      </c>
      <c r="C1258" t="s">
        <v>1482</v>
      </c>
      <c r="F1258" t="s">
        <v>1241</v>
      </c>
      <c r="G1258" t="s">
        <v>1335</v>
      </c>
      <c r="I1258">
        <v>2012</v>
      </c>
      <c r="M1258" s="25" t="s">
        <v>36</v>
      </c>
      <c r="N1258" t="s">
        <v>36</v>
      </c>
      <c r="O1258" t="s">
        <v>3807</v>
      </c>
      <c r="P1258" t="s">
        <v>60</v>
      </c>
      <c r="Q1258" t="s">
        <v>899</v>
      </c>
      <c r="R1258" t="s">
        <v>828</v>
      </c>
      <c r="S1258" t="s">
        <v>1404</v>
      </c>
      <c r="T1258">
        <v>63</v>
      </c>
      <c r="V1258" t="s">
        <v>907</v>
      </c>
      <c r="Z1258">
        <v>6</v>
      </c>
      <c r="AA1258">
        <v>6</v>
      </c>
      <c r="AG1258" t="str">
        <f t="shared" ref="AG1258:AG1321" si="109">C1258 &amp; "_" &amp;
SUBSTITUTE(TRIM(S1258)," ","_") &amp; "_" &amp;
"D" &amp; TEXT(X1258,"0") &amp; "_" &amp;
"CO2" &amp; IF(AC1258&lt;&gt;"",TEXT(AC1258,"0.00"),"NA") &amp; "_" &amp;
"T" &amp; IF(AD1258&lt;&gt;"",TEXT(AD1258,"0.00"),"NA") &amp; "_" &amp;
"control_outcome" &amp; IF(AN1258&lt;&gt;"",TEXT(AN1258,"0.00"),"NA")</f>
        <v>31HELLO_Calanus_glacialis_D0_CO2NA_TNA_control_outcome76.14</v>
      </c>
      <c r="AI1258">
        <v>5</v>
      </c>
      <c r="AJ1258" t="s">
        <v>1499</v>
      </c>
      <c r="AK1258" t="s">
        <v>59</v>
      </c>
      <c r="AM1258"/>
      <c r="AN1258">
        <v>76.140349999999998</v>
      </c>
      <c r="AO1258">
        <v>3.8596499999999998</v>
      </c>
      <c r="AP1258">
        <v>65.639060000000001</v>
      </c>
      <c r="AQ1258">
        <v>5.4744099999999998</v>
      </c>
      <c r="AS1258">
        <f t="shared" ref="AS1258:AS1321" si="110">LN(AP1258)-LN(AN1258)</f>
        <v>-0.14840740215607084</v>
      </c>
      <c r="AT1258">
        <f t="shared" ref="AT1258:AT1321" si="111">(AQ1258^2)/(AA1258*AP1258^2) + (AO1258^2)/(Z1258*AN1258^2)</f>
        <v>1.5875748483381122E-3</v>
      </c>
      <c r="AW1258" s="28">
        <f t="shared" si="103"/>
        <v>-2.2171683428634386</v>
      </c>
      <c r="AX1258">
        <f t="shared" si="104"/>
        <v>0.92307692307692313</v>
      </c>
      <c r="AY1258" s="62">
        <f t="shared" si="105"/>
        <v>-2.0466169318739436</v>
      </c>
      <c r="AZ1258" s="68" t="str">
        <f t="shared" si="106"/>
        <v>No</v>
      </c>
      <c r="BA1258" s="68" t="str">
        <f t="shared" si="107"/>
        <v>No</v>
      </c>
    </row>
    <row r="1259" spans="1:53" hidden="1">
      <c r="A1259" t="s">
        <v>1280</v>
      </c>
      <c r="B1259" t="str">
        <f t="shared" si="108"/>
        <v>1259_Hamraj</v>
      </c>
      <c r="C1259" t="s">
        <v>1482</v>
      </c>
      <c r="F1259" t="s">
        <v>1241</v>
      </c>
      <c r="G1259" t="s">
        <v>1336</v>
      </c>
      <c r="I1259">
        <v>2012</v>
      </c>
      <c r="M1259" s="25" t="s">
        <v>36</v>
      </c>
      <c r="N1259" t="s">
        <v>36</v>
      </c>
      <c r="O1259" t="s">
        <v>3807</v>
      </c>
      <c r="P1259" t="s">
        <v>60</v>
      </c>
      <c r="Q1259" t="s">
        <v>899</v>
      </c>
      <c r="R1259" t="s">
        <v>828</v>
      </c>
      <c r="S1259" t="s">
        <v>1404</v>
      </c>
      <c r="T1259">
        <v>63</v>
      </c>
      <c r="V1259" t="s">
        <v>907</v>
      </c>
      <c r="Z1259">
        <v>6</v>
      </c>
      <c r="AA1259">
        <v>6</v>
      </c>
      <c r="AG1259" t="str">
        <f t="shared" si="109"/>
        <v>31HELLO_Calanus_glacialis_D0_CO2NA_TNA_control_outcome76.14</v>
      </c>
      <c r="AI1259">
        <v>10</v>
      </c>
      <c r="AJ1259" t="s">
        <v>1499</v>
      </c>
      <c r="AK1259" t="s">
        <v>59</v>
      </c>
      <c r="AM1259"/>
      <c r="AN1259">
        <v>76.140349999999998</v>
      </c>
      <c r="AO1259">
        <v>3.8596499999999998</v>
      </c>
      <c r="AP1259">
        <v>82.829120000000003</v>
      </c>
      <c r="AQ1259">
        <v>3.3692899999999999</v>
      </c>
      <c r="AS1259">
        <f t="shared" si="110"/>
        <v>8.4201342644586674E-2</v>
      </c>
      <c r="AT1259">
        <f t="shared" si="111"/>
        <v>7.0404513274467282E-4</v>
      </c>
      <c r="AW1259" s="28">
        <f t="shared" si="103"/>
        <v>1.8463106275418506</v>
      </c>
      <c r="AX1259">
        <f t="shared" si="104"/>
        <v>0.92307692307692313</v>
      </c>
      <c r="AY1259" s="62">
        <f t="shared" si="105"/>
        <v>1.7042867331155545</v>
      </c>
      <c r="AZ1259" s="68" t="str">
        <f t="shared" si="106"/>
        <v>No</v>
      </c>
      <c r="BA1259" s="68" t="str">
        <f t="shared" si="107"/>
        <v>No</v>
      </c>
    </row>
    <row r="1260" spans="1:53" hidden="1">
      <c r="A1260" t="s">
        <v>1280</v>
      </c>
      <c r="B1260" t="str">
        <f t="shared" si="108"/>
        <v>1260_Hamraj</v>
      </c>
      <c r="C1260" t="s">
        <v>1482</v>
      </c>
      <c r="F1260" t="s">
        <v>1241</v>
      </c>
      <c r="G1260" t="s">
        <v>1337</v>
      </c>
      <c r="I1260">
        <v>2012</v>
      </c>
      <c r="M1260" s="25" t="s">
        <v>36</v>
      </c>
      <c r="N1260" t="s">
        <v>36</v>
      </c>
      <c r="O1260" t="s">
        <v>3807</v>
      </c>
      <c r="P1260" t="s">
        <v>60</v>
      </c>
      <c r="Q1260" t="s">
        <v>899</v>
      </c>
      <c r="R1260" t="s">
        <v>828</v>
      </c>
      <c r="S1260" t="s">
        <v>836</v>
      </c>
      <c r="T1260">
        <v>63</v>
      </c>
      <c r="V1260" t="s">
        <v>907</v>
      </c>
      <c r="Z1260">
        <v>6</v>
      </c>
      <c r="AA1260">
        <v>6</v>
      </c>
      <c r="AG1260" t="str">
        <f t="shared" si="109"/>
        <v>31HELLO_Calanus_finmarchicus_D0_CO2NA_TNA_control_outcome82.17</v>
      </c>
      <c r="AI1260">
        <v>10</v>
      </c>
      <c r="AJ1260" t="s">
        <v>1499</v>
      </c>
      <c r="AK1260" t="s">
        <v>59</v>
      </c>
      <c r="AM1260"/>
      <c r="AN1260">
        <v>82.167829999999995</v>
      </c>
      <c r="AO1260">
        <v>4.5454600000000003</v>
      </c>
      <c r="AP1260">
        <v>76.981129999999993</v>
      </c>
      <c r="AQ1260">
        <v>7.9245299999999999</v>
      </c>
      <c r="AS1260">
        <f t="shared" si="110"/>
        <v>-6.5203536044117882E-2</v>
      </c>
      <c r="AT1260">
        <f t="shared" si="111"/>
        <v>2.276184445179053E-3</v>
      </c>
      <c r="AW1260" s="28">
        <f t="shared" si="103"/>
        <v>-0.80291309996680971</v>
      </c>
      <c r="AX1260">
        <f t="shared" si="104"/>
        <v>0.92307692307692313</v>
      </c>
      <c r="AY1260" s="62">
        <f t="shared" si="105"/>
        <v>-0.74115055381551664</v>
      </c>
      <c r="AZ1260" s="68" t="str">
        <f t="shared" si="106"/>
        <v>No</v>
      </c>
      <c r="BA1260" s="68" t="str">
        <f t="shared" si="107"/>
        <v>No</v>
      </c>
    </row>
    <row r="1261" spans="1:53" hidden="1">
      <c r="A1261" t="s">
        <v>1280</v>
      </c>
      <c r="B1261" t="str">
        <f t="shared" si="108"/>
        <v>1261_Hamraj</v>
      </c>
      <c r="C1261" t="s">
        <v>1483</v>
      </c>
      <c r="F1261" t="s">
        <v>1241</v>
      </c>
      <c r="G1261" t="s">
        <v>1421</v>
      </c>
      <c r="I1261">
        <v>2016</v>
      </c>
      <c r="M1261" s="25" t="s">
        <v>36</v>
      </c>
      <c r="N1261" t="s">
        <v>36</v>
      </c>
      <c r="O1261" t="s">
        <v>3807</v>
      </c>
      <c r="P1261" t="s">
        <v>60</v>
      </c>
      <c r="Q1261" t="s">
        <v>899</v>
      </c>
      <c r="R1261" t="s">
        <v>828</v>
      </c>
      <c r="S1261" t="s">
        <v>913</v>
      </c>
      <c r="T1261">
        <v>37</v>
      </c>
      <c r="V1261" t="s">
        <v>907</v>
      </c>
      <c r="Z1261">
        <v>6</v>
      </c>
      <c r="AA1261">
        <v>6</v>
      </c>
      <c r="AG1261" t="str">
        <f t="shared" si="109"/>
        <v>32HELLO_Calanus_sinicus_D0_CO2NA_TNA_control_outcome92.00</v>
      </c>
      <c r="AI1261">
        <v>12</v>
      </c>
      <c r="AJ1261" t="s">
        <v>1499</v>
      </c>
      <c r="AK1261" t="s">
        <v>59</v>
      </c>
      <c r="AM1261"/>
      <c r="AN1261">
        <v>92</v>
      </c>
      <c r="AO1261">
        <v>2</v>
      </c>
      <c r="AP1261">
        <v>75</v>
      </c>
      <c r="AQ1261">
        <v>3</v>
      </c>
      <c r="AS1261">
        <f t="shared" si="110"/>
        <v>-0.20430046351273035</v>
      </c>
      <c r="AT1261">
        <f t="shared" si="111"/>
        <v>3.4543163201008196E-4</v>
      </c>
      <c r="AW1261" s="28">
        <f t="shared" si="103"/>
        <v>-6.6679485946982577</v>
      </c>
      <c r="AX1261">
        <f t="shared" si="104"/>
        <v>0.92307692307692313</v>
      </c>
      <c r="AY1261" s="62">
        <f t="shared" si="105"/>
        <v>-6.1550294720291614</v>
      </c>
      <c r="AZ1261" s="68" t="str">
        <f t="shared" si="106"/>
        <v>No</v>
      </c>
      <c r="BA1261" s="68" t="str">
        <f t="shared" si="107"/>
        <v>No</v>
      </c>
    </row>
    <row r="1262" spans="1:53" hidden="1">
      <c r="A1262" t="s">
        <v>1280</v>
      </c>
      <c r="B1262" t="str">
        <f t="shared" si="108"/>
        <v>1262_Hamraj</v>
      </c>
      <c r="C1262" t="s">
        <v>1484</v>
      </c>
      <c r="F1262" t="s">
        <v>1241</v>
      </c>
      <c r="G1262" t="s">
        <v>1422</v>
      </c>
      <c r="I1262">
        <v>2011</v>
      </c>
      <c r="M1262" s="25" t="s">
        <v>36</v>
      </c>
      <c r="N1262" t="s">
        <v>36</v>
      </c>
      <c r="O1262" t="s">
        <v>3807</v>
      </c>
      <c r="P1262" t="s">
        <v>60</v>
      </c>
      <c r="Q1262" t="s">
        <v>899</v>
      </c>
      <c r="R1262" t="s">
        <v>828</v>
      </c>
      <c r="S1262" t="s">
        <v>836</v>
      </c>
      <c r="T1262">
        <v>63</v>
      </c>
      <c r="V1262" t="s">
        <v>907</v>
      </c>
      <c r="Z1262">
        <v>15</v>
      </c>
      <c r="AA1262">
        <v>15</v>
      </c>
      <c r="AG1262" t="str">
        <f t="shared" si="109"/>
        <v>33HELLO_Calanus_finmarchicus_D0_CO2NA_TNA_control_outcome40.43</v>
      </c>
      <c r="AI1262">
        <v>5</v>
      </c>
      <c r="AJ1262" t="s">
        <v>1499</v>
      </c>
      <c r="AK1262" t="s">
        <v>59</v>
      </c>
      <c r="AM1262"/>
      <c r="AN1262">
        <v>40.426693</v>
      </c>
      <c r="AO1262">
        <v>8.6535069999999994</v>
      </c>
      <c r="AP1262">
        <v>52.778407999999999</v>
      </c>
      <c r="AQ1262">
        <v>8.9736480000000007</v>
      </c>
      <c r="AS1262">
        <f t="shared" si="110"/>
        <v>0.26661188306879557</v>
      </c>
      <c r="AT1262">
        <f t="shared" si="111"/>
        <v>4.9818489131091071E-3</v>
      </c>
      <c r="AW1262" s="28">
        <f t="shared" si="103"/>
        <v>1.4012106195743079</v>
      </c>
      <c r="AX1262">
        <f t="shared" si="104"/>
        <v>0.97297297297297303</v>
      </c>
      <c r="AY1262" s="62">
        <f t="shared" si="105"/>
        <v>1.3633400622885159</v>
      </c>
      <c r="AZ1262" s="68" t="str">
        <f t="shared" si="106"/>
        <v>No</v>
      </c>
      <c r="BA1262" s="68" t="str">
        <f t="shared" si="107"/>
        <v>No</v>
      </c>
    </row>
    <row r="1263" spans="1:53" hidden="1">
      <c r="A1263" t="s">
        <v>1280</v>
      </c>
      <c r="B1263" t="str">
        <f t="shared" si="108"/>
        <v>1263_Hamraj</v>
      </c>
      <c r="C1263" t="s">
        <v>1484</v>
      </c>
      <c r="F1263" t="s">
        <v>1241</v>
      </c>
      <c r="G1263" t="s">
        <v>1423</v>
      </c>
      <c r="I1263">
        <v>2011</v>
      </c>
      <c r="M1263" s="25" t="s">
        <v>36</v>
      </c>
      <c r="N1263" t="s">
        <v>36</v>
      </c>
      <c r="O1263" t="s">
        <v>3807</v>
      </c>
      <c r="P1263" t="s">
        <v>60</v>
      </c>
      <c r="Q1263" t="s">
        <v>899</v>
      </c>
      <c r="R1263" t="s">
        <v>828</v>
      </c>
      <c r="S1263" t="s">
        <v>836</v>
      </c>
      <c r="T1263">
        <v>63</v>
      </c>
      <c r="V1263" t="s">
        <v>907</v>
      </c>
      <c r="Z1263">
        <v>15</v>
      </c>
      <c r="AA1263">
        <v>15</v>
      </c>
      <c r="AG1263" t="str">
        <f t="shared" si="109"/>
        <v>33HELLO_Calanus_finmarchicus_D0_CO2NA_TNA_control_outcome40.43</v>
      </c>
      <c r="AI1263">
        <v>10</v>
      </c>
      <c r="AJ1263" t="s">
        <v>1499</v>
      </c>
      <c r="AK1263" t="s">
        <v>59</v>
      </c>
      <c r="AM1263"/>
      <c r="AN1263">
        <v>40.426693</v>
      </c>
      <c r="AO1263">
        <v>8.6535069999999994</v>
      </c>
      <c r="AP1263">
        <v>66.732140000000001</v>
      </c>
      <c r="AQ1263">
        <v>10.096</v>
      </c>
      <c r="AS1263">
        <f t="shared" si="110"/>
        <v>0.50119641132427706</v>
      </c>
      <c r="AT1263">
        <f t="shared" si="111"/>
        <v>4.5805554082103302E-3</v>
      </c>
      <c r="AW1263" s="28">
        <f t="shared" si="103"/>
        <v>2.7977204993464291</v>
      </c>
      <c r="AX1263">
        <f t="shared" si="104"/>
        <v>0.97297297297297303</v>
      </c>
      <c r="AY1263" s="62">
        <f t="shared" si="105"/>
        <v>2.7221064317965258</v>
      </c>
      <c r="AZ1263" s="68" t="str">
        <f t="shared" si="106"/>
        <v>No</v>
      </c>
      <c r="BA1263" s="68" t="str">
        <f t="shared" si="107"/>
        <v>No</v>
      </c>
    </row>
    <row r="1264" spans="1:53" hidden="1">
      <c r="A1264" t="s">
        <v>1280</v>
      </c>
      <c r="B1264" t="str">
        <f t="shared" si="108"/>
        <v>1264_Hamraj</v>
      </c>
      <c r="C1264" t="s">
        <v>1484</v>
      </c>
      <c r="F1264" t="s">
        <v>1241</v>
      </c>
      <c r="G1264" t="s">
        <v>1424</v>
      </c>
      <c r="I1264">
        <v>2011</v>
      </c>
      <c r="M1264" s="25" t="s">
        <v>36</v>
      </c>
      <c r="N1264" t="s">
        <v>36</v>
      </c>
      <c r="O1264" t="s">
        <v>3807</v>
      </c>
      <c r="P1264" t="s">
        <v>60</v>
      </c>
      <c r="Q1264" t="s">
        <v>899</v>
      </c>
      <c r="R1264" t="s">
        <v>828</v>
      </c>
      <c r="S1264" t="s">
        <v>1404</v>
      </c>
      <c r="T1264">
        <v>63</v>
      </c>
      <c r="V1264" t="s">
        <v>907</v>
      </c>
      <c r="Z1264">
        <v>10</v>
      </c>
      <c r="AA1264">
        <v>10</v>
      </c>
      <c r="AG1264" t="str">
        <f t="shared" si="109"/>
        <v>33HELLO_Calanus_glacialis_D0_CO2NA_TNA_control_outcome58.27</v>
      </c>
      <c r="AI1264">
        <v>5</v>
      </c>
      <c r="AJ1264" t="s">
        <v>1499</v>
      </c>
      <c r="AK1264" t="s">
        <v>59</v>
      </c>
      <c r="AM1264"/>
      <c r="AN1264">
        <v>58.268889999999999</v>
      </c>
      <c r="AO1264">
        <v>9.935746</v>
      </c>
      <c r="AP1264">
        <v>70.619675000000001</v>
      </c>
      <c r="AQ1264">
        <v>6.5712809999999999</v>
      </c>
      <c r="AS1264">
        <f t="shared" si="110"/>
        <v>0.1922404566738587</v>
      </c>
      <c r="AT1264">
        <f t="shared" si="111"/>
        <v>3.7734138060308096E-3</v>
      </c>
      <c r="AW1264" s="28">
        <f t="shared" si="103"/>
        <v>1.4662808555033049</v>
      </c>
      <c r="AX1264">
        <f t="shared" si="104"/>
        <v>0.95774647887323949</v>
      </c>
      <c r="AY1264" s="62">
        <f t="shared" si="105"/>
        <v>1.4043253263975315</v>
      </c>
      <c r="AZ1264" s="68" t="str">
        <f t="shared" si="106"/>
        <v>No</v>
      </c>
      <c r="BA1264" s="68" t="str">
        <f t="shared" si="107"/>
        <v>No</v>
      </c>
    </row>
    <row r="1265" spans="1:53" hidden="1">
      <c r="A1265" t="s">
        <v>1280</v>
      </c>
      <c r="B1265" t="str">
        <f t="shared" si="108"/>
        <v>1265_Hamraj</v>
      </c>
      <c r="C1265" t="s">
        <v>1484</v>
      </c>
      <c r="F1265" t="s">
        <v>1241</v>
      </c>
      <c r="G1265" t="s">
        <v>1425</v>
      </c>
      <c r="I1265">
        <v>2011</v>
      </c>
      <c r="M1265" s="25" t="s">
        <v>36</v>
      </c>
      <c r="N1265" t="s">
        <v>36</v>
      </c>
      <c r="O1265" t="s">
        <v>3807</v>
      </c>
      <c r="P1265" t="s">
        <v>60</v>
      </c>
      <c r="Q1265" t="s">
        <v>899</v>
      </c>
      <c r="R1265" t="s">
        <v>828</v>
      </c>
      <c r="S1265" t="s">
        <v>1404</v>
      </c>
      <c r="T1265">
        <v>63</v>
      </c>
      <c r="V1265" t="s">
        <v>907</v>
      </c>
      <c r="Z1265">
        <v>10</v>
      </c>
      <c r="AA1265">
        <v>10</v>
      </c>
      <c r="AG1265" t="str">
        <f t="shared" si="109"/>
        <v>33HELLO_Calanus_glacialis_D0_CO2NA_TNA_control_outcome58.27</v>
      </c>
      <c r="AI1265">
        <v>10</v>
      </c>
      <c r="AJ1265" t="s">
        <v>1499</v>
      </c>
      <c r="AK1265" t="s">
        <v>59</v>
      </c>
      <c r="AM1265"/>
      <c r="AN1265">
        <v>58.268889999999999</v>
      </c>
      <c r="AO1265">
        <v>9.935746</v>
      </c>
      <c r="AP1265">
        <v>74.637839999999997</v>
      </c>
      <c r="AQ1265">
        <v>5.6093700000000002</v>
      </c>
      <c r="AS1265">
        <f t="shared" si="110"/>
        <v>0.24757928549352926</v>
      </c>
      <c r="AT1265">
        <f t="shared" si="111"/>
        <v>3.4723718476475378E-3</v>
      </c>
      <c r="AW1265" s="28">
        <f t="shared" si="103"/>
        <v>2.0288824252282693</v>
      </c>
      <c r="AX1265">
        <f t="shared" si="104"/>
        <v>0.95774647887323949</v>
      </c>
      <c r="AY1265" s="62">
        <f t="shared" si="105"/>
        <v>1.9431549988101735</v>
      </c>
      <c r="AZ1265" s="68" t="str">
        <f t="shared" si="106"/>
        <v>No</v>
      </c>
      <c r="BA1265" s="68" t="str">
        <f t="shared" si="107"/>
        <v>No</v>
      </c>
    </row>
    <row r="1266" spans="1:53" hidden="1">
      <c r="A1266" t="s">
        <v>1280</v>
      </c>
      <c r="B1266" t="str">
        <f t="shared" si="108"/>
        <v>1266_Hamraj</v>
      </c>
      <c r="C1266" t="s">
        <v>1485</v>
      </c>
      <c r="F1266" t="s">
        <v>1241</v>
      </c>
      <c r="G1266" t="s">
        <v>1426</v>
      </c>
      <c r="I1266">
        <v>2018</v>
      </c>
      <c r="M1266" s="25" t="s">
        <v>36</v>
      </c>
      <c r="N1266" t="s">
        <v>36</v>
      </c>
      <c r="O1266" t="s">
        <v>3808</v>
      </c>
      <c r="P1266" t="s">
        <v>60</v>
      </c>
      <c r="Q1266" t="s">
        <v>899</v>
      </c>
      <c r="R1266" t="s">
        <v>828</v>
      </c>
      <c r="S1266" t="s">
        <v>852</v>
      </c>
      <c r="T1266">
        <v>58</v>
      </c>
      <c r="V1266" t="s">
        <v>907</v>
      </c>
      <c r="Z1266">
        <v>423</v>
      </c>
      <c r="AA1266">
        <v>423</v>
      </c>
      <c r="AG1266" t="str">
        <f t="shared" si="109"/>
        <v>34HELLO_Eurytemora_affinis_D0_CO2NA_TNA_control_outcome52.00</v>
      </c>
      <c r="AI1266">
        <v>20</v>
      </c>
      <c r="AJ1266" t="s">
        <v>1499</v>
      </c>
      <c r="AK1266" t="s">
        <v>59</v>
      </c>
      <c r="AM1266"/>
      <c r="AN1266">
        <v>52</v>
      </c>
      <c r="AO1266">
        <v>13</v>
      </c>
      <c r="AP1266">
        <v>77</v>
      </c>
      <c r="AQ1266">
        <v>6</v>
      </c>
      <c r="AS1266">
        <f t="shared" si="110"/>
        <v>0.39256170327225659</v>
      </c>
      <c r="AT1266">
        <f t="shared" si="111"/>
        <v>1.6210839297327277E-4</v>
      </c>
      <c r="AW1266" s="28">
        <f t="shared" si="103"/>
        <v>2.4693239916239742</v>
      </c>
      <c r="AX1266">
        <f t="shared" si="104"/>
        <v>0.99911111111111106</v>
      </c>
      <c r="AY1266" s="62">
        <f t="shared" si="105"/>
        <v>2.4671290369647529</v>
      </c>
      <c r="AZ1266" s="68" t="str">
        <f t="shared" si="106"/>
        <v>No</v>
      </c>
      <c r="BA1266" s="68" t="str">
        <f t="shared" si="107"/>
        <v>No</v>
      </c>
    </row>
    <row r="1267" spans="1:53" hidden="1">
      <c r="A1267" t="s">
        <v>1280</v>
      </c>
      <c r="B1267" t="str">
        <f t="shared" si="108"/>
        <v>1267_Hamraj</v>
      </c>
      <c r="C1267" t="s">
        <v>1486</v>
      </c>
      <c r="F1267" t="s">
        <v>1241</v>
      </c>
      <c r="G1267" t="s">
        <v>1427</v>
      </c>
      <c r="I1267">
        <v>2014</v>
      </c>
      <c r="M1267" s="25" t="s">
        <v>36</v>
      </c>
      <c r="N1267" t="s">
        <v>36</v>
      </c>
      <c r="O1267" t="s">
        <v>3807</v>
      </c>
      <c r="P1267" t="s">
        <v>60</v>
      </c>
      <c r="Q1267" t="s">
        <v>899</v>
      </c>
      <c r="R1267" t="s">
        <v>828</v>
      </c>
      <c r="S1267" t="s">
        <v>836</v>
      </c>
      <c r="T1267">
        <v>43</v>
      </c>
      <c r="V1267" t="s">
        <v>907</v>
      </c>
      <c r="Z1267">
        <v>30</v>
      </c>
      <c r="AA1267">
        <v>30</v>
      </c>
      <c r="AG1267" t="str">
        <f t="shared" si="109"/>
        <v>35HELLO_Calanus_finmarchicus_D0_CO2NA_TNA_control_outcome80.71</v>
      </c>
      <c r="AI1267">
        <v>15</v>
      </c>
      <c r="AJ1267" t="s">
        <v>1499</v>
      </c>
      <c r="AK1267" t="s">
        <v>59</v>
      </c>
      <c r="AM1267"/>
      <c r="AN1267">
        <v>80.710099999999997</v>
      </c>
      <c r="AO1267">
        <v>9.8605800000000006</v>
      </c>
      <c r="AP1267">
        <v>69.204210000000003</v>
      </c>
      <c r="AQ1267">
        <v>12.3223</v>
      </c>
      <c r="AS1267">
        <f t="shared" si="110"/>
        <v>-0.15380202341600668</v>
      </c>
      <c r="AT1267">
        <f t="shared" si="111"/>
        <v>1.5543507465116883E-3</v>
      </c>
      <c r="AW1267" s="28">
        <f t="shared" si="103"/>
        <v>-1.0310373655301406</v>
      </c>
      <c r="AX1267">
        <f t="shared" si="104"/>
        <v>0.98701298701298701</v>
      </c>
      <c r="AY1267" s="62">
        <f t="shared" si="105"/>
        <v>-1.017647269873905</v>
      </c>
      <c r="AZ1267" s="68" t="str">
        <f t="shared" si="106"/>
        <v>No</v>
      </c>
      <c r="BA1267" s="68" t="str">
        <f t="shared" si="107"/>
        <v>No</v>
      </c>
    </row>
    <row r="1268" spans="1:53" hidden="1">
      <c r="A1268" t="s">
        <v>1280</v>
      </c>
      <c r="B1268" t="str">
        <f t="shared" si="108"/>
        <v>1268_Hamraj</v>
      </c>
      <c r="C1268" t="s">
        <v>1486</v>
      </c>
      <c r="F1268" t="s">
        <v>1241</v>
      </c>
      <c r="G1268" t="s">
        <v>1428</v>
      </c>
      <c r="I1268">
        <v>2014</v>
      </c>
      <c r="M1268" s="25" t="s">
        <v>36</v>
      </c>
      <c r="N1268" t="s">
        <v>36</v>
      </c>
      <c r="O1268" t="s">
        <v>3807</v>
      </c>
      <c r="P1268" t="s">
        <v>60</v>
      </c>
      <c r="Q1268" t="s">
        <v>899</v>
      </c>
      <c r="R1268" t="s">
        <v>828</v>
      </c>
      <c r="S1268" t="s">
        <v>836</v>
      </c>
      <c r="T1268">
        <v>43</v>
      </c>
      <c r="V1268" t="s">
        <v>907</v>
      </c>
      <c r="Z1268">
        <v>30</v>
      </c>
      <c r="AA1268">
        <v>30</v>
      </c>
      <c r="AG1268" t="str">
        <f t="shared" si="109"/>
        <v>35HELLO_Calanus_finmarchicus_D0_CO2NA_TNA_control_outcome80.71</v>
      </c>
      <c r="AI1268">
        <v>17</v>
      </c>
      <c r="AJ1268" t="s">
        <v>1499</v>
      </c>
      <c r="AK1268" t="s">
        <v>59</v>
      </c>
      <c r="AM1268"/>
      <c r="AN1268">
        <v>80.710099999999997</v>
      </c>
      <c r="AO1268">
        <v>9.8605800000000006</v>
      </c>
      <c r="AP1268">
        <v>65.356449999999995</v>
      </c>
      <c r="AQ1268">
        <v>11.61994</v>
      </c>
      <c r="AS1268">
        <f t="shared" si="110"/>
        <v>-0.21100758782817941</v>
      </c>
      <c r="AT1268">
        <f t="shared" si="111"/>
        <v>1.5512219921737114E-3</v>
      </c>
      <c r="AW1268" s="28">
        <f t="shared" si="103"/>
        <v>-1.4247707550737068</v>
      </c>
      <c r="AX1268">
        <f t="shared" si="104"/>
        <v>0.98701298701298701</v>
      </c>
      <c r="AY1268" s="62">
        <f t="shared" si="105"/>
        <v>-1.4062672387740482</v>
      </c>
      <c r="AZ1268" s="68" t="str">
        <f t="shared" si="106"/>
        <v>No</v>
      </c>
      <c r="BA1268" s="68" t="str">
        <f t="shared" si="107"/>
        <v>No</v>
      </c>
    </row>
    <row r="1269" spans="1:53" hidden="1">
      <c r="A1269" t="s">
        <v>1280</v>
      </c>
      <c r="B1269" t="str">
        <f t="shared" si="108"/>
        <v>1269_Hamraj</v>
      </c>
      <c r="C1269" t="s">
        <v>1486</v>
      </c>
      <c r="F1269" t="s">
        <v>1241</v>
      </c>
      <c r="G1269" t="s">
        <v>1429</v>
      </c>
      <c r="I1269">
        <v>2014</v>
      </c>
      <c r="M1269" s="25" t="s">
        <v>36</v>
      </c>
      <c r="N1269" t="s">
        <v>36</v>
      </c>
      <c r="O1269" t="s">
        <v>3807</v>
      </c>
      <c r="P1269" t="s">
        <v>60</v>
      </c>
      <c r="Q1269" t="s">
        <v>899</v>
      </c>
      <c r="R1269" t="s">
        <v>828</v>
      </c>
      <c r="S1269" t="s">
        <v>836</v>
      </c>
      <c r="T1269">
        <v>43</v>
      </c>
      <c r="V1269" t="s">
        <v>907</v>
      </c>
      <c r="Z1269">
        <v>30</v>
      </c>
      <c r="AA1269">
        <v>30</v>
      </c>
      <c r="AG1269" t="str">
        <f t="shared" si="109"/>
        <v>35HELLO_Calanus_finmarchicus_D0_CO2NA_TNA_control_outcome80.71</v>
      </c>
      <c r="AI1269">
        <v>19</v>
      </c>
      <c r="AJ1269" t="s">
        <v>1499</v>
      </c>
      <c r="AK1269" t="s">
        <v>59</v>
      </c>
      <c r="AM1269"/>
      <c r="AN1269">
        <v>80.710099999999997</v>
      </c>
      <c r="AO1269">
        <v>9.8605800000000006</v>
      </c>
      <c r="AP1269">
        <v>62.917167999999997</v>
      </c>
      <c r="AQ1269">
        <v>23.240492</v>
      </c>
      <c r="AS1269">
        <f t="shared" si="110"/>
        <v>-0.24904465469815484</v>
      </c>
      <c r="AT1269">
        <f t="shared" si="111"/>
        <v>5.0456508083010507E-3</v>
      </c>
      <c r="AW1269" s="28">
        <f t="shared" si="103"/>
        <v>-0.99671962296900252</v>
      </c>
      <c r="AX1269">
        <f t="shared" si="104"/>
        <v>0.98701298701298701</v>
      </c>
      <c r="AY1269" s="62">
        <f t="shared" si="105"/>
        <v>-0.98377521228109344</v>
      </c>
      <c r="AZ1269" s="68" t="str">
        <f t="shared" si="106"/>
        <v>No</v>
      </c>
      <c r="BA1269" s="68" t="str">
        <f t="shared" si="107"/>
        <v>No</v>
      </c>
    </row>
    <row r="1270" spans="1:53" hidden="1">
      <c r="A1270" t="s">
        <v>1280</v>
      </c>
      <c r="B1270" t="str">
        <f t="shared" si="108"/>
        <v>1270_Hamraj</v>
      </c>
      <c r="C1270" t="s">
        <v>1486</v>
      </c>
      <c r="F1270" t="s">
        <v>1241</v>
      </c>
      <c r="G1270" t="s">
        <v>1430</v>
      </c>
      <c r="I1270">
        <v>2014</v>
      </c>
      <c r="M1270" s="25" t="s">
        <v>36</v>
      </c>
      <c r="N1270" t="s">
        <v>36</v>
      </c>
      <c r="O1270" t="s">
        <v>3807</v>
      </c>
      <c r="P1270" t="s">
        <v>60</v>
      </c>
      <c r="Q1270" t="s">
        <v>899</v>
      </c>
      <c r="R1270" t="s">
        <v>828</v>
      </c>
      <c r="S1270" t="s">
        <v>836</v>
      </c>
      <c r="T1270">
        <v>43</v>
      </c>
      <c r="V1270" t="s">
        <v>907</v>
      </c>
      <c r="Z1270">
        <v>30</v>
      </c>
      <c r="AA1270">
        <v>30</v>
      </c>
      <c r="AG1270" t="str">
        <f t="shared" si="109"/>
        <v>35HELLO_Calanus_finmarchicus_D0_CO2NA_TNA_control_outcome80.71</v>
      </c>
      <c r="AI1270">
        <v>21.5</v>
      </c>
      <c r="AJ1270" t="s">
        <v>1499</v>
      </c>
      <c r="AK1270" t="s">
        <v>59</v>
      </c>
      <c r="AM1270"/>
      <c r="AN1270">
        <v>80.710099999999997</v>
      </c>
      <c r="AO1270">
        <v>9.8605800000000006</v>
      </c>
      <c r="AP1270">
        <v>2.380077</v>
      </c>
      <c r="AQ1270">
        <v>1.0544880000000001</v>
      </c>
      <c r="AS1270">
        <f t="shared" si="110"/>
        <v>-3.5237308822381395</v>
      </c>
      <c r="AT1270">
        <f t="shared" si="111"/>
        <v>7.0405864875247547E-3</v>
      </c>
      <c r="AW1270" s="28">
        <f t="shared" si="103"/>
        <v>-11.170473006957328</v>
      </c>
      <c r="AX1270">
        <f t="shared" si="104"/>
        <v>0.98701298701298701</v>
      </c>
      <c r="AY1270" s="62">
        <f t="shared" si="105"/>
        <v>-11.025401928944895</v>
      </c>
      <c r="AZ1270" s="68" t="str">
        <f t="shared" si="106"/>
        <v>No</v>
      </c>
      <c r="BA1270" s="68" t="str">
        <f t="shared" si="107"/>
        <v>Yes</v>
      </c>
    </row>
    <row r="1271" spans="1:53" hidden="1">
      <c r="A1271" t="s">
        <v>1280</v>
      </c>
      <c r="B1271" t="str">
        <f t="shared" si="108"/>
        <v>1271_Hamraj</v>
      </c>
      <c r="C1271" t="s">
        <v>1486</v>
      </c>
      <c r="F1271" t="s">
        <v>1241</v>
      </c>
      <c r="G1271" t="s">
        <v>1431</v>
      </c>
      <c r="I1271">
        <v>2014</v>
      </c>
      <c r="M1271" s="25" t="s">
        <v>36</v>
      </c>
      <c r="N1271" t="s">
        <v>36</v>
      </c>
      <c r="O1271" t="s">
        <v>3807</v>
      </c>
      <c r="P1271" t="s">
        <v>60</v>
      </c>
      <c r="Q1271" t="s">
        <v>899</v>
      </c>
      <c r="R1271" t="s">
        <v>828</v>
      </c>
      <c r="S1271" t="s">
        <v>836</v>
      </c>
      <c r="T1271">
        <v>43</v>
      </c>
      <c r="V1271" t="s">
        <v>907</v>
      </c>
      <c r="Z1271">
        <v>30</v>
      </c>
      <c r="AA1271">
        <v>30</v>
      </c>
      <c r="AG1271" t="str">
        <f t="shared" si="109"/>
        <v>35HELLO_Calanus_finmarchicus_D0_CO2NA_TNA_control_outcome80.71</v>
      </c>
      <c r="AI1271">
        <v>22</v>
      </c>
      <c r="AJ1271" t="s">
        <v>1499</v>
      </c>
      <c r="AK1271" t="s">
        <v>59</v>
      </c>
      <c r="AM1271"/>
      <c r="AN1271">
        <v>80.710099999999997</v>
      </c>
      <c r="AO1271">
        <v>9.8605800000000006</v>
      </c>
      <c r="AP1271">
        <v>24.224557999999998</v>
      </c>
      <c r="AQ1271">
        <v>12.675672</v>
      </c>
      <c r="AS1271">
        <f t="shared" si="110"/>
        <v>-1.2034968103430126</v>
      </c>
      <c r="AT1271">
        <f t="shared" si="111"/>
        <v>9.6241396820948514E-3</v>
      </c>
      <c r="AW1271" s="28">
        <f t="shared" si="103"/>
        <v>-4.9742030901871388</v>
      </c>
      <c r="AX1271">
        <f t="shared" si="104"/>
        <v>0.98701298701298701</v>
      </c>
      <c r="AY1271" s="62">
        <f t="shared" si="105"/>
        <v>-4.9096030500548382</v>
      </c>
      <c r="AZ1271" s="68" t="str">
        <f t="shared" si="106"/>
        <v>No</v>
      </c>
      <c r="BA1271" s="68" t="str">
        <f t="shared" si="107"/>
        <v>No</v>
      </c>
    </row>
    <row r="1272" spans="1:53" hidden="1">
      <c r="A1272" t="s">
        <v>1280</v>
      </c>
      <c r="B1272" t="str">
        <f t="shared" si="108"/>
        <v>1272_Hamraj</v>
      </c>
      <c r="C1272" t="s">
        <v>1486</v>
      </c>
      <c r="F1272" t="s">
        <v>1241</v>
      </c>
      <c r="G1272" t="s">
        <v>1432</v>
      </c>
      <c r="I1272">
        <v>2014</v>
      </c>
      <c r="M1272" s="25" t="s">
        <v>36</v>
      </c>
      <c r="N1272" t="s">
        <v>36</v>
      </c>
      <c r="O1272" t="s">
        <v>3807</v>
      </c>
      <c r="P1272" t="s">
        <v>60</v>
      </c>
      <c r="Q1272" t="s">
        <v>899</v>
      </c>
      <c r="R1272" t="s">
        <v>828</v>
      </c>
      <c r="S1272" t="s">
        <v>836</v>
      </c>
      <c r="T1272">
        <v>43</v>
      </c>
      <c r="V1272" t="s">
        <v>907</v>
      </c>
      <c r="Z1272">
        <v>30</v>
      </c>
      <c r="AA1272">
        <v>30</v>
      </c>
      <c r="AG1272" t="str">
        <f t="shared" si="109"/>
        <v>35HELLO_Calanus_finmarchicus_D0_CO2NA_TNA_control_outcome80.71</v>
      </c>
      <c r="AI1272">
        <v>23.5</v>
      </c>
      <c r="AJ1272" t="s">
        <v>1499</v>
      </c>
      <c r="AK1272" t="s">
        <v>59</v>
      </c>
      <c r="AM1272"/>
      <c r="AN1272">
        <v>80.710099999999997</v>
      </c>
      <c r="AO1272">
        <v>9.8605800000000006</v>
      </c>
      <c r="AP1272">
        <v>0</v>
      </c>
      <c r="AQ1272">
        <v>1.0015144</v>
      </c>
      <c r="AS1272" t="e">
        <f t="shared" si="110"/>
        <v>#NUM!</v>
      </c>
      <c r="AT1272" t="e">
        <f t="shared" si="111"/>
        <v>#DIV/0!</v>
      </c>
      <c r="AW1272" s="28">
        <f t="shared" si="103"/>
        <v>-11.516269416608949</v>
      </c>
      <c r="AX1272">
        <f t="shared" si="104"/>
        <v>0.98701298701298701</v>
      </c>
      <c r="AY1272" s="62">
        <f t="shared" si="105"/>
        <v>-11.366707476133508</v>
      </c>
      <c r="AZ1272" s="68" t="str">
        <f t="shared" si="106"/>
        <v>No</v>
      </c>
      <c r="BA1272" s="68" t="str">
        <f t="shared" si="107"/>
        <v>Yes</v>
      </c>
    </row>
    <row r="1273" spans="1:53" hidden="1">
      <c r="A1273" t="s">
        <v>1280</v>
      </c>
      <c r="B1273" t="str">
        <f t="shared" si="108"/>
        <v>1273_Hamraj</v>
      </c>
      <c r="C1273" t="s">
        <v>1486</v>
      </c>
      <c r="F1273" t="s">
        <v>1241</v>
      </c>
      <c r="G1273" t="s">
        <v>1433</v>
      </c>
      <c r="I1273">
        <v>2014</v>
      </c>
      <c r="M1273" s="25" t="s">
        <v>36</v>
      </c>
      <c r="N1273" t="s">
        <v>36</v>
      </c>
      <c r="O1273" t="s">
        <v>3807</v>
      </c>
      <c r="P1273" t="s">
        <v>60</v>
      </c>
      <c r="Q1273" t="s">
        <v>899</v>
      </c>
      <c r="R1273" t="s">
        <v>828</v>
      </c>
      <c r="S1273" t="s">
        <v>836</v>
      </c>
      <c r="T1273">
        <v>43</v>
      </c>
      <c r="V1273" t="s">
        <v>907</v>
      </c>
      <c r="Z1273">
        <v>30</v>
      </c>
      <c r="AA1273">
        <v>30</v>
      </c>
      <c r="AG1273" t="str">
        <f t="shared" si="109"/>
        <v>35HELLO_Calanus_finmarchicus_D0_CO2NA_TNA_control_outcome80.71</v>
      </c>
      <c r="AI1273">
        <v>25.5</v>
      </c>
      <c r="AJ1273" t="s">
        <v>1499</v>
      </c>
      <c r="AK1273" t="s">
        <v>59</v>
      </c>
      <c r="AM1273"/>
      <c r="AN1273">
        <v>80.710099999999997</v>
      </c>
      <c r="AO1273">
        <v>9.8605800000000006</v>
      </c>
      <c r="AP1273">
        <v>0</v>
      </c>
      <c r="AQ1273">
        <v>1.02582</v>
      </c>
      <c r="AS1273" t="e">
        <f t="shared" si="110"/>
        <v>#NUM!</v>
      </c>
      <c r="AT1273" t="e">
        <f t="shared" si="111"/>
        <v>#DIV/0!</v>
      </c>
      <c r="AW1273" s="28">
        <f t="shared" si="103"/>
        <v>-11.513382142114084</v>
      </c>
      <c r="AX1273">
        <f t="shared" si="104"/>
        <v>0.98701298701298701</v>
      </c>
      <c r="AY1273" s="62">
        <f t="shared" si="105"/>
        <v>-11.363857698710005</v>
      </c>
      <c r="AZ1273" s="68" t="str">
        <f t="shared" si="106"/>
        <v>No</v>
      </c>
      <c r="BA1273" s="68" t="str">
        <f t="shared" si="107"/>
        <v>Yes</v>
      </c>
    </row>
    <row r="1274" spans="1:53" hidden="1">
      <c r="A1274" t="s">
        <v>1280</v>
      </c>
      <c r="B1274" t="str">
        <f t="shared" si="108"/>
        <v>1274_Hamraj</v>
      </c>
      <c r="C1274" t="s">
        <v>1487</v>
      </c>
      <c r="F1274" t="s">
        <v>1241</v>
      </c>
      <c r="G1274" t="s">
        <v>1114</v>
      </c>
      <c r="I1274">
        <v>2012</v>
      </c>
      <c r="M1274" s="25" t="s">
        <v>36</v>
      </c>
      <c r="N1274" t="s">
        <v>36</v>
      </c>
      <c r="O1274" t="s">
        <v>3807</v>
      </c>
      <c r="P1274" t="s">
        <v>60</v>
      </c>
      <c r="Q1274" t="s">
        <v>899</v>
      </c>
      <c r="R1274" t="s">
        <v>828</v>
      </c>
      <c r="S1274" t="s">
        <v>1140</v>
      </c>
      <c r="T1274">
        <v>57</v>
      </c>
      <c r="V1274" t="s">
        <v>907</v>
      </c>
      <c r="Z1274">
        <v>8</v>
      </c>
      <c r="AA1274">
        <v>9</v>
      </c>
      <c r="AG1274" t="str">
        <f t="shared" si="109"/>
        <v>36HELLO_Calanus_helgolandicus_D0_CO2NA_TNA_control_outcome46.44</v>
      </c>
      <c r="AI1274">
        <v>10</v>
      </c>
      <c r="AJ1274" t="s">
        <v>1499</v>
      </c>
      <c r="AK1274" t="s">
        <v>59</v>
      </c>
      <c r="AM1274"/>
      <c r="AN1274">
        <v>46.444444439999998</v>
      </c>
      <c r="AO1274">
        <v>13.03772</v>
      </c>
      <c r="AP1274">
        <v>58.777777780000001</v>
      </c>
      <c r="AQ1274">
        <v>14.635383300000001</v>
      </c>
      <c r="AS1274">
        <f t="shared" si="110"/>
        <v>0.23550699946704423</v>
      </c>
      <c r="AT1274">
        <f t="shared" si="111"/>
        <v>1.6738949560244666E-2</v>
      </c>
      <c r="AW1274" s="28">
        <f t="shared" si="103"/>
        <v>0.88648293081717511</v>
      </c>
      <c r="AX1274">
        <f t="shared" si="104"/>
        <v>0.94915254237288138</v>
      </c>
      <c r="AY1274" s="62">
        <f t="shared" si="105"/>
        <v>0.84140752755528492</v>
      </c>
      <c r="AZ1274" s="68" t="str">
        <f t="shared" si="106"/>
        <v>No</v>
      </c>
      <c r="BA1274" s="68" t="str">
        <f t="shared" si="107"/>
        <v>No</v>
      </c>
    </row>
    <row r="1275" spans="1:53" hidden="1">
      <c r="A1275" t="s">
        <v>1280</v>
      </c>
      <c r="B1275" t="str">
        <f t="shared" si="108"/>
        <v>1275_Hamraj</v>
      </c>
      <c r="C1275" t="s">
        <v>1487</v>
      </c>
      <c r="F1275" t="s">
        <v>1241</v>
      </c>
      <c r="G1275" t="s">
        <v>1434</v>
      </c>
      <c r="I1275">
        <v>2012</v>
      </c>
      <c r="M1275" s="25" t="s">
        <v>36</v>
      </c>
      <c r="N1275" t="s">
        <v>36</v>
      </c>
      <c r="O1275" t="s">
        <v>3807</v>
      </c>
      <c r="P1275" t="s">
        <v>60</v>
      </c>
      <c r="Q1275" t="s">
        <v>899</v>
      </c>
      <c r="R1275" t="s">
        <v>828</v>
      </c>
      <c r="S1275" t="s">
        <v>1140</v>
      </c>
      <c r="T1275">
        <v>57</v>
      </c>
      <c r="V1275" t="s">
        <v>907</v>
      </c>
      <c r="Z1275">
        <v>8</v>
      </c>
      <c r="AA1275">
        <v>8</v>
      </c>
      <c r="AG1275" t="str">
        <f t="shared" si="109"/>
        <v>36HELLO_Calanus_helgolandicus_D0_CO2NA_TNA_control_outcome46.44</v>
      </c>
      <c r="AI1275">
        <v>12</v>
      </c>
      <c r="AJ1275" t="s">
        <v>1499</v>
      </c>
      <c r="AK1275" t="s">
        <v>59</v>
      </c>
      <c r="AM1275"/>
      <c r="AN1275">
        <v>46.444444439999998</v>
      </c>
      <c r="AO1275">
        <v>13.03772</v>
      </c>
      <c r="AP1275">
        <v>62.25</v>
      </c>
      <c r="AQ1275">
        <v>12.475690650000001</v>
      </c>
      <c r="AS1275">
        <f t="shared" si="110"/>
        <v>0.2929016802519735</v>
      </c>
      <c r="AT1275">
        <f t="shared" si="111"/>
        <v>1.4870872669768248E-2</v>
      </c>
      <c r="AW1275" s="28">
        <f t="shared" si="103"/>
        <v>1.2386993031205353</v>
      </c>
      <c r="AX1275">
        <f t="shared" si="104"/>
        <v>0.94545454545454544</v>
      </c>
      <c r="AY1275" s="62">
        <f t="shared" si="105"/>
        <v>1.1711338865866878</v>
      </c>
      <c r="AZ1275" s="68" t="str">
        <f t="shared" si="106"/>
        <v>No</v>
      </c>
      <c r="BA1275" s="68" t="str">
        <f t="shared" si="107"/>
        <v>No</v>
      </c>
    </row>
    <row r="1276" spans="1:53" hidden="1">
      <c r="A1276" t="s">
        <v>1280</v>
      </c>
      <c r="B1276" t="str">
        <f t="shared" si="108"/>
        <v>1276_Hamraj</v>
      </c>
      <c r="C1276" t="s">
        <v>1488</v>
      </c>
      <c r="F1276" t="s">
        <v>1241</v>
      </c>
      <c r="G1276" t="s">
        <v>1435</v>
      </c>
      <c r="I1276">
        <v>2017</v>
      </c>
      <c r="M1276" s="25" t="s">
        <v>36</v>
      </c>
      <c r="N1276" t="s">
        <v>36</v>
      </c>
      <c r="O1276" t="s">
        <v>3807</v>
      </c>
      <c r="P1276" t="s">
        <v>60</v>
      </c>
      <c r="Q1276" t="s">
        <v>899</v>
      </c>
      <c r="R1276" t="s">
        <v>828</v>
      </c>
      <c r="S1276" t="s">
        <v>836</v>
      </c>
      <c r="T1276">
        <v>44</v>
      </c>
      <c r="V1276" t="s">
        <v>907</v>
      </c>
      <c r="Z1276">
        <v>5</v>
      </c>
      <c r="AA1276">
        <v>12</v>
      </c>
      <c r="AG1276" t="str">
        <f t="shared" si="109"/>
        <v>37HELLO_Calanus_finmarchicus_D0_CO2NA_TNA_control_outcome46.30</v>
      </c>
      <c r="AI1276">
        <v>5.8</v>
      </c>
      <c r="AJ1276" t="s">
        <v>1499</v>
      </c>
      <c r="AK1276" t="s">
        <v>59</v>
      </c>
      <c r="AM1276"/>
      <c r="AN1276">
        <v>46.3</v>
      </c>
      <c r="AO1276">
        <v>12.00604015</v>
      </c>
      <c r="AP1276">
        <v>60.6</v>
      </c>
      <c r="AQ1276">
        <v>13.119104739999999</v>
      </c>
      <c r="AS1276">
        <f t="shared" si="110"/>
        <v>0.26915293198308099</v>
      </c>
      <c r="AT1276">
        <f t="shared" si="111"/>
        <v>1.735385375509458E-2</v>
      </c>
      <c r="AW1276" s="28">
        <f t="shared" si="103"/>
        <v>1.1144248143176485</v>
      </c>
      <c r="AX1276">
        <f t="shared" si="104"/>
        <v>0.94915254237288138</v>
      </c>
      <c r="AY1276" s="62">
        <f t="shared" si="105"/>
        <v>1.0577591457930224</v>
      </c>
      <c r="AZ1276" s="68" t="str">
        <f t="shared" si="106"/>
        <v>No</v>
      </c>
      <c r="BA1276" s="68" t="str">
        <f t="shared" si="107"/>
        <v>No</v>
      </c>
    </row>
    <row r="1277" spans="1:53" hidden="1">
      <c r="A1277" t="s">
        <v>1280</v>
      </c>
      <c r="B1277" t="str">
        <f t="shared" si="108"/>
        <v>1277_Hamraj</v>
      </c>
      <c r="C1277" t="s">
        <v>1488</v>
      </c>
      <c r="F1277" t="s">
        <v>1241</v>
      </c>
      <c r="G1277" t="s">
        <v>1436</v>
      </c>
      <c r="I1277">
        <v>2017</v>
      </c>
      <c r="M1277" s="25" t="s">
        <v>36</v>
      </c>
      <c r="N1277" t="s">
        <v>36</v>
      </c>
      <c r="O1277" t="s">
        <v>3807</v>
      </c>
      <c r="P1277" t="s">
        <v>60</v>
      </c>
      <c r="Q1277" t="s">
        <v>899</v>
      </c>
      <c r="R1277" t="s">
        <v>828</v>
      </c>
      <c r="S1277" t="s">
        <v>836</v>
      </c>
      <c r="T1277">
        <v>44</v>
      </c>
      <c r="V1277" t="s">
        <v>907</v>
      </c>
      <c r="Z1277">
        <v>5</v>
      </c>
      <c r="AA1277">
        <v>20</v>
      </c>
      <c r="AG1277" t="str">
        <f t="shared" si="109"/>
        <v>37HELLO_Calanus_finmarchicus_D0_CO2NA_TNA_control_outcome46.30</v>
      </c>
      <c r="AI1277">
        <v>6</v>
      </c>
      <c r="AJ1277" t="s">
        <v>1499</v>
      </c>
      <c r="AK1277" t="s">
        <v>59</v>
      </c>
      <c r="AM1277"/>
      <c r="AN1277">
        <v>46.3</v>
      </c>
      <c r="AO1277">
        <v>12.00604015</v>
      </c>
      <c r="AP1277">
        <v>60.174999999999997</v>
      </c>
      <c r="AQ1277">
        <v>20.720976690000001</v>
      </c>
      <c r="AS1277">
        <f t="shared" si="110"/>
        <v>0.26211502257694708</v>
      </c>
      <c r="AT1277">
        <f t="shared" si="111"/>
        <v>1.9376989720022844E-2</v>
      </c>
      <c r="AW1277" s="28">
        <f t="shared" si="103"/>
        <v>0.71200067523244426</v>
      </c>
      <c r="AX1277">
        <f t="shared" si="104"/>
        <v>0.96703296703296704</v>
      </c>
      <c r="AY1277" s="62">
        <f t="shared" si="105"/>
        <v>0.68852812549950659</v>
      </c>
      <c r="AZ1277" s="68" t="str">
        <f t="shared" si="106"/>
        <v>No</v>
      </c>
      <c r="BA1277" s="68" t="str">
        <f t="shared" si="107"/>
        <v>No</v>
      </c>
    </row>
    <row r="1278" spans="1:53" hidden="1">
      <c r="A1278" t="s">
        <v>1280</v>
      </c>
      <c r="B1278" t="str">
        <f t="shared" si="108"/>
        <v>1278_Hamraj</v>
      </c>
      <c r="C1278" t="s">
        <v>1488</v>
      </c>
      <c r="F1278" t="s">
        <v>1241</v>
      </c>
      <c r="G1278" t="s">
        <v>1437</v>
      </c>
      <c r="I1278">
        <v>2017</v>
      </c>
      <c r="M1278" s="25" t="s">
        <v>36</v>
      </c>
      <c r="N1278" t="s">
        <v>36</v>
      </c>
      <c r="O1278" t="s">
        <v>3807</v>
      </c>
      <c r="P1278" t="s">
        <v>60</v>
      </c>
      <c r="Q1278" t="s">
        <v>899</v>
      </c>
      <c r="R1278" t="s">
        <v>828</v>
      </c>
      <c r="S1278" t="s">
        <v>836</v>
      </c>
      <c r="T1278">
        <v>44</v>
      </c>
      <c r="V1278" t="s">
        <v>907</v>
      </c>
      <c r="Z1278">
        <v>5</v>
      </c>
      <c r="AA1278">
        <v>5</v>
      </c>
      <c r="AG1278" t="str">
        <f t="shared" si="109"/>
        <v>37HELLO_Calanus_finmarchicus_D0_CO2NA_TNA_control_outcome46.30</v>
      </c>
      <c r="AI1278">
        <v>14.2</v>
      </c>
      <c r="AJ1278" t="s">
        <v>1499</v>
      </c>
      <c r="AK1278" t="s">
        <v>59</v>
      </c>
      <c r="AM1278"/>
      <c r="AN1278">
        <v>46.3</v>
      </c>
      <c r="AO1278">
        <v>12.00604015</v>
      </c>
      <c r="AP1278">
        <v>60</v>
      </c>
      <c r="AQ1278">
        <v>23.030197569999999</v>
      </c>
      <c r="AS1278">
        <f t="shared" si="110"/>
        <v>0.25920260112991222</v>
      </c>
      <c r="AT1278">
        <f t="shared" si="111"/>
        <v>4.2914417550086834E-2</v>
      </c>
      <c r="AW1278" s="28">
        <f t="shared" si="103"/>
        <v>0.74599054037067247</v>
      </c>
      <c r="AX1278">
        <f t="shared" si="104"/>
        <v>0.90322580645161288</v>
      </c>
      <c r="AY1278" s="62">
        <f t="shared" si="105"/>
        <v>0.67379790743157508</v>
      </c>
      <c r="AZ1278" s="68" t="str">
        <f t="shared" si="106"/>
        <v>No</v>
      </c>
      <c r="BA1278" s="68" t="str">
        <f t="shared" si="107"/>
        <v>No</v>
      </c>
    </row>
    <row r="1279" spans="1:53" hidden="1">
      <c r="A1279" t="s">
        <v>1280</v>
      </c>
      <c r="B1279" t="str">
        <f t="shared" si="108"/>
        <v>1279_Hamraj</v>
      </c>
      <c r="C1279" t="s">
        <v>1488</v>
      </c>
      <c r="F1279" t="s">
        <v>1241</v>
      </c>
      <c r="G1279" t="s">
        <v>1438</v>
      </c>
      <c r="I1279">
        <v>2017</v>
      </c>
      <c r="M1279" s="25" t="s">
        <v>36</v>
      </c>
      <c r="N1279" t="s">
        <v>36</v>
      </c>
      <c r="O1279" t="s">
        <v>3807</v>
      </c>
      <c r="P1279" t="s">
        <v>60</v>
      </c>
      <c r="Q1279" t="s">
        <v>899</v>
      </c>
      <c r="R1279" t="s">
        <v>828</v>
      </c>
      <c r="S1279" t="s">
        <v>836</v>
      </c>
      <c r="T1279">
        <v>44</v>
      </c>
      <c r="V1279" t="s">
        <v>907</v>
      </c>
      <c r="Z1279">
        <v>5</v>
      </c>
      <c r="AA1279">
        <v>17</v>
      </c>
      <c r="AG1279" t="str">
        <f t="shared" si="109"/>
        <v>37HELLO_Calanus_finmarchicus_D0_CO2NA_TNA_control_outcome46.30</v>
      </c>
      <c r="AI1279">
        <v>15.1</v>
      </c>
      <c r="AJ1279" t="s">
        <v>1499</v>
      </c>
      <c r="AK1279" t="s">
        <v>59</v>
      </c>
      <c r="AM1279"/>
      <c r="AN1279">
        <v>46.3</v>
      </c>
      <c r="AO1279">
        <v>12.00604015</v>
      </c>
      <c r="AP1279">
        <v>56.294117649999997</v>
      </c>
      <c r="AQ1279">
        <v>19.145119179999998</v>
      </c>
      <c r="AS1279">
        <f t="shared" si="110"/>
        <v>0.19544808635679622</v>
      </c>
      <c r="AT1279">
        <f t="shared" si="111"/>
        <v>2.0251944371283741E-2</v>
      </c>
      <c r="AW1279" s="28">
        <f t="shared" si="103"/>
        <v>0.55690070626015054</v>
      </c>
      <c r="AX1279">
        <f t="shared" si="104"/>
        <v>0.96202531645569622</v>
      </c>
      <c r="AY1279" s="62">
        <f t="shared" si="105"/>
        <v>0.53575257817432209</v>
      </c>
      <c r="AZ1279" s="68" t="str">
        <f t="shared" si="106"/>
        <v>No</v>
      </c>
      <c r="BA1279" s="68" t="str">
        <f t="shared" si="107"/>
        <v>No</v>
      </c>
    </row>
    <row r="1280" spans="1:53" hidden="1">
      <c r="A1280" t="s">
        <v>1280</v>
      </c>
      <c r="B1280" t="str">
        <f t="shared" si="108"/>
        <v>1280_Hamraj</v>
      </c>
      <c r="C1280" t="s">
        <v>1489</v>
      </c>
      <c r="F1280" t="s">
        <v>1241</v>
      </c>
      <c r="G1280" t="s">
        <v>1439</v>
      </c>
      <c r="I1280">
        <v>2012</v>
      </c>
      <c r="M1280" s="25" t="s">
        <v>36</v>
      </c>
      <c r="N1280" t="s">
        <v>36</v>
      </c>
      <c r="O1280" t="s">
        <v>74</v>
      </c>
      <c r="P1280" t="s">
        <v>60</v>
      </c>
      <c r="Q1280" t="s">
        <v>899</v>
      </c>
      <c r="R1280" t="s">
        <v>828</v>
      </c>
      <c r="S1280" t="s">
        <v>1406</v>
      </c>
      <c r="T1280">
        <v>60</v>
      </c>
      <c r="V1280" t="s">
        <v>907</v>
      </c>
      <c r="Z1280">
        <v>6</v>
      </c>
      <c r="AA1280">
        <v>6</v>
      </c>
      <c r="AG1280" t="str">
        <f t="shared" si="109"/>
        <v>38HELLO_Acartia_sp_D0_CO2NA_TNA_control_outcome77.80</v>
      </c>
      <c r="AI1280">
        <v>20</v>
      </c>
      <c r="AJ1280" t="s">
        <v>1499</v>
      </c>
      <c r="AK1280" t="s">
        <v>59</v>
      </c>
      <c r="AM1280"/>
      <c r="AN1280">
        <v>77.8</v>
      </c>
      <c r="AO1280">
        <v>0</v>
      </c>
      <c r="AP1280">
        <v>96.9</v>
      </c>
      <c r="AQ1280">
        <v>0</v>
      </c>
      <c r="AS1280">
        <f t="shared" si="110"/>
        <v>0.21953808771237426</v>
      </c>
      <c r="AT1280">
        <f t="shared" si="111"/>
        <v>0</v>
      </c>
      <c r="AW1280" s="28" t="e">
        <f t="shared" si="103"/>
        <v>#DIV/0!</v>
      </c>
      <c r="AX1280">
        <f t="shared" si="104"/>
        <v>0.92307692307692313</v>
      </c>
      <c r="AY1280" s="62" t="e">
        <f t="shared" si="105"/>
        <v>#DIV/0!</v>
      </c>
      <c r="AZ1280" s="68" t="e">
        <f t="shared" si="106"/>
        <v>#DIV/0!</v>
      </c>
      <c r="BA1280" s="68" t="e">
        <f t="shared" si="107"/>
        <v>#DIV/0!</v>
      </c>
    </row>
    <row r="1281" spans="1:53" hidden="1">
      <c r="A1281" t="s">
        <v>1280</v>
      </c>
      <c r="B1281" t="str">
        <f t="shared" si="108"/>
        <v>1281_Hamraj</v>
      </c>
      <c r="C1281" t="s">
        <v>1489</v>
      </c>
      <c r="F1281" t="s">
        <v>1241</v>
      </c>
      <c r="G1281" t="s">
        <v>1440</v>
      </c>
      <c r="I1281">
        <v>2012</v>
      </c>
      <c r="M1281" s="25" t="s">
        <v>36</v>
      </c>
      <c r="N1281" t="s">
        <v>36</v>
      </c>
      <c r="O1281" t="s">
        <v>74</v>
      </c>
      <c r="P1281" t="s">
        <v>60</v>
      </c>
      <c r="Q1281" t="s">
        <v>899</v>
      </c>
      <c r="R1281" t="s">
        <v>828</v>
      </c>
      <c r="S1281" t="s">
        <v>1406</v>
      </c>
      <c r="T1281">
        <v>60</v>
      </c>
      <c r="V1281" t="s">
        <v>907</v>
      </c>
      <c r="Z1281">
        <v>19</v>
      </c>
      <c r="AA1281">
        <v>18</v>
      </c>
      <c r="AG1281" t="str">
        <f t="shared" si="109"/>
        <v>38HELLO_Acartia_sp_D0_CO2NA_TNA_control_outcome91.53</v>
      </c>
      <c r="AI1281">
        <v>20</v>
      </c>
      <c r="AJ1281" t="s">
        <v>1499</v>
      </c>
      <c r="AK1281" t="s">
        <v>59</v>
      </c>
      <c r="AM1281"/>
      <c r="AN1281">
        <v>91.526315789999998</v>
      </c>
      <c r="AO1281">
        <v>7.6620886410000004</v>
      </c>
      <c r="AP1281">
        <v>91.5</v>
      </c>
      <c r="AQ1281">
        <v>6.4557316079999998</v>
      </c>
      <c r="AS1281">
        <f t="shared" si="110"/>
        <v>-2.8756291211706753E-4</v>
      </c>
      <c r="AT1281">
        <f t="shared" si="111"/>
        <v>6.4540078589102551E-4</v>
      </c>
      <c r="AW1281" s="28">
        <f t="shared" si="103"/>
        <v>-3.7055181320947853E-3</v>
      </c>
      <c r="AX1281">
        <f t="shared" si="104"/>
        <v>0.97841726618705038</v>
      </c>
      <c r="AY1281" s="62">
        <f t="shared" si="105"/>
        <v>-3.6255429206107251E-3</v>
      </c>
      <c r="AZ1281" s="68" t="str">
        <f t="shared" si="106"/>
        <v>No</v>
      </c>
      <c r="BA1281" s="68" t="str">
        <f t="shared" si="107"/>
        <v>No</v>
      </c>
    </row>
    <row r="1282" spans="1:53" hidden="1">
      <c r="A1282" t="s">
        <v>1280</v>
      </c>
      <c r="B1282" t="str">
        <f t="shared" si="108"/>
        <v>1282_Hamraj</v>
      </c>
      <c r="C1282" t="s">
        <v>1489</v>
      </c>
      <c r="F1282" t="s">
        <v>1241</v>
      </c>
      <c r="G1282" t="s">
        <v>1441</v>
      </c>
      <c r="I1282">
        <v>2012</v>
      </c>
      <c r="M1282" s="25" t="s">
        <v>36</v>
      </c>
      <c r="N1282" t="s">
        <v>36</v>
      </c>
      <c r="O1282" t="s">
        <v>74</v>
      </c>
      <c r="P1282" t="s">
        <v>60</v>
      </c>
      <c r="Q1282" t="s">
        <v>899</v>
      </c>
      <c r="R1282" t="s">
        <v>828</v>
      </c>
      <c r="S1282" t="s">
        <v>1406</v>
      </c>
      <c r="T1282">
        <v>60</v>
      </c>
      <c r="V1282" t="s">
        <v>907</v>
      </c>
      <c r="Z1282">
        <v>33</v>
      </c>
      <c r="AA1282">
        <v>24</v>
      </c>
      <c r="AG1282" t="str">
        <f t="shared" si="109"/>
        <v>38HELLO_Acartia_sp_D0_CO2NA_TNA_control_outcome92.21</v>
      </c>
      <c r="AI1282">
        <v>20</v>
      </c>
      <c r="AJ1282" t="s">
        <v>1499</v>
      </c>
      <c r="AK1282" t="s">
        <v>59</v>
      </c>
      <c r="AM1282"/>
      <c r="AN1282">
        <v>92.212121210000006</v>
      </c>
      <c r="AO1282">
        <v>6.6321073940000002</v>
      </c>
      <c r="AP1282">
        <v>98.416666669999998</v>
      </c>
      <c r="AQ1282">
        <v>2.5523504369999999</v>
      </c>
      <c r="AS1282">
        <f t="shared" si="110"/>
        <v>6.5118578035743724E-2</v>
      </c>
      <c r="AT1282">
        <f t="shared" si="111"/>
        <v>1.8477614109415813E-4</v>
      </c>
      <c r="AW1282" s="28">
        <f t="shared" ref="AW1282:AW1345" si="112">(AP1282-$AN1282)/SQRT(((AA1282-1)*AQ1282*AQ1282+($Z1282-1)*$AO1282*$AO1282)/(AA1282+$Z1282-2))</f>
        <v>1.1659996319668529</v>
      </c>
      <c r="AX1282">
        <f t="shared" ref="AX1282:AX1345" si="113">1-(3/(4*(AA1282+$Z1282-2)-1))</f>
        <v>0.98630136986301364</v>
      </c>
      <c r="AY1282" s="62">
        <f t="shared" ref="AY1282:AY1345" si="114">AX1282*AW1282</f>
        <v>1.1500270342686767</v>
      </c>
      <c r="AZ1282" s="68" t="str">
        <f t="shared" ref="AZ1282:AZ1345" si="115">IF(AY1282&gt;10,"Yes","No")</f>
        <v>No</v>
      </c>
      <c r="BA1282" s="68" t="str">
        <f t="shared" ref="BA1282:BA1345" si="116">IF(AY1282&lt;-10,"Yes","No")</f>
        <v>No</v>
      </c>
    </row>
    <row r="1283" spans="1:53" hidden="1">
      <c r="A1283" t="s">
        <v>1280</v>
      </c>
      <c r="B1283" t="str">
        <f t="shared" si="108"/>
        <v>1283_Hamraj</v>
      </c>
      <c r="C1283" t="s">
        <v>1490</v>
      </c>
      <c r="F1283" t="s">
        <v>1241</v>
      </c>
      <c r="G1283" t="s">
        <v>1442</v>
      </c>
      <c r="I1283">
        <v>2014</v>
      </c>
      <c r="M1283" s="25" t="s">
        <v>36</v>
      </c>
      <c r="N1283" t="s">
        <v>36</v>
      </c>
      <c r="O1283" t="s">
        <v>74</v>
      </c>
      <c r="P1283" t="s">
        <v>60</v>
      </c>
      <c r="Q1283" t="s">
        <v>899</v>
      </c>
      <c r="R1283" t="s">
        <v>828</v>
      </c>
      <c r="S1283" t="s">
        <v>1409</v>
      </c>
      <c r="T1283">
        <v>60</v>
      </c>
      <c r="V1283" t="s">
        <v>907</v>
      </c>
      <c r="Z1283">
        <v>5</v>
      </c>
      <c r="AA1283">
        <v>5</v>
      </c>
      <c r="AG1283" t="str">
        <f t="shared" si="109"/>
        <v>39HELLO_Acartia_clausi_D0_CO2NA_TNA_control_outcome45.34</v>
      </c>
      <c r="AI1283">
        <v>20</v>
      </c>
      <c r="AJ1283" t="s">
        <v>1499</v>
      </c>
      <c r="AK1283" t="s">
        <v>59</v>
      </c>
      <c r="AM1283"/>
      <c r="AN1283">
        <v>45.34</v>
      </c>
      <c r="AO1283">
        <v>12.075926470000001</v>
      </c>
      <c r="AP1283">
        <v>51.82</v>
      </c>
      <c r="AQ1283">
        <v>10.517699370000001</v>
      </c>
      <c r="AS1283">
        <f t="shared" si="110"/>
        <v>0.13358653005458088</v>
      </c>
      <c r="AT1283">
        <f t="shared" si="111"/>
        <v>2.242660703424388E-2</v>
      </c>
      <c r="AW1283" s="28">
        <f t="shared" si="112"/>
        <v>0.57225375602685224</v>
      </c>
      <c r="AX1283">
        <f t="shared" si="113"/>
        <v>0.90322580645161288</v>
      </c>
      <c r="AY1283" s="62">
        <f t="shared" si="114"/>
        <v>0.51687436028231815</v>
      </c>
      <c r="AZ1283" s="68" t="str">
        <f t="shared" si="115"/>
        <v>No</v>
      </c>
      <c r="BA1283" s="68" t="str">
        <f t="shared" si="116"/>
        <v>No</v>
      </c>
    </row>
    <row r="1284" spans="1:53" hidden="1">
      <c r="A1284" t="s">
        <v>1280</v>
      </c>
      <c r="B1284" t="str">
        <f t="shared" si="108"/>
        <v>1284_Hamraj</v>
      </c>
      <c r="C1284" t="s">
        <v>1491</v>
      </c>
      <c r="F1284" t="s">
        <v>1241</v>
      </c>
      <c r="G1284" t="s">
        <v>1443</v>
      </c>
      <c r="I1284">
        <v>2003</v>
      </c>
      <c r="M1284" s="25" t="s">
        <v>36</v>
      </c>
      <c r="N1284" t="s">
        <v>36</v>
      </c>
      <c r="O1284" t="s">
        <v>74</v>
      </c>
      <c r="P1284" t="s">
        <v>60</v>
      </c>
      <c r="Q1284" t="s">
        <v>899</v>
      </c>
      <c r="R1284" t="s">
        <v>828</v>
      </c>
      <c r="S1284" t="s">
        <v>851</v>
      </c>
      <c r="T1284">
        <v>50</v>
      </c>
      <c r="V1284" t="s">
        <v>907</v>
      </c>
      <c r="Z1284">
        <v>50</v>
      </c>
      <c r="AA1284">
        <v>50</v>
      </c>
      <c r="AG1284" t="str">
        <f t="shared" si="109"/>
        <v>40HELLO_Acartia_bifilosa_D0_CO2NA_TNA_control_outcome19.50</v>
      </c>
      <c r="AI1284">
        <v>10</v>
      </c>
      <c r="AJ1284" t="s">
        <v>1499</v>
      </c>
      <c r="AK1284" t="s">
        <v>59</v>
      </c>
      <c r="AM1284"/>
      <c r="AN1284">
        <v>19.5</v>
      </c>
      <c r="AO1284">
        <v>5.23</v>
      </c>
      <c r="AP1284">
        <v>53.4</v>
      </c>
      <c r="AQ1284">
        <v>24.8</v>
      </c>
      <c r="AS1284">
        <f t="shared" si="110"/>
        <v>1.0073962803964482</v>
      </c>
      <c r="AT1284">
        <f t="shared" si="111"/>
        <v>5.7523888032718897E-3</v>
      </c>
      <c r="AW1284" s="28">
        <f t="shared" si="112"/>
        <v>1.8915347744909841</v>
      </c>
      <c r="AX1284">
        <f t="shared" si="113"/>
        <v>0.99232736572890023</v>
      </c>
      <c r="AY1284" s="62">
        <f t="shared" si="114"/>
        <v>1.8770217199552475</v>
      </c>
      <c r="AZ1284" s="68" t="str">
        <f t="shared" si="115"/>
        <v>No</v>
      </c>
      <c r="BA1284" s="68" t="str">
        <f t="shared" si="116"/>
        <v>No</v>
      </c>
    </row>
    <row r="1285" spans="1:53" hidden="1">
      <c r="A1285" t="s">
        <v>1280</v>
      </c>
      <c r="B1285" t="str">
        <f t="shared" si="108"/>
        <v>1285_Hamraj</v>
      </c>
      <c r="C1285" t="s">
        <v>1491</v>
      </c>
      <c r="F1285" t="s">
        <v>1241</v>
      </c>
      <c r="G1285" t="s">
        <v>1444</v>
      </c>
      <c r="I1285">
        <v>2003</v>
      </c>
      <c r="M1285" s="25" t="s">
        <v>36</v>
      </c>
      <c r="N1285" t="s">
        <v>36</v>
      </c>
      <c r="O1285" t="s">
        <v>74</v>
      </c>
      <c r="P1285" t="s">
        <v>60</v>
      </c>
      <c r="Q1285" t="s">
        <v>899</v>
      </c>
      <c r="R1285" t="s">
        <v>828</v>
      </c>
      <c r="S1285" t="s">
        <v>851</v>
      </c>
      <c r="T1285">
        <v>50</v>
      </c>
      <c r="V1285" t="s">
        <v>907</v>
      </c>
      <c r="Z1285">
        <v>50</v>
      </c>
      <c r="AA1285">
        <v>50</v>
      </c>
      <c r="AG1285" t="str">
        <f t="shared" si="109"/>
        <v>40HELLO_Acartia_bifilosa_D0_CO2NA_TNA_control_outcome19.50</v>
      </c>
      <c r="AI1285">
        <v>20</v>
      </c>
      <c r="AJ1285" t="s">
        <v>1499</v>
      </c>
      <c r="AK1285" t="s">
        <v>59</v>
      </c>
      <c r="AM1285"/>
      <c r="AN1285">
        <v>19.5</v>
      </c>
      <c r="AO1285">
        <v>5.23</v>
      </c>
      <c r="AP1285">
        <v>48</v>
      </c>
      <c r="AQ1285">
        <v>5.67</v>
      </c>
      <c r="AS1285">
        <f t="shared" si="110"/>
        <v>0.90078654533819025</v>
      </c>
      <c r="AT1285">
        <f t="shared" si="111"/>
        <v>1.7177501284105854E-3</v>
      </c>
      <c r="AW1285" s="28">
        <f t="shared" si="112"/>
        <v>5.2251023984962099</v>
      </c>
      <c r="AX1285">
        <f t="shared" si="113"/>
        <v>0.99232736572890023</v>
      </c>
      <c r="AY1285" s="62">
        <f t="shared" si="114"/>
        <v>5.1850120987635027</v>
      </c>
      <c r="AZ1285" s="68" t="str">
        <f t="shared" si="115"/>
        <v>No</v>
      </c>
      <c r="BA1285" s="68" t="str">
        <f t="shared" si="116"/>
        <v>No</v>
      </c>
    </row>
    <row r="1286" spans="1:53" hidden="1">
      <c r="A1286" t="s">
        <v>1280</v>
      </c>
      <c r="B1286" t="str">
        <f t="shared" si="108"/>
        <v>1286_Hamraj</v>
      </c>
      <c r="C1286" t="s">
        <v>1491</v>
      </c>
      <c r="F1286" t="s">
        <v>1241</v>
      </c>
      <c r="G1286" t="s">
        <v>1445</v>
      </c>
      <c r="I1286">
        <v>2003</v>
      </c>
      <c r="M1286" s="25" t="s">
        <v>36</v>
      </c>
      <c r="N1286" t="s">
        <v>36</v>
      </c>
      <c r="O1286" t="s">
        <v>74</v>
      </c>
      <c r="P1286" t="s">
        <v>60</v>
      </c>
      <c r="Q1286" t="s">
        <v>899</v>
      </c>
      <c r="R1286" t="s">
        <v>828</v>
      </c>
      <c r="S1286" t="s">
        <v>1409</v>
      </c>
      <c r="T1286">
        <v>50</v>
      </c>
      <c r="V1286" t="s">
        <v>907</v>
      </c>
      <c r="Z1286">
        <v>50</v>
      </c>
      <c r="AA1286">
        <v>50</v>
      </c>
      <c r="AG1286" t="str">
        <f t="shared" si="109"/>
        <v>40HELLO_Acartia_clausi_D0_CO2NA_TNA_control_outcome41.60</v>
      </c>
      <c r="AI1286">
        <v>10</v>
      </c>
      <c r="AJ1286" t="s">
        <v>1499</v>
      </c>
      <c r="AK1286" t="s">
        <v>59</v>
      </c>
      <c r="AM1286"/>
      <c r="AN1286">
        <v>41.6</v>
      </c>
      <c r="AO1286">
        <v>33.6</v>
      </c>
      <c r="AP1286">
        <v>33.1</v>
      </c>
      <c r="AQ1286">
        <v>13.3</v>
      </c>
      <c r="AS1286">
        <f t="shared" si="110"/>
        <v>-0.22856688488420041</v>
      </c>
      <c r="AT1286">
        <f t="shared" si="111"/>
        <v>1.6276406016069833E-2</v>
      </c>
      <c r="AW1286" s="28">
        <f t="shared" si="112"/>
        <v>-0.3326498077979605</v>
      </c>
      <c r="AX1286">
        <f t="shared" si="113"/>
        <v>0.99232736572890023</v>
      </c>
      <c r="AY1286" s="62">
        <f t="shared" si="114"/>
        <v>-0.3300975074823751</v>
      </c>
      <c r="AZ1286" s="68" t="str">
        <f t="shared" si="115"/>
        <v>No</v>
      </c>
      <c r="BA1286" s="68" t="str">
        <f t="shared" si="116"/>
        <v>No</v>
      </c>
    </row>
    <row r="1287" spans="1:53" hidden="1">
      <c r="A1287" t="s">
        <v>1280</v>
      </c>
      <c r="B1287" t="str">
        <f t="shared" si="108"/>
        <v>1287_Hamraj</v>
      </c>
      <c r="C1287" t="s">
        <v>1491</v>
      </c>
      <c r="F1287" t="s">
        <v>1241</v>
      </c>
      <c r="G1287" t="s">
        <v>1446</v>
      </c>
      <c r="I1287">
        <v>2003</v>
      </c>
      <c r="M1287" s="25" t="s">
        <v>36</v>
      </c>
      <c r="N1287" t="s">
        <v>36</v>
      </c>
      <c r="O1287" t="s">
        <v>74</v>
      </c>
      <c r="P1287" t="s">
        <v>60</v>
      </c>
      <c r="Q1287" t="s">
        <v>899</v>
      </c>
      <c r="R1287" t="s">
        <v>828</v>
      </c>
      <c r="S1287" t="s">
        <v>1409</v>
      </c>
      <c r="T1287">
        <v>50</v>
      </c>
      <c r="V1287" t="s">
        <v>907</v>
      </c>
      <c r="Z1287">
        <v>50</v>
      </c>
      <c r="AA1287">
        <v>50</v>
      </c>
      <c r="AG1287" t="str">
        <f t="shared" si="109"/>
        <v>40HELLO_Acartia_clausi_D0_CO2NA_TNA_control_outcome41.60</v>
      </c>
      <c r="AI1287">
        <v>20</v>
      </c>
      <c r="AJ1287" t="s">
        <v>1499</v>
      </c>
      <c r="AK1287" t="s">
        <v>59</v>
      </c>
      <c r="AM1287"/>
      <c r="AN1287">
        <v>41.6</v>
      </c>
      <c r="AO1287">
        <v>33.6</v>
      </c>
      <c r="AP1287">
        <v>59.9</v>
      </c>
      <c r="AQ1287">
        <v>3.35</v>
      </c>
      <c r="AS1287">
        <f t="shared" si="110"/>
        <v>0.36457633785418553</v>
      </c>
      <c r="AT1287">
        <f t="shared" si="111"/>
        <v>1.3109892845119977E-2</v>
      </c>
      <c r="AW1287" s="28">
        <f t="shared" si="112"/>
        <v>0.7664413057086048</v>
      </c>
      <c r="AX1287">
        <f t="shared" si="113"/>
        <v>0.99232736572890023</v>
      </c>
      <c r="AY1287" s="62">
        <f t="shared" si="114"/>
        <v>0.76056068187963854</v>
      </c>
      <c r="AZ1287" s="68" t="str">
        <f t="shared" si="115"/>
        <v>No</v>
      </c>
      <c r="BA1287" s="68" t="str">
        <f t="shared" si="116"/>
        <v>No</v>
      </c>
    </row>
    <row r="1288" spans="1:53" hidden="1">
      <c r="A1288" t="s">
        <v>1280</v>
      </c>
      <c r="B1288" t="str">
        <f t="shared" si="108"/>
        <v>1288_Hamraj</v>
      </c>
      <c r="C1288" t="s">
        <v>1491</v>
      </c>
      <c r="F1288" t="s">
        <v>1241</v>
      </c>
      <c r="G1288" t="s">
        <v>1447</v>
      </c>
      <c r="I1288">
        <v>2003</v>
      </c>
      <c r="M1288" s="25" t="s">
        <v>36</v>
      </c>
      <c r="N1288" t="s">
        <v>36</v>
      </c>
      <c r="O1288" t="s">
        <v>74</v>
      </c>
      <c r="P1288" t="s">
        <v>60</v>
      </c>
      <c r="Q1288" t="s">
        <v>899</v>
      </c>
      <c r="R1288" t="s">
        <v>828</v>
      </c>
      <c r="S1288" t="s">
        <v>1410</v>
      </c>
      <c r="T1288">
        <v>50</v>
      </c>
      <c r="V1288" t="s">
        <v>907</v>
      </c>
      <c r="Z1288">
        <v>50</v>
      </c>
      <c r="AA1288">
        <v>50</v>
      </c>
      <c r="AG1288" t="str">
        <f t="shared" si="109"/>
        <v>40HELLO_Acartia_discaudata_D0_CO2NA_TNA_control_outcome42.60</v>
      </c>
      <c r="AI1288">
        <v>10</v>
      </c>
      <c r="AJ1288" t="s">
        <v>1499</v>
      </c>
      <c r="AK1288" t="s">
        <v>59</v>
      </c>
      <c r="AM1288"/>
      <c r="AN1288">
        <v>42.6</v>
      </c>
      <c r="AO1288">
        <v>10.7</v>
      </c>
      <c r="AP1288">
        <v>60.3</v>
      </c>
      <c r="AQ1288">
        <v>4.37</v>
      </c>
      <c r="AS1288">
        <f t="shared" si="110"/>
        <v>0.34747785045781487</v>
      </c>
      <c r="AT1288">
        <f t="shared" si="111"/>
        <v>1.3668054953787521E-3</v>
      </c>
      <c r="AW1288" s="28">
        <f t="shared" si="112"/>
        <v>2.1657400524521475</v>
      </c>
      <c r="AX1288">
        <f t="shared" si="113"/>
        <v>0.99232736572890023</v>
      </c>
      <c r="AY1288" s="62">
        <f t="shared" si="114"/>
        <v>2.1491231211034099</v>
      </c>
      <c r="AZ1288" s="68" t="str">
        <f t="shared" si="115"/>
        <v>No</v>
      </c>
      <c r="BA1288" s="68" t="str">
        <f t="shared" si="116"/>
        <v>No</v>
      </c>
    </row>
    <row r="1289" spans="1:53" hidden="1">
      <c r="A1289" t="s">
        <v>1280</v>
      </c>
      <c r="B1289" t="str">
        <f t="shared" si="108"/>
        <v>1289_Hamraj</v>
      </c>
      <c r="C1289" t="s">
        <v>1491</v>
      </c>
      <c r="F1289" t="s">
        <v>1241</v>
      </c>
      <c r="G1289" t="s">
        <v>1448</v>
      </c>
      <c r="I1289">
        <v>2003</v>
      </c>
      <c r="M1289" s="25" t="s">
        <v>36</v>
      </c>
      <c r="N1289" t="s">
        <v>36</v>
      </c>
      <c r="O1289" t="s">
        <v>74</v>
      </c>
      <c r="P1289" t="s">
        <v>60</v>
      </c>
      <c r="Q1289" t="s">
        <v>899</v>
      </c>
      <c r="R1289" t="s">
        <v>828</v>
      </c>
      <c r="S1289" t="s">
        <v>1410</v>
      </c>
      <c r="T1289">
        <v>50</v>
      </c>
      <c r="V1289" t="s">
        <v>907</v>
      </c>
      <c r="Z1289">
        <v>50</v>
      </c>
      <c r="AA1289">
        <v>50</v>
      </c>
      <c r="AG1289" t="str">
        <f t="shared" si="109"/>
        <v>40HELLO_Acartia_discaudata_D0_CO2NA_TNA_control_outcome42.60</v>
      </c>
      <c r="AI1289">
        <v>20</v>
      </c>
      <c r="AJ1289" t="s">
        <v>1499</v>
      </c>
      <c r="AK1289" t="s">
        <v>59</v>
      </c>
      <c r="AM1289"/>
      <c r="AN1289">
        <v>42.6</v>
      </c>
      <c r="AO1289">
        <v>10.7</v>
      </c>
      <c r="AP1289">
        <v>56.7</v>
      </c>
      <c r="AQ1289">
        <v>8.2100000000000009</v>
      </c>
      <c r="AS1289">
        <f t="shared" si="110"/>
        <v>0.28591995745838172</v>
      </c>
      <c r="AT1289">
        <f t="shared" si="111"/>
        <v>1.6810890969456455E-3</v>
      </c>
      <c r="AW1289" s="28">
        <f t="shared" si="112"/>
        <v>1.4785118318274466</v>
      </c>
      <c r="AX1289">
        <f t="shared" si="113"/>
        <v>0.99232736572890023</v>
      </c>
      <c r="AY1289" s="62">
        <f t="shared" si="114"/>
        <v>1.4671677512763408</v>
      </c>
      <c r="AZ1289" s="68" t="str">
        <f t="shared" si="115"/>
        <v>No</v>
      </c>
      <c r="BA1289" s="68" t="str">
        <f t="shared" si="116"/>
        <v>No</v>
      </c>
    </row>
    <row r="1290" spans="1:53" hidden="1">
      <c r="A1290" t="s">
        <v>1280</v>
      </c>
      <c r="B1290" t="str">
        <f t="shared" si="108"/>
        <v>1290_Hamraj</v>
      </c>
      <c r="C1290" t="s">
        <v>1491</v>
      </c>
      <c r="F1290" t="s">
        <v>1241</v>
      </c>
      <c r="G1290" t="s">
        <v>1449</v>
      </c>
      <c r="I1290">
        <v>2003</v>
      </c>
      <c r="M1290" s="25" t="s">
        <v>36</v>
      </c>
      <c r="N1290" t="s">
        <v>36</v>
      </c>
      <c r="O1290" t="s">
        <v>74</v>
      </c>
      <c r="P1290" t="s">
        <v>60</v>
      </c>
      <c r="Q1290" t="s">
        <v>899</v>
      </c>
      <c r="R1290" t="s">
        <v>828</v>
      </c>
      <c r="S1290" t="s">
        <v>807</v>
      </c>
      <c r="T1290">
        <v>50</v>
      </c>
      <c r="V1290" t="s">
        <v>907</v>
      </c>
      <c r="Z1290">
        <v>50</v>
      </c>
      <c r="AA1290">
        <v>50</v>
      </c>
      <c r="AG1290" t="str">
        <f t="shared" si="109"/>
        <v>40HELLO_Acartia_tonsa_D0_CO2NA_TNA_control_outcome13.10</v>
      </c>
      <c r="AI1290">
        <v>10</v>
      </c>
      <c r="AJ1290" t="s">
        <v>1499</v>
      </c>
      <c r="AK1290" t="s">
        <v>59</v>
      </c>
      <c r="AM1290"/>
      <c r="AN1290">
        <v>13.1</v>
      </c>
      <c r="AO1290">
        <v>7.09</v>
      </c>
      <c r="AP1290">
        <v>21.9</v>
      </c>
      <c r="AQ1290">
        <v>11.9</v>
      </c>
      <c r="AS1290">
        <f t="shared" si="110"/>
        <v>0.51387440661534933</v>
      </c>
      <c r="AT1290">
        <f t="shared" si="111"/>
        <v>1.1763626168053203E-2</v>
      </c>
      <c r="AW1290" s="28">
        <f t="shared" si="112"/>
        <v>0.89843148950838581</v>
      </c>
      <c r="AX1290">
        <f t="shared" si="113"/>
        <v>0.99232736572890023</v>
      </c>
      <c r="AY1290" s="62">
        <f t="shared" si="114"/>
        <v>0.89153815327174857</v>
      </c>
      <c r="AZ1290" s="68" t="str">
        <f t="shared" si="115"/>
        <v>No</v>
      </c>
      <c r="BA1290" s="68" t="str">
        <f t="shared" si="116"/>
        <v>No</v>
      </c>
    </row>
    <row r="1291" spans="1:53" hidden="1">
      <c r="A1291" t="s">
        <v>1280</v>
      </c>
      <c r="B1291" t="str">
        <f t="shared" si="108"/>
        <v>1291_Hamraj</v>
      </c>
      <c r="C1291" t="s">
        <v>1491</v>
      </c>
      <c r="F1291" t="s">
        <v>1241</v>
      </c>
      <c r="G1291" t="s">
        <v>1450</v>
      </c>
      <c r="I1291">
        <v>2003</v>
      </c>
      <c r="M1291" s="25" t="s">
        <v>36</v>
      </c>
      <c r="N1291" t="s">
        <v>36</v>
      </c>
      <c r="O1291" t="s">
        <v>74</v>
      </c>
      <c r="P1291" t="s">
        <v>60</v>
      </c>
      <c r="Q1291" t="s">
        <v>899</v>
      </c>
      <c r="R1291" t="s">
        <v>828</v>
      </c>
      <c r="S1291" t="s">
        <v>807</v>
      </c>
      <c r="T1291">
        <v>50</v>
      </c>
      <c r="V1291" t="s">
        <v>907</v>
      </c>
      <c r="Z1291">
        <v>50</v>
      </c>
      <c r="AA1291">
        <v>50</v>
      </c>
      <c r="AG1291" t="str">
        <f t="shared" si="109"/>
        <v>40HELLO_Acartia_tonsa_D0_CO2NA_TNA_control_outcome13.10</v>
      </c>
      <c r="AI1291">
        <v>20</v>
      </c>
      <c r="AJ1291" t="s">
        <v>1499</v>
      </c>
      <c r="AK1291" t="s">
        <v>59</v>
      </c>
      <c r="AM1291"/>
      <c r="AN1291">
        <v>13.1</v>
      </c>
      <c r="AO1291">
        <v>7.09</v>
      </c>
      <c r="AP1291">
        <v>85.4</v>
      </c>
      <c r="AQ1291">
        <v>2.38</v>
      </c>
      <c r="AS1291">
        <f t="shared" si="110"/>
        <v>1.8747338705874186</v>
      </c>
      <c r="AT1291">
        <f t="shared" si="111"/>
        <v>5.8739449732281559E-3</v>
      </c>
      <c r="AW1291" s="28">
        <f t="shared" si="112"/>
        <v>13.67165779889215</v>
      </c>
      <c r="AX1291">
        <f t="shared" si="113"/>
        <v>0.99232736572890023</v>
      </c>
      <c r="AY1291" s="62">
        <f t="shared" si="114"/>
        <v>13.566760168721622</v>
      </c>
      <c r="AZ1291" s="68" t="str">
        <f t="shared" si="115"/>
        <v>Yes</v>
      </c>
      <c r="BA1291" s="68" t="str">
        <f t="shared" si="116"/>
        <v>No</v>
      </c>
    </row>
    <row r="1292" spans="1:53" hidden="1">
      <c r="A1292" t="s">
        <v>1280</v>
      </c>
      <c r="B1292" t="str">
        <f t="shared" si="108"/>
        <v>1292_Hamraj</v>
      </c>
      <c r="C1292" t="s">
        <v>1492</v>
      </c>
      <c r="F1292" t="s">
        <v>1241</v>
      </c>
      <c r="G1292" t="s">
        <v>1451</v>
      </c>
      <c r="I1292">
        <v>2010</v>
      </c>
      <c r="M1292" s="25" t="s">
        <v>36</v>
      </c>
      <c r="N1292" t="s">
        <v>36</v>
      </c>
      <c r="O1292" t="s">
        <v>74</v>
      </c>
      <c r="P1292" t="s">
        <v>60</v>
      </c>
      <c r="Q1292" t="s">
        <v>899</v>
      </c>
      <c r="R1292" t="s">
        <v>828</v>
      </c>
      <c r="S1292" t="s">
        <v>807</v>
      </c>
      <c r="T1292">
        <v>55</v>
      </c>
      <c r="V1292" t="s">
        <v>907</v>
      </c>
      <c r="Z1292">
        <v>20</v>
      </c>
      <c r="AA1292">
        <v>20</v>
      </c>
      <c r="AG1292" t="str">
        <f t="shared" si="109"/>
        <v>41HELLO_Acartia_tonsa_D0_CO2NA_TNA_control_outcome62.00</v>
      </c>
      <c r="AI1292">
        <v>9</v>
      </c>
      <c r="AJ1292" t="s">
        <v>1499</v>
      </c>
      <c r="AK1292" t="s">
        <v>59</v>
      </c>
      <c r="AM1292"/>
      <c r="AN1292">
        <v>62</v>
      </c>
      <c r="AO1292">
        <v>6</v>
      </c>
      <c r="AP1292">
        <v>91</v>
      </c>
      <c r="AQ1292">
        <v>4</v>
      </c>
      <c r="AS1292">
        <f t="shared" si="110"/>
        <v>0.38372512147175808</v>
      </c>
      <c r="AT1292">
        <f t="shared" si="111"/>
        <v>5.6486891686031776E-4</v>
      </c>
      <c r="AW1292" s="28">
        <f t="shared" si="112"/>
        <v>5.687367919007337</v>
      </c>
      <c r="AX1292">
        <f t="shared" si="113"/>
        <v>0.98013245033112584</v>
      </c>
      <c r="AY1292" s="62">
        <f t="shared" si="114"/>
        <v>5.5743738543912968</v>
      </c>
      <c r="AZ1292" s="68" t="str">
        <f t="shared" si="115"/>
        <v>No</v>
      </c>
      <c r="BA1292" s="68" t="str">
        <f t="shared" si="116"/>
        <v>No</v>
      </c>
    </row>
    <row r="1293" spans="1:53" hidden="1">
      <c r="A1293" t="s">
        <v>1280</v>
      </c>
      <c r="B1293" t="str">
        <f t="shared" si="108"/>
        <v>1293_Hamraj</v>
      </c>
      <c r="C1293" t="s">
        <v>1492</v>
      </c>
      <c r="F1293" t="s">
        <v>1241</v>
      </c>
      <c r="G1293" t="s">
        <v>1452</v>
      </c>
      <c r="I1293">
        <v>2010</v>
      </c>
      <c r="M1293" s="25" t="s">
        <v>36</v>
      </c>
      <c r="N1293" t="s">
        <v>36</v>
      </c>
      <c r="O1293" t="s">
        <v>74</v>
      </c>
      <c r="P1293" t="s">
        <v>60</v>
      </c>
      <c r="Q1293" t="s">
        <v>899</v>
      </c>
      <c r="R1293" t="s">
        <v>828</v>
      </c>
      <c r="S1293" t="s">
        <v>807</v>
      </c>
      <c r="T1293">
        <v>55</v>
      </c>
      <c r="V1293" t="s">
        <v>907</v>
      </c>
      <c r="Z1293">
        <v>20</v>
      </c>
      <c r="AA1293">
        <v>20</v>
      </c>
      <c r="AG1293" t="str">
        <f t="shared" si="109"/>
        <v>41HELLO_Acartia_tonsa_D0_CO2NA_TNA_control_outcome62.00</v>
      </c>
      <c r="AI1293">
        <v>14</v>
      </c>
      <c r="AJ1293" t="s">
        <v>1499</v>
      </c>
      <c r="AK1293" t="s">
        <v>59</v>
      </c>
      <c r="AM1293"/>
      <c r="AN1293">
        <v>62</v>
      </c>
      <c r="AO1293">
        <v>6</v>
      </c>
      <c r="AP1293">
        <v>70</v>
      </c>
      <c r="AQ1293">
        <v>20</v>
      </c>
      <c r="AS1293">
        <f t="shared" si="110"/>
        <v>0.12136085700426769</v>
      </c>
      <c r="AT1293">
        <f t="shared" si="111"/>
        <v>4.5498948799082596E-3</v>
      </c>
      <c r="AW1293" s="28">
        <f t="shared" si="112"/>
        <v>0.54182836918287713</v>
      </c>
      <c r="AX1293">
        <f t="shared" si="113"/>
        <v>0.98013245033112584</v>
      </c>
      <c r="AY1293" s="62">
        <f t="shared" si="114"/>
        <v>0.53106356714613123</v>
      </c>
      <c r="AZ1293" s="68" t="str">
        <f t="shared" si="115"/>
        <v>No</v>
      </c>
      <c r="BA1293" s="68" t="str">
        <f t="shared" si="116"/>
        <v>No</v>
      </c>
    </row>
    <row r="1294" spans="1:53" hidden="1">
      <c r="A1294" t="s">
        <v>1280</v>
      </c>
      <c r="B1294" t="str">
        <f t="shared" si="108"/>
        <v>1294_Hamraj</v>
      </c>
      <c r="C1294" t="s">
        <v>1492</v>
      </c>
      <c r="F1294" t="s">
        <v>1241</v>
      </c>
      <c r="G1294" t="s">
        <v>1453</v>
      </c>
      <c r="I1294">
        <v>2010</v>
      </c>
      <c r="M1294" s="25" t="s">
        <v>36</v>
      </c>
      <c r="N1294" t="s">
        <v>36</v>
      </c>
      <c r="O1294" t="s">
        <v>74</v>
      </c>
      <c r="P1294" t="s">
        <v>60</v>
      </c>
      <c r="Q1294" t="s">
        <v>899</v>
      </c>
      <c r="R1294" t="s">
        <v>828</v>
      </c>
      <c r="S1294" t="s">
        <v>807</v>
      </c>
      <c r="T1294">
        <v>55</v>
      </c>
      <c r="V1294" t="s">
        <v>907</v>
      </c>
      <c r="Z1294">
        <v>20</v>
      </c>
      <c r="AA1294">
        <v>20</v>
      </c>
      <c r="AG1294" t="str">
        <f t="shared" si="109"/>
        <v>41HELLO_Acartia_tonsa_D0_CO2NA_TNA_control_outcome62.00</v>
      </c>
      <c r="AI1294">
        <v>17</v>
      </c>
      <c r="AJ1294" t="s">
        <v>1499</v>
      </c>
      <c r="AK1294" t="s">
        <v>59</v>
      </c>
      <c r="AM1294"/>
      <c r="AN1294">
        <v>62</v>
      </c>
      <c r="AO1294">
        <v>6</v>
      </c>
      <c r="AP1294">
        <v>95</v>
      </c>
      <c r="AQ1294">
        <v>2</v>
      </c>
      <c r="AS1294">
        <f t="shared" si="110"/>
        <v>0.4267425065554491</v>
      </c>
      <c r="AT1294">
        <f t="shared" si="111"/>
        <v>4.9042289166697887E-4</v>
      </c>
      <c r="AW1294" s="28">
        <f t="shared" si="112"/>
        <v>7.379024325749306</v>
      </c>
      <c r="AX1294">
        <f t="shared" si="113"/>
        <v>0.98013245033112584</v>
      </c>
      <c r="AY1294" s="62">
        <f t="shared" si="114"/>
        <v>7.2324211934496514</v>
      </c>
      <c r="AZ1294" s="68" t="str">
        <f t="shared" si="115"/>
        <v>No</v>
      </c>
      <c r="BA1294" s="68" t="str">
        <f t="shared" si="116"/>
        <v>No</v>
      </c>
    </row>
    <row r="1295" spans="1:53" hidden="1">
      <c r="A1295" t="s">
        <v>1280</v>
      </c>
      <c r="B1295" t="str">
        <f t="shared" si="108"/>
        <v>1295_Hamraj</v>
      </c>
      <c r="C1295" t="s">
        <v>1492</v>
      </c>
      <c r="F1295" t="s">
        <v>1241</v>
      </c>
      <c r="G1295" t="s">
        <v>1454</v>
      </c>
      <c r="I1295">
        <v>2010</v>
      </c>
      <c r="M1295" s="25" t="s">
        <v>36</v>
      </c>
      <c r="N1295" t="s">
        <v>36</v>
      </c>
      <c r="O1295" t="s">
        <v>74</v>
      </c>
      <c r="P1295" t="s">
        <v>60</v>
      </c>
      <c r="Q1295" t="s">
        <v>899</v>
      </c>
      <c r="R1295" t="s">
        <v>828</v>
      </c>
      <c r="S1295" t="s">
        <v>807</v>
      </c>
      <c r="T1295">
        <v>55</v>
      </c>
      <c r="V1295" t="s">
        <v>907</v>
      </c>
      <c r="Z1295">
        <v>20</v>
      </c>
      <c r="AA1295">
        <v>20</v>
      </c>
      <c r="AG1295" t="str">
        <f t="shared" si="109"/>
        <v>41HELLO_Acartia_tonsa_D0_CO2NA_TNA_control_outcome62.00</v>
      </c>
      <c r="AI1295">
        <v>20</v>
      </c>
      <c r="AJ1295" t="s">
        <v>1499</v>
      </c>
      <c r="AK1295" t="s">
        <v>59</v>
      </c>
      <c r="AM1295"/>
      <c r="AN1295">
        <v>62</v>
      </c>
      <c r="AO1295">
        <v>6</v>
      </c>
      <c r="AP1295">
        <v>97</v>
      </c>
      <c r="AQ1295">
        <v>2</v>
      </c>
      <c r="AS1295">
        <f t="shared" si="110"/>
        <v>0.44757659345829115</v>
      </c>
      <c r="AT1295">
        <f t="shared" si="111"/>
        <v>4.8951847086871564E-4</v>
      </c>
      <c r="AW1295" s="28">
        <f t="shared" si="112"/>
        <v>7.8262379212492634</v>
      </c>
      <c r="AX1295">
        <f t="shared" si="113"/>
        <v>0.98013245033112584</v>
      </c>
      <c r="AY1295" s="62">
        <f t="shared" si="114"/>
        <v>7.670749750628417</v>
      </c>
      <c r="AZ1295" s="68" t="str">
        <f t="shared" si="115"/>
        <v>No</v>
      </c>
      <c r="BA1295" s="68" t="str">
        <f t="shared" si="116"/>
        <v>No</v>
      </c>
    </row>
    <row r="1296" spans="1:53" hidden="1">
      <c r="A1296" t="s">
        <v>1280</v>
      </c>
      <c r="B1296" t="str">
        <f t="shared" si="108"/>
        <v>1296_Hamraj</v>
      </c>
      <c r="C1296" t="s">
        <v>1493</v>
      </c>
      <c r="F1296" t="s">
        <v>1241</v>
      </c>
      <c r="G1296" t="s">
        <v>1455</v>
      </c>
      <c r="I1296">
        <v>2009</v>
      </c>
      <c r="M1296" s="25" t="s">
        <v>36</v>
      </c>
      <c r="N1296" t="s">
        <v>36</v>
      </c>
      <c r="O1296" t="s">
        <v>74</v>
      </c>
      <c r="P1296" t="s">
        <v>60</v>
      </c>
      <c r="Q1296" t="s">
        <v>899</v>
      </c>
      <c r="R1296" t="s">
        <v>868</v>
      </c>
      <c r="S1296" t="s">
        <v>1500</v>
      </c>
      <c r="T1296">
        <v>40</v>
      </c>
      <c r="V1296" t="s">
        <v>907</v>
      </c>
      <c r="Z1296">
        <v>87</v>
      </c>
      <c r="AA1296">
        <v>65</v>
      </c>
      <c r="AG1296" t="str">
        <f t="shared" si="109"/>
        <v>42HELLO_Pseudocyclops_xiphophorus_D0_CO2NA_TNA_control_outcome83.13</v>
      </c>
      <c r="AI1296">
        <v>20</v>
      </c>
      <c r="AJ1296" t="s">
        <v>1499</v>
      </c>
      <c r="AK1296" t="s">
        <v>59</v>
      </c>
      <c r="AM1296"/>
      <c r="AN1296">
        <v>83.127080629999995</v>
      </c>
      <c r="AO1296">
        <v>27.603411850000001</v>
      </c>
      <c r="AP1296">
        <v>99.646153850000005</v>
      </c>
      <c r="AQ1296">
        <v>2.8527988959999999</v>
      </c>
      <c r="AS1296">
        <f t="shared" si="110"/>
        <v>0.18125492052777048</v>
      </c>
      <c r="AT1296">
        <f t="shared" si="111"/>
        <v>1.2800317302117134E-3</v>
      </c>
      <c r="AW1296" s="28">
        <f t="shared" si="112"/>
        <v>0.78722720423357007</v>
      </c>
      <c r="AX1296">
        <f t="shared" si="113"/>
        <v>0.994991652754591</v>
      </c>
      <c r="AY1296" s="62">
        <f t="shared" si="114"/>
        <v>0.78328449703373582</v>
      </c>
      <c r="AZ1296" s="68" t="str">
        <f t="shared" si="115"/>
        <v>No</v>
      </c>
      <c r="BA1296" s="68" t="str">
        <f t="shared" si="116"/>
        <v>No</v>
      </c>
    </row>
    <row r="1297" spans="1:53" hidden="1">
      <c r="A1297" t="s">
        <v>1280</v>
      </c>
      <c r="B1297" t="str">
        <f t="shared" si="108"/>
        <v>1297_Hamraj</v>
      </c>
      <c r="C1297" t="s">
        <v>1493</v>
      </c>
      <c r="F1297" t="s">
        <v>1241</v>
      </c>
      <c r="G1297" t="s">
        <v>1456</v>
      </c>
      <c r="I1297">
        <v>2009</v>
      </c>
      <c r="M1297" s="25" t="s">
        <v>36</v>
      </c>
      <c r="N1297" t="s">
        <v>36</v>
      </c>
      <c r="O1297" t="s">
        <v>74</v>
      </c>
      <c r="P1297" t="s">
        <v>60</v>
      </c>
      <c r="Q1297" t="s">
        <v>899</v>
      </c>
      <c r="R1297" t="s">
        <v>868</v>
      </c>
      <c r="S1297" t="s">
        <v>1500</v>
      </c>
      <c r="T1297">
        <v>40</v>
      </c>
      <c r="V1297" t="s">
        <v>907</v>
      </c>
      <c r="Z1297">
        <v>87</v>
      </c>
      <c r="AA1297">
        <v>34</v>
      </c>
      <c r="AG1297" t="str">
        <f t="shared" si="109"/>
        <v>42HELLO_Pseudocyclops_xiphophorus_D0_CO2NA_TNA_control_outcome83.13</v>
      </c>
      <c r="AI1297">
        <v>24</v>
      </c>
      <c r="AJ1297" t="s">
        <v>1499</v>
      </c>
      <c r="AK1297" t="s">
        <v>59</v>
      </c>
      <c r="AM1297"/>
      <c r="AN1297">
        <v>83.127080629999995</v>
      </c>
      <c r="AO1297">
        <v>27.603411850000001</v>
      </c>
      <c r="AP1297">
        <v>99.029411760000002</v>
      </c>
      <c r="AQ1297">
        <v>4.0338363880000001</v>
      </c>
      <c r="AS1297">
        <f t="shared" si="110"/>
        <v>0.17504636569928511</v>
      </c>
      <c r="AT1297">
        <f t="shared" si="111"/>
        <v>1.3162229981151024E-3</v>
      </c>
      <c r="AW1297" s="28">
        <f t="shared" si="112"/>
        <v>0.67491659032367868</v>
      </c>
      <c r="AX1297">
        <f t="shared" si="113"/>
        <v>0.99368421052631584</v>
      </c>
      <c r="AY1297" s="62">
        <f t="shared" si="114"/>
        <v>0.67065395922689763</v>
      </c>
      <c r="AZ1297" s="68" t="str">
        <f t="shared" si="115"/>
        <v>No</v>
      </c>
      <c r="BA1297" s="68" t="str">
        <f t="shared" si="116"/>
        <v>No</v>
      </c>
    </row>
    <row r="1298" spans="1:53" hidden="1">
      <c r="A1298" t="s">
        <v>1280</v>
      </c>
      <c r="B1298" t="str">
        <f t="shared" si="108"/>
        <v>1298_Hamraj</v>
      </c>
      <c r="C1298" t="s">
        <v>1493</v>
      </c>
      <c r="F1298" t="s">
        <v>1241</v>
      </c>
      <c r="G1298" t="s">
        <v>1457</v>
      </c>
      <c r="I1298">
        <v>2009</v>
      </c>
      <c r="M1298" s="25" t="s">
        <v>36</v>
      </c>
      <c r="N1298" t="s">
        <v>36</v>
      </c>
      <c r="O1298" t="s">
        <v>74</v>
      </c>
      <c r="P1298" t="s">
        <v>60</v>
      </c>
      <c r="Q1298" t="s">
        <v>899</v>
      </c>
      <c r="R1298" t="s">
        <v>868</v>
      </c>
      <c r="S1298" t="s">
        <v>1500</v>
      </c>
      <c r="T1298">
        <v>40</v>
      </c>
      <c r="V1298" t="s">
        <v>907</v>
      </c>
      <c r="Z1298">
        <v>87</v>
      </c>
      <c r="AA1298">
        <v>42</v>
      </c>
      <c r="AG1298" t="str">
        <f t="shared" si="109"/>
        <v>42HELLO_Pseudocyclops_xiphophorus_D0_CO2NA_TNA_control_outcome83.13</v>
      </c>
      <c r="AI1298">
        <v>28</v>
      </c>
      <c r="AJ1298" t="s">
        <v>1499</v>
      </c>
      <c r="AK1298" t="s">
        <v>59</v>
      </c>
      <c r="AM1298"/>
      <c r="AN1298">
        <v>83.127080629999995</v>
      </c>
      <c r="AO1298">
        <v>27.603411850000001</v>
      </c>
      <c r="AP1298">
        <v>98.880952379999997</v>
      </c>
      <c r="AQ1298">
        <v>3.3070684159999999</v>
      </c>
      <c r="AS1298">
        <f t="shared" si="110"/>
        <v>0.17354609653964559</v>
      </c>
      <c r="AT1298">
        <f t="shared" si="111"/>
        <v>1.2940544304205976E-3</v>
      </c>
      <c r="AW1298" s="28">
        <f t="shared" si="112"/>
        <v>0.69118817376489627</v>
      </c>
      <c r="AX1298">
        <f t="shared" si="113"/>
        <v>0.99408284023668636</v>
      </c>
      <c r="AY1298" s="62">
        <f t="shared" si="114"/>
        <v>0.68709830291421636</v>
      </c>
      <c r="AZ1298" s="68" t="str">
        <f t="shared" si="115"/>
        <v>No</v>
      </c>
      <c r="BA1298" s="68" t="str">
        <f t="shared" si="116"/>
        <v>No</v>
      </c>
    </row>
    <row r="1299" spans="1:53" hidden="1">
      <c r="A1299" t="s">
        <v>1280</v>
      </c>
      <c r="B1299" t="str">
        <f t="shared" si="108"/>
        <v>1299_Hamraj</v>
      </c>
      <c r="C1299" t="s">
        <v>1493</v>
      </c>
      <c r="F1299" t="s">
        <v>1241</v>
      </c>
      <c r="G1299" t="s">
        <v>1458</v>
      </c>
      <c r="I1299">
        <v>2009</v>
      </c>
      <c r="M1299" s="25" t="s">
        <v>36</v>
      </c>
      <c r="N1299" t="s">
        <v>36</v>
      </c>
      <c r="O1299" t="s">
        <v>74</v>
      </c>
      <c r="P1299" t="s">
        <v>60</v>
      </c>
      <c r="Q1299" t="s">
        <v>899</v>
      </c>
      <c r="R1299" t="s">
        <v>868</v>
      </c>
      <c r="S1299" t="s">
        <v>1500</v>
      </c>
      <c r="T1299">
        <v>40</v>
      </c>
      <c r="V1299" t="s">
        <v>907</v>
      </c>
      <c r="Z1299">
        <v>87</v>
      </c>
      <c r="AA1299">
        <v>40</v>
      </c>
      <c r="AG1299" t="str">
        <f t="shared" si="109"/>
        <v>42HELLO_Pseudocyclops_xiphophorus_D0_CO2NA_TNA_control_outcome83.13</v>
      </c>
      <c r="AI1299">
        <v>30</v>
      </c>
      <c r="AJ1299" t="s">
        <v>1499</v>
      </c>
      <c r="AK1299" t="s">
        <v>59</v>
      </c>
      <c r="AM1299"/>
      <c r="AN1299">
        <v>83.127080629999995</v>
      </c>
      <c r="AO1299">
        <v>27.603411850000001</v>
      </c>
      <c r="AP1299">
        <v>99.025000000000006</v>
      </c>
      <c r="AQ1299">
        <v>4.4806564309999999</v>
      </c>
      <c r="AS1299">
        <f t="shared" si="110"/>
        <v>0.17500181470987286</v>
      </c>
      <c r="AT1299">
        <f t="shared" si="111"/>
        <v>1.3186058655313448E-3</v>
      </c>
      <c r="AW1299" s="28">
        <f t="shared" si="112"/>
        <v>0.69024622163814831</v>
      </c>
      <c r="AX1299">
        <f t="shared" si="113"/>
        <v>0.9939879759519038</v>
      </c>
      <c r="AY1299" s="62">
        <f t="shared" si="114"/>
        <v>0.68609644475455223</v>
      </c>
      <c r="AZ1299" s="68" t="str">
        <f t="shared" si="115"/>
        <v>No</v>
      </c>
      <c r="BA1299" s="68" t="str">
        <f t="shared" si="116"/>
        <v>No</v>
      </c>
    </row>
    <row r="1300" spans="1:53" hidden="1">
      <c r="A1300" t="s">
        <v>1280</v>
      </c>
      <c r="B1300" t="str">
        <f t="shared" si="108"/>
        <v>1300_Hamraj</v>
      </c>
      <c r="C1300" t="s">
        <v>1494</v>
      </c>
      <c r="F1300" t="s">
        <v>1241</v>
      </c>
      <c r="G1300" t="s">
        <v>1459</v>
      </c>
      <c r="I1300">
        <v>2018</v>
      </c>
      <c r="M1300" s="25" t="s">
        <v>36</v>
      </c>
      <c r="N1300" t="s">
        <v>36</v>
      </c>
      <c r="O1300" t="s">
        <v>74</v>
      </c>
      <c r="P1300" t="s">
        <v>60</v>
      </c>
      <c r="Q1300" t="s">
        <v>899</v>
      </c>
      <c r="R1300" t="s">
        <v>828</v>
      </c>
      <c r="S1300" t="s">
        <v>1501</v>
      </c>
      <c r="T1300">
        <v>36</v>
      </c>
      <c r="V1300" t="s">
        <v>907</v>
      </c>
      <c r="Z1300">
        <v>6</v>
      </c>
      <c r="AA1300">
        <v>6</v>
      </c>
      <c r="AG1300" t="str">
        <f t="shared" si="109"/>
        <v>43HELLO_Acartia_fancetti_D0_CO2NA_TNA_control_outcome100.00</v>
      </c>
      <c r="AI1300">
        <v>20</v>
      </c>
      <c r="AJ1300" t="s">
        <v>1499</v>
      </c>
      <c r="AK1300" t="s">
        <v>59</v>
      </c>
      <c r="AM1300"/>
      <c r="AN1300">
        <v>100</v>
      </c>
      <c r="AO1300">
        <v>0</v>
      </c>
      <c r="AP1300">
        <v>97</v>
      </c>
      <c r="AQ1300">
        <v>3</v>
      </c>
      <c r="AS1300">
        <f t="shared" si="110"/>
        <v>-3.0459207484708983E-2</v>
      </c>
      <c r="AT1300">
        <f t="shared" si="111"/>
        <v>1.5942183016261026E-4</v>
      </c>
      <c r="AW1300" s="28">
        <f t="shared" si="112"/>
        <v>-1.4142135623730951</v>
      </c>
      <c r="AX1300">
        <f t="shared" si="113"/>
        <v>0.92307692307692313</v>
      </c>
      <c r="AY1300" s="62">
        <f t="shared" si="114"/>
        <v>-1.3054279037290111</v>
      </c>
      <c r="AZ1300" s="68" t="str">
        <f t="shared" si="115"/>
        <v>No</v>
      </c>
      <c r="BA1300" s="68" t="str">
        <f t="shared" si="116"/>
        <v>No</v>
      </c>
    </row>
    <row r="1301" spans="1:53" hidden="1">
      <c r="A1301" t="s">
        <v>1280</v>
      </c>
      <c r="B1301" t="str">
        <f t="shared" si="108"/>
        <v>1301_Hamraj</v>
      </c>
      <c r="C1301" t="s">
        <v>1495</v>
      </c>
      <c r="F1301" t="s">
        <v>1241</v>
      </c>
      <c r="G1301" t="s">
        <v>1460</v>
      </c>
      <c r="I1301">
        <v>2008</v>
      </c>
      <c r="M1301" s="25" t="s">
        <v>36</v>
      </c>
      <c r="N1301" t="s">
        <v>36</v>
      </c>
      <c r="O1301" t="s">
        <v>74</v>
      </c>
      <c r="P1301" t="s">
        <v>60</v>
      </c>
      <c r="Q1301" t="s">
        <v>899</v>
      </c>
      <c r="R1301" t="s">
        <v>828</v>
      </c>
      <c r="S1301" t="s">
        <v>1502</v>
      </c>
      <c r="T1301">
        <v>16</v>
      </c>
      <c r="V1301" t="s">
        <v>907</v>
      </c>
      <c r="Z1301">
        <v>5</v>
      </c>
      <c r="AA1301">
        <v>5</v>
      </c>
      <c r="AG1301" t="str">
        <f t="shared" si="109"/>
        <v>44HELLO_Acartia_sinjiensis_D0_CO2NA_TNA_control_outcome20.00</v>
      </c>
      <c r="AI1301">
        <v>15</v>
      </c>
      <c r="AJ1301" t="s">
        <v>1499</v>
      </c>
      <c r="AK1301" t="s">
        <v>59</v>
      </c>
      <c r="AM1301"/>
      <c r="AN1301">
        <v>20</v>
      </c>
      <c r="AO1301">
        <v>2.2360679999999999E-3</v>
      </c>
      <c r="AP1301">
        <v>10</v>
      </c>
      <c r="AQ1301">
        <v>15.652475839999999</v>
      </c>
      <c r="AS1301">
        <f t="shared" si="110"/>
        <v>-0.69314718055994495</v>
      </c>
      <c r="AT1301">
        <f t="shared" si="111"/>
        <v>0.49000000234356739</v>
      </c>
      <c r="AW1301" s="28">
        <f t="shared" si="112"/>
        <v>-0.9035078938300054</v>
      </c>
      <c r="AX1301">
        <f t="shared" si="113"/>
        <v>0.90322580645161288</v>
      </c>
      <c r="AY1301" s="62">
        <f t="shared" si="114"/>
        <v>-0.81607164604000482</v>
      </c>
      <c r="AZ1301" s="68" t="str">
        <f t="shared" si="115"/>
        <v>No</v>
      </c>
      <c r="BA1301" s="68" t="str">
        <f t="shared" si="116"/>
        <v>No</v>
      </c>
    </row>
    <row r="1302" spans="1:53" hidden="1">
      <c r="A1302" t="s">
        <v>1280</v>
      </c>
      <c r="B1302" t="str">
        <f t="shared" si="108"/>
        <v>1302_Hamraj</v>
      </c>
      <c r="C1302" t="s">
        <v>1495</v>
      </c>
      <c r="F1302" t="s">
        <v>1241</v>
      </c>
      <c r="G1302" t="s">
        <v>1461</v>
      </c>
      <c r="I1302">
        <v>2008</v>
      </c>
      <c r="M1302" s="25" t="s">
        <v>36</v>
      </c>
      <c r="N1302" t="s">
        <v>36</v>
      </c>
      <c r="O1302" t="s">
        <v>74</v>
      </c>
      <c r="P1302" t="s">
        <v>60</v>
      </c>
      <c r="Q1302" t="s">
        <v>899</v>
      </c>
      <c r="R1302" t="s">
        <v>828</v>
      </c>
      <c r="S1302" t="s">
        <v>1502</v>
      </c>
      <c r="T1302">
        <v>16</v>
      </c>
      <c r="V1302" t="s">
        <v>907</v>
      </c>
      <c r="Z1302">
        <v>5</v>
      </c>
      <c r="AA1302">
        <v>5</v>
      </c>
      <c r="AG1302" t="str">
        <f t="shared" si="109"/>
        <v>44HELLO_Acartia_sinjiensis_D0_CO2NA_TNA_control_outcome20.00</v>
      </c>
      <c r="AI1302">
        <v>20</v>
      </c>
      <c r="AJ1302" t="s">
        <v>1499</v>
      </c>
      <c r="AK1302" t="s">
        <v>59</v>
      </c>
      <c r="AM1302"/>
      <c r="AN1302">
        <v>20</v>
      </c>
      <c r="AO1302">
        <v>2.2360679999999999E-3</v>
      </c>
      <c r="AP1302">
        <v>58</v>
      </c>
      <c r="AQ1302">
        <v>26.83281573</v>
      </c>
      <c r="AS1302">
        <f t="shared" si="110"/>
        <v>1.0647107369924282</v>
      </c>
      <c r="AT1302">
        <f t="shared" si="111"/>
        <v>4.2806185615346978E-2</v>
      </c>
      <c r="AW1302" s="28">
        <f t="shared" si="112"/>
        <v>2.0027758444857025</v>
      </c>
      <c r="AX1302">
        <f t="shared" si="113"/>
        <v>0.90322580645161288</v>
      </c>
      <c r="AY1302" s="62">
        <f t="shared" si="114"/>
        <v>1.8089588272774086</v>
      </c>
      <c r="AZ1302" s="68" t="str">
        <f t="shared" si="115"/>
        <v>No</v>
      </c>
      <c r="BA1302" s="68" t="str">
        <f t="shared" si="116"/>
        <v>No</v>
      </c>
    </row>
    <row r="1303" spans="1:53" hidden="1">
      <c r="A1303" t="s">
        <v>1280</v>
      </c>
      <c r="B1303" t="str">
        <f t="shared" si="108"/>
        <v>1303_Hamraj</v>
      </c>
      <c r="C1303" t="s">
        <v>1495</v>
      </c>
      <c r="F1303" t="s">
        <v>1241</v>
      </c>
      <c r="G1303" t="s">
        <v>1462</v>
      </c>
      <c r="I1303">
        <v>2008</v>
      </c>
      <c r="M1303" s="25" t="s">
        <v>36</v>
      </c>
      <c r="N1303" t="s">
        <v>36</v>
      </c>
      <c r="O1303" t="s">
        <v>74</v>
      </c>
      <c r="P1303" t="s">
        <v>60</v>
      </c>
      <c r="Q1303" t="s">
        <v>899</v>
      </c>
      <c r="R1303" t="s">
        <v>828</v>
      </c>
      <c r="S1303" t="s">
        <v>1502</v>
      </c>
      <c r="T1303">
        <v>16</v>
      </c>
      <c r="V1303" t="s">
        <v>907</v>
      </c>
      <c r="Z1303">
        <v>5</v>
      </c>
      <c r="AA1303">
        <v>5</v>
      </c>
      <c r="AG1303" t="str">
        <f t="shared" si="109"/>
        <v>44HELLO_Acartia_sinjiensis_D0_CO2NA_TNA_control_outcome20.00</v>
      </c>
      <c r="AI1303">
        <v>25</v>
      </c>
      <c r="AJ1303" t="s">
        <v>1499</v>
      </c>
      <c r="AK1303" t="s">
        <v>59</v>
      </c>
      <c r="AM1303"/>
      <c r="AN1303">
        <v>20</v>
      </c>
      <c r="AO1303">
        <v>2.2360679999999999E-3</v>
      </c>
      <c r="AP1303">
        <v>83</v>
      </c>
      <c r="AQ1303">
        <v>6.708203932</v>
      </c>
      <c r="AS1303">
        <f t="shared" si="110"/>
        <v>1.4231083342426074</v>
      </c>
      <c r="AT1303">
        <f t="shared" si="111"/>
        <v>1.3064330412484247E-3</v>
      </c>
      <c r="AW1303" s="28">
        <f t="shared" si="112"/>
        <v>13.281565435831153</v>
      </c>
      <c r="AX1303">
        <f t="shared" si="113"/>
        <v>0.90322580645161288</v>
      </c>
      <c r="AY1303" s="62">
        <f t="shared" si="114"/>
        <v>11.996252651718461</v>
      </c>
      <c r="AZ1303" s="68" t="str">
        <f t="shared" si="115"/>
        <v>Yes</v>
      </c>
      <c r="BA1303" s="68" t="str">
        <f t="shared" si="116"/>
        <v>No</v>
      </c>
    </row>
    <row r="1304" spans="1:53" hidden="1">
      <c r="A1304" t="s">
        <v>1280</v>
      </c>
      <c r="B1304" t="str">
        <f t="shared" si="108"/>
        <v>1304_Hamraj</v>
      </c>
      <c r="C1304" t="s">
        <v>1495</v>
      </c>
      <c r="F1304" t="s">
        <v>1241</v>
      </c>
      <c r="G1304" t="s">
        <v>1463</v>
      </c>
      <c r="I1304">
        <v>2008</v>
      </c>
      <c r="M1304" s="25" t="s">
        <v>36</v>
      </c>
      <c r="N1304" t="s">
        <v>36</v>
      </c>
      <c r="O1304" t="s">
        <v>74</v>
      </c>
      <c r="P1304" t="s">
        <v>60</v>
      </c>
      <c r="Q1304" t="s">
        <v>899</v>
      </c>
      <c r="R1304" t="s">
        <v>828</v>
      </c>
      <c r="S1304" t="s">
        <v>1502</v>
      </c>
      <c r="T1304">
        <v>16</v>
      </c>
      <c r="V1304" t="s">
        <v>907</v>
      </c>
      <c r="Z1304">
        <v>5</v>
      </c>
      <c r="AA1304">
        <v>5</v>
      </c>
      <c r="AG1304" t="str">
        <f t="shared" si="109"/>
        <v>44HELLO_Acartia_sinjiensis_D0_CO2NA_TNA_control_outcome20.00</v>
      </c>
      <c r="AI1304">
        <v>28</v>
      </c>
      <c r="AJ1304" t="s">
        <v>1499</v>
      </c>
      <c r="AK1304" t="s">
        <v>59</v>
      </c>
      <c r="AM1304"/>
      <c r="AN1304">
        <v>20</v>
      </c>
      <c r="AO1304">
        <v>2.2360679999999999E-3</v>
      </c>
      <c r="AP1304">
        <v>73</v>
      </c>
      <c r="AQ1304">
        <v>11.180339890000001</v>
      </c>
      <c r="AS1304">
        <f t="shared" si="110"/>
        <v>1.2947271675944001</v>
      </c>
      <c r="AT1304">
        <f t="shared" si="111"/>
        <v>4.6913141928476851E-3</v>
      </c>
      <c r="AW1304" s="28">
        <f t="shared" si="112"/>
        <v>6.704028503976696</v>
      </c>
      <c r="AX1304">
        <f t="shared" si="113"/>
        <v>0.90322580645161288</v>
      </c>
      <c r="AY1304" s="62">
        <f t="shared" si="114"/>
        <v>6.0552515519789507</v>
      </c>
      <c r="AZ1304" s="68" t="str">
        <f t="shared" si="115"/>
        <v>No</v>
      </c>
      <c r="BA1304" s="68" t="str">
        <f t="shared" si="116"/>
        <v>No</v>
      </c>
    </row>
    <row r="1305" spans="1:53" hidden="1">
      <c r="A1305" t="s">
        <v>1280</v>
      </c>
      <c r="B1305" t="str">
        <f t="shared" si="108"/>
        <v>1305_Hamraj</v>
      </c>
      <c r="C1305" t="s">
        <v>1495</v>
      </c>
      <c r="F1305" t="s">
        <v>1241</v>
      </c>
      <c r="G1305" t="s">
        <v>1464</v>
      </c>
      <c r="I1305">
        <v>2008</v>
      </c>
      <c r="M1305" s="25" t="s">
        <v>36</v>
      </c>
      <c r="N1305" t="s">
        <v>36</v>
      </c>
      <c r="O1305" t="s">
        <v>74</v>
      </c>
      <c r="P1305" t="s">
        <v>60</v>
      </c>
      <c r="Q1305" t="s">
        <v>899</v>
      </c>
      <c r="R1305" t="s">
        <v>828</v>
      </c>
      <c r="S1305" t="s">
        <v>1502</v>
      </c>
      <c r="T1305">
        <v>16</v>
      </c>
      <c r="V1305" t="s">
        <v>907</v>
      </c>
      <c r="Z1305">
        <v>5</v>
      </c>
      <c r="AA1305">
        <v>5</v>
      </c>
      <c r="AG1305" t="str">
        <f t="shared" si="109"/>
        <v>44HELLO_Acartia_sinjiensis_D0_CO2NA_TNA_control_outcome20.00</v>
      </c>
      <c r="AI1305">
        <v>30</v>
      </c>
      <c r="AJ1305" t="s">
        <v>1499</v>
      </c>
      <c r="AK1305" t="s">
        <v>59</v>
      </c>
      <c r="AM1305"/>
      <c r="AN1305">
        <v>20</v>
      </c>
      <c r="AO1305">
        <v>2.2360679999999999E-3</v>
      </c>
      <c r="AP1305">
        <v>95</v>
      </c>
      <c r="AQ1305">
        <v>6.708203932</v>
      </c>
      <c r="AS1305">
        <f t="shared" si="110"/>
        <v>1.5581446180465499</v>
      </c>
      <c r="AT1305">
        <f t="shared" si="111"/>
        <v>9.9723241674908644E-4</v>
      </c>
      <c r="AW1305" s="28">
        <f t="shared" si="112"/>
        <v>15.811387423608515</v>
      </c>
      <c r="AX1305">
        <f t="shared" si="113"/>
        <v>0.90322580645161288</v>
      </c>
      <c r="AY1305" s="62">
        <f t="shared" si="114"/>
        <v>14.28125315680769</v>
      </c>
      <c r="AZ1305" s="68" t="str">
        <f t="shared" si="115"/>
        <v>Yes</v>
      </c>
      <c r="BA1305" s="68" t="str">
        <f t="shared" si="116"/>
        <v>No</v>
      </c>
    </row>
    <row r="1306" spans="1:53" hidden="1">
      <c r="A1306" t="s">
        <v>1280</v>
      </c>
      <c r="B1306" t="str">
        <f t="shared" si="108"/>
        <v>1306_Hamraj</v>
      </c>
      <c r="C1306" t="s">
        <v>1495</v>
      </c>
      <c r="F1306" t="s">
        <v>1241</v>
      </c>
      <c r="G1306" t="s">
        <v>1465</v>
      </c>
      <c r="I1306">
        <v>2008</v>
      </c>
      <c r="M1306" s="25" t="s">
        <v>36</v>
      </c>
      <c r="N1306" t="s">
        <v>36</v>
      </c>
      <c r="O1306" t="s">
        <v>74</v>
      </c>
      <c r="P1306" t="s">
        <v>60</v>
      </c>
      <c r="Q1306" t="s">
        <v>899</v>
      </c>
      <c r="R1306" t="s">
        <v>828</v>
      </c>
      <c r="S1306" t="s">
        <v>1502</v>
      </c>
      <c r="T1306">
        <v>16</v>
      </c>
      <c r="V1306" t="s">
        <v>907</v>
      </c>
      <c r="Z1306">
        <v>5</v>
      </c>
      <c r="AA1306">
        <v>5</v>
      </c>
      <c r="AG1306" t="str">
        <f t="shared" si="109"/>
        <v>44HELLO_Acartia_sinjiensis_D0_CO2NA_TNA_control_outcome20.00</v>
      </c>
      <c r="AI1306">
        <v>34</v>
      </c>
      <c r="AJ1306" t="s">
        <v>1499</v>
      </c>
      <c r="AK1306" t="s">
        <v>59</v>
      </c>
      <c r="AM1306"/>
      <c r="AN1306">
        <v>20</v>
      </c>
      <c r="AO1306">
        <v>2.2360679999999999E-3</v>
      </c>
      <c r="AP1306">
        <v>99</v>
      </c>
      <c r="AQ1306">
        <v>2.2360679769999998</v>
      </c>
      <c r="AS1306">
        <f t="shared" si="110"/>
        <v>1.5993875765805989</v>
      </c>
      <c r="AT1306">
        <f t="shared" si="111"/>
        <v>1.0203290501514818E-4</v>
      </c>
      <c r="AW1306" s="28">
        <f t="shared" si="112"/>
        <v>49.96396205985269</v>
      </c>
      <c r="AX1306">
        <f t="shared" si="113"/>
        <v>0.90322580645161288</v>
      </c>
      <c r="AY1306" s="62">
        <f t="shared" si="114"/>
        <v>45.128739925028235</v>
      </c>
      <c r="AZ1306" s="68" t="str">
        <f t="shared" si="115"/>
        <v>Yes</v>
      </c>
      <c r="BA1306" s="68" t="str">
        <f t="shared" si="116"/>
        <v>No</v>
      </c>
    </row>
    <row r="1307" spans="1:53" hidden="1">
      <c r="A1307" t="s">
        <v>1280</v>
      </c>
      <c r="B1307" t="str">
        <f t="shared" si="108"/>
        <v>1307_Hamraj</v>
      </c>
      <c r="C1307" t="s">
        <v>1495</v>
      </c>
      <c r="F1307" t="s">
        <v>1241</v>
      </c>
      <c r="G1307" t="s">
        <v>1466</v>
      </c>
      <c r="I1307">
        <v>2008</v>
      </c>
      <c r="M1307" s="25" t="s">
        <v>36</v>
      </c>
      <c r="N1307" t="s">
        <v>36</v>
      </c>
      <c r="O1307" t="s">
        <v>74</v>
      </c>
      <c r="P1307" t="s">
        <v>60</v>
      </c>
      <c r="Q1307" t="s">
        <v>899</v>
      </c>
      <c r="R1307" t="s">
        <v>828</v>
      </c>
      <c r="S1307" t="s">
        <v>1502</v>
      </c>
      <c r="T1307">
        <v>16</v>
      </c>
      <c r="V1307" t="s">
        <v>907</v>
      </c>
      <c r="Z1307">
        <v>5</v>
      </c>
      <c r="AA1307">
        <v>5</v>
      </c>
      <c r="AG1307" t="str">
        <f t="shared" si="109"/>
        <v>44HELLO_Acartia_sinjiensis_D0_CO2NA_TNA_control_outcome20.00</v>
      </c>
      <c r="AI1307">
        <v>38</v>
      </c>
      <c r="AJ1307" t="s">
        <v>1499</v>
      </c>
      <c r="AK1307" t="s">
        <v>59</v>
      </c>
      <c r="AM1307"/>
      <c r="AN1307">
        <v>20</v>
      </c>
      <c r="AO1307">
        <v>2.2360679999999999E-3</v>
      </c>
      <c r="AP1307">
        <v>83</v>
      </c>
      <c r="AQ1307">
        <v>2.2360679999999999E-3</v>
      </c>
      <c r="AS1307">
        <f t="shared" si="110"/>
        <v>1.4231083342426074</v>
      </c>
      <c r="AT1307">
        <f t="shared" si="111"/>
        <v>2.6451590022825032E-9</v>
      </c>
      <c r="AW1307" s="28">
        <f t="shared" si="112"/>
        <v>28174.456232994704</v>
      </c>
      <c r="AX1307">
        <f t="shared" si="113"/>
        <v>0.90322580645161288</v>
      </c>
      <c r="AY1307" s="62">
        <f t="shared" si="114"/>
        <v>25447.895952382314</v>
      </c>
      <c r="AZ1307" s="68" t="str">
        <f t="shared" si="115"/>
        <v>Yes</v>
      </c>
      <c r="BA1307" s="68" t="str">
        <f t="shared" si="116"/>
        <v>No</v>
      </c>
    </row>
    <row r="1308" spans="1:53" hidden="1">
      <c r="A1308" t="s">
        <v>1280</v>
      </c>
      <c r="B1308" t="str">
        <f t="shared" si="108"/>
        <v>1308_Hamraj</v>
      </c>
      <c r="C1308" t="s">
        <v>1496</v>
      </c>
      <c r="F1308" t="s">
        <v>1241</v>
      </c>
      <c r="G1308" t="s">
        <v>1467</v>
      </c>
      <c r="I1308">
        <v>2007</v>
      </c>
      <c r="M1308" s="25" t="s">
        <v>36</v>
      </c>
      <c r="N1308" t="s">
        <v>36</v>
      </c>
      <c r="O1308" t="s">
        <v>74</v>
      </c>
      <c r="P1308" t="s">
        <v>60</v>
      </c>
      <c r="Q1308" t="s">
        <v>899</v>
      </c>
      <c r="R1308" t="s">
        <v>828</v>
      </c>
      <c r="S1308" t="s">
        <v>807</v>
      </c>
      <c r="T1308">
        <v>58</v>
      </c>
      <c r="V1308" t="s">
        <v>907</v>
      </c>
      <c r="Z1308">
        <v>6</v>
      </c>
      <c r="AA1308">
        <v>6</v>
      </c>
      <c r="AG1308" t="str">
        <f t="shared" si="109"/>
        <v>45HELLO_Acartia_tonsa_D0_CO2NA_TNA_control_outcome10.00</v>
      </c>
      <c r="AI1308">
        <v>14</v>
      </c>
      <c r="AJ1308" t="s">
        <v>1499</v>
      </c>
      <c r="AK1308" t="s">
        <v>59</v>
      </c>
      <c r="AM1308"/>
      <c r="AN1308">
        <v>10</v>
      </c>
      <c r="AO1308">
        <v>5</v>
      </c>
      <c r="AP1308">
        <v>18</v>
      </c>
      <c r="AQ1308">
        <v>1</v>
      </c>
      <c r="AS1308">
        <f t="shared" si="110"/>
        <v>0.58778666490211862</v>
      </c>
      <c r="AT1308">
        <f t="shared" si="111"/>
        <v>4.2181069958847732E-2</v>
      </c>
      <c r="AW1308" s="28">
        <f t="shared" si="112"/>
        <v>2.2188007849009166</v>
      </c>
      <c r="AX1308">
        <f t="shared" si="113"/>
        <v>0.92307692307692313</v>
      </c>
      <c r="AY1308" s="62">
        <f t="shared" si="114"/>
        <v>2.0481238014470002</v>
      </c>
      <c r="AZ1308" s="68" t="str">
        <f t="shared" si="115"/>
        <v>No</v>
      </c>
      <c r="BA1308" s="68" t="str">
        <f t="shared" si="116"/>
        <v>No</v>
      </c>
    </row>
    <row r="1309" spans="1:53" hidden="1">
      <c r="A1309" t="s">
        <v>1280</v>
      </c>
      <c r="B1309" t="str">
        <f t="shared" si="108"/>
        <v>1309_Hamraj</v>
      </c>
      <c r="C1309" t="s">
        <v>1496</v>
      </c>
      <c r="F1309" t="s">
        <v>1241</v>
      </c>
      <c r="G1309" t="s">
        <v>1468</v>
      </c>
      <c r="I1309">
        <v>2007</v>
      </c>
      <c r="M1309" s="25" t="s">
        <v>36</v>
      </c>
      <c r="N1309" t="s">
        <v>36</v>
      </c>
      <c r="O1309" t="s">
        <v>74</v>
      </c>
      <c r="P1309" t="s">
        <v>60</v>
      </c>
      <c r="Q1309" t="s">
        <v>899</v>
      </c>
      <c r="R1309" t="s">
        <v>828</v>
      </c>
      <c r="S1309" t="s">
        <v>807</v>
      </c>
      <c r="T1309">
        <v>58</v>
      </c>
      <c r="V1309" t="s">
        <v>907</v>
      </c>
      <c r="Z1309">
        <v>6</v>
      </c>
      <c r="AA1309">
        <v>6</v>
      </c>
      <c r="AG1309" t="str">
        <f t="shared" si="109"/>
        <v>45HELLO_Acartia_tonsa_D0_CO2NA_TNA_control_outcome10.00</v>
      </c>
      <c r="AI1309">
        <v>17</v>
      </c>
      <c r="AJ1309" t="s">
        <v>1499</v>
      </c>
      <c r="AK1309" t="s">
        <v>59</v>
      </c>
      <c r="AM1309"/>
      <c r="AN1309">
        <v>10</v>
      </c>
      <c r="AO1309">
        <v>5</v>
      </c>
      <c r="AP1309">
        <v>96</v>
      </c>
      <c r="AQ1309">
        <v>2</v>
      </c>
      <c r="AS1309">
        <f t="shared" si="110"/>
        <v>2.2617630984737902</v>
      </c>
      <c r="AT1309">
        <f t="shared" si="111"/>
        <v>4.1739004629629629E-2</v>
      </c>
      <c r="AW1309" s="28">
        <f t="shared" si="112"/>
        <v>22.584706451872279</v>
      </c>
      <c r="AX1309">
        <f t="shared" si="113"/>
        <v>0.92307692307692313</v>
      </c>
      <c r="AY1309" s="62">
        <f t="shared" si="114"/>
        <v>20.847421340189797</v>
      </c>
      <c r="AZ1309" s="68" t="str">
        <f t="shared" si="115"/>
        <v>Yes</v>
      </c>
      <c r="BA1309" s="68" t="str">
        <f t="shared" si="116"/>
        <v>No</v>
      </c>
    </row>
    <row r="1310" spans="1:53" hidden="1">
      <c r="A1310" t="s">
        <v>1280</v>
      </c>
      <c r="B1310" t="str">
        <f t="shared" si="108"/>
        <v>1310_Hamraj</v>
      </c>
      <c r="C1310" t="s">
        <v>1496</v>
      </c>
      <c r="F1310" t="s">
        <v>1241</v>
      </c>
      <c r="G1310" t="s">
        <v>1469</v>
      </c>
      <c r="I1310">
        <v>2007</v>
      </c>
      <c r="M1310" s="25" t="s">
        <v>36</v>
      </c>
      <c r="N1310" t="s">
        <v>36</v>
      </c>
      <c r="O1310" t="s">
        <v>74</v>
      </c>
      <c r="P1310" t="s">
        <v>60</v>
      </c>
      <c r="Q1310" t="s">
        <v>899</v>
      </c>
      <c r="R1310" t="s">
        <v>828</v>
      </c>
      <c r="S1310" t="s">
        <v>807</v>
      </c>
      <c r="T1310">
        <v>58</v>
      </c>
      <c r="V1310" t="s">
        <v>907</v>
      </c>
      <c r="Z1310">
        <v>6</v>
      </c>
      <c r="AA1310">
        <v>6</v>
      </c>
      <c r="AG1310" t="str">
        <f t="shared" si="109"/>
        <v>45HELLO_Acartia_tonsa_D0_CO2NA_TNA_control_outcome10.00</v>
      </c>
      <c r="AI1310">
        <v>24</v>
      </c>
      <c r="AJ1310" t="s">
        <v>1499</v>
      </c>
      <c r="AK1310" t="s">
        <v>59</v>
      </c>
      <c r="AM1310"/>
      <c r="AN1310">
        <v>10</v>
      </c>
      <c r="AO1310">
        <v>5</v>
      </c>
      <c r="AP1310">
        <v>98</v>
      </c>
      <c r="AQ1310">
        <v>2</v>
      </c>
      <c r="AS1310">
        <f t="shared" si="110"/>
        <v>2.2823823856765264</v>
      </c>
      <c r="AT1310">
        <f t="shared" si="111"/>
        <v>4.1736082187977232E-2</v>
      </c>
      <c r="AW1310" s="28">
        <f t="shared" si="112"/>
        <v>23.109932183311169</v>
      </c>
      <c r="AX1310">
        <f t="shared" si="113"/>
        <v>0.92307692307692313</v>
      </c>
      <c r="AY1310" s="62">
        <f t="shared" si="114"/>
        <v>21.332245092287234</v>
      </c>
      <c r="AZ1310" s="68" t="str">
        <f t="shared" si="115"/>
        <v>Yes</v>
      </c>
      <c r="BA1310" s="68" t="str">
        <f t="shared" si="116"/>
        <v>No</v>
      </c>
    </row>
    <row r="1311" spans="1:53" hidden="1">
      <c r="A1311" t="s">
        <v>1280</v>
      </c>
      <c r="B1311" t="str">
        <f t="shared" si="108"/>
        <v>1311_Hamraj</v>
      </c>
      <c r="C1311" t="s">
        <v>1497</v>
      </c>
      <c r="F1311" t="s">
        <v>1241</v>
      </c>
      <c r="G1311" t="s">
        <v>1470</v>
      </c>
      <c r="I1311">
        <v>1997</v>
      </c>
      <c r="M1311" s="25" t="s">
        <v>36</v>
      </c>
      <c r="N1311" t="s">
        <v>36</v>
      </c>
      <c r="O1311" t="s">
        <v>3807</v>
      </c>
      <c r="P1311" t="s">
        <v>60</v>
      </c>
      <c r="Q1311" t="s">
        <v>899</v>
      </c>
      <c r="R1311" t="s">
        <v>828</v>
      </c>
      <c r="S1311" t="s">
        <v>1503</v>
      </c>
      <c r="T1311">
        <v>45</v>
      </c>
      <c r="V1311" t="s">
        <v>907</v>
      </c>
      <c r="Z1311">
        <v>11</v>
      </c>
      <c r="AA1311">
        <v>15</v>
      </c>
      <c r="AG1311" t="str">
        <f t="shared" si="109"/>
        <v>46HELLO_Paraeuchaeta_elongata_D0_CO2NA_TNA_control_outcome100.00</v>
      </c>
      <c r="AI1311">
        <v>5</v>
      </c>
      <c r="AJ1311" t="s">
        <v>1499</v>
      </c>
      <c r="AK1311" t="s">
        <v>59</v>
      </c>
      <c r="AM1311"/>
      <c r="AN1311">
        <v>100</v>
      </c>
      <c r="AO1311">
        <v>1</v>
      </c>
      <c r="AP1311">
        <v>100</v>
      </c>
      <c r="AQ1311">
        <v>1</v>
      </c>
      <c r="AS1311">
        <f t="shared" si="110"/>
        <v>0</v>
      </c>
      <c r="AT1311">
        <f t="shared" si="111"/>
        <v>1.5757575757575756E-5</v>
      </c>
      <c r="AW1311" s="28">
        <f t="shared" si="112"/>
        <v>0</v>
      </c>
      <c r="AX1311">
        <f t="shared" si="113"/>
        <v>0.96842105263157896</v>
      </c>
      <c r="AY1311" s="62">
        <f t="shared" si="114"/>
        <v>0</v>
      </c>
      <c r="AZ1311" s="68" t="str">
        <f t="shared" si="115"/>
        <v>No</v>
      </c>
      <c r="BA1311" s="68" t="str">
        <f t="shared" si="116"/>
        <v>No</v>
      </c>
    </row>
    <row r="1312" spans="1:53" hidden="1">
      <c r="A1312" t="s">
        <v>1280</v>
      </c>
      <c r="B1312" t="str">
        <f t="shared" si="108"/>
        <v>1312_Hamraj</v>
      </c>
      <c r="C1312" t="s">
        <v>1497</v>
      </c>
      <c r="F1312" t="s">
        <v>1241</v>
      </c>
      <c r="G1312" t="s">
        <v>1471</v>
      </c>
      <c r="I1312">
        <v>1997</v>
      </c>
      <c r="M1312" s="25" t="s">
        <v>36</v>
      </c>
      <c r="N1312" t="s">
        <v>36</v>
      </c>
      <c r="O1312" t="s">
        <v>3807</v>
      </c>
      <c r="P1312" t="s">
        <v>60</v>
      </c>
      <c r="Q1312" t="s">
        <v>899</v>
      </c>
      <c r="R1312" t="s">
        <v>828</v>
      </c>
      <c r="S1312" t="s">
        <v>1503</v>
      </c>
      <c r="T1312">
        <v>45</v>
      </c>
      <c r="V1312" t="s">
        <v>907</v>
      </c>
      <c r="Z1312">
        <v>11</v>
      </c>
      <c r="AA1312">
        <v>16</v>
      </c>
      <c r="AG1312" t="str">
        <f t="shared" si="109"/>
        <v>46HELLO_Paraeuchaeta_elongata_D0_CO2NA_TNA_control_outcome100.00</v>
      </c>
      <c r="AI1312">
        <v>10</v>
      </c>
      <c r="AJ1312" t="s">
        <v>1499</v>
      </c>
      <c r="AK1312" t="s">
        <v>59</v>
      </c>
      <c r="AM1312"/>
      <c r="AN1312">
        <v>100</v>
      </c>
      <c r="AO1312">
        <v>1</v>
      </c>
      <c r="AP1312">
        <v>100</v>
      </c>
      <c r="AQ1312">
        <v>1</v>
      </c>
      <c r="AS1312">
        <f t="shared" si="110"/>
        <v>0</v>
      </c>
      <c r="AT1312">
        <f t="shared" si="111"/>
        <v>1.534090909090909E-5</v>
      </c>
      <c r="AW1312" s="28">
        <f t="shared" si="112"/>
        <v>0</v>
      </c>
      <c r="AX1312">
        <f t="shared" si="113"/>
        <v>0.96969696969696972</v>
      </c>
      <c r="AY1312" s="62">
        <f t="shared" si="114"/>
        <v>0</v>
      </c>
      <c r="AZ1312" s="68" t="str">
        <f t="shared" si="115"/>
        <v>No</v>
      </c>
      <c r="BA1312" s="68" t="str">
        <f t="shared" si="116"/>
        <v>No</v>
      </c>
    </row>
    <row r="1313" spans="1:53" hidden="1">
      <c r="A1313" t="s">
        <v>1280</v>
      </c>
      <c r="B1313" t="str">
        <f t="shared" si="108"/>
        <v>1313_Hamraj</v>
      </c>
      <c r="C1313" t="s">
        <v>1498</v>
      </c>
      <c r="F1313" t="s">
        <v>1241</v>
      </c>
      <c r="G1313" t="s">
        <v>1472</v>
      </c>
      <c r="I1313">
        <v>2015</v>
      </c>
      <c r="M1313" s="25" t="s">
        <v>36</v>
      </c>
      <c r="N1313" t="s">
        <v>36</v>
      </c>
      <c r="O1313" t="s">
        <v>74</v>
      </c>
      <c r="P1313" t="s">
        <v>60</v>
      </c>
      <c r="Q1313" t="s">
        <v>899</v>
      </c>
      <c r="R1313" t="s">
        <v>828</v>
      </c>
      <c r="S1313" t="s">
        <v>807</v>
      </c>
      <c r="T1313">
        <v>54</v>
      </c>
      <c r="V1313" t="s">
        <v>907</v>
      </c>
      <c r="Z1313">
        <v>3</v>
      </c>
      <c r="AA1313">
        <v>4</v>
      </c>
      <c r="AG1313" t="str">
        <f t="shared" si="109"/>
        <v>47HELLO_Acartia_tonsa_D0_CO2NA_TNA_control_outcome64.33</v>
      </c>
      <c r="AI1313">
        <v>8.8590669999999996</v>
      </c>
      <c r="AJ1313" t="s">
        <v>1499</v>
      </c>
      <c r="AK1313" t="s">
        <v>59</v>
      </c>
      <c r="AM1313"/>
      <c r="AN1313">
        <v>64.333464669999998</v>
      </c>
      <c r="AO1313">
        <v>11.15266285</v>
      </c>
      <c r="AP1313">
        <v>48.386065250000001</v>
      </c>
      <c r="AQ1313">
        <v>8.5057425979999994</v>
      </c>
      <c r="AS1313">
        <f t="shared" si="110"/>
        <v>-0.2848680775260295</v>
      </c>
      <c r="AT1313">
        <f t="shared" si="111"/>
        <v>1.7743012779491918E-2</v>
      </c>
      <c r="AW1313" s="28">
        <f t="shared" si="112"/>
        <v>-1.6522356389011141</v>
      </c>
      <c r="AX1313">
        <f t="shared" si="113"/>
        <v>0.84210526315789469</v>
      </c>
      <c r="AY1313" s="62">
        <f t="shared" si="114"/>
        <v>-1.3913563274956751</v>
      </c>
      <c r="AZ1313" s="68" t="str">
        <f t="shared" si="115"/>
        <v>No</v>
      </c>
      <c r="BA1313" s="68" t="str">
        <f t="shared" si="116"/>
        <v>No</v>
      </c>
    </row>
    <row r="1314" spans="1:53" hidden="1">
      <c r="A1314" t="s">
        <v>1280</v>
      </c>
      <c r="B1314" t="str">
        <f t="shared" si="108"/>
        <v>1314_Hamraj</v>
      </c>
      <c r="C1314" t="s">
        <v>1498</v>
      </c>
      <c r="F1314" t="s">
        <v>1241</v>
      </c>
      <c r="G1314" t="s">
        <v>1473</v>
      </c>
      <c r="I1314">
        <v>2015</v>
      </c>
      <c r="M1314" s="25" t="s">
        <v>36</v>
      </c>
      <c r="N1314" t="s">
        <v>36</v>
      </c>
      <c r="O1314" t="s">
        <v>74</v>
      </c>
      <c r="P1314" t="s">
        <v>60</v>
      </c>
      <c r="Q1314" t="s">
        <v>899</v>
      </c>
      <c r="R1314" t="s">
        <v>828</v>
      </c>
      <c r="S1314" t="s">
        <v>807</v>
      </c>
      <c r="T1314">
        <v>54</v>
      </c>
      <c r="V1314" t="s">
        <v>907</v>
      </c>
      <c r="Z1314">
        <v>3</v>
      </c>
      <c r="AA1314">
        <v>6</v>
      </c>
      <c r="AG1314" t="str">
        <f t="shared" si="109"/>
        <v>47HELLO_Acartia_tonsa_D0_CO2NA_TNA_control_outcome64.33</v>
      </c>
      <c r="AI1314">
        <v>10.834562</v>
      </c>
      <c r="AJ1314" t="s">
        <v>1499</v>
      </c>
      <c r="AK1314" t="s">
        <v>59</v>
      </c>
      <c r="AM1314"/>
      <c r="AN1314">
        <v>64.333464669999998</v>
      </c>
      <c r="AO1314">
        <v>11.15266285</v>
      </c>
      <c r="AP1314">
        <v>32.65219183</v>
      </c>
      <c r="AQ1314">
        <v>23.811369030000002</v>
      </c>
      <c r="AS1314">
        <f t="shared" si="110"/>
        <v>-0.67816795718074419</v>
      </c>
      <c r="AT1314">
        <f t="shared" si="111"/>
        <v>9.8650021194518572E-2</v>
      </c>
      <c r="AW1314" s="28">
        <f t="shared" si="112"/>
        <v>-1.5094463307179204</v>
      </c>
      <c r="AX1314">
        <f t="shared" si="113"/>
        <v>0.88888888888888884</v>
      </c>
      <c r="AY1314" s="62">
        <f t="shared" si="114"/>
        <v>-1.3417300717492626</v>
      </c>
      <c r="AZ1314" s="68" t="str">
        <f t="shared" si="115"/>
        <v>No</v>
      </c>
      <c r="BA1314" s="68" t="str">
        <f t="shared" si="116"/>
        <v>No</v>
      </c>
    </row>
    <row r="1315" spans="1:53" hidden="1">
      <c r="A1315" t="s">
        <v>1280</v>
      </c>
      <c r="B1315" t="str">
        <f t="shared" si="108"/>
        <v>1315_Hamraj</v>
      </c>
      <c r="C1315" t="s">
        <v>1498</v>
      </c>
      <c r="F1315" t="s">
        <v>1241</v>
      </c>
      <c r="G1315" t="s">
        <v>1474</v>
      </c>
      <c r="I1315">
        <v>2015</v>
      </c>
      <c r="M1315" s="25" t="s">
        <v>36</v>
      </c>
      <c r="N1315" t="s">
        <v>36</v>
      </c>
      <c r="O1315" t="s">
        <v>74</v>
      </c>
      <c r="P1315" t="s">
        <v>60</v>
      </c>
      <c r="Q1315" t="s">
        <v>899</v>
      </c>
      <c r="R1315" t="s">
        <v>828</v>
      </c>
      <c r="S1315" t="s">
        <v>807</v>
      </c>
      <c r="T1315">
        <v>54</v>
      </c>
      <c r="V1315" t="s">
        <v>907</v>
      </c>
      <c r="Z1315">
        <v>3</v>
      </c>
      <c r="AA1315">
        <v>3</v>
      </c>
      <c r="AG1315" t="str">
        <f t="shared" si="109"/>
        <v>47HELLO_Acartia_tonsa_D0_CO2NA_TNA_control_outcome64.33</v>
      </c>
      <c r="AI1315">
        <v>14.624124</v>
      </c>
      <c r="AJ1315" t="s">
        <v>1499</v>
      </c>
      <c r="AK1315" t="s">
        <v>59</v>
      </c>
      <c r="AM1315"/>
      <c r="AN1315">
        <v>64.333464669999998</v>
      </c>
      <c r="AO1315">
        <v>11.15266285</v>
      </c>
      <c r="AP1315">
        <v>57.625646330000002</v>
      </c>
      <c r="AQ1315">
        <v>14.76325875</v>
      </c>
      <c r="AS1315">
        <f t="shared" si="110"/>
        <v>-0.11011222434454204</v>
      </c>
      <c r="AT1315">
        <f t="shared" si="111"/>
        <v>3.1895761404691358E-2</v>
      </c>
      <c r="AW1315" s="28">
        <f t="shared" si="112"/>
        <v>-0.51270812084135875</v>
      </c>
      <c r="AX1315">
        <f t="shared" si="113"/>
        <v>0.8</v>
      </c>
      <c r="AY1315" s="62">
        <f t="shared" si="114"/>
        <v>-0.41016649667308702</v>
      </c>
      <c r="AZ1315" s="68" t="str">
        <f t="shared" si="115"/>
        <v>No</v>
      </c>
      <c r="BA1315" s="68" t="str">
        <f t="shared" si="116"/>
        <v>No</v>
      </c>
    </row>
    <row r="1316" spans="1:53" hidden="1">
      <c r="A1316" t="s">
        <v>1280</v>
      </c>
      <c r="B1316" t="str">
        <f t="shared" si="108"/>
        <v>1316_Hamraj</v>
      </c>
      <c r="C1316" t="s">
        <v>1498</v>
      </c>
      <c r="F1316" t="s">
        <v>1241</v>
      </c>
      <c r="G1316" t="s">
        <v>1475</v>
      </c>
      <c r="I1316">
        <v>2015</v>
      </c>
      <c r="M1316" s="25" t="s">
        <v>36</v>
      </c>
      <c r="N1316" t="s">
        <v>36</v>
      </c>
      <c r="O1316" t="s">
        <v>74</v>
      </c>
      <c r="P1316" t="s">
        <v>60</v>
      </c>
      <c r="Q1316" t="s">
        <v>899</v>
      </c>
      <c r="R1316" t="s">
        <v>828</v>
      </c>
      <c r="S1316" t="s">
        <v>807</v>
      </c>
      <c r="T1316">
        <v>54</v>
      </c>
      <c r="V1316" t="s">
        <v>907</v>
      </c>
      <c r="Z1316">
        <v>3</v>
      </c>
      <c r="AA1316">
        <v>3</v>
      </c>
      <c r="AG1316" t="str">
        <f t="shared" si="109"/>
        <v>47HELLO_Acartia_tonsa_D0_CO2NA_TNA_control_outcome64.33</v>
      </c>
      <c r="AI1316">
        <v>16.593305999999998</v>
      </c>
      <c r="AJ1316" t="s">
        <v>1499</v>
      </c>
      <c r="AK1316" t="s">
        <v>59</v>
      </c>
      <c r="AM1316"/>
      <c r="AN1316">
        <v>64.333464669999998</v>
      </c>
      <c r="AO1316">
        <v>11.15266285</v>
      </c>
      <c r="AP1316">
        <v>42.45608</v>
      </c>
      <c r="AQ1316">
        <v>15.15891034</v>
      </c>
      <c r="AS1316">
        <f t="shared" si="110"/>
        <v>-0.41560981190971447</v>
      </c>
      <c r="AT1316">
        <f t="shared" si="111"/>
        <v>5.2512277022771905E-2</v>
      </c>
      <c r="AW1316" s="28">
        <f t="shared" si="112"/>
        <v>-1.6439998970191962</v>
      </c>
      <c r="AX1316">
        <f t="shared" si="113"/>
        <v>0.8</v>
      </c>
      <c r="AY1316" s="62">
        <f t="shared" si="114"/>
        <v>-1.315199917615357</v>
      </c>
      <c r="AZ1316" s="68" t="str">
        <f t="shared" si="115"/>
        <v>No</v>
      </c>
      <c r="BA1316" s="68" t="str">
        <f t="shared" si="116"/>
        <v>No</v>
      </c>
    </row>
    <row r="1317" spans="1:53" hidden="1">
      <c r="A1317" t="s">
        <v>1280</v>
      </c>
      <c r="B1317" t="str">
        <f t="shared" si="108"/>
        <v>1317_Hamraj</v>
      </c>
      <c r="C1317" t="s">
        <v>1498</v>
      </c>
      <c r="F1317" t="s">
        <v>1241</v>
      </c>
      <c r="G1317" t="s">
        <v>1476</v>
      </c>
      <c r="I1317">
        <v>2015</v>
      </c>
      <c r="M1317" s="25" t="s">
        <v>36</v>
      </c>
      <c r="N1317" t="s">
        <v>36</v>
      </c>
      <c r="O1317" t="s">
        <v>74</v>
      </c>
      <c r="P1317" t="s">
        <v>60</v>
      </c>
      <c r="Q1317" t="s">
        <v>899</v>
      </c>
      <c r="R1317" t="s">
        <v>828</v>
      </c>
      <c r="S1317" t="s">
        <v>807</v>
      </c>
      <c r="T1317">
        <v>54</v>
      </c>
      <c r="V1317" t="s">
        <v>907</v>
      </c>
      <c r="Z1317">
        <v>3</v>
      </c>
      <c r="AA1317">
        <v>5</v>
      </c>
      <c r="AG1317" t="str">
        <f t="shared" si="109"/>
        <v>47HELLO_Acartia_tonsa_D0_CO2NA_TNA_control_outcome64.33</v>
      </c>
      <c r="AI1317">
        <v>21.638687000000001</v>
      </c>
      <c r="AJ1317" t="s">
        <v>1499</v>
      </c>
      <c r="AK1317" t="s">
        <v>59</v>
      </c>
      <c r="AM1317"/>
      <c r="AN1317">
        <v>64.333464669999998</v>
      </c>
      <c r="AO1317">
        <v>11.15266285</v>
      </c>
      <c r="AP1317">
        <v>75.307117199999993</v>
      </c>
      <c r="AQ1317">
        <v>15.337482639999999</v>
      </c>
      <c r="AS1317">
        <f t="shared" si="110"/>
        <v>0.15749470653031405</v>
      </c>
      <c r="AT1317">
        <f t="shared" si="111"/>
        <v>1.8313511195239239E-2</v>
      </c>
      <c r="AW1317" s="28">
        <f t="shared" si="112"/>
        <v>0.77930048480758274</v>
      </c>
      <c r="AX1317">
        <f t="shared" si="113"/>
        <v>0.86956521739130432</v>
      </c>
      <c r="AY1317" s="62">
        <f t="shared" si="114"/>
        <v>0.67765259548485457</v>
      </c>
      <c r="AZ1317" s="68" t="str">
        <f t="shared" si="115"/>
        <v>No</v>
      </c>
      <c r="BA1317" s="68" t="str">
        <f t="shared" si="116"/>
        <v>No</v>
      </c>
    </row>
    <row r="1318" spans="1:53" hidden="1">
      <c r="A1318" t="s">
        <v>1280</v>
      </c>
      <c r="B1318" t="str">
        <f t="shared" si="108"/>
        <v>1318_Hamraj</v>
      </c>
      <c r="C1318" t="s">
        <v>1498</v>
      </c>
      <c r="F1318" t="s">
        <v>1241</v>
      </c>
      <c r="G1318" t="s">
        <v>1477</v>
      </c>
      <c r="I1318">
        <v>2015</v>
      </c>
      <c r="M1318" s="25" t="s">
        <v>36</v>
      </c>
      <c r="N1318" t="s">
        <v>36</v>
      </c>
      <c r="O1318" t="s">
        <v>74</v>
      </c>
      <c r="P1318" t="s">
        <v>60</v>
      </c>
      <c r="Q1318" t="s">
        <v>899</v>
      </c>
      <c r="R1318" t="s">
        <v>828</v>
      </c>
      <c r="S1318" t="s">
        <v>807</v>
      </c>
      <c r="T1318">
        <v>54</v>
      </c>
      <c r="V1318" t="s">
        <v>907</v>
      </c>
      <c r="Z1318">
        <v>3</v>
      </c>
      <c r="AA1318">
        <v>10</v>
      </c>
      <c r="AG1318" t="str">
        <f t="shared" si="109"/>
        <v>47HELLO_Acartia_tonsa_D0_CO2NA_TNA_control_outcome64.33</v>
      </c>
      <c r="AI1318">
        <v>22.959893999999998</v>
      </c>
      <c r="AJ1318" t="s">
        <v>1499</v>
      </c>
      <c r="AK1318" t="s">
        <v>59</v>
      </c>
      <c r="AM1318"/>
      <c r="AN1318">
        <v>64.333464669999998</v>
      </c>
      <c r="AO1318">
        <v>11.15266285</v>
      </c>
      <c r="AP1318">
        <v>56.254930700000003</v>
      </c>
      <c r="AQ1318">
        <v>32.472435279999999</v>
      </c>
      <c r="AS1318">
        <f t="shared" si="110"/>
        <v>-0.13418624760550468</v>
      </c>
      <c r="AT1318">
        <f t="shared" si="111"/>
        <v>4.3337832862610712E-2</v>
      </c>
      <c r="AW1318" s="28">
        <f t="shared" si="112"/>
        <v>-0.27150263611642145</v>
      </c>
      <c r="AX1318">
        <f t="shared" si="113"/>
        <v>0.93023255813953487</v>
      </c>
      <c r="AY1318" s="62">
        <f t="shared" si="114"/>
        <v>-0.25256059173620599</v>
      </c>
      <c r="AZ1318" s="68" t="str">
        <f t="shared" si="115"/>
        <v>No</v>
      </c>
      <c r="BA1318" s="68" t="str">
        <f t="shared" si="116"/>
        <v>No</v>
      </c>
    </row>
    <row r="1319" spans="1:53" hidden="1">
      <c r="A1319" t="s">
        <v>1280</v>
      </c>
      <c r="B1319" t="str">
        <f t="shared" si="108"/>
        <v>1319_Hamraj</v>
      </c>
      <c r="C1319" t="s">
        <v>1498</v>
      </c>
      <c r="F1319" t="s">
        <v>1241</v>
      </c>
      <c r="G1319" t="s">
        <v>1478</v>
      </c>
      <c r="I1319">
        <v>2015</v>
      </c>
      <c r="M1319" s="25" t="s">
        <v>36</v>
      </c>
      <c r="N1319" t="s">
        <v>36</v>
      </c>
      <c r="O1319" t="s">
        <v>74</v>
      </c>
      <c r="P1319" t="s">
        <v>60</v>
      </c>
      <c r="Q1319" t="s">
        <v>899</v>
      </c>
      <c r="R1319" t="s">
        <v>828</v>
      </c>
      <c r="S1319" t="s">
        <v>807</v>
      </c>
      <c r="T1319">
        <v>54</v>
      </c>
      <c r="V1319" t="s">
        <v>907</v>
      </c>
      <c r="Z1319">
        <v>3</v>
      </c>
      <c r="AA1319">
        <v>7</v>
      </c>
      <c r="AG1319" t="str">
        <f t="shared" si="109"/>
        <v>47HELLO_Acartia_tonsa_D0_CO2NA_TNA_control_outcome64.33</v>
      </c>
      <c r="AI1319">
        <v>27.826934999999999</v>
      </c>
      <c r="AJ1319" t="s">
        <v>1499</v>
      </c>
      <c r="AK1319" t="s">
        <v>59</v>
      </c>
      <c r="AM1319"/>
      <c r="AN1319">
        <v>64.333464669999998</v>
      </c>
      <c r="AO1319">
        <v>11.15266285</v>
      </c>
      <c r="AP1319">
        <v>53.58299083</v>
      </c>
      <c r="AQ1319">
        <v>35.982668920000002</v>
      </c>
      <c r="AS1319">
        <f t="shared" si="110"/>
        <v>-0.18284825928320902</v>
      </c>
      <c r="AT1319">
        <f t="shared" si="111"/>
        <v>7.4439650413017824E-2</v>
      </c>
      <c r="AW1319" s="28">
        <f t="shared" si="112"/>
        <v>-0.3395933003577345</v>
      </c>
      <c r="AX1319">
        <f t="shared" si="113"/>
        <v>0.90322580645161288</v>
      </c>
      <c r="AY1319" s="62">
        <f t="shared" si="114"/>
        <v>-0.30672943258117952</v>
      </c>
      <c r="AZ1319" s="68" t="str">
        <f t="shared" si="115"/>
        <v>No</v>
      </c>
      <c r="BA1319" s="68" t="str">
        <f t="shared" si="116"/>
        <v>No</v>
      </c>
    </row>
    <row r="1320" spans="1:53" hidden="1">
      <c r="A1320" t="s">
        <v>1280</v>
      </c>
      <c r="B1320" t="str">
        <f t="shared" si="108"/>
        <v>1320_Hamraj</v>
      </c>
      <c r="C1320" t="s">
        <v>1498</v>
      </c>
      <c r="F1320" t="s">
        <v>1241</v>
      </c>
      <c r="G1320" t="s">
        <v>1479</v>
      </c>
      <c r="I1320">
        <v>2015</v>
      </c>
      <c r="M1320" s="25" t="s">
        <v>36</v>
      </c>
      <c r="N1320" t="s">
        <v>36</v>
      </c>
      <c r="O1320" t="s">
        <v>74</v>
      </c>
      <c r="P1320" t="s">
        <v>60</v>
      </c>
      <c r="Q1320" t="s">
        <v>899</v>
      </c>
      <c r="R1320" t="s">
        <v>828</v>
      </c>
      <c r="S1320" t="s">
        <v>807</v>
      </c>
      <c r="T1320">
        <v>54</v>
      </c>
      <c r="V1320" t="s">
        <v>907</v>
      </c>
      <c r="Z1320">
        <v>3</v>
      </c>
      <c r="AA1320">
        <v>3</v>
      </c>
      <c r="AG1320" t="str">
        <f t="shared" si="109"/>
        <v>47HELLO_Acartia_tonsa_D0_CO2NA_TNA_control_outcome64.33</v>
      </c>
      <c r="AI1320">
        <v>33.623103999999998</v>
      </c>
      <c r="AJ1320" t="s">
        <v>1499</v>
      </c>
      <c r="AK1320" t="s">
        <v>59</v>
      </c>
      <c r="AM1320"/>
      <c r="AN1320">
        <v>64.333464669999998</v>
      </c>
      <c r="AO1320">
        <v>11.15266285</v>
      </c>
      <c r="AP1320">
        <v>66.646811</v>
      </c>
      <c r="AQ1320">
        <v>16.828351470000001</v>
      </c>
      <c r="AS1320">
        <f t="shared" si="110"/>
        <v>3.5327256780991689E-2</v>
      </c>
      <c r="AT1320">
        <f t="shared" si="111"/>
        <v>3.126972472168809E-2</v>
      </c>
      <c r="AW1320" s="28">
        <f t="shared" si="112"/>
        <v>0.16205100324819846</v>
      </c>
      <c r="AX1320">
        <f t="shared" si="113"/>
        <v>0.8</v>
      </c>
      <c r="AY1320" s="62">
        <f t="shared" si="114"/>
        <v>0.12964080259855879</v>
      </c>
      <c r="AZ1320" s="68" t="str">
        <f t="shared" si="115"/>
        <v>No</v>
      </c>
      <c r="BA1320" s="68" t="str">
        <f t="shared" si="116"/>
        <v>No</v>
      </c>
    </row>
    <row r="1321" spans="1:53" hidden="1">
      <c r="A1321" t="s">
        <v>1280</v>
      </c>
      <c r="B1321" t="str">
        <f t="shared" si="108"/>
        <v>1321_Hamraj</v>
      </c>
      <c r="C1321" t="s">
        <v>1594</v>
      </c>
      <c r="F1321" t="s">
        <v>1241</v>
      </c>
      <c r="G1321" t="s">
        <v>1414</v>
      </c>
      <c r="I1321">
        <v>2013</v>
      </c>
      <c r="M1321" s="25" t="s">
        <v>36</v>
      </c>
      <c r="N1321" t="s">
        <v>36</v>
      </c>
      <c r="O1321" t="s">
        <v>74</v>
      </c>
      <c r="P1321" t="s">
        <v>60</v>
      </c>
      <c r="Q1321" t="s">
        <v>899</v>
      </c>
      <c r="R1321" t="s">
        <v>828</v>
      </c>
      <c r="S1321" t="s">
        <v>1306</v>
      </c>
      <c r="T1321">
        <v>36</v>
      </c>
      <c r="V1321" t="s">
        <v>907</v>
      </c>
      <c r="Z1321">
        <v>5</v>
      </c>
      <c r="AA1321">
        <v>5</v>
      </c>
      <c r="AG1321" t="str">
        <f t="shared" si="109"/>
        <v>48HELLO_Centropages_chierchiae_D0_CO2NA_TNA_control_outcome0.80</v>
      </c>
      <c r="AI1321">
        <v>19</v>
      </c>
      <c r="AJ1321" t="s">
        <v>333</v>
      </c>
      <c r="AK1321" t="s">
        <v>59</v>
      </c>
      <c r="AM1321"/>
      <c r="AN1321">
        <v>0.8</v>
      </c>
      <c r="AO1321">
        <v>1.1547005379999999</v>
      </c>
      <c r="AP1321">
        <v>25.2</v>
      </c>
      <c r="AQ1321">
        <v>3.8340579030000002</v>
      </c>
      <c r="AS1321">
        <f t="shared" si="110"/>
        <v>3.4499875458315872</v>
      </c>
      <c r="AT1321">
        <f t="shared" si="111"/>
        <v>0.42129629602371516</v>
      </c>
      <c r="AW1321" s="28">
        <f t="shared" si="112"/>
        <v>8.6177305976029928</v>
      </c>
      <c r="AX1321">
        <f t="shared" si="113"/>
        <v>0.90322580645161288</v>
      </c>
      <c r="AY1321" s="62">
        <f t="shared" si="114"/>
        <v>7.7837566688027033</v>
      </c>
      <c r="AZ1321" s="68" t="str">
        <f t="shared" si="115"/>
        <v>No</v>
      </c>
      <c r="BA1321" s="68" t="str">
        <f t="shared" si="116"/>
        <v>No</v>
      </c>
    </row>
    <row r="1322" spans="1:53" hidden="1">
      <c r="A1322" t="s">
        <v>1280</v>
      </c>
      <c r="B1322" t="str">
        <f t="shared" ref="B1322:B1385" si="117">ROW(A1322)&amp;"_Hamraj"</f>
        <v>1322_Hamraj</v>
      </c>
      <c r="C1322" t="s">
        <v>1594</v>
      </c>
      <c r="F1322" t="s">
        <v>1241</v>
      </c>
      <c r="G1322" t="s">
        <v>1415</v>
      </c>
      <c r="I1322">
        <v>2013</v>
      </c>
      <c r="M1322" s="25" t="s">
        <v>36</v>
      </c>
      <c r="N1322" t="s">
        <v>36</v>
      </c>
      <c r="O1322" t="s">
        <v>74</v>
      </c>
      <c r="P1322" t="s">
        <v>60</v>
      </c>
      <c r="Q1322" t="s">
        <v>899</v>
      </c>
      <c r="R1322" t="s">
        <v>828</v>
      </c>
      <c r="S1322" t="s">
        <v>1306</v>
      </c>
      <c r="T1322">
        <v>36</v>
      </c>
      <c r="V1322" t="s">
        <v>907</v>
      </c>
      <c r="Z1322">
        <v>5</v>
      </c>
      <c r="AA1322">
        <v>5</v>
      </c>
      <c r="AG1322" t="str">
        <f t="shared" ref="AG1322:AG1385" si="118">C1322 &amp; "_" &amp;
SUBSTITUTE(TRIM(S1322)," ","_") &amp; "_" &amp;
"D" &amp; TEXT(X1322,"0") &amp; "_" &amp;
"CO2" &amp; IF(AC1322&lt;&gt;"",TEXT(AC1322,"0.00"),"NA") &amp; "_" &amp;
"T" &amp; IF(AD1322&lt;&gt;"",TEXT(AD1322,"0.00"),"NA") &amp; "_" &amp;
"control_outcome" &amp; IF(AN1322&lt;&gt;"",TEXT(AN1322,"0.00"),"NA")</f>
        <v>48HELLO_Centropages_chierchiae_D0_CO2NA_TNA_control_outcome2.20</v>
      </c>
      <c r="AI1322">
        <v>19</v>
      </c>
      <c r="AJ1322" t="s">
        <v>333</v>
      </c>
      <c r="AK1322" t="s">
        <v>59</v>
      </c>
      <c r="AM1322"/>
      <c r="AN1322">
        <v>2.2000000000000002</v>
      </c>
      <c r="AO1322">
        <v>2.9495762409999999</v>
      </c>
      <c r="AP1322">
        <v>33</v>
      </c>
      <c r="AQ1322">
        <v>6.2048368229999999</v>
      </c>
      <c r="AS1322">
        <f t="shared" ref="AS1322:AS1385" si="119">LN(AP1322)-LN(AN1322)</f>
        <v>2.7080502011022101</v>
      </c>
      <c r="AT1322">
        <f t="shared" ref="AT1322:AT1385" si="120">(AQ1322^2)/(AA1322*AP1322^2) + (AO1322^2)/(Z1322*AN1322^2)</f>
        <v>0.36657483936293606</v>
      </c>
      <c r="AW1322" s="28">
        <f t="shared" si="112"/>
        <v>6.3400796657605092</v>
      </c>
      <c r="AX1322">
        <f t="shared" si="113"/>
        <v>0.90322580645161288</v>
      </c>
      <c r="AY1322" s="62">
        <f t="shared" si="114"/>
        <v>5.7265235690740077</v>
      </c>
      <c r="AZ1322" s="68" t="str">
        <f t="shared" si="115"/>
        <v>No</v>
      </c>
      <c r="BA1322" s="68" t="str">
        <f t="shared" si="116"/>
        <v>No</v>
      </c>
    </row>
    <row r="1323" spans="1:53" hidden="1">
      <c r="A1323" t="s">
        <v>1280</v>
      </c>
      <c r="B1323" t="str">
        <f t="shared" si="117"/>
        <v>1323_Hamraj</v>
      </c>
      <c r="C1323" t="s">
        <v>1594</v>
      </c>
      <c r="F1323" t="s">
        <v>1241</v>
      </c>
      <c r="G1323" t="s">
        <v>1416</v>
      </c>
      <c r="I1323">
        <v>2013</v>
      </c>
      <c r="M1323" s="25" t="s">
        <v>36</v>
      </c>
      <c r="N1323" t="s">
        <v>36</v>
      </c>
      <c r="O1323" t="s">
        <v>74</v>
      </c>
      <c r="P1323" t="s">
        <v>60</v>
      </c>
      <c r="Q1323" t="s">
        <v>899</v>
      </c>
      <c r="R1323" t="s">
        <v>828</v>
      </c>
      <c r="S1323" t="s">
        <v>1306</v>
      </c>
      <c r="T1323">
        <v>36</v>
      </c>
      <c r="V1323" t="s">
        <v>907</v>
      </c>
      <c r="Z1323">
        <v>5</v>
      </c>
      <c r="AA1323">
        <v>5</v>
      </c>
      <c r="AG1323" t="str">
        <f t="shared" si="118"/>
        <v>48HELLO_Centropages_chierchiae_D0_CO2NA_TNA_control_outcome0.80</v>
      </c>
      <c r="AI1323">
        <v>24</v>
      </c>
      <c r="AJ1323" t="s">
        <v>333</v>
      </c>
      <c r="AK1323" t="s">
        <v>59</v>
      </c>
      <c r="AM1323"/>
      <c r="AN1323">
        <v>0.8</v>
      </c>
      <c r="AO1323">
        <v>1.1547005379999999</v>
      </c>
      <c r="AP1323">
        <v>16.2</v>
      </c>
      <c r="AQ1323">
        <v>1.643167673</v>
      </c>
      <c r="AS1323">
        <f t="shared" si="119"/>
        <v>3.0081547935525479</v>
      </c>
      <c r="AT1323">
        <f t="shared" si="120"/>
        <v>0.41872427956290303</v>
      </c>
      <c r="AW1323" s="28">
        <f t="shared" si="112"/>
        <v>10.844353368417693</v>
      </c>
      <c r="AX1323">
        <f t="shared" si="113"/>
        <v>0.90322580645161288</v>
      </c>
      <c r="AY1323" s="62">
        <f t="shared" si="114"/>
        <v>9.7948998166353345</v>
      </c>
      <c r="AZ1323" s="68" t="str">
        <f t="shared" si="115"/>
        <v>No</v>
      </c>
      <c r="BA1323" s="68" t="str">
        <f t="shared" si="116"/>
        <v>No</v>
      </c>
    </row>
    <row r="1324" spans="1:53" hidden="1">
      <c r="A1324" t="s">
        <v>1280</v>
      </c>
      <c r="B1324" t="str">
        <f t="shared" si="117"/>
        <v>1324_Hamraj</v>
      </c>
      <c r="C1324" t="s">
        <v>1594</v>
      </c>
      <c r="F1324" t="s">
        <v>1241</v>
      </c>
      <c r="G1324" t="s">
        <v>1417</v>
      </c>
      <c r="I1324">
        <v>2013</v>
      </c>
      <c r="M1324" s="25" t="s">
        <v>36</v>
      </c>
      <c r="N1324" t="s">
        <v>36</v>
      </c>
      <c r="O1324" t="s">
        <v>74</v>
      </c>
      <c r="P1324" t="s">
        <v>60</v>
      </c>
      <c r="Q1324" t="s">
        <v>899</v>
      </c>
      <c r="R1324" t="s">
        <v>828</v>
      </c>
      <c r="S1324" t="s">
        <v>1306</v>
      </c>
      <c r="T1324">
        <v>36</v>
      </c>
      <c r="V1324" t="s">
        <v>907</v>
      </c>
      <c r="Z1324">
        <v>5</v>
      </c>
      <c r="AA1324">
        <v>5</v>
      </c>
      <c r="AG1324" t="str">
        <f t="shared" si="118"/>
        <v>48HELLO_Centropages_chierchiae_D0_CO2NA_TNA_control_outcome2.20</v>
      </c>
      <c r="AI1324">
        <v>24</v>
      </c>
      <c r="AJ1324" t="s">
        <v>333</v>
      </c>
      <c r="AK1324" t="s">
        <v>59</v>
      </c>
      <c r="AM1324"/>
      <c r="AN1324">
        <v>2.2000000000000002</v>
      </c>
      <c r="AO1324">
        <v>2.9495762409999999</v>
      </c>
      <c r="AP1324">
        <v>23.6</v>
      </c>
      <c r="AQ1324">
        <v>2.3021728869999998</v>
      </c>
      <c r="AS1324">
        <f t="shared" si="119"/>
        <v>2.3727893516672944</v>
      </c>
      <c r="AT1324">
        <f t="shared" si="120"/>
        <v>0.36140732103167489</v>
      </c>
      <c r="AW1324" s="28">
        <f t="shared" si="112"/>
        <v>8.0884397214991832</v>
      </c>
      <c r="AX1324">
        <f t="shared" si="113"/>
        <v>0.90322580645161288</v>
      </c>
      <c r="AY1324" s="62">
        <f t="shared" si="114"/>
        <v>7.3056874903863589</v>
      </c>
      <c r="AZ1324" s="68" t="str">
        <f t="shared" si="115"/>
        <v>No</v>
      </c>
      <c r="BA1324" s="68" t="str">
        <f t="shared" si="116"/>
        <v>No</v>
      </c>
    </row>
    <row r="1325" spans="1:53" hidden="1">
      <c r="A1325" t="s">
        <v>1280</v>
      </c>
      <c r="B1325" t="str">
        <f t="shared" si="117"/>
        <v>1325_Hamraj</v>
      </c>
      <c r="C1325" t="s">
        <v>1595</v>
      </c>
      <c r="F1325" t="s">
        <v>1241</v>
      </c>
      <c r="G1325" t="s">
        <v>1418</v>
      </c>
      <c r="I1325">
        <v>2019</v>
      </c>
      <c r="M1325" s="25" t="s">
        <v>36</v>
      </c>
      <c r="N1325" t="s">
        <v>36</v>
      </c>
      <c r="O1325" t="s">
        <v>74</v>
      </c>
      <c r="P1325" t="s">
        <v>60</v>
      </c>
      <c r="Q1325" t="s">
        <v>899</v>
      </c>
      <c r="R1325" t="s">
        <v>828</v>
      </c>
      <c r="S1325" t="s">
        <v>1328</v>
      </c>
      <c r="T1325">
        <v>11</v>
      </c>
      <c r="V1325" t="s">
        <v>907</v>
      </c>
      <c r="Z1325">
        <v>25</v>
      </c>
      <c r="AA1325">
        <v>25</v>
      </c>
      <c r="AG1325" t="str">
        <f t="shared" si="118"/>
        <v>49HELLO_Pseudodiaptomus_annandalei_D0_CO2NA_TNA_control_outcome20.00</v>
      </c>
      <c r="AI1325">
        <v>34</v>
      </c>
      <c r="AJ1325" t="s">
        <v>333</v>
      </c>
      <c r="AK1325" t="s">
        <v>59</v>
      </c>
      <c r="AM1325"/>
      <c r="AN1325">
        <v>20</v>
      </c>
      <c r="AO1325">
        <v>5</v>
      </c>
      <c r="AP1325">
        <v>15.5</v>
      </c>
      <c r="AQ1325">
        <v>10</v>
      </c>
      <c r="AS1325">
        <f t="shared" si="119"/>
        <v>-0.25489224962878998</v>
      </c>
      <c r="AT1325">
        <f t="shared" si="120"/>
        <v>1.9149323621227888E-2</v>
      </c>
      <c r="AW1325" s="28">
        <f t="shared" si="112"/>
        <v>-0.56920997883030833</v>
      </c>
      <c r="AX1325">
        <f t="shared" si="113"/>
        <v>0.98429319371727753</v>
      </c>
      <c r="AY1325" s="62">
        <f t="shared" si="114"/>
        <v>-0.56026950795862807</v>
      </c>
      <c r="AZ1325" s="68" t="str">
        <f t="shared" si="115"/>
        <v>No</v>
      </c>
      <c r="BA1325" s="68" t="str">
        <f t="shared" si="116"/>
        <v>No</v>
      </c>
    </row>
    <row r="1326" spans="1:53" hidden="1">
      <c r="A1326" t="s">
        <v>1280</v>
      </c>
      <c r="B1326" t="str">
        <f t="shared" si="117"/>
        <v>1326_Hamraj</v>
      </c>
      <c r="C1326" t="s">
        <v>1595</v>
      </c>
      <c r="F1326" t="s">
        <v>1241</v>
      </c>
      <c r="G1326" t="s">
        <v>1419</v>
      </c>
      <c r="I1326">
        <v>2019</v>
      </c>
      <c r="M1326" s="25" t="s">
        <v>36</v>
      </c>
      <c r="N1326" t="s">
        <v>36</v>
      </c>
      <c r="O1326" t="s">
        <v>74</v>
      </c>
      <c r="P1326" t="s">
        <v>60</v>
      </c>
      <c r="Q1326" t="s">
        <v>899</v>
      </c>
      <c r="R1326" t="s">
        <v>828</v>
      </c>
      <c r="S1326" t="s">
        <v>1328</v>
      </c>
      <c r="T1326">
        <v>11</v>
      </c>
      <c r="V1326" t="s">
        <v>907</v>
      </c>
      <c r="Z1326">
        <v>25</v>
      </c>
      <c r="AA1326">
        <v>25</v>
      </c>
      <c r="AG1326" t="str">
        <f t="shared" si="118"/>
        <v>49HELLO_Pseudodiaptomus_annandalei_D0_CO2NA_TNA_control_outcome14.00</v>
      </c>
      <c r="AI1326">
        <v>34</v>
      </c>
      <c r="AJ1326" t="s">
        <v>333</v>
      </c>
      <c r="AK1326" t="s">
        <v>59</v>
      </c>
      <c r="AM1326"/>
      <c r="AN1326">
        <v>14</v>
      </c>
      <c r="AO1326">
        <v>5</v>
      </c>
      <c r="AP1326">
        <v>13</v>
      </c>
      <c r="AQ1326">
        <v>2.5</v>
      </c>
      <c r="AS1326">
        <f t="shared" si="119"/>
        <v>-7.4107972153721668E-2</v>
      </c>
      <c r="AT1326">
        <f t="shared" si="120"/>
        <v>6.5813307571549323E-3</v>
      </c>
      <c r="AW1326" s="28">
        <f t="shared" si="112"/>
        <v>-0.25298221281347033</v>
      </c>
      <c r="AX1326">
        <f t="shared" si="113"/>
        <v>0.98429319371727753</v>
      </c>
      <c r="AY1326" s="62">
        <f t="shared" si="114"/>
        <v>-0.24900867020383469</v>
      </c>
      <c r="AZ1326" s="68" t="str">
        <f t="shared" si="115"/>
        <v>No</v>
      </c>
      <c r="BA1326" s="68" t="str">
        <f t="shared" si="116"/>
        <v>No</v>
      </c>
    </row>
    <row r="1327" spans="1:53" hidden="1">
      <c r="A1327" t="s">
        <v>1280</v>
      </c>
      <c r="B1327" t="str">
        <f t="shared" si="117"/>
        <v>1327_Hamraj</v>
      </c>
      <c r="C1327" t="s">
        <v>1595</v>
      </c>
      <c r="F1327" t="s">
        <v>1241</v>
      </c>
      <c r="G1327" t="s">
        <v>1420</v>
      </c>
      <c r="I1327">
        <v>2019</v>
      </c>
      <c r="M1327" s="25" t="s">
        <v>36</v>
      </c>
      <c r="N1327" t="s">
        <v>36</v>
      </c>
      <c r="O1327" t="s">
        <v>74</v>
      </c>
      <c r="P1327" t="s">
        <v>60</v>
      </c>
      <c r="Q1327" t="s">
        <v>899</v>
      </c>
      <c r="R1327" t="s">
        <v>828</v>
      </c>
      <c r="S1327" t="s">
        <v>1328</v>
      </c>
      <c r="T1327">
        <v>11</v>
      </c>
      <c r="V1327" t="s">
        <v>907</v>
      </c>
      <c r="Z1327">
        <v>25</v>
      </c>
      <c r="AA1327">
        <v>25</v>
      </c>
      <c r="AG1327" t="str">
        <f t="shared" si="118"/>
        <v>49HELLO_Pseudodiaptomus_annandalei_D0_CO2NA_TNA_control_outcome14.00</v>
      </c>
      <c r="AI1327">
        <v>34</v>
      </c>
      <c r="AJ1327" t="s">
        <v>333</v>
      </c>
      <c r="AK1327" t="s">
        <v>59</v>
      </c>
      <c r="AM1327"/>
      <c r="AN1327">
        <v>14</v>
      </c>
      <c r="AO1327">
        <v>2.5</v>
      </c>
      <c r="AP1327">
        <v>12.5</v>
      </c>
      <c r="AQ1327">
        <v>0.5</v>
      </c>
      <c r="AS1327">
        <f t="shared" si="119"/>
        <v>-0.1133286853070028</v>
      </c>
      <c r="AT1327">
        <f t="shared" si="120"/>
        <v>1.3395102040816326E-3</v>
      </c>
      <c r="AW1327" s="28">
        <f t="shared" si="112"/>
        <v>-0.83205029433784372</v>
      </c>
      <c r="AX1327">
        <f t="shared" si="113"/>
        <v>0.98429319371727753</v>
      </c>
      <c r="AY1327" s="62">
        <f t="shared" si="114"/>
        <v>-0.81898144154719699</v>
      </c>
      <c r="AZ1327" s="68" t="str">
        <f t="shared" si="115"/>
        <v>No</v>
      </c>
      <c r="BA1327" s="68" t="str">
        <f t="shared" si="116"/>
        <v>No</v>
      </c>
    </row>
    <row r="1328" spans="1:53" hidden="1">
      <c r="A1328" t="s">
        <v>1280</v>
      </c>
      <c r="B1328" t="str">
        <f t="shared" si="117"/>
        <v>1328_Hamraj</v>
      </c>
      <c r="C1328" t="s">
        <v>1598</v>
      </c>
      <c r="F1328" t="s">
        <v>1241</v>
      </c>
      <c r="G1328" t="s">
        <v>1421</v>
      </c>
      <c r="I1328">
        <v>2016</v>
      </c>
      <c r="M1328" s="25" t="s">
        <v>36</v>
      </c>
      <c r="N1328" t="s">
        <v>36</v>
      </c>
      <c r="O1328" t="s">
        <v>3807</v>
      </c>
      <c r="P1328" t="s">
        <v>60</v>
      </c>
      <c r="Q1328" t="s">
        <v>899</v>
      </c>
      <c r="R1328" t="s">
        <v>828</v>
      </c>
      <c r="S1328" t="s">
        <v>913</v>
      </c>
      <c r="T1328">
        <v>37</v>
      </c>
      <c r="V1328" t="s">
        <v>907</v>
      </c>
      <c r="Z1328">
        <v>5</v>
      </c>
      <c r="AA1328">
        <v>5</v>
      </c>
      <c r="AG1328" t="str">
        <f t="shared" si="118"/>
        <v>50HELLO_Calanus_sinicus_D0_CO2NA_TNA_control_outcome2.40</v>
      </c>
      <c r="AI1328">
        <v>12</v>
      </c>
      <c r="AJ1328" t="s">
        <v>333</v>
      </c>
      <c r="AK1328" t="s">
        <v>59</v>
      </c>
      <c r="AM1328"/>
      <c r="AN1328">
        <v>2.4</v>
      </c>
      <c r="AO1328">
        <v>3.6979724169999999</v>
      </c>
      <c r="AP1328">
        <v>3.6</v>
      </c>
      <c r="AQ1328">
        <v>3.9591665790000001</v>
      </c>
      <c r="AS1328">
        <f t="shared" si="119"/>
        <v>0.40546510810816438</v>
      </c>
      <c r="AT1328">
        <f t="shared" si="120"/>
        <v>0.71672453693332427</v>
      </c>
      <c r="AW1328" s="28">
        <f t="shared" si="112"/>
        <v>0.31325080166765606</v>
      </c>
      <c r="AX1328">
        <f t="shared" si="113"/>
        <v>0.90322580645161288</v>
      </c>
      <c r="AY1328" s="62">
        <f t="shared" si="114"/>
        <v>0.28293620795788288</v>
      </c>
      <c r="AZ1328" s="68" t="str">
        <f t="shared" si="115"/>
        <v>No</v>
      </c>
      <c r="BA1328" s="68" t="str">
        <f t="shared" si="116"/>
        <v>No</v>
      </c>
    </row>
    <row r="1329" spans="1:53" hidden="1">
      <c r="A1329" t="s">
        <v>1280</v>
      </c>
      <c r="B1329" t="str">
        <f t="shared" si="117"/>
        <v>1329_Hamraj</v>
      </c>
      <c r="C1329" t="s">
        <v>1596</v>
      </c>
      <c r="F1329" t="s">
        <v>1241</v>
      </c>
      <c r="G1329" t="s">
        <v>1422</v>
      </c>
      <c r="I1329">
        <v>2011</v>
      </c>
      <c r="M1329" s="25" t="s">
        <v>36</v>
      </c>
      <c r="N1329" t="s">
        <v>36</v>
      </c>
      <c r="O1329" t="s">
        <v>3807</v>
      </c>
      <c r="P1329" t="s">
        <v>60</v>
      </c>
      <c r="Q1329" t="s">
        <v>899</v>
      </c>
      <c r="R1329" t="s">
        <v>828</v>
      </c>
      <c r="S1329" t="s">
        <v>836</v>
      </c>
      <c r="T1329">
        <v>63</v>
      </c>
      <c r="V1329" t="s">
        <v>907</v>
      </c>
      <c r="Z1329">
        <v>15</v>
      </c>
      <c r="AA1329">
        <v>15</v>
      </c>
      <c r="AG1329" t="str">
        <f t="shared" si="118"/>
        <v>51HELLO_Calanus_finmarchicus_D0_CO2NA_TNA_control_outcome0.01</v>
      </c>
      <c r="AI1329">
        <v>5</v>
      </c>
      <c r="AJ1329" t="s">
        <v>333</v>
      </c>
      <c r="AK1329" t="s">
        <v>59</v>
      </c>
      <c r="AM1329"/>
      <c r="AN1329">
        <v>9.5240540000000005E-3</v>
      </c>
      <c r="AO1329">
        <v>4.7620300000000002E-4</v>
      </c>
      <c r="AP1329">
        <v>1.4973642000000001E-2</v>
      </c>
      <c r="AQ1329">
        <v>7.4868199999999997E-4</v>
      </c>
      <c r="AS1329">
        <f t="shared" si="119"/>
        <v>0.45247085692015965</v>
      </c>
      <c r="AT1329">
        <f t="shared" si="120"/>
        <v>3.3333349880533211E-4</v>
      </c>
      <c r="AW1329" s="28">
        <f t="shared" si="112"/>
        <v>8.6858072489600584</v>
      </c>
      <c r="AX1329">
        <f t="shared" si="113"/>
        <v>0.97297297297297303</v>
      </c>
      <c r="AY1329" s="62">
        <f t="shared" si="114"/>
        <v>8.4510557016908674</v>
      </c>
      <c r="AZ1329" s="68" t="str">
        <f t="shared" si="115"/>
        <v>No</v>
      </c>
      <c r="BA1329" s="68" t="str">
        <f t="shared" si="116"/>
        <v>No</v>
      </c>
    </row>
    <row r="1330" spans="1:53" hidden="1">
      <c r="A1330" t="s">
        <v>1280</v>
      </c>
      <c r="B1330" t="str">
        <f t="shared" si="117"/>
        <v>1330_Hamraj</v>
      </c>
      <c r="C1330" t="s">
        <v>1596</v>
      </c>
      <c r="F1330" t="s">
        <v>1241</v>
      </c>
      <c r="G1330" t="s">
        <v>1423</v>
      </c>
      <c r="I1330">
        <v>2011</v>
      </c>
      <c r="M1330" s="25" t="s">
        <v>36</v>
      </c>
      <c r="N1330" t="s">
        <v>36</v>
      </c>
      <c r="O1330" t="s">
        <v>3807</v>
      </c>
      <c r="P1330" t="s">
        <v>60</v>
      </c>
      <c r="Q1330" t="s">
        <v>899</v>
      </c>
      <c r="R1330" t="s">
        <v>828</v>
      </c>
      <c r="S1330" t="s">
        <v>836</v>
      </c>
      <c r="T1330">
        <v>63</v>
      </c>
      <c r="V1330" t="s">
        <v>907</v>
      </c>
      <c r="Z1330">
        <v>15</v>
      </c>
      <c r="AA1330">
        <v>15</v>
      </c>
      <c r="AG1330" t="str">
        <f t="shared" si="118"/>
        <v>51HELLO_Calanus_finmarchicus_D0_CO2NA_TNA_control_outcome0.01</v>
      </c>
      <c r="AI1330">
        <v>8</v>
      </c>
      <c r="AJ1330" t="s">
        <v>333</v>
      </c>
      <c r="AK1330" t="s">
        <v>59</v>
      </c>
      <c r="AM1330"/>
      <c r="AN1330">
        <v>9.5240540000000005E-3</v>
      </c>
      <c r="AO1330">
        <v>4.7620300000000002E-4</v>
      </c>
      <c r="AP1330">
        <v>1.7627683000000002E-2</v>
      </c>
      <c r="AQ1330">
        <v>8.8138400000000003E-4</v>
      </c>
      <c r="AS1330">
        <f t="shared" si="119"/>
        <v>0.6156499655681964</v>
      </c>
      <c r="AT1330">
        <f t="shared" si="120"/>
        <v>3.3333348659906074E-4</v>
      </c>
      <c r="AW1330" s="28">
        <f t="shared" si="112"/>
        <v>11.439648899650205</v>
      </c>
      <c r="AX1330">
        <f t="shared" si="113"/>
        <v>0.97297297297297303</v>
      </c>
      <c r="AY1330" s="62">
        <f t="shared" si="114"/>
        <v>11.130469199659659</v>
      </c>
      <c r="AZ1330" s="68" t="str">
        <f t="shared" si="115"/>
        <v>Yes</v>
      </c>
      <c r="BA1330" s="68" t="str">
        <f t="shared" si="116"/>
        <v>No</v>
      </c>
    </row>
    <row r="1331" spans="1:53" hidden="1">
      <c r="A1331" t="s">
        <v>1280</v>
      </c>
      <c r="B1331" t="str">
        <f t="shared" si="117"/>
        <v>1331_Hamraj</v>
      </c>
      <c r="C1331" t="s">
        <v>1596</v>
      </c>
      <c r="F1331" t="s">
        <v>1241</v>
      </c>
      <c r="G1331" t="s">
        <v>1424</v>
      </c>
      <c r="I1331">
        <v>2011</v>
      </c>
      <c r="M1331" s="25" t="s">
        <v>36</v>
      </c>
      <c r="N1331" t="s">
        <v>36</v>
      </c>
      <c r="O1331" t="s">
        <v>3807</v>
      </c>
      <c r="P1331" t="s">
        <v>60</v>
      </c>
      <c r="Q1331" t="s">
        <v>899</v>
      </c>
      <c r="R1331" t="s">
        <v>828</v>
      </c>
      <c r="S1331" t="s">
        <v>1404</v>
      </c>
      <c r="T1331">
        <v>63</v>
      </c>
      <c r="V1331" t="s">
        <v>907</v>
      </c>
      <c r="Z1331">
        <v>10</v>
      </c>
      <c r="AA1331">
        <v>10</v>
      </c>
      <c r="AG1331" t="str">
        <f t="shared" si="118"/>
        <v>51HELLO_Calanus_glacialis_D0_CO2NA_TNA_control_outcome0.02</v>
      </c>
      <c r="AI1331">
        <v>5</v>
      </c>
      <c r="AJ1331" t="s">
        <v>333</v>
      </c>
      <c r="AK1331" t="s">
        <v>59</v>
      </c>
      <c r="AM1331"/>
      <c r="AN1331">
        <v>1.5582907E-2</v>
      </c>
      <c r="AO1331">
        <v>7.7914499999999997E-4</v>
      </c>
      <c r="AP1331">
        <v>1.599074E-2</v>
      </c>
      <c r="AQ1331">
        <v>7.9953700000000001E-4</v>
      </c>
      <c r="AS1331">
        <f t="shared" si="119"/>
        <v>2.5835196295783014E-2</v>
      </c>
      <c r="AT1331">
        <f t="shared" si="120"/>
        <v>4.9999977539497511E-4</v>
      </c>
      <c r="AW1331" s="28">
        <f t="shared" si="112"/>
        <v>0.51663220390977138</v>
      </c>
      <c r="AX1331">
        <f t="shared" si="113"/>
        <v>0.95774647887323949</v>
      </c>
      <c r="AY1331" s="62">
        <f t="shared" si="114"/>
        <v>0.49480267416710499</v>
      </c>
      <c r="AZ1331" s="68" t="str">
        <f t="shared" si="115"/>
        <v>No</v>
      </c>
      <c r="BA1331" s="68" t="str">
        <f t="shared" si="116"/>
        <v>No</v>
      </c>
    </row>
    <row r="1332" spans="1:53" hidden="1">
      <c r="A1332" t="s">
        <v>1280</v>
      </c>
      <c r="B1332" t="str">
        <f t="shared" si="117"/>
        <v>1332_Hamraj</v>
      </c>
      <c r="C1332" t="s">
        <v>1596</v>
      </c>
      <c r="F1332" t="s">
        <v>1241</v>
      </c>
      <c r="G1332" t="s">
        <v>1425</v>
      </c>
      <c r="I1332">
        <v>2011</v>
      </c>
      <c r="M1332" s="25" t="s">
        <v>36</v>
      </c>
      <c r="N1332" t="s">
        <v>36</v>
      </c>
      <c r="O1332" t="s">
        <v>3807</v>
      </c>
      <c r="P1332" t="s">
        <v>60</v>
      </c>
      <c r="Q1332" t="s">
        <v>899</v>
      </c>
      <c r="R1332" t="s">
        <v>828</v>
      </c>
      <c r="S1332" t="s">
        <v>1404</v>
      </c>
      <c r="T1332">
        <v>63</v>
      </c>
      <c r="V1332" t="s">
        <v>907</v>
      </c>
      <c r="Z1332">
        <v>10</v>
      </c>
      <c r="AA1332">
        <v>10</v>
      </c>
      <c r="AG1332" t="str">
        <f t="shared" si="118"/>
        <v>51HELLO_Calanus_glacialis_D0_CO2NA_TNA_control_outcome0.02</v>
      </c>
      <c r="AI1332">
        <v>8</v>
      </c>
      <c r="AJ1332" t="s">
        <v>333</v>
      </c>
      <c r="AK1332" t="s">
        <v>59</v>
      </c>
      <c r="AM1332"/>
      <c r="AN1332">
        <v>1.5582907E-2</v>
      </c>
      <c r="AO1332">
        <v>7.7914499999999997E-4</v>
      </c>
      <c r="AP1332">
        <v>1.3525776E-2</v>
      </c>
      <c r="AQ1332">
        <v>6.7628899999999995E-4</v>
      </c>
      <c r="AS1332">
        <f t="shared" si="119"/>
        <v>-0.14157741008586822</v>
      </c>
      <c r="AT1332">
        <f t="shared" si="120"/>
        <v>4.999999232608199E-4</v>
      </c>
      <c r="AW1332" s="28">
        <f t="shared" si="112"/>
        <v>-2.8197956099745904</v>
      </c>
      <c r="AX1332">
        <f t="shared" si="113"/>
        <v>0.95774647887323949</v>
      </c>
      <c r="AY1332" s="62">
        <f t="shared" si="114"/>
        <v>-2.7006493165953827</v>
      </c>
      <c r="AZ1332" s="68" t="str">
        <f t="shared" si="115"/>
        <v>No</v>
      </c>
      <c r="BA1332" s="68" t="str">
        <f t="shared" si="116"/>
        <v>No</v>
      </c>
    </row>
    <row r="1333" spans="1:53" hidden="1">
      <c r="A1333" t="s">
        <v>1280</v>
      </c>
      <c r="B1333" t="str">
        <f t="shared" si="117"/>
        <v>1333_Hamraj</v>
      </c>
      <c r="C1333" t="s">
        <v>1599</v>
      </c>
      <c r="F1333" t="s">
        <v>1241</v>
      </c>
      <c r="G1333" t="s">
        <v>1504</v>
      </c>
      <c r="I1333">
        <v>2017</v>
      </c>
      <c r="M1333" s="25" t="s">
        <v>36</v>
      </c>
      <c r="N1333" t="s">
        <v>36</v>
      </c>
      <c r="O1333" t="s">
        <v>3808</v>
      </c>
      <c r="P1333" t="s">
        <v>60</v>
      </c>
      <c r="Q1333" t="s">
        <v>899</v>
      </c>
      <c r="R1333" t="s">
        <v>868</v>
      </c>
      <c r="S1333" t="s">
        <v>1590</v>
      </c>
      <c r="T1333">
        <v>58</v>
      </c>
      <c r="V1333" t="s">
        <v>907</v>
      </c>
      <c r="Z1333">
        <v>34</v>
      </c>
      <c r="AA1333">
        <v>139</v>
      </c>
      <c r="AG1333" t="str">
        <f t="shared" si="118"/>
        <v>52HELLO_Nitocra_spinipes_D0_CO2NA_TNA_control_outcome27.65</v>
      </c>
      <c r="AI1333">
        <v>20</v>
      </c>
      <c r="AJ1333" t="s">
        <v>333</v>
      </c>
      <c r="AK1333" t="s">
        <v>59</v>
      </c>
      <c r="AM1333"/>
      <c r="AN1333">
        <v>27.65</v>
      </c>
      <c r="AO1333">
        <v>6.59</v>
      </c>
      <c r="AP1333">
        <v>23.76</v>
      </c>
      <c r="AQ1333">
        <v>10.78</v>
      </c>
      <c r="AS1333">
        <f t="shared" si="119"/>
        <v>-0.15162223347389947</v>
      </c>
      <c r="AT1333">
        <f t="shared" si="120"/>
        <v>3.1516262223006109E-3</v>
      </c>
      <c r="AW1333" s="28">
        <f t="shared" si="112"/>
        <v>-0.38485985758019042</v>
      </c>
      <c r="AX1333">
        <f t="shared" si="113"/>
        <v>0.99560761346998539</v>
      </c>
      <c r="AY1333" s="62">
        <f t="shared" si="114"/>
        <v>-0.38316940432581187</v>
      </c>
      <c r="AZ1333" s="68" t="str">
        <f t="shared" si="115"/>
        <v>No</v>
      </c>
      <c r="BA1333" s="68" t="str">
        <f t="shared" si="116"/>
        <v>No</v>
      </c>
    </row>
    <row r="1334" spans="1:53" hidden="1">
      <c r="A1334" t="s">
        <v>1280</v>
      </c>
      <c r="B1334" t="str">
        <f t="shared" si="117"/>
        <v>1334_Hamraj</v>
      </c>
      <c r="C1334" t="s">
        <v>1599</v>
      </c>
      <c r="F1334" t="s">
        <v>1241</v>
      </c>
      <c r="G1334" t="s">
        <v>1505</v>
      </c>
      <c r="I1334">
        <v>2017</v>
      </c>
      <c r="M1334" s="25" t="s">
        <v>36</v>
      </c>
      <c r="N1334" t="s">
        <v>36</v>
      </c>
      <c r="O1334" t="s">
        <v>3808</v>
      </c>
      <c r="P1334" t="s">
        <v>60</v>
      </c>
      <c r="Q1334" t="s">
        <v>899</v>
      </c>
      <c r="R1334" t="s">
        <v>868</v>
      </c>
      <c r="S1334" t="s">
        <v>1590</v>
      </c>
      <c r="T1334">
        <v>58</v>
      </c>
      <c r="V1334" t="s">
        <v>907</v>
      </c>
      <c r="Z1334">
        <v>34</v>
      </c>
      <c r="AA1334">
        <v>43</v>
      </c>
      <c r="AG1334" t="str">
        <f t="shared" si="118"/>
        <v>52HELLO_Nitocra_spinipes_D0_CO2NA_TNA_control_outcome27.65</v>
      </c>
      <c r="AI1334">
        <v>25</v>
      </c>
      <c r="AJ1334" t="s">
        <v>333</v>
      </c>
      <c r="AK1334" t="s">
        <v>59</v>
      </c>
      <c r="AM1334"/>
      <c r="AN1334">
        <v>27.65</v>
      </c>
      <c r="AO1334">
        <v>6.59</v>
      </c>
      <c r="AP1334">
        <v>10.95</v>
      </c>
      <c r="AQ1334">
        <v>4.9400000000000004</v>
      </c>
      <c r="AS1334">
        <f t="shared" si="119"/>
        <v>-0.926286271705834</v>
      </c>
      <c r="AT1334">
        <f t="shared" si="120"/>
        <v>6.4039377788496048E-3</v>
      </c>
      <c r="AW1334" s="28">
        <f t="shared" si="112"/>
        <v>-2.9170859717629214</v>
      </c>
      <c r="AX1334">
        <f t="shared" si="113"/>
        <v>0.98996655518394649</v>
      </c>
      <c r="AY1334" s="62">
        <f t="shared" si="114"/>
        <v>-2.8878175506415542</v>
      </c>
      <c r="AZ1334" s="68" t="str">
        <f t="shared" si="115"/>
        <v>No</v>
      </c>
      <c r="BA1334" s="68" t="str">
        <f t="shared" si="116"/>
        <v>No</v>
      </c>
    </row>
    <row r="1335" spans="1:53" hidden="1">
      <c r="A1335" t="s">
        <v>1280</v>
      </c>
      <c r="B1335" t="str">
        <f t="shared" si="117"/>
        <v>1335_Hamraj</v>
      </c>
      <c r="C1335" t="s">
        <v>1601</v>
      </c>
      <c r="F1335" t="s">
        <v>1241</v>
      </c>
      <c r="G1335" t="s">
        <v>1506</v>
      </c>
      <c r="I1335">
        <v>2012</v>
      </c>
      <c r="M1335" s="25" t="s">
        <v>36</v>
      </c>
      <c r="N1335" t="s">
        <v>36</v>
      </c>
      <c r="O1335" t="s">
        <v>3807</v>
      </c>
      <c r="P1335" t="s">
        <v>60</v>
      </c>
      <c r="Q1335" t="s">
        <v>899</v>
      </c>
      <c r="R1335" t="s">
        <v>828</v>
      </c>
      <c r="S1335" t="s">
        <v>836</v>
      </c>
      <c r="T1335">
        <v>69</v>
      </c>
      <c r="V1335" t="s">
        <v>907</v>
      </c>
      <c r="Z1335">
        <v>25</v>
      </c>
      <c r="AA1335">
        <v>25</v>
      </c>
      <c r="AG1335" t="str">
        <f t="shared" si="118"/>
        <v>53HELLO_Calanus_finmarchicus_D0_CO2NA_TNA_control_outcome0.90</v>
      </c>
      <c r="AI1335">
        <v>2.5</v>
      </c>
      <c r="AJ1335" t="s">
        <v>333</v>
      </c>
      <c r="AK1335" t="s">
        <v>59</v>
      </c>
      <c r="AM1335"/>
      <c r="AN1335">
        <v>0.9</v>
      </c>
      <c r="AO1335">
        <v>0.5</v>
      </c>
      <c r="AP1335">
        <v>3.4</v>
      </c>
      <c r="AQ1335">
        <v>1</v>
      </c>
      <c r="AS1335">
        <f t="shared" si="119"/>
        <v>1.329135947279942</v>
      </c>
      <c r="AT1335">
        <f t="shared" si="120"/>
        <v>1.5805886624802427E-2</v>
      </c>
      <c r="AW1335" s="28">
        <f t="shared" si="112"/>
        <v>3.1622776601683791</v>
      </c>
      <c r="AX1335">
        <f t="shared" si="113"/>
        <v>0.98429319371727753</v>
      </c>
      <c r="AY1335" s="62">
        <f t="shared" si="114"/>
        <v>3.1126083775479336</v>
      </c>
      <c r="AZ1335" s="68" t="str">
        <f t="shared" si="115"/>
        <v>No</v>
      </c>
      <c r="BA1335" s="68" t="str">
        <f t="shared" si="116"/>
        <v>No</v>
      </c>
    </row>
    <row r="1336" spans="1:53" hidden="1">
      <c r="A1336" t="s">
        <v>1280</v>
      </c>
      <c r="B1336" t="str">
        <f t="shared" si="117"/>
        <v>1336_Hamraj</v>
      </c>
      <c r="C1336" t="s">
        <v>1601</v>
      </c>
      <c r="F1336" t="s">
        <v>1241</v>
      </c>
      <c r="G1336" t="s">
        <v>1507</v>
      </c>
      <c r="I1336">
        <v>2012</v>
      </c>
      <c r="M1336" s="25" t="s">
        <v>36</v>
      </c>
      <c r="N1336" t="s">
        <v>36</v>
      </c>
      <c r="O1336" t="s">
        <v>3807</v>
      </c>
      <c r="P1336" t="s">
        <v>60</v>
      </c>
      <c r="Q1336" t="s">
        <v>899</v>
      </c>
      <c r="R1336" t="s">
        <v>828</v>
      </c>
      <c r="S1336" t="s">
        <v>836</v>
      </c>
      <c r="T1336">
        <v>69</v>
      </c>
      <c r="V1336" t="s">
        <v>907</v>
      </c>
      <c r="Z1336">
        <v>25</v>
      </c>
      <c r="AA1336">
        <v>25</v>
      </c>
      <c r="AG1336" t="str">
        <f t="shared" si="118"/>
        <v>53HELLO_Calanus_finmarchicus_D0_CO2NA_TNA_control_outcome0.90</v>
      </c>
      <c r="AI1336">
        <v>5</v>
      </c>
      <c r="AJ1336" t="s">
        <v>333</v>
      </c>
      <c r="AK1336" t="s">
        <v>59</v>
      </c>
      <c r="AM1336"/>
      <c r="AN1336">
        <v>0.9</v>
      </c>
      <c r="AO1336">
        <v>0.5</v>
      </c>
      <c r="AP1336">
        <v>2.1</v>
      </c>
      <c r="AQ1336">
        <v>3</v>
      </c>
      <c r="AS1336">
        <f t="shared" si="119"/>
        <v>0.84729786038720367</v>
      </c>
      <c r="AT1336">
        <f t="shared" si="120"/>
        <v>9.3978332073570162E-2</v>
      </c>
      <c r="AW1336" s="28">
        <f t="shared" si="112"/>
        <v>0.55798866597033259</v>
      </c>
      <c r="AX1336">
        <f t="shared" si="113"/>
        <v>0.98429319371727753</v>
      </c>
      <c r="AY1336" s="62">
        <f t="shared" si="114"/>
        <v>0.54922444608598187</v>
      </c>
      <c r="AZ1336" s="68" t="str">
        <f t="shared" si="115"/>
        <v>No</v>
      </c>
      <c r="BA1336" s="68" t="str">
        <f t="shared" si="116"/>
        <v>No</v>
      </c>
    </row>
    <row r="1337" spans="1:53" hidden="1">
      <c r="A1337" t="s">
        <v>1280</v>
      </c>
      <c r="B1337" t="str">
        <f t="shared" si="117"/>
        <v>1337_Hamraj</v>
      </c>
      <c r="C1337" t="s">
        <v>1601</v>
      </c>
      <c r="F1337" t="s">
        <v>1241</v>
      </c>
      <c r="G1337" t="s">
        <v>1508</v>
      </c>
      <c r="I1337">
        <v>2012</v>
      </c>
      <c r="M1337" s="25" t="s">
        <v>36</v>
      </c>
      <c r="N1337" t="s">
        <v>36</v>
      </c>
      <c r="O1337" t="s">
        <v>3807</v>
      </c>
      <c r="P1337" t="s">
        <v>60</v>
      </c>
      <c r="Q1337" t="s">
        <v>899</v>
      </c>
      <c r="R1337" t="s">
        <v>828</v>
      </c>
      <c r="S1337" t="s">
        <v>836</v>
      </c>
      <c r="T1337">
        <v>69</v>
      </c>
      <c r="V1337" t="s">
        <v>907</v>
      </c>
      <c r="Z1337">
        <v>25</v>
      </c>
      <c r="AA1337">
        <v>25</v>
      </c>
      <c r="AG1337" t="str">
        <f t="shared" si="118"/>
        <v>53HELLO_Calanus_finmarchicus_D0_CO2NA_TNA_control_outcome0.90</v>
      </c>
      <c r="AI1337">
        <v>7.5</v>
      </c>
      <c r="AJ1337" t="s">
        <v>333</v>
      </c>
      <c r="AK1337" t="s">
        <v>59</v>
      </c>
      <c r="AM1337"/>
      <c r="AN1337">
        <v>0.9</v>
      </c>
      <c r="AO1337">
        <v>0.5</v>
      </c>
      <c r="AP1337">
        <v>10.199999999999999</v>
      </c>
      <c r="AQ1337">
        <v>1.7</v>
      </c>
      <c r="AS1337">
        <f t="shared" si="119"/>
        <v>2.4277482359480516</v>
      </c>
      <c r="AT1337">
        <f t="shared" si="120"/>
        <v>1.345679012345679E-2</v>
      </c>
      <c r="AW1337" s="28">
        <f t="shared" si="112"/>
        <v>7.4222080255488851</v>
      </c>
      <c r="AX1337">
        <f t="shared" si="113"/>
        <v>0.98429319371727753</v>
      </c>
      <c r="AY1337" s="62">
        <f t="shared" si="114"/>
        <v>7.3056288419015205</v>
      </c>
      <c r="AZ1337" s="68" t="str">
        <f t="shared" si="115"/>
        <v>No</v>
      </c>
      <c r="BA1337" s="68" t="str">
        <f t="shared" si="116"/>
        <v>No</v>
      </c>
    </row>
    <row r="1338" spans="1:53" hidden="1">
      <c r="A1338" t="s">
        <v>1280</v>
      </c>
      <c r="B1338" t="str">
        <f t="shared" si="117"/>
        <v>1338_Hamraj</v>
      </c>
      <c r="C1338" t="s">
        <v>1601</v>
      </c>
      <c r="F1338" t="s">
        <v>1241</v>
      </c>
      <c r="G1338" t="s">
        <v>1509</v>
      </c>
      <c r="I1338">
        <v>2012</v>
      </c>
      <c r="M1338" s="25" t="s">
        <v>36</v>
      </c>
      <c r="N1338" t="s">
        <v>36</v>
      </c>
      <c r="O1338" t="s">
        <v>3807</v>
      </c>
      <c r="P1338" t="s">
        <v>60</v>
      </c>
      <c r="Q1338" t="s">
        <v>899</v>
      </c>
      <c r="R1338" t="s">
        <v>828</v>
      </c>
      <c r="S1338" t="s">
        <v>836</v>
      </c>
      <c r="T1338">
        <v>69</v>
      </c>
      <c r="V1338" t="s">
        <v>907</v>
      </c>
      <c r="Z1338">
        <v>25</v>
      </c>
      <c r="AA1338">
        <v>25</v>
      </c>
      <c r="AG1338" t="str">
        <f t="shared" si="118"/>
        <v>53HELLO_Calanus_finmarchicus_D0_CO2NA_TNA_control_outcome0.90</v>
      </c>
      <c r="AI1338">
        <v>10</v>
      </c>
      <c r="AJ1338" t="s">
        <v>333</v>
      </c>
      <c r="AK1338" t="s">
        <v>59</v>
      </c>
      <c r="AM1338"/>
      <c r="AN1338">
        <v>0.9</v>
      </c>
      <c r="AO1338">
        <v>0.5</v>
      </c>
      <c r="AP1338">
        <v>12.6</v>
      </c>
      <c r="AQ1338">
        <v>1.1000000000000001</v>
      </c>
      <c r="AS1338">
        <f t="shared" si="119"/>
        <v>2.6390573296152584</v>
      </c>
      <c r="AT1338">
        <f t="shared" si="120"/>
        <v>1.2650541698160746E-2</v>
      </c>
      <c r="AW1338" s="28">
        <f t="shared" si="112"/>
        <v>13.693814221947273</v>
      </c>
      <c r="AX1338">
        <f t="shared" si="113"/>
        <v>0.98429319371727753</v>
      </c>
      <c r="AY1338" s="62">
        <f t="shared" si="114"/>
        <v>13.478728134691558</v>
      </c>
      <c r="AZ1338" s="68" t="str">
        <f t="shared" si="115"/>
        <v>Yes</v>
      </c>
      <c r="BA1338" s="68" t="str">
        <f t="shared" si="116"/>
        <v>No</v>
      </c>
    </row>
    <row r="1339" spans="1:53" hidden="1">
      <c r="A1339" t="s">
        <v>1280</v>
      </c>
      <c r="B1339" t="str">
        <f t="shared" si="117"/>
        <v>1339_Hamraj</v>
      </c>
      <c r="C1339" t="s">
        <v>1601</v>
      </c>
      <c r="F1339" t="s">
        <v>1241</v>
      </c>
      <c r="G1339" t="s">
        <v>1510</v>
      </c>
      <c r="I1339">
        <v>2012</v>
      </c>
      <c r="M1339" s="25" t="s">
        <v>36</v>
      </c>
      <c r="N1339" t="s">
        <v>36</v>
      </c>
      <c r="O1339" t="s">
        <v>3807</v>
      </c>
      <c r="P1339" t="s">
        <v>60</v>
      </c>
      <c r="Q1339" t="s">
        <v>899</v>
      </c>
      <c r="R1339" t="s">
        <v>828</v>
      </c>
      <c r="S1339" t="s">
        <v>836</v>
      </c>
      <c r="T1339">
        <v>69</v>
      </c>
      <c r="V1339" t="s">
        <v>907</v>
      </c>
      <c r="Z1339">
        <v>30</v>
      </c>
      <c r="AA1339">
        <v>30</v>
      </c>
      <c r="AG1339" t="str">
        <f t="shared" si="118"/>
        <v>53HELLO_Calanus_finmarchicus_D0_CO2NA_TNA_control_outcome3.00</v>
      </c>
      <c r="AI1339">
        <v>2.5</v>
      </c>
      <c r="AJ1339" t="s">
        <v>333</v>
      </c>
      <c r="AK1339" t="s">
        <v>59</v>
      </c>
      <c r="AM1339"/>
      <c r="AN1339">
        <v>3</v>
      </c>
      <c r="AO1339">
        <v>0.3</v>
      </c>
      <c r="AP1339">
        <v>11.1</v>
      </c>
      <c r="AQ1339">
        <v>1.9</v>
      </c>
      <c r="AS1339">
        <f t="shared" si="119"/>
        <v>1.3083328196501787</v>
      </c>
      <c r="AT1339">
        <f t="shared" si="120"/>
        <v>1.3099856613370128E-3</v>
      </c>
      <c r="AW1339" s="28">
        <f t="shared" si="112"/>
        <v>5.9552384389598432</v>
      </c>
      <c r="AX1339">
        <f t="shared" si="113"/>
        <v>0.98701298701298701</v>
      </c>
      <c r="AY1339" s="62">
        <f t="shared" si="114"/>
        <v>5.8778976800123131</v>
      </c>
      <c r="AZ1339" s="68" t="str">
        <f t="shared" si="115"/>
        <v>No</v>
      </c>
      <c r="BA1339" s="68" t="str">
        <f t="shared" si="116"/>
        <v>No</v>
      </c>
    </row>
    <row r="1340" spans="1:53" hidden="1">
      <c r="A1340" t="s">
        <v>1280</v>
      </c>
      <c r="B1340" t="str">
        <f t="shared" si="117"/>
        <v>1340_Hamraj</v>
      </c>
      <c r="C1340" t="s">
        <v>1601</v>
      </c>
      <c r="F1340" t="s">
        <v>1241</v>
      </c>
      <c r="G1340" t="s">
        <v>1511</v>
      </c>
      <c r="I1340">
        <v>2012</v>
      </c>
      <c r="M1340" s="25" t="s">
        <v>36</v>
      </c>
      <c r="N1340" t="s">
        <v>36</v>
      </c>
      <c r="O1340" t="s">
        <v>3807</v>
      </c>
      <c r="P1340" t="s">
        <v>60</v>
      </c>
      <c r="Q1340" t="s">
        <v>899</v>
      </c>
      <c r="R1340" t="s">
        <v>828</v>
      </c>
      <c r="S1340" t="s">
        <v>836</v>
      </c>
      <c r="T1340">
        <v>69</v>
      </c>
      <c r="V1340" t="s">
        <v>907</v>
      </c>
      <c r="Z1340">
        <v>30</v>
      </c>
      <c r="AA1340">
        <v>30</v>
      </c>
      <c r="AG1340" t="str">
        <f t="shared" si="118"/>
        <v>53HELLO_Calanus_finmarchicus_D0_CO2NA_TNA_control_outcome3.00</v>
      </c>
      <c r="AI1340">
        <v>5</v>
      </c>
      <c r="AJ1340" t="s">
        <v>333</v>
      </c>
      <c r="AK1340" t="s">
        <v>59</v>
      </c>
      <c r="AM1340"/>
      <c r="AN1340">
        <v>3</v>
      </c>
      <c r="AO1340">
        <v>0.3</v>
      </c>
      <c r="AP1340">
        <v>12.3</v>
      </c>
      <c r="AQ1340">
        <v>1.7</v>
      </c>
      <c r="AS1340">
        <f t="shared" si="119"/>
        <v>1.4109869737102623</v>
      </c>
      <c r="AT1340">
        <f t="shared" si="120"/>
        <v>9.7007953819375583E-4</v>
      </c>
      <c r="AW1340" s="28">
        <f t="shared" si="112"/>
        <v>7.6188568608270772</v>
      </c>
      <c r="AX1340">
        <f t="shared" si="113"/>
        <v>0.98701298701298701</v>
      </c>
      <c r="AY1340" s="62">
        <f t="shared" si="114"/>
        <v>7.5199106678293228</v>
      </c>
      <c r="AZ1340" s="68" t="str">
        <f t="shared" si="115"/>
        <v>No</v>
      </c>
      <c r="BA1340" s="68" t="str">
        <f t="shared" si="116"/>
        <v>No</v>
      </c>
    </row>
    <row r="1341" spans="1:53" hidden="1">
      <c r="A1341" t="s">
        <v>1280</v>
      </c>
      <c r="B1341" t="str">
        <f t="shared" si="117"/>
        <v>1341_Hamraj</v>
      </c>
      <c r="C1341" t="s">
        <v>1601</v>
      </c>
      <c r="F1341" t="s">
        <v>1241</v>
      </c>
      <c r="G1341" t="s">
        <v>1512</v>
      </c>
      <c r="I1341">
        <v>2012</v>
      </c>
      <c r="M1341" s="25" t="s">
        <v>36</v>
      </c>
      <c r="N1341" t="s">
        <v>36</v>
      </c>
      <c r="O1341" t="s">
        <v>3807</v>
      </c>
      <c r="P1341" t="s">
        <v>60</v>
      </c>
      <c r="Q1341" t="s">
        <v>899</v>
      </c>
      <c r="R1341" t="s">
        <v>828</v>
      </c>
      <c r="S1341" t="s">
        <v>836</v>
      </c>
      <c r="T1341">
        <v>69</v>
      </c>
      <c r="V1341" t="s">
        <v>907</v>
      </c>
      <c r="Z1341">
        <v>30</v>
      </c>
      <c r="AA1341">
        <v>30</v>
      </c>
      <c r="AG1341" t="str">
        <f t="shared" si="118"/>
        <v>53HELLO_Calanus_finmarchicus_D0_CO2NA_TNA_control_outcome3.00</v>
      </c>
      <c r="AI1341">
        <v>7.5</v>
      </c>
      <c r="AJ1341" t="s">
        <v>333</v>
      </c>
      <c r="AK1341" t="s">
        <v>59</v>
      </c>
      <c r="AM1341"/>
      <c r="AN1341">
        <v>3</v>
      </c>
      <c r="AO1341">
        <v>0.3</v>
      </c>
      <c r="AP1341">
        <v>36.1</v>
      </c>
      <c r="AQ1341">
        <v>3.9</v>
      </c>
      <c r="AS1341">
        <f t="shared" si="119"/>
        <v>2.4876805766707255</v>
      </c>
      <c r="AT1341">
        <f t="shared" si="120"/>
        <v>7.2237270534551853E-4</v>
      </c>
      <c r="AW1341" s="28">
        <f t="shared" si="112"/>
        <v>11.9673302563292</v>
      </c>
      <c r="AX1341">
        <f t="shared" si="113"/>
        <v>0.98701298701298701</v>
      </c>
      <c r="AY1341" s="62">
        <f t="shared" si="114"/>
        <v>11.81191038287038</v>
      </c>
      <c r="AZ1341" s="68" t="str">
        <f t="shared" si="115"/>
        <v>Yes</v>
      </c>
      <c r="BA1341" s="68" t="str">
        <f t="shared" si="116"/>
        <v>No</v>
      </c>
    </row>
    <row r="1342" spans="1:53" hidden="1">
      <c r="A1342" t="s">
        <v>1280</v>
      </c>
      <c r="B1342" t="str">
        <f t="shared" si="117"/>
        <v>1342_Hamraj</v>
      </c>
      <c r="C1342" t="s">
        <v>1601</v>
      </c>
      <c r="F1342" t="s">
        <v>1241</v>
      </c>
      <c r="G1342" t="s">
        <v>1513</v>
      </c>
      <c r="I1342">
        <v>2012</v>
      </c>
      <c r="M1342" s="25" t="s">
        <v>36</v>
      </c>
      <c r="N1342" t="s">
        <v>36</v>
      </c>
      <c r="O1342" t="s">
        <v>3807</v>
      </c>
      <c r="P1342" t="s">
        <v>60</v>
      </c>
      <c r="Q1342" t="s">
        <v>899</v>
      </c>
      <c r="R1342" t="s">
        <v>828</v>
      </c>
      <c r="S1342" t="s">
        <v>836</v>
      </c>
      <c r="T1342">
        <v>69</v>
      </c>
      <c r="V1342" t="s">
        <v>907</v>
      </c>
      <c r="Z1342">
        <v>30</v>
      </c>
      <c r="AA1342">
        <v>30</v>
      </c>
      <c r="AG1342" t="str">
        <f t="shared" si="118"/>
        <v>53HELLO_Calanus_finmarchicus_D0_CO2NA_TNA_control_outcome3.00</v>
      </c>
      <c r="AI1342">
        <v>10</v>
      </c>
      <c r="AJ1342" t="s">
        <v>333</v>
      </c>
      <c r="AK1342" t="s">
        <v>59</v>
      </c>
      <c r="AM1342"/>
      <c r="AN1342">
        <v>3</v>
      </c>
      <c r="AO1342">
        <v>0.3</v>
      </c>
      <c r="AP1342">
        <v>74</v>
      </c>
      <c r="AQ1342">
        <v>6.5</v>
      </c>
      <c r="AS1342">
        <f t="shared" si="119"/>
        <v>3.2054528045360602</v>
      </c>
      <c r="AT1342">
        <f t="shared" si="120"/>
        <v>5.9051619186754325E-4</v>
      </c>
      <c r="AW1342" s="28">
        <f t="shared" si="112"/>
        <v>15.431136740543057</v>
      </c>
      <c r="AX1342">
        <f t="shared" si="113"/>
        <v>0.98701298701298701</v>
      </c>
      <c r="AY1342" s="62">
        <f t="shared" si="114"/>
        <v>15.230732367289251</v>
      </c>
      <c r="AZ1342" s="68" t="str">
        <f t="shared" si="115"/>
        <v>Yes</v>
      </c>
      <c r="BA1342" s="68" t="str">
        <f t="shared" si="116"/>
        <v>No</v>
      </c>
    </row>
    <row r="1343" spans="1:53" hidden="1">
      <c r="A1343" t="s">
        <v>1280</v>
      </c>
      <c r="B1343" t="str">
        <f t="shared" si="117"/>
        <v>1343_Hamraj</v>
      </c>
      <c r="C1343" t="s">
        <v>1601</v>
      </c>
      <c r="F1343" t="s">
        <v>1241</v>
      </c>
      <c r="G1343" t="s">
        <v>1514</v>
      </c>
      <c r="I1343">
        <v>2012</v>
      </c>
      <c r="M1343" s="25" t="s">
        <v>36</v>
      </c>
      <c r="N1343" t="s">
        <v>36</v>
      </c>
      <c r="O1343" t="s">
        <v>3807</v>
      </c>
      <c r="P1343" t="s">
        <v>60</v>
      </c>
      <c r="Q1343" t="s">
        <v>899</v>
      </c>
      <c r="R1343" t="s">
        <v>828</v>
      </c>
      <c r="S1343" t="s">
        <v>836</v>
      </c>
      <c r="T1343">
        <v>69</v>
      </c>
      <c r="V1343" t="s">
        <v>907</v>
      </c>
      <c r="Z1343">
        <v>30</v>
      </c>
      <c r="AA1343">
        <v>30</v>
      </c>
      <c r="AG1343" t="str">
        <f t="shared" si="118"/>
        <v>53HELLO_Calanus_finmarchicus_D0_CO2NA_TNA_control_outcome5.00</v>
      </c>
      <c r="AI1343">
        <v>2.5</v>
      </c>
      <c r="AJ1343" t="s">
        <v>333</v>
      </c>
      <c r="AK1343" t="s">
        <v>59</v>
      </c>
      <c r="AM1343"/>
      <c r="AN1343">
        <v>5</v>
      </c>
      <c r="AO1343">
        <v>1.2</v>
      </c>
      <c r="AP1343">
        <v>5.6</v>
      </c>
      <c r="AQ1343">
        <v>1</v>
      </c>
      <c r="AS1343">
        <f t="shared" si="119"/>
        <v>0.11332868530700324</v>
      </c>
      <c r="AT1343">
        <f t="shared" si="120"/>
        <v>2.9829251700680274E-3</v>
      </c>
      <c r="AW1343" s="28">
        <f t="shared" si="112"/>
        <v>0.54321447625511088</v>
      </c>
      <c r="AX1343">
        <f t="shared" si="113"/>
        <v>0.98701298701298701</v>
      </c>
      <c r="AY1343" s="62">
        <f t="shared" si="114"/>
        <v>0.53615974279725231</v>
      </c>
      <c r="AZ1343" s="68" t="str">
        <f t="shared" si="115"/>
        <v>No</v>
      </c>
      <c r="BA1343" s="68" t="str">
        <f t="shared" si="116"/>
        <v>No</v>
      </c>
    </row>
    <row r="1344" spans="1:53" hidden="1">
      <c r="A1344" t="s">
        <v>1280</v>
      </c>
      <c r="B1344" t="str">
        <f t="shared" si="117"/>
        <v>1344_Hamraj</v>
      </c>
      <c r="C1344" t="s">
        <v>1601</v>
      </c>
      <c r="F1344" t="s">
        <v>1241</v>
      </c>
      <c r="G1344" t="s">
        <v>1515</v>
      </c>
      <c r="I1344">
        <v>2012</v>
      </c>
      <c r="M1344" s="25" t="s">
        <v>36</v>
      </c>
      <c r="N1344" t="s">
        <v>36</v>
      </c>
      <c r="O1344" t="s">
        <v>3807</v>
      </c>
      <c r="P1344" t="s">
        <v>60</v>
      </c>
      <c r="Q1344" t="s">
        <v>899</v>
      </c>
      <c r="R1344" t="s">
        <v>828</v>
      </c>
      <c r="S1344" t="s">
        <v>836</v>
      </c>
      <c r="T1344">
        <v>69</v>
      </c>
      <c r="V1344" t="s">
        <v>907</v>
      </c>
      <c r="Z1344">
        <v>30</v>
      </c>
      <c r="AA1344">
        <v>30</v>
      </c>
      <c r="AG1344" t="str">
        <f t="shared" si="118"/>
        <v>53HELLO_Calanus_finmarchicus_D0_CO2NA_TNA_control_outcome5.00</v>
      </c>
      <c r="AI1344">
        <v>5</v>
      </c>
      <c r="AJ1344" t="s">
        <v>333</v>
      </c>
      <c r="AK1344" t="s">
        <v>59</v>
      </c>
      <c r="AM1344"/>
      <c r="AN1344">
        <v>5</v>
      </c>
      <c r="AO1344">
        <v>1.2</v>
      </c>
      <c r="AP1344">
        <v>5.4</v>
      </c>
      <c r="AQ1344">
        <v>0.7</v>
      </c>
      <c r="AS1344">
        <f t="shared" si="119"/>
        <v>7.6961041136128561E-2</v>
      </c>
      <c r="AT1344">
        <f t="shared" si="120"/>
        <v>2.4801280292638317E-3</v>
      </c>
      <c r="AW1344" s="28">
        <f t="shared" si="112"/>
        <v>0.40718927884743045</v>
      </c>
      <c r="AX1344">
        <f t="shared" si="113"/>
        <v>0.98701298701298701</v>
      </c>
      <c r="AY1344" s="62">
        <f t="shared" si="114"/>
        <v>0.40190110639486643</v>
      </c>
      <c r="AZ1344" s="68" t="str">
        <f t="shared" si="115"/>
        <v>No</v>
      </c>
      <c r="BA1344" s="68" t="str">
        <f t="shared" si="116"/>
        <v>No</v>
      </c>
    </row>
    <row r="1345" spans="1:53" hidden="1">
      <c r="A1345" t="s">
        <v>1280</v>
      </c>
      <c r="B1345" t="str">
        <f t="shared" si="117"/>
        <v>1345_Hamraj</v>
      </c>
      <c r="C1345" t="s">
        <v>1601</v>
      </c>
      <c r="F1345" t="s">
        <v>1241</v>
      </c>
      <c r="G1345" t="s">
        <v>1516</v>
      </c>
      <c r="I1345">
        <v>2012</v>
      </c>
      <c r="M1345" s="25" t="s">
        <v>36</v>
      </c>
      <c r="N1345" t="s">
        <v>36</v>
      </c>
      <c r="O1345" t="s">
        <v>3807</v>
      </c>
      <c r="P1345" t="s">
        <v>60</v>
      </c>
      <c r="Q1345" t="s">
        <v>899</v>
      </c>
      <c r="R1345" t="s">
        <v>828</v>
      </c>
      <c r="S1345" t="s">
        <v>836</v>
      </c>
      <c r="T1345">
        <v>69</v>
      </c>
      <c r="V1345" t="s">
        <v>907</v>
      </c>
      <c r="Z1345">
        <v>30</v>
      </c>
      <c r="AA1345">
        <v>30</v>
      </c>
      <c r="AG1345" t="str">
        <f t="shared" si="118"/>
        <v>53HELLO_Calanus_finmarchicus_D0_CO2NA_TNA_control_outcome5.00</v>
      </c>
      <c r="AI1345">
        <v>7.5</v>
      </c>
      <c r="AJ1345" t="s">
        <v>333</v>
      </c>
      <c r="AK1345" t="s">
        <v>59</v>
      </c>
      <c r="AM1345"/>
      <c r="AN1345">
        <v>5</v>
      </c>
      <c r="AO1345">
        <v>1.2</v>
      </c>
      <c r="AP1345">
        <v>8.1</v>
      </c>
      <c r="AQ1345">
        <v>0.8</v>
      </c>
      <c r="AS1345">
        <f t="shared" si="119"/>
        <v>0.48242614924429295</v>
      </c>
      <c r="AT1345">
        <f t="shared" si="120"/>
        <v>2.2451536859218616E-3</v>
      </c>
      <c r="AW1345" s="28">
        <f t="shared" si="112"/>
        <v>3.0398000946418517</v>
      </c>
      <c r="AX1345">
        <f t="shared" si="113"/>
        <v>0.98701298701298701</v>
      </c>
      <c r="AY1345" s="62">
        <f t="shared" si="114"/>
        <v>3.0003221713348145</v>
      </c>
      <c r="AZ1345" s="68" t="str">
        <f t="shared" si="115"/>
        <v>No</v>
      </c>
      <c r="BA1345" s="68" t="str">
        <f t="shared" si="116"/>
        <v>No</v>
      </c>
    </row>
    <row r="1346" spans="1:53" hidden="1">
      <c r="A1346" t="s">
        <v>1280</v>
      </c>
      <c r="B1346" t="str">
        <f t="shared" si="117"/>
        <v>1346_Hamraj</v>
      </c>
      <c r="C1346" t="s">
        <v>1601</v>
      </c>
      <c r="F1346" t="s">
        <v>1241</v>
      </c>
      <c r="G1346" t="s">
        <v>1517</v>
      </c>
      <c r="I1346">
        <v>2012</v>
      </c>
      <c r="M1346" s="25" t="s">
        <v>36</v>
      </c>
      <c r="N1346" t="s">
        <v>36</v>
      </c>
      <c r="O1346" t="s">
        <v>3807</v>
      </c>
      <c r="P1346" t="s">
        <v>60</v>
      </c>
      <c r="Q1346" t="s">
        <v>899</v>
      </c>
      <c r="R1346" t="s">
        <v>828</v>
      </c>
      <c r="S1346" t="s">
        <v>836</v>
      </c>
      <c r="T1346">
        <v>69</v>
      </c>
      <c r="V1346" t="s">
        <v>907</v>
      </c>
      <c r="Z1346">
        <v>30</v>
      </c>
      <c r="AA1346">
        <v>30</v>
      </c>
      <c r="AG1346" t="str">
        <f t="shared" si="118"/>
        <v>53HELLO_Calanus_finmarchicus_D0_CO2NA_TNA_control_outcome5.00</v>
      </c>
      <c r="AI1346">
        <v>10</v>
      </c>
      <c r="AJ1346" t="s">
        <v>333</v>
      </c>
      <c r="AK1346" t="s">
        <v>59</v>
      </c>
      <c r="AM1346"/>
      <c r="AN1346">
        <v>5</v>
      </c>
      <c r="AO1346">
        <v>1.2</v>
      </c>
      <c r="AP1346">
        <v>7.1</v>
      </c>
      <c r="AQ1346">
        <v>1</v>
      </c>
      <c r="AS1346">
        <f t="shared" si="119"/>
        <v>0.3506568716131695</v>
      </c>
      <c r="AT1346">
        <f t="shared" si="120"/>
        <v>2.58124446207763E-3</v>
      </c>
      <c r="AW1346" s="28">
        <f t="shared" ref="AW1346:AW1409" si="121">(AP1346-$AN1346)/SQRT(((AA1346-1)*AQ1346*AQ1346+($Z1346-1)*$AO1346*$AO1346)/(AA1346+$Z1346-2))</f>
        <v>1.9012506668928888</v>
      </c>
      <c r="AX1346">
        <f t="shared" ref="AX1346:AX1409" si="122">1-(3/(4*(AA1346+$Z1346-2)-1))</f>
        <v>0.98701298701298701</v>
      </c>
      <c r="AY1346" s="62">
        <f t="shared" ref="AY1346:AY1409" si="123">AX1346*AW1346</f>
        <v>1.8765590997903838</v>
      </c>
      <c r="AZ1346" s="68" t="str">
        <f t="shared" ref="AZ1346:AZ1409" si="124">IF(AY1346&gt;10,"Yes","No")</f>
        <v>No</v>
      </c>
      <c r="BA1346" s="68" t="str">
        <f t="shared" ref="BA1346:BA1409" si="125">IF(AY1346&lt;-10,"Yes","No")</f>
        <v>No</v>
      </c>
    </row>
    <row r="1347" spans="1:53" hidden="1">
      <c r="A1347" t="s">
        <v>1280</v>
      </c>
      <c r="B1347" t="str">
        <f t="shared" si="117"/>
        <v>1347_Hamraj</v>
      </c>
      <c r="C1347" t="s">
        <v>1601</v>
      </c>
      <c r="F1347" t="s">
        <v>1241</v>
      </c>
      <c r="G1347" t="s">
        <v>1518</v>
      </c>
      <c r="I1347">
        <v>2012</v>
      </c>
      <c r="M1347" s="25" t="s">
        <v>36</v>
      </c>
      <c r="N1347" t="s">
        <v>36</v>
      </c>
      <c r="O1347" t="s">
        <v>3807</v>
      </c>
      <c r="P1347" t="s">
        <v>60</v>
      </c>
      <c r="Q1347" t="s">
        <v>899</v>
      </c>
      <c r="R1347" t="s">
        <v>828</v>
      </c>
      <c r="S1347" t="s">
        <v>1404</v>
      </c>
      <c r="T1347">
        <v>69</v>
      </c>
      <c r="V1347" t="s">
        <v>907</v>
      </c>
      <c r="Z1347">
        <v>15</v>
      </c>
      <c r="AA1347">
        <v>15</v>
      </c>
      <c r="AG1347" t="str">
        <f t="shared" si="118"/>
        <v>53HELLO_Calanus_glacialis_D0_CO2NA_TNA_control_outcome6.00</v>
      </c>
      <c r="AI1347">
        <v>2.5</v>
      </c>
      <c r="AJ1347" t="s">
        <v>333</v>
      </c>
      <c r="AK1347" t="s">
        <v>59</v>
      </c>
      <c r="AM1347"/>
      <c r="AN1347">
        <v>6</v>
      </c>
      <c r="AO1347">
        <v>1.9</v>
      </c>
      <c r="AP1347">
        <v>15.8</v>
      </c>
      <c r="AQ1347">
        <v>0.9</v>
      </c>
      <c r="AS1347">
        <f t="shared" si="119"/>
        <v>0.96825047080486604</v>
      </c>
      <c r="AT1347">
        <f t="shared" si="120"/>
        <v>6.9014966737286874E-3</v>
      </c>
      <c r="AW1347" s="28">
        <f t="shared" si="121"/>
        <v>6.5921933811638622</v>
      </c>
      <c r="AX1347">
        <f t="shared" si="122"/>
        <v>0.97297297297297303</v>
      </c>
      <c r="AY1347" s="62">
        <f t="shared" si="123"/>
        <v>6.4140259924837579</v>
      </c>
      <c r="AZ1347" s="68" t="str">
        <f t="shared" si="124"/>
        <v>No</v>
      </c>
      <c r="BA1347" s="68" t="str">
        <f t="shared" si="125"/>
        <v>No</v>
      </c>
    </row>
    <row r="1348" spans="1:53" hidden="1">
      <c r="A1348" t="s">
        <v>1280</v>
      </c>
      <c r="B1348" t="str">
        <f t="shared" si="117"/>
        <v>1348_Hamraj</v>
      </c>
      <c r="C1348" t="s">
        <v>1601</v>
      </c>
      <c r="F1348" t="s">
        <v>1241</v>
      </c>
      <c r="G1348" t="s">
        <v>1519</v>
      </c>
      <c r="I1348">
        <v>2012</v>
      </c>
      <c r="M1348" s="25" t="s">
        <v>36</v>
      </c>
      <c r="N1348" t="s">
        <v>36</v>
      </c>
      <c r="O1348" t="s">
        <v>3807</v>
      </c>
      <c r="P1348" t="s">
        <v>60</v>
      </c>
      <c r="Q1348" t="s">
        <v>899</v>
      </c>
      <c r="R1348" t="s">
        <v>828</v>
      </c>
      <c r="S1348" t="s">
        <v>1404</v>
      </c>
      <c r="T1348">
        <v>69</v>
      </c>
      <c r="V1348" t="s">
        <v>907</v>
      </c>
      <c r="Z1348">
        <v>15</v>
      </c>
      <c r="AA1348">
        <v>15</v>
      </c>
      <c r="AG1348" t="str">
        <f t="shared" si="118"/>
        <v>53HELLO_Calanus_glacialis_D0_CO2NA_TNA_control_outcome6.00</v>
      </c>
      <c r="AI1348">
        <v>5</v>
      </c>
      <c r="AJ1348" t="s">
        <v>333</v>
      </c>
      <c r="AK1348" t="s">
        <v>59</v>
      </c>
      <c r="AM1348"/>
      <c r="AN1348">
        <v>6</v>
      </c>
      <c r="AO1348">
        <v>1.9</v>
      </c>
      <c r="AP1348">
        <v>21</v>
      </c>
      <c r="AQ1348">
        <v>2.1</v>
      </c>
      <c r="AS1348">
        <f t="shared" si="119"/>
        <v>1.2527629684953681</v>
      </c>
      <c r="AT1348">
        <f t="shared" si="120"/>
        <v>7.3518518518518516E-3</v>
      </c>
      <c r="AW1348" s="28">
        <f t="shared" si="121"/>
        <v>7.4906425415838349</v>
      </c>
      <c r="AX1348">
        <f t="shared" si="122"/>
        <v>0.97297297297297303</v>
      </c>
      <c r="AY1348" s="62">
        <f t="shared" si="123"/>
        <v>7.288192743162651</v>
      </c>
      <c r="AZ1348" s="68" t="str">
        <f t="shared" si="124"/>
        <v>No</v>
      </c>
      <c r="BA1348" s="68" t="str">
        <f t="shared" si="125"/>
        <v>No</v>
      </c>
    </row>
    <row r="1349" spans="1:53" hidden="1">
      <c r="A1349" t="s">
        <v>1280</v>
      </c>
      <c r="B1349" t="str">
        <f t="shared" si="117"/>
        <v>1349_Hamraj</v>
      </c>
      <c r="C1349" t="s">
        <v>1601</v>
      </c>
      <c r="F1349" t="s">
        <v>1241</v>
      </c>
      <c r="G1349" t="s">
        <v>1520</v>
      </c>
      <c r="I1349">
        <v>2012</v>
      </c>
      <c r="M1349" s="25" t="s">
        <v>36</v>
      </c>
      <c r="N1349" t="s">
        <v>36</v>
      </c>
      <c r="O1349" t="s">
        <v>3807</v>
      </c>
      <c r="P1349" t="s">
        <v>60</v>
      </c>
      <c r="Q1349" t="s">
        <v>899</v>
      </c>
      <c r="R1349" t="s">
        <v>828</v>
      </c>
      <c r="S1349" t="s">
        <v>1404</v>
      </c>
      <c r="T1349">
        <v>69</v>
      </c>
      <c r="V1349" t="s">
        <v>907</v>
      </c>
      <c r="Z1349">
        <v>15</v>
      </c>
      <c r="AA1349">
        <v>15</v>
      </c>
      <c r="AG1349" t="str">
        <f t="shared" si="118"/>
        <v>53HELLO_Calanus_glacialis_D0_CO2NA_TNA_control_outcome6.00</v>
      </c>
      <c r="AI1349">
        <v>7.5</v>
      </c>
      <c r="AJ1349" t="s">
        <v>333</v>
      </c>
      <c r="AK1349" t="s">
        <v>59</v>
      </c>
      <c r="AM1349"/>
      <c r="AN1349">
        <v>6</v>
      </c>
      <c r="AO1349">
        <v>1.9</v>
      </c>
      <c r="AP1349">
        <v>18.399999999999999</v>
      </c>
      <c r="AQ1349">
        <v>1.6</v>
      </c>
      <c r="AS1349">
        <f t="shared" si="119"/>
        <v>1.120591195386885</v>
      </c>
      <c r="AT1349">
        <f t="shared" si="120"/>
        <v>7.1892809633830428E-3</v>
      </c>
      <c r="AW1349" s="28">
        <f t="shared" si="121"/>
        <v>7.0598276846386918</v>
      </c>
      <c r="AX1349">
        <f t="shared" si="122"/>
        <v>0.97297297297297303</v>
      </c>
      <c r="AY1349" s="62">
        <f t="shared" si="123"/>
        <v>6.8690215309998086</v>
      </c>
      <c r="AZ1349" s="68" t="str">
        <f t="shared" si="124"/>
        <v>No</v>
      </c>
      <c r="BA1349" s="68" t="str">
        <f t="shared" si="125"/>
        <v>No</v>
      </c>
    </row>
    <row r="1350" spans="1:53" hidden="1">
      <c r="A1350" t="s">
        <v>1280</v>
      </c>
      <c r="B1350" t="str">
        <f t="shared" si="117"/>
        <v>1350_Hamraj</v>
      </c>
      <c r="C1350" t="s">
        <v>1601</v>
      </c>
      <c r="F1350" t="s">
        <v>1241</v>
      </c>
      <c r="G1350" t="s">
        <v>1521</v>
      </c>
      <c r="I1350">
        <v>2012</v>
      </c>
      <c r="M1350" s="25" t="s">
        <v>36</v>
      </c>
      <c r="N1350" t="s">
        <v>36</v>
      </c>
      <c r="O1350" t="s">
        <v>3807</v>
      </c>
      <c r="P1350" t="s">
        <v>60</v>
      </c>
      <c r="Q1350" t="s">
        <v>899</v>
      </c>
      <c r="R1350" t="s">
        <v>828</v>
      </c>
      <c r="S1350" t="s">
        <v>1404</v>
      </c>
      <c r="T1350">
        <v>69</v>
      </c>
      <c r="V1350" t="s">
        <v>907</v>
      </c>
      <c r="Z1350">
        <v>15</v>
      </c>
      <c r="AA1350">
        <v>15</v>
      </c>
      <c r="AG1350" t="str">
        <f t="shared" si="118"/>
        <v>53HELLO_Calanus_glacialis_D0_CO2NA_TNA_control_outcome6.00</v>
      </c>
      <c r="AI1350">
        <v>10</v>
      </c>
      <c r="AJ1350" t="s">
        <v>333</v>
      </c>
      <c r="AK1350" t="s">
        <v>59</v>
      </c>
      <c r="AM1350"/>
      <c r="AN1350">
        <v>6</v>
      </c>
      <c r="AO1350">
        <v>1.9</v>
      </c>
      <c r="AP1350">
        <v>12.3</v>
      </c>
      <c r="AQ1350">
        <v>2.1</v>
      </c>
      <c r="AS1350">
        <f t="shared" si="119"/>
        <v>0.7178397931503171</v>
      </c>
      <c r="AT1350">
        <f t="shared" si="120"/>
        <v>8.6284729107453662E-3</v>
      </c>
      <c r="AW1350" s="28">
        <f t="shared" si="121"/>
        <v>3.146069867465211</v>
      </c>
      <c r="AX1350">
        <f t="shared" si="122"/>
        <v>0.97297297297297303</v>
      </c>
      <c r="AY1350" s="62">
        <f t="shared" si="123"/>
        <v>3.0610409521283137</v>
      </c>
      <c r="AZ1350" s="68" t="str">
        <f t="shared" si="124"/>
        <v>No</v>
      </c>
      <c r="BA1350" s="68" t="str">
        <f t="shared" si="125"/>
        <v>No</v>
      </c>
    </row>
    <row r="1351" spans="1:53" hidden="1">
      <c r="A1351" t="s">
        <v>1280</v>
      </c>
      <c r="B1351" t="str">
        <f t="shared" si="117"/>
        <v>1351_Hamraj</v>
      </c>
      <c r="C1351" t="s">
        <v>1601</v>
      </c>
      <c r="F1351" t="s">
        <v>1241</v>
      </c>
      <c r="G1351" t="s">
        <v>1522</v>
      </c>
      <c r="I1351">
        <v>2012</v>
      </c>
      <c r="M1351" s="25" t="s">
        <v>36</v>
      </c>
      <c r="N1351" t="s">
        <v>36</v>
      </c>
      <c r="O1351" t="s">
        <v>3807</v>
      </c>
      <c r="P1351" t="s">
        <v>60</v>
      </c>
      <c r="Q1351" t="s">
        <v>899</v>
      </c>
      <c r="R1351" t="s">
        <v>828</v>
      </c>
      <c r="S1351" t="s">
        <v>1404</v>
      </c>
      <c r="T1351">
        <v>69</v>
      </c>
      <c r="V1351" t="s">
        <v>907</v>
      </c>
      <c r="Z1351">
        <v>20</v>
      </c>
      <c r="AA1351">
        <v>20</v>
      </c>
      <c r="AG1351" t="str">
        <f t="shared" si="118"/>
        <v>53HELLO_Calanus_glacialis_D0_CO2NA_TNA_control_outcome12.90</v>
      </c>
      <c r="AI1351">
        <v>2.5</v>
      </c>
      <c r="AJ1351" t="s">
        <v>333</v>
      </c>
      <c r="AK1351" t="s">
        <v>59</v>
      </c>
      <c r="AM1351"/>
      <c r="AN1351">
        <v>12.9</v>
      </c>
      <c r="AO1351">
        <v>6.3</v>
      </c>
      <c r="AP1351">
        <v>25.9</v>
      </c>
      <c r="AQ1351">
        <v>7.7</v>
      </c>
      <c r="AS1351">
        <f t="shared" si="119"/>
        <v>0.69701565733786541</v>
      </c>
      <c r="AT1351">
        <f t="shared" si="120"/>
        <v>1.634464921120966E-2</v>
      </c>
      <c r="AW1351" s="28">
        <f t="shared" si="121"/>
        <v>1.8479262103899794</v>
      </c>
      <c r="AX1351">
        <f t="shared" si="122"/>
        <v>0.98013245033112584</v>
      </c>
      <c r="AY1351" s="62">
        <f t="shared" si="123"/>
        <v>1.8112124446206421</v>
      </c>
      <c r="AZ1351" s="68" t="str">
        <f t="shared" si="124"/>
        <v>No</v>
      </c>
      <c r="BA1351" s="68" t="str">
        <f t="shared" si="125"/>
        <v>No</v>
      </c>
    </row>
    <row r="1352" spans="1:53" hidden="1">
      <c r="A1352" t="s">
        <v>1280</v>
      </c>
      <c r="B1352" t="str">
        <f t="shared" si="117"/>
        <v>1352_Hamraj</v>
      </c>
      <c r="C1352" t="s">
        <v>1601</v>
      </c>
      <c r="F1352" t="s">
        <v>1241</v>
      </c>
      <c r="G1352" t="s">
        <v>1523</v>
      </c>
      <c r="I1352">
        <v>2012</v>
      </c>
      <c r="M1352" s="25" t="s">
        <v>36</v>
      </c>
      <c r="N1352" t="s">
        <v>36</v>
      </c>
      <c r="O1352" t="s">
        <v>3807</v>
      </c>
      <c r="P1352" t="s">
        <v>60</v>
      </c>
      <c r="Q1352" t="s">
        <v>899</v>
      </c>
      <c r="R1352" t="s">
        <v>828</v>
      </c>
      <c r="S1352" t="s">
        <v>1404</v>
      </c>
      <c r="T1352">
        <v>69</v>
      </c>
      <c r="V1352" t="s">
        <v>907</v>
      </c>
      <c r="Z1352">
        <v>20</v>
      </c>
      <c r="AA1352">
        <v>20</v>
      </c>
      <c r="AG1352" t="str">
        <f t="shared" si="118"/>
        <v>53HELLO_Calanus_glacialis_D0_CO2NA_TNA_control_outcome12.90</v>
      </c>
      <c r="AI1352">
        <v>5</v>
      </c>
      <c r="AJ1352" t="s">
        <v>333</v>
      </c>
      <c r="AK1352" t="s">
        <v>59</v>
      </c>
      <c r="AM1352"/>
      <c r="AN1352">
        <v>12.9</v>
      </c>
      <c r="AO1352">
        <v>6.3</v>
      </c>
      <c r="AP1352">
        <v>27.6</v>
      </c>
      <c r="AQ1352">
        <v>7.8</v>
      </c>
      <c r="AS1352">
        <f t="shared" si="119"/>
        <v>0.76058846135547808</v>
      </c>
      <c r="AT1352">
        <f t="shared" si="120"/>
        <v>1.5918748805106936E-2</v>
      </c>
      <c r="AW1352" s="28">
        <f t="shared" si="121"/>
        <v>2.0734066700330431</v>
      </c>
      <c r="AX1352">
        <f t="shared" si="122"/>
        <v>0.98013245033112584</v>
      </c>
      <c r="AY1352" s="62">
        <f t="shared" si="123"/>
        <v>2.0322131600323865</v>
      </c>
      <c r="AZ1352" s="68" t="str">
        <f t="shared" si="124"/>
        <v>No</v>
      </c>
      <c r="BA1352" s="68" t="str">
        <f t="shared" si="125"/>
        <v>No</v>
      </c>
    </row>
    <row r="1353" spans="1:53" hidden="1">
      <c r="A1353" t="s">
        <v>1280</v>
      </c>
      <c r="B1353" t="str">
        <f t="shared" si="117"/>
        <v>1353_Hamraj</v>
      </c>
      <c r="C1353" t="s">
        <v>1601</v>
      </c>
      <c r="F1353" t="s">
        <v>1241</v>
      </c>
      <c r="G1353" t="s">
        <v>1524</v>
      </c>
      <c r="I1353">
        <v>2012</v>
      </c>
      <c r="M1353" s="25" t="s">
        <v>36</v>
      </c>
      <c r="N1353" t="s">
        <v>36</v>
      </c>
      <c r="O1353" t="s">
        <v>3807</v>
      </c>
      <c r="P1353" t="s">
        <v>60</v>
      </c>
      <c r="Q1353" t="s">
        <v>899</v>
      </c>
      <c r="R1353" t="s">
        <v>828</v>
      </c>
      <c r="S1353" t="s">
        <v>1404</v>
      </c>
      <c r="T1353">
        <v>69</v>
      </c>
      <c r="V1353" t="s">
        <v>907</v>
      </c>
      <c r="Z1353">
        <v>20</v>
      </c>
      <c r="AA1353">
        <v>20</v>
      </c>
      <c r="AG1353" t="str">
        <f t="shared" si="118"/>
        <v>53HELLO_Calanus_glacialis_D0_CO2NA_TNA_control_outcome12.90</v>
      </c>
      <c r="AI1353">
        <v>7.5</v>
      </c>
      <c r="AJ1353" t="s">
        <v>333</v>
      </c>
      <c r="AK1353" t="s">
        <v>59</v>
      </c>
      <c r="AM1353"/>
      <c r="AN1353">
        <v>12.9</v>
      </c>
      <c r="AO1353">
        <v>6.3</v>
      </c>
      <c r="AP1353">
        <v>43.1</v>
      </c>
      <c r="AQ1353">
        <v>8.4</v>
      </c>
      <c r="AS1353">
        <f t="shared" si="119"/>
        <v>1.2062956857420755</v>
      </c>
      <c r="AT1353">
        <f t="shared" si="120"/>
        <v>1.3824579644373957E-2</v>
      </c>
      <c r="AW1353" s="28">
        <f t="shared" si="121"/>
        <v>4.0675475793969023</v>
      </c>
      <c r="AX1353">
        <f t="shared" si="122"/>
        <v>0.98013245033112584</v>
      </c>
      <c r="AY1353" s="62">
        <f t="shared" si="123"/>
        <v>3.9867353758327253</v>
      </c>
      <c r="AZ1353" s="68" t="str">
        <f t="shared" si="124"/>
        <v>No</v>
      </c>
      <c r="BA1353" s="68" t="str">
        <f t="shared" si="125"/>
        <v>No</v>
      </c>
    </row>
    <row r="1354" spans="1:53" hidden="1">
      <c r="A1354" t="s">
        <v>1280</v>
      </c>
      <c r="B1354" t="str">
        <f t="shared" si="117"/>
        <v>1354_Hamraj</v>
      </c>
      <c r="C1354" t="s">
        <v>1601</v>
      </c>
      <c r="F1354" t="s">
        <v>1241</v>
      </c>
      <c r="G1354" t="s">
        <v>1525</v>
      </c>
      <c r="I1354">
        <v>2012</v>
      </c>
      <c r="M1354" s="25" t="s">
        <v>36</v>
      </c>
      <c r="N1354" t="s">
        <v>36</v>
      </c>
      <c r="O1354" t="s">
        <v>3807</v>
      </c>
      <c r="P1354" t="s">
        <v>60</v>
      </c>
      <c r="Q1354" t="s">
        <v>899</v>
      </c>
      <c r="R1354" t="s">
        <v>828</v>
      </c>
      <c r="S1354" t="s">
        <v>1404</v>
      </c>
      <c r="T1354">
        <v>69</v>
      </c>
      <c r="V1354" t="s">
        <v>907</v>
      </c>
      <c r="Z1354">
        <v>20</v>
      </c>
      <c r="AA1354">
        <v>20</v>
      </c>
      <c r="AG1354" t="str">
        <f t="shared" si="118"/>
        <v>53HELLO_Calanus_glacialis_D0_CO2NA_TNA_control_outcome12.90</v>
      </c>
      <c r="AI1354">
        <v>10</v>
      </c>
      <c r="AJ1354" t="s">
        <v>333</v>
      </c>
      <c r="AK1354" t="s">
        <v>59</v>
      </c>
      <c r="AM1354"/>
      <c r="AN1354">
        <v>12.9</v>
      </c>
      <c r="AO1354">
        <v>6.3</v>
      </c>
      <c r="AP1354">
        <v>42.6</v>
      </c>
      <c r="AQ1354">
        <v>10</v>
      </c>
      <c r="AS1354">
        <f t="shared" si="119"/>
        <v>1.1946269419076985</v>
      </c>
      <c r="AT1354">
        <f t="shared" si="120"/>
        <v>1.4680550320852574E-2</v>
      </c>
      <c r="AW1354" s="28">
        <f t="shared" si="121"/>
        <v>3.5537656764638874</v>
      </c>
      <c r="AX1354">
        <f t="shared" si="122"/>
        <v>0.98013245033112584</v>
      </c>
      <c r="AY1354" s="62">
        <f t="shared" si="123"/>
        <v>3.4831610603752008</v>
      </c>
      <c r="AZ1354" s="68" t="str">
        <f t="shared" si="124"/>
        <v>No</v>
      </c>
      <c r="BA1354" s="68" t="str">
        <f t="shared" si="125"/>
        <v>No</v>
      </c>
    </row>
    <row r="1355" spans="1:53" hidden="1">
      <c r="A1355" t="s">
        <v>1280</v>
      </c>
      <c r="B1355" t="str">
        <f t="shared" si="117"/>
        <v>1355_Hamraj</v>
      </c>
      <c r="C1355" t="s">
        <v>1601</v>
      </c>
      <c r="F1355" t="s">
        <v>1241</v>
      </c>
      <c r="G1355" t="s">
        <v>1526</v>
      </c>
      <c r="I1355">
        <v>2012</v>
      </c>
      <c r="M1355" s="25" t="s">
        <v>36</v>
      </c>
      <c r="N1355" t="s">
        <v>36</v>
      </c>
      <c r="O1355" t="s">
        <v>3807</v>
      </c>
      <c r="P1355" t="s">
        <v>60</v>
      </c>
      <c r="Q1355" t="s">
        <v>899</v>
      </c>
      <c r="R1355" t="s">
        <v>828</v>
      </c>
      <c r="S1355" t="s">
        <v>1404</v>
      </c>
      <c r="T1355">
        <v>69</v>
      </c>
      <c r="V1355" t="s">
        <v>907</v>
      </c>
      <c r="Z1355">
        <v>20</v>
      </c>
      <c r="AA1355">
        <v>20</v>
      </c>
      <c r="AG1355" t="str">
        <f t="shared" si="118"/>
        <v>53HELLO_Calanus_glacialis_D0_CO2NA_TNA_control_outcome3.40</v>
      </c>
      <c r="AI1355">
        <v>2.5</v>
      </c>
      <c r="AJ1355" t="s">
        <v>333</v>
      </c>
      <c r="AK1355" t="s">
        <v>59</v>
      </c>
      <c r="AM1355"/>
      <c r="AN1355">
        <v>3.4</v>
      </c>
      <c r="AO1355">
        <v>1.4</v>
      </c>
      <c r="AP1355">
        <v>5.2</v>
      </c>
      <c r="AQ1355">
        <v>1.9</v>
      </c>
      <c r="AS1355">
        <f t="shared" si="119"/>
        <v>0.42488319396526597</v>
      </c>
      <c r="AT1355">
        <f t="shared" si="120"/>
        <v>1.5152804508507195E-2</v>
      </c>
      <c r="AW1355" s="28">
        <f t="shared" si="121"/>
        <v>1.0785987318815637</v>
      </c>
      <c r="AX1355">
        <f t="shared" si="122"/>
        <v>0.98013245033112584</v>
      </c>
      <c r="AY1355" s="62">
        <f t="shared" si="123"/>
        <v>1.057169618003122</v>
      </c>
      <c r="AZ1355" s="68" t="str">
        <f t="shared" si="124"/>
        <v>No</v>
      </c>
      <c r="BA1355" s="68" t="str">
        <f t="shared" si="125"/>
        <v>No</v>
      </c>
    </row>
    <row r="1356" spans="1:53" hidden="1">
      <c r="A1356" t="s">
        <v>1280</v>
      </c>
      <c r="B1356" t="str">
        <f t="shared" si="117"/>
        <v>1356_Hamraj</v>
      </c>
      <c r="C1356" t="s">
        <v>1601</v>
      </c>
      <c r="F1356" t="s">
        <v>1241</v>
      </c>
      <c r="G1356" t="s">
        <v>1527</v>
      </c>
      <c r="I1356">
        <v>2012</v>
      </c>
      <c r="M1356" s="25" t="s">
        <v>36</v>
      </c>
      <c r="N1356" t="s">
        <v>36</v>
      </c>
      <c r="O1356" t="s">
        <v>3807</v>
      </c>
      <c r="P1356" t="s">
        <v>60</v>
      </c>
      <c r="Q1356" t="s">
        <v>899</v>
      </c>
      <c r="R1356" t="s">
        <v>828</v>
      </c>
      <c r="S1356" t="s">
        <v>1404</v>
      </c>
      <c r="T1356">
        <v>69</v>
      </c>
      <c r="V1356" t="s">
        <v>907</v>
      </c>
      <c r="Z1356">
        <v>20</v>
      </c>
      <c r="AA1356">
        <v>20</v>
      </c>
      <c r="AG1356" t="str">
        <f t="shared" si="118"/>
        <v>53HELLO_Calanus_glacialis_D0_CO2NA_TNA_control_outcome3.40</v>
      </c>
      <c r="AI1356">
        <v>5</v>
      </c>
      <c r="AJ1356" t="s">
        <v>333</v>
      </c>
      <c r="AK1356" t="s">
        <v>59</v>
      </c>
      <c r="AM1356"/>
      <c r="AN1356">
        <v>3.4</v>
      </c>
      <c r="AO1356">
        <v>1.4</v>
      </c>
      <c r="AP1356">
        <v>7.3</v>
      </c>
      <c r="AQ1356">
        <v>2.7</v>
      </c>
      <c r="AS1356">
        <f t="shared" si="119"/>
        <v>0.76409891653222983</v>
      </c>
      <c r="AT1356">
        <f t="shared" si="120"/>
        <v>1.5317441095630685E-2</v>
      </c>
      <c r="AW1356" s="28">
        <f t="shared" si="121"/>
        <v>1.8134631644035808</v>
      </c>
      <c r="AX1356">
        <f t="shared" si="122"/>
        <v>0.98013245033112584</v>
      </c>
      <c r="AY1356" s="62">
        <f t="shared" si="123"/>
        <v>1.777434094912119</v>
      </c>
      <c r="AZ1356" s="68" t="str">
        <f t="shared" si="124"/>
        <v>No</v>
      </c>
      <c r="BA1356" s="68" t="str">
        <f t="shared" si="125"/>
        <v>No</v>
      </c>
    </row>
    <row r="1357" spans="1:53" hidden="1">
      <c r="A1357" t="s">
        <v>1280</v>
      </c>
      <c r="B1357" t="str">
        <f t="shared" si="117"/>
        <v>1357_Hamraj</v>
      </c>
      <c r="C1357" t="s">
        <v>1601</v>
      </c>
      <c r="F1357" t="s">
        <v>1241</v>
      </c>
      <c r="G1357" t="s">
        <v>1528</v>
      </c>
      <c r="I1357">
        <v>2012</v>
      </c>
      <c r="M1357" s="25" t="s">
        <v>36</v>
      </c>
      <c r="N1357" t="s">
        <v>36</v>
      </c>
      <c r="O1357" t="s">
        <v>3807</v>
      </c>
      <c r="P1357" t="s">
        <v>60</v>
      </c>
      <c r="Q1357" t="s">
        <v>899</v>
      </c>
      <c r="R1357" t="s">
        <v>828</v>
      </c>
      <c r="S1357" t="s">
        <v>1404</v>
      </c>
      <c r="T1357">
        <v>69</v>
      </c>
      <c r="V1357" t="s">
        <v>907</v>
      </c>
      <c r="Z1357">
        <v>20</v>
      </c>
      <c r="AA1357">
        <v>20</v>
      </c>
      <c r="AG1357" t="str">
        <f t="shared" si="118"/>
        <v>53HELLO_Calanus_glacialis_D0_CO2NA_TNA_control_outcome3.40</v>
      </c>
      <c r="AI1357">
        <v>7.5</v>
      </c>
      <c r="AJ1357" t="s">
        <v>333</v>
      </c>
      <c r="AK1357" t="s">
        <v>59</v>
      </c>
      <c r="AM1357"/>
      <c r="AN1357">
        <v>3.4</v>
      </c>
      <c r="AO1357">
        <v>1.4</v>
      </c>
      <c r="AP1357">
        <v>8.6999999999999993</v>
      </c>
      <c r="AQ1357">
        <v>2.8</v>
      </c>
      <c r="AS1357">
        <f t="shared" si="119"/>
        <v>0.93954759403842214</v>
      </c>
      <c r="AT1357">
        <f t="shared" si="120"/>
        <v>1.3656528336078552E-2</v>
      </c>
      <c r="AW1357" s="28">
        <f t="shared" si="121"/>
        <v>2.3942959426989154</v>
      </c>
      <c r="AX1357">
        <f t="shared" si="122"/>
        <v>0.98013245033112584</v>
      </c>
      <c r="AY1357" s="62">
        <f t="shared" si="123"/>
        <v>2.346727149135361</v>
      </c>
      <c r="AZ1357" s="68" t="str">
        <f t="shared" si="124"/>
        <v>No</v>
      </c>
      <c r="BA1357" s="68" t="str">
        <f t="shared" si="125"/>
        <v>No</v>
      </c>
    </row>
    <row r="1358" spans="1:53" hidden="1">
      <c r="A1358" t="s">
        <v>1280</v>
      </c>
      <c r="B1358" t="str">
        <f t="shared" si="117"/>
        <v>1358_Hamraj</v>
      </c>
      <c r="C1358" t="s">
        <v>1601</v>
      </c>
      <c r="F1358" t="s">
        <v>1241</v>
      </c>
      <c r="G1358" t="s">
        <v>1529</v>
      </c>
      <c r="I1358">
        <v>2012</v>
      </c>
      <c r="M1358" s="25" t="s">
        <v>36</v>
      </c>
      <c r="N1358" t="s">
        <v>36</v>
      </c>
      <c r="O1358" t="s">
        <v>3807</v>
      </c>
      <c r="P1358" t="s">
        <v>60</v>
      </c>
      <c r="Q1358" t="s">
        <v>899</v>
      </c>
      <c r="R1358" t="s">
        <v>828</v>
      </c>
      <c r="S1358" t="s">
        <v>1404</v>
      </c>
      <c r="T1358">
        <v>69</v>
      </c>
      <c r="V1358" t="s">
        <v>907</v>
      </c>
      <c r="Z1358">
        <v>20</v>
      </c>
      <c r="AA1358">
        <v>20</v>
      </c>
      <c r="AG1358" t="str">
        <f t="shared" si="118"/>
        <v>53HELLO_Calanus_glacialis_D0_CO2NA_TNA_control_outcome3.40</v>
      </c>
      <c r="AI1358">
        <v>10</v>
      </c>
      <c r="AJ1358" t="s">
        <v>333</v>
      </c>
      <c r="AK1358" t="s">
        <v>59</v>
      </c>
      <c r="AM1358"/>
      <c r="AN1358">
        <v>3.4</v>
      </c>
      <c r="AO1358">
        <v>1.4</v>
      </c>
      <c r="AP1358">
        <v>6.8</v>
      </c>
      <c r="AQ1358">
        <v>2.6</v>
      </c>
      <c r="AS1358">
        <f t="shared" si="119"/>
        <v>0.6931471805599454</v>
      </c>
      <c r="AT1358">
        <f t="shared" si="120"/>
        <v>1.5787197231833909E-2</v>
      </c>
      <c r="AW1358" s="28">
        <f t="shared" si="121"/>
        <v>1.6283046848759573</v>
      </c>
      <c r="AX1358">
        <f t="shared" si="122"/>
        <v>0.98013245033112584</v>
      </c>
      <c r="AY1358" s="62">
        <f t="shared" si="123"/>
        <v>1.5959542606731236</v>
      </c>
      <c r="AZ1358" s="68" t="str">
        <f t="shared" si="124"/>
        <v>No</v>
      </c>
      <c r="BA1358" s="68" t="str">
        <f t="shared" si="125"/>
        <v>No</v>
      </c>
    </row>
    <row r="1359" spans="1:53" hidden="1">
      <c r="A1359" t="s">
        <v>1280</v>
      </c>
      <c r="B1359" t="str">
        <f t="shared" si="117"/>
        <v>1359_Hamraj</v>
      </c>
      <c r="C1359" t="s">
        <v>1602</v>
      </c>
      <c r="F1359" t="s">
        <v>1241</v>
      </c>
      <c r="G1359" t="s">
        <v>1530</v>
      </c>
      <c r="I1359">
        <v>2012</v>
      </c>
      <c r="M1359" s="25" t="s">
        <v>36</v>
      </c>
      <c r="N1359" t="s">
        <v>36</v>
      </c>
      <c r="O1359" t="s">
        <v>3807</v>
      </c>
      <c r="P1359" t="s">
        <v>60</v>
      </c>
      <c r="Q1359" t="s">
        <v>899</v>
      </c>
      <c r="R1359" t="s">
        <v>828</v>
      </c>
      <c r="S1359" t="s">
        <v>836</v>
      </c>
      <c r="T1359">
        <v>69</v>
      </c>
      <c r="V1359" t="s">
        <v>907</v>
      </c>
      <c r="Z1359">
        <v>10</v>
      </c>
      <c r="AA1359">
        <v>10</v>
      </c>
      <c r="AG1359" t="str">
        <f t="shared" si="118"/>
        <v>54HELLO_Calanus_finmarchicus_D0_CO2NA_TNA_control_outcome4.00</v>
      </c>
      <c r="AI1359">
        <v>2.5</v>
      </c>
      <c r="AJ1359" t="s">
        <v>333</v>
      </c>
      <c r="AK1359" t="s">
        <v>59</v>
      </c>
      <c r="AM1359"/>
      <c r="AN1359">
        <v>4</v>
      </c>
      <c r="AO1359">
        <v>4.7434164900000004</v>
      </c>
      <c r="AP1359">
        <v>10</v>
      </c>
      <c r="AQ1359">
        <v>6.32455532</v>
      </c>
      <c r="AS1359">
        <f t="shared" si="119"/>
        <v>0.91629073187415533</v>
      </c>
      <c r="AT1359">
        <f t="shared" si="120"/>
        <v>0.18062499998076484</v>
      </c>
      <c r="AW1359" s="28">
        <f t="shared" si="121"/>
        <v>1.0733126292570487</v>
      </c>
      <c r="AX1359">
        <f t="shared" si="122"/>
        <v>0.95774647887323949</v>
      </c>
      <c r="AY1359" s="62">
        <f t="shared" si="123"/>
        <v>1.0279613914011172</v>
      </c>
      <c r="AZ1359" s="68" t="str">
        <f t="shared" si="124"/>
        <v>No</v>
      </c>
      <c r="BA1359" s="68" t="str">
        <f t="shared" si="125"/>
        <v>No</v>
      </c>
    </row>
    <row r="1360" spans="1:53" hidden="1">
      <c r="A1360" t="s">
        <v>1280</v>
      </c>
      <c r="B1360" t="str">
        <f t="shared" si="117"/>
        <v>1360_Hamraj</v>
      </c>
      <c r="C1360" t="s">
        <v>1602</v>
      </c>
      <c r="F1360" t="s">
        <v>1241</v>
      </c>
      <c r="G1360" t="s">
        <v>1531</v>
      </c>
      <c r="I1360">
        <v>2012</v>
      </c>
      <c r="M1360" s="25" t="s">
        <v>36</v>
      </c>
      <c r="N1360" t="s">
        <v>36</v>
      </c>
      <c r="O1360" t="s">
        <v>3807</v>
      </c>
      <c r="P1360" t="s">
        <v>60</v>
      </c>
      <c r="Q1360" t="s">
        <v>899</v>
      </c>
      <c r="R1360" t="s">
        <v>828</v>
      </c>
      <c r="S1360" t="s">
        <v>836</v>
      </c>
      <c r="T1360">
        <v>69</v>
      </c>
      <c r="V1360" t="s">
        <v>907</v>
      </c>
      <c r="Z1360">
        <v>10</v>
      </c>
      <c r="AA1360">
        <v>10</v>
      </c>
      <c r="AG1360" t="str">
        <f t="shared" si="118"/>
        <v>54HELLO_Calanus_finmarchicus_D0_CO2NA_TNA_control_outcome4.00</v>
      </c>
      <c r="AI1360">
        <v>5</v>
      </c>
      <c r="AJ1360" t="s">
        <v>333</v>
      </c>
      <c r="AK1360" t="s">
        <v>59</v>
      </c>
      <c r="AM1360"/>
      <c r="AN1360">
        <v>4</v>
      </c>
      <c r="AO1360">
        <v>4.7434164900000004</v>
      </c>
      <c r="AP1360">
        <v>7</v>
      </c>
      <c r="AQ1360">
        <v>4.7434164900000004</v>
      </c>
      <c r="AS1360">
        <f t="shared" si="119"/>
        <v>0.55961578793542266</v>
      </c>
      <c r="AT1360">
        <f t="shared" si="120"/>
        <v>0.18654336732707336</v>
      </c>
      <c r="AW1360" s="28">
        <f t="shared" si="121"/>
        <v>0.63245553206735172</v>
      </c>
      <c r="AX1360">
        <f t="shared" si="122"/>
        <v>0.95774647887323949</v>
      </c>
      <c r="AY1360" s="62">
        <f t="shared" si="123"/>
        <v>0.60573205888140735</v>
      </c>
      <c r="AZ1360" s="68" t="str">
        <f t="shared" si="124"/>
        <v>No</v>
      </c>
      <c r="BA1360" s="68" t="str">
        <f t="shared" si="125"/>
        <v>No</v>
      </c>
    </row>
    <row r="1361" spans="1:53" hidden="1">
      <c r="A1361" t="s">
        <v>1280</v>
      </c>
      <c r="B1361" t="str">
        <f t="shared" si="117"/>
        <v>1361_Hamraj</v>
      </c>
      <c r="C1361" t="s">
        <v>1602</v>
      </c>
      <c r="F1361" t="s">
        <v>1241</v>
      </c>
      <c r="G1361" t="s">
        <v>1532</v>
      </c>
      <c r="I1361">
        <v>2012</v>
      </c>
      <c r="M1361" s="25" t="s">
        <v>36</v>
      </c>
      <c r="N1361" t="s">
        <v>36</v>
      </c>
      <c r="O1361" t="s">
        <v>3807</v>
      </c>
      <c r="P1361" t="s">
        <v>60</v>
      </c>
      <c r="Q1361" t="s">
        <v>899</v>
      </c>
      <c r="R1361" t="s">
        <v>828</v>
      </c>
      <c r="S1361" t="s">
        <v>836</v>
      </c>
      <c r="T1361">
        <v>69</v>
      </c>
      <c r="V1361" t="s">
        <v>907</v>
      </c>
      <c r="Z1361">
        <v>10</v>
      </c>
      <c r="AA1361">
        <v>10</v>
      </c>
      <c r="AG1361" t="str">
        <f t="shared" si="118"/>
        <v>54HELLO_Calanus_finmarchicus_D0_CO2NA_TNA_control_outcome4.00</v>
      </c>
      <c r="AI1361">
        <v>7.5</v>
      </c>
      <c r="AJ1361" t="s">
        <v>333</v>
      </c>
      <c r="AK1361" t="s">
        <v>59</v>
      </c>
      <c r="AM1361"/>
      <c r="AN1361">
        <v>4</v>
      </c>
      <c r="AO1361">
        <v>4.7434164900000004</v>
      </c>
      <c r="AP1361">
        <v>17</v>
      </c>
      <c r="AQ1361">
        <v>11.06797181</v>
      </c>
      <c r="AS1361">
        <f t="shared" si="119"/>
        <v>1.4469189829363256</v>
      </c>
      <c r="AT1361">
        <f t="shared" si="120"/>
        <v>0.18301254323310573</v>
      </c>
      <c r="AW1361" s="28">
        <f t="shared" si="121"/>
        <v>1.5267725708195239</v>
      </c>
      <c r="AX1361">
        <f t="shared" si="122"/>
        <v>0.95774647887323949</v>
      </c>
      <c r="AY1361" s="62">
        <f t="shared" si="123"/>
        <v>1.4622610537426426</v>
      </c>
      <c r="AZ1361" s="68" t="str">
        <f t="shared" si="124"/>
        <v>No</v>
      </c>
      <c r="BA1361" s="68" t="str">
        <f t="shared" si="125"/>
        <v>No</v>
      </c>
    </row>
    <row r="1362" spans="1:53" hidden="1">
      <c r="A1362" t="s">
        <v>1280</v>
      </c>
      <c r="B1362" t="str">
        <f t="shared" si="117"/>
        <v>1362_Hamraj</v>
      </c>
      <c r="C1362" t="s">
        <v>1602</v>
      </c>
      <c r="F1362" t="s">
        <v>1241</v>
      </c>
      <c r="G1362" t="s">
        <v>1533</v>
      </c>
      <c r="I1362">
        <v>2012</v>
      </c>
      <c r="M1362" s="25" t="s">
        <v>36</v>
      </c>
      <c r="N1362" t="s">
        <v>36</v>
      </c>
      <c r="O1362" t="s">
        <v>3807</v>
      </c>
      <c r="P1362" t="s">
        <v>60</v>
      </c>
      <c r="Q1362" t="s">
        <v>899</v>
      </c>
      <c r="R1362" t="s">
        <v>828</v>
      </c>
      <c r="S1362" t="s">
        <v>836</v>
      </c>
      <c r="T1362">
        <v>69</v>
      </c>
      <c r="V1362" t="s">
        <v>907</v>
      </c>
      <c r="Z1362">
        <v>10</v>
      </c>
      <c r="AA1362">
        <v>10</v>
      </c>
      <c r="AG1362" t="str">
        <f t="shared" si="118"/>
        <v>54HELLO_Calanus_finmarchicus_D0_CO2NA_TNA_control_outcome4.00</v>
      </c>
      <c r="AI1362">
        <v>10</v>
      </c>
      <c r="AJ1362" t="s">
        <v>333</v>
      </c>
      <c r="AK1362" t="s">
        <v>59</v>
      </c>
      <c r="AM1362"/>
      <c r="AN1362">
        <v>4</v>
      </c>
      <c r="AO1362">
        <v>4.7434164900000004</v>
      </c>
      <c r="AP1362">
        <v>12</v>
      </c>
      <c r="AQ1362">
        <v>7.9056941500000004</v>
      </c>
      <c r="AS1362">
        <f t="shared" si="119"/>
        <v>1.0986122886681098</v>
      </c>
      <c r="AT1362">
        <f t="shared" si="120"/>
        <v>0.18402777775818024</v>
      </c>
      <c r="AW1362" s="28">
        <f t="shared" si="121"/>
        <v>1.2271439822211334</v>
      </c>
      <c r="AX1362">
        <f t="shared" si="122"/>
        <v>0.95774647887323949</v>
      </c>
      <c r="AY1362" s="62">
        <f t="shared" si="123"/>
        <v>1.1752928280427757</v>
      </c>
      <c r="AZ1362" s="68" t="str">
        <f t="shared" si="124"/>
        <v>No</v>
      </c>
      <c r="BA1362" s="68" t="str">
        <f t="shared" si="125"/>
        <v>No</v>
      </c>
    </row>
    <row r="1363" spans="1:53" hidden="1">
      <c r="A1363" t="s">
        <v>1280</v>
      </c>
      <c r="B1363" t="str">
        <f t="shared" si="117"/>
        <v>1363_Hamraj</v>
      </c>
      <c r="C1363" t="s">
        <v>1602</v>
      </c>
      <c r="F1363" t="s">
        <v>1241</v>
      </c>
      <c r="G1363" t="s">
        <v>1534</v>
      </c>
      <c r="I1363">
        <v>2012</v>
      </c>
      <c r="M1363" s="25" t="s">
        <v>36</v>
      </c>
      <c r="N1363" t="s">
        <v>36</v>
      </c>
      <c r="O1363" t="s">
        <v>3807</v>
      </c>
      <c r="P1363" t="s">
        <v>60</v>
      </c>
      <c r="Q1363" t="s">
        <v>899</v>
      </c>
      <c r="R1363" t="s">
        <v>828</v>
      </c>
      <c r="S1363" t="s">
        <v>836</v>
      </c>
      <c r="T1363">
        <v>69</v>
      </c>
      <c r="V1363" t="s">
        <v>907</v>
      </c>
      <c r="Z1363">
        <v>10</v>
      </c>
      <c r="AA1363">
        <v>10</v>
      </c>
      <c r="AG1363" t="str">
        <f t="shared" si="118"/>
        <v>54HELLO_Calanus_finmarchicus_D0_CO2NA_TNA_control_outcome9.00</v>
      </c>
      <c r="AI1363">
        <v>2.5</v>
      </c>
      <c r="AJ1363" t="s">
        <v>333</v>
      </c>
      <c r="AK1363" t="s">
        <v>59</v>
      </c>
      <c r="AM1363"/>
      <c r="AN1363">
        <v>9</v>
      </c>
      <c r="AO1363">
        <v>12.64911064</v>
      </c>
      <c r="AP1363">
        <v>16</v>
      </c>
      <c r="AQ1363">
        <v>12.64911064</v>
      </c>
      <c r="AS1363">
        <f t="shared" si="119"/>
        <v>0.57536414490356158</v>
      </c>
      <c r="AT1363">
        <f t="shared" si="120"/>
        <v>0.26003086416983956</v>
      </c>
      <c r="AW1363" s="28">
        <f t="shared" si="121"/>
        <v>0.55339859055893281</v>
      </c>
      <c r="AX1363">
        <f t="shared" si="122"/>
        <v>0.95774647887323949</v>
      </c>
      <c r="AY1363" s="62">
        <f t="shared" si="123"/>
        <v>0.53001555152123148</v>
      </c>
      <c r="AZ1363" s="68" t="str">
        <f t="shared" si="124"/>
        <v>No</v>
      </c>
      <c r="BA1363" s="68" t="str">
        <f t="shared" si="125"/>
        <v>No</v>
      </c>
    </row>
    <row r="1364" spans="1:53" hidden="1">
      <c r="A1364" t="s">
        <v>1280</v>
      </c>
      <c r="B1364" t="str">
        <f t="shared" si="117"/>
        <v>1364_Hamraj</v>
      </c>
      <c r="C1364" t="s">
        <v>1602</v>
      </c>
      <c r="F1364" t="s">
        <v>1241</v>
      </c>
      <c r="G1364" t="s">
        <v>1535</v>
      </c>
      <c r="I1364">
        <v>2012</v>
      </c>
      <c r="M1364" s="25" t="s">
        <v>36</v>
      </c>
      <c r="N1364" t="s">
        <v>36</v>
      </c>
      <c r="O1364" t="s">
        <v>3807</v>
      </c>
      <c r="P1364" t="s">
        <v>60</v>
      </c>
      <c r="Q1364" t="s">
        <v>899</v>
      </c>
      <c r="R1364" t="s">
        <v>828</v>
      </c>
      <c r="S1364" t="s">
        <v>836</v>
      </c>
      <c r="T1364">
        <v>69</v>
      </c>
      <c r="V1364" t="s">
        <v>907</v>
      </c>
      <c r="Z1364">
        <v>10</v>
      </c>
      <c r="AA1364">
        <v>10</v>
      </c>
      <c r="AG1364" t="str">
        <f t="shared" si="118"/>
        <v>54HELLO_Calanus_finmarchicus_D0_CO2NA_TNA_control_outcome9.00</v>
      </c>
      <c r="AI1364">
        <v>5</v>
      </c>
      <c r="AJ1364" t="s">
        <v>333</v>
      </c>
      <c r="AK1364" t="s">
        <v>59</v>
      </c>
      <c r="AM1364"/>
      <c r="AN1364">
        <v>9</v>
      </c>
      <c r="AO1364">
        <v>12.64911064</v>
      </c>
      <c r="AP1364">
        <v>12</v>
      </c>
      <c r="AQ1364">
        <v>6.32455532</v>
      </c>
      <c r="AS1364">
        <f t="shared" si="119"/>
        <v>0.28768207245178079</v>
      </c>
      <c r="AT1364">
        <f t="shared" si="120"/>
        <v>0.22530864195131498</v>
      </c>
      <c r="AW1364" s="28">
        <f t="shared" si="121"/>
        <v>0.30000000001597382</v>
      </c>
      <c r="AX1364">
        <f t="shared" si="122"/>
        <v>0.95774647887323949</v>
      </c>
      <c r="AY1364" s="62">
        <f t="shared" si="123"/>
        <v>0.28732394367727071</v>
      </c>
      <c r="AZ1364" s="68" t="str">
        <f t="shared" si="124"/>
        <v>No</v>
      </c>
      <c r="BA1364" s="68" t="str">
        <f t="shared" si="125"/>
        <v>No</v>
      </c>
    </row>
    <row r="1365" spans="1:53" hidden="1">
      <c r="A1365" t="s">
        <v>1280</v>
      </c>
      <c r="B1365" t="str">
        <f t="shared" si="117"/>
        <v>1365_Hamraj</v>
      </c>
      <c r="C1365" t="s">
        <v>1602</v>
      </c>
      <c r="F1365" t="s">
        <v>1241</v>
      </c>
      <c r="G1365" t="s">
        <v>1536</v>
      </c>
      <c r="I1365">
        <v>2012</v>
      </c>
      <c r="M1365" s="25" t="s">
        <v>36</v>
      </c>
      <c r="N1365" t="s">
        <v>36</v>
      </c>
      <c r="O1365" t="s">
        <v>3807</v>
      </c>
      <c r="P1365" t="s">
        <v>60</v>
      </c>
      <c r="Q1365" t="s">
        <v>899</v>
      </c>
      <c r="R1365" t="s">
        <v>828</v>
      </c>
      <c r="S1365" t="s">
        <v>836</v>
      </c>
      <c r="T1365">
        <v>69</v>
      </c>
      <c r="V1365" t="s">
        <v>907</v>
      </c>
      <c r="Z1365">
        <v>10</v>
      </c>
      <c r="AA1365">
        <v>10</v>
      </c>
      <c r="AG1365" t="str">
        <f t="shared" si="118"/>
        <v>54HELLO_Calanus_finmarchicus_D0_CO2NA_TNA_control_outcome9.00</v>
      </c>
      <c r="AI1365">
        <v>7.5</v>
      </c>
      <c r="AJ1365" t="s">
        <v>333</v>
      </c>
      <c r="AK1365" t="s">
        <v>59</v>
      </c>
      <c r="AM1365"/>
      <c r="AN1365">
        <v>9</v>
      </c>
      <c r="AO1365">
        <v>12.64911064</v>
      </c>
      <c r="AP1365">
        <v>23</v>
      </c>
      <c r="AQ1365">
        <v>14.23024947</v>
      </c>
      <c r="AS1365">
        <f t="shared" si="119"/>
        <v>0.93826963859293011</v>
      </c>
      <c r="AT1365">
        <f t="shared" si="120"/>
        <v>0.23581063732931862</v>
      </c>
      <c r="AW1365" s="28">
        <f t="shared" si="121"/>
        <v>1.0398938938468609</v>
      </c>
      <c r="AX1365">
        <f t="shared" si="122"/>
        <v>0.95774647887323949</v>
      </c>
      <c r="AY1365" s="62">
        <f t="shared" si="123"/>
        <v>0.99595471523361334</v>
      </c>
      <c r="AZ1365" s="68" t="str">
        <f t="shared" si="124"/>
        <v>No</v>
      </c>
      <c r="BA1365" s="68" t="str">
        <f t="shared" si="125"/>
        <v>No</v>
      </c>
    </row>
    <row r="1366" spans="1:53" hidden="1">
      <c r="A1366" t="s">
        <v>1280</v>
      </c>
      <c r="B1366" t="str">
        <f t="shared" si="117"/>
        <v>1366_Hamraj</v>
      </c>
      <c r="C1366" t="s">
        <v>1602</v>
      </c>
      <c r="F1366" t="s">
        <v>1241</v>
      </c>
      <c r="G1366" t="s">
        <v>1537</v>
      </c>
      <c r="I1366">
        <v>2012</v>
      </c>
      <c r="M1366" s="25" t="s">
        <v>36</v>
      </c>
      <c r="N1366" t="s">
        <v>36</v>
      </c>
      <c r="O1366" t="s">
        <v>3807</v>
      </c>
      <c r="P1366" t="s">
        <v>60</v>
      </c>
      <c r="Q1366" t="s">
        <v>899</v>
      </c>
      <c r="R1366" t="s">
        <v>828</v>
      </c>
      <c r="S1366" t="s">
        <v>836</v>
      </c>
      <c r="T1366">
        <v>69</v>
      </c>
      <c r="V1366" t="s">
        <v>907</v>
      </c>
      <c r="Z1366">
        <v>10</v>
      </c>
      <c r="AA1366">
        <v>10</v>
      </c>
      <c r="AG1366" t="str">
        <f t="shared" si="118"/>
        <v>54HELLO_Calanus_finmarchicus_D0_CO2NA_TNA_control_outcome9.00</v>
      </c>
      <c r="AI1366">
        <v>10</v>
      </c>
      <c r="AJ1366" t="s">
        <v>333</v>
      </c>
      <c r="AK1366" t="s">
        <v>59</v>
      </c>
      <c r="AM1366"/>
      <c r="AN1366">
        <v>9</v>
      </c>
      <c r="AO1366">
        <v>12.64911064</v>
      </c>
      <c r="AP1366">
        <v>22</v>
      </c>
      <c r="AQ1366">
        <v>14.23024947</v>
      </c>
      <c r="AS1366">
        <f t="shared" si="119"/>
        <v>0.8938178760220965</v>
      </c>
      <c r="AT1366">
        <f t="shared" si="120"/>
        <v>0.23936970714724642</v>
      </c>
      <c r="AW1366" s="28">
        <f t="shared" si="121"/>
        <v>0.96561575857208504</v>
      </c>
      <c r="AX1366">
        <f t="shared" si="122"/>
        <v>0.95774647887323949</v>
      </c>
      <c r="AY1366" s="62">
        <f t="shared" si="123"/>
        <v>0.92481509271692652</v>
      </c>
      <c r="AZ1366" s="68" t="str">
        <f t="shared" si="124"/>
        <v>No</v>
      </c>
      <c r="BA1366" s="68" t="str">
        <f t="shared" si="125"/>
        <v>No</v>
      </c>
    </row>
    <row r="1367" spans="1:53" hidden="1">
      <c r="A1367" t="s">
        <v>1280</v>
      </c>
      <c r="B1367" t="str">
        <f t="shared" si="117"/>
        <v>1367_Hamraj</v>
      </c>
      <c r="C1367" t="s">
        <v>1602</v>
      </c>
      <c r="F1367" t="s">
        <v>1241</v>
      </c>
      <c r="G1367" t="s">
        <v>1538</v>
      </c>
      <c r="I1367">
        <v>2012</v>
      </c>
      <c r="M1367" s="25" t="s">
        <v>36</v>
      </c>
      <c r="N1367" t="s">
        <v>36</v>
      </c>
      <c r="O1367" t="s">
        <v>3807</v>
      </c>
      <c r="P1367" t="s">
        <v>60</v>
      </c>
      <c r="Q1367" t="s">
        <v>899</v>
      </c>
      <c r="R1367" t="s">
        <v>828</v>
      </c>
      <c r="S1367" t="s">
        <v>836</v>
      </c>
      <c r="T1367">
        <v>69</v>
      </c>
      <c r="V1367" t="s">
        <v>907</v>
      </c>
      <c r="Z1367">
        <v>10</v>
      </c>
      <c r="AA1367">
        <v>10</v>
      </c>
      <c r="AG1367" t="str">
        <f t="shared" si="118"/>
        <v>54HELLO_Calanus_finmarchicus_D0_CO2NA_TNA_control_outcome11.00</v>
      </c>
      <c r="AI1367">
        <v>2.5</v>
      </c>
      <c r="AJ1367" t="s">
        <v>333</v>
      </c>
      <c r="AK1367" t="s">
        <v>59</v>
      </c>
      <c r="AM1367"/>
      <c r="AN1367">
        <v>11</v>
      </c>
      <c r="AO1367">
        <v>6.32455532</v>
      </c>
      <c r="AP1367">
        <v>20</v>
      </c>
      <c r="AQ1367">
        <v>9.4868329809999992</v>
      </c>
      <c r="AS1367">
        <f t="shared" si="119"/>
        <v>0.59783700075562018</v>
      </c>
      <c r="AT1367">
        <f t="shared" si="120"/>
        <v>5.5557851238496339E-2</v>
      </c>
      <c r="AW1367" s="28">
        <f t="shared" si="121"/>
        <v>1.1163126112808519</v>
      </c>
      <c r="AX1367">
        <f t="shared" si="122"/>
        <v>0.95774647887323949</v>
      </c>
      <c r="AY1367" s="62">
        <f t="shared" si="123"/>
        <v>1.0691444727760273</v>
      </c>
      <c r="AZ1367" s="68" t="str">
        <f t="shared" si="124"/>
        <v>No</v>
      </c>
      <c r="BA1367" s="68" t="str">
        <f t="shared" si="125"/>
        <v>No</v>
      </c>
    </row>
    <row r="1368" spans="1:53" hidden="1">
      <c r="A1368" t="s">
        <v>1280</v>
      </c>
      <c r="B1368" t="str">
        <f t="shared" si="117"/>
        <v>1368_Hamraj</v>
      </c>
      <c r="C1368" t="s">
        <v>1602</v>
      </c>
      <c r="F1368" t="s">
        <v>1241</v>
      </c>
      <c r="G1368" t="s">
        <v>1539</v>
      </c>
      <c r="I1368">
        <v>2012</v>
      </c>
      <c r="M1368" s="25" t="s">
        <v>36</v>
      </c>
      <c r="N1368" t="s">
        <v>36</v>
      </c>
      <c r="O1368" t="s">
        <v>3807</v>
      </c>
      <c r="P1368" t="s">
        <v>60</v>
      </c>
      <c r="Q1368" t="s">
        <v>899</v>
      </c>
      <c r="R1368" t="s">
        <v>828</v>
      </c>
      <c r="S1368" t="s">
        <v>836</v>
      </c>
      <c r="T1368">
        <v>69</v>
      </c>
      <c r="V1368" t="s">
        <v>907</v>
      </c>
      <c r="Z1368">
        <v>10</v>
      </c>
      <c r="AA1368">
        <v>10</v>
      </c>
      <c r="AG1368" t="str">
        <f t="shared" si="118"/>
        <v>54HELLO_Calanus_finmarchicus_D0_CO2NA_TNA_control_outcome11.00</v>
      </c>
      <c r="AI1368">
        <v>5</v>
      </c>
      <c r="AJ1368" t="s">
        <v>333</v>
      </c>
      <c r="AK1368" t="s">
        <v>59</v>
      </c>
      <c r="AM1368"/>
      <c r="AN1368">
        <v>11</v>
      </c>
      <c r="AO1368">
        <v>6.32455532</v>
      </c>
      <c r="AP1368">
        <v>12</v>
      </c>
      <c r="AQ1368">
        <v>6.32455532</v>
      </c>
      <c r="AS1368">
        <f t="shared" si="119"/>
        <v>8.7011376989629685E-2</v>
      </c>
      <c r="AT1368">
        <f t="shared" si="120"/>
        <v>6.0835629010968666E-2</v>
      </c>
      <c r="AW1368" s="28">
        <f t="shared" si="121"/>
        <v>0.15811388301683793</v>
      </c>
      <c r="AX1368">
        <f t="shared" si="122"/>
        <v>0.95774647887323949</v>
      </c>
      <c r="AY1368" s="62">
        <f t="shared" si="123"/>
        <v>0.15143301472035184</v>
      </c>
      <c r="AZ1368" s="68" t="str">
        <f t="shared" si="124"/>
        <v>No</v>
      </c>
      <c r="BA1368" s="68" t="str">
        <f t="shared" si="125"/>
        <v>No</v>
      </c>
    </row>
    <row r="1369" spans="1:53" hidden="1">
      <c r="A1369" t="s">
        <v>1280</v>
      </c>
      <c r="B1369" t="str">
        <f t="shared" si="117"/>
        <v>1369_Hamraj</v>
      </c>
      <c r="C1369" t="s">
        <v>1602</v>
      </c>
      <c r="F1369" t="s">
        <v>1241</v>
      </c>
      <c r="G1369" t="s">
        <v>1540</v>
      </c>
      <c r="I1369">
        <v>2012</v>
      </c>
      <c r="M1369" s="25" t="s">
        <v>36</v>
      </c>
      <c r="N1369" t="s">
        <v>36</v>
      </c>
      <c r="O1369" t="s">
        <v>3807</v>
      </c>
      <c r="P1369" t="s">
        <v>60</v>
      </c>
      <c r="Q1369" t="s">
        <v>899</v>
      </c>
      <c r="R1369" t="s">
        <v>828</v>
      </c>
      <c r="S1369" t="s">
        <v>836</v>
      </c>
      <c r="T1369">
        <v>69</v>
      </c>
      <c r="V1369" t="s">
        <v>907</v>
      </c>
      <c r="Z1369">
        <v>10</v>
      </c>
      <c r="AA1369">
        <v>10</v>
      </c>
      <c r="AG1369" t="str">
        <f t="shared" si="118"/>
        <v>54HELLO_Calanus_finmarchicus_D0_CO2NA_TNA_control_outcome11.00</v>
      </c>
      <c r="AI1369">
        <v>7.5</v>
      </c>
      <c r="AJ1369" t="s">
        <v>333</v>
      </c>
      <c r="AK1369" t="s">
        <v>59</v>
      </c>
      <c r="AM1369"/>
      <c r="AN1369">
        <v>11</v>
      </c>
      <c r="AO1369">
        <v>6.32455532</v>
      </c>
      <c r="AP1369">
        <v>14</v>
      </c>
      <c r="AQ1369">
        <v>11.06797181</v>
      </c>
      <c r="AS1369">
        <f t="shared" si="119"/>
        <v>0.24116205681688774</v>
      </c>
      <c r="AT1369">
        <f t="shared" si="120"/>
        <v>9.5557851229493229E-2</v>
      </c>
      <c r="AW1369" s="28">
        <f t="shared" si="121"/>
        <v>0.33282011775285891</v>
      </c>
      <c r="AX1369">
        <f t="shared" si="122"/>
        <v>0.95774647887323949</v>
      </c>
      <c r="AY1369" s="62">
        <f t="shared" si="123"/>
        <v>0.31875729587597756</v>
      </c>
      <c r="AZ1369" s="68" t="str">
        <f t="shared" si="124"/>
        <v>No</v>
      </c>
      <c r="BA1369" s="68" t="str">
        <f t="shared" si="125"/>
        <v>No</v>
      </c>
    </row>
    <row r="1370" spans="1:53" hidden="1">
      <c r="A1370" t="s">
        <v>1280</v>
      </c>
      <c r="B1370" t="str">
        <f t="shared" si="117"/>
        <v>1370_Hamraj</v>
      </c>
      <c r="C1370" t="s">
        <v>1602</v>
      </c>
      <c r="F1370" t="s">
        <v>1241</v>
      </c>
      <c r="G1370" t="s">
        <v>1541</v>
      </c>
      <c r="I1370">
        <v>2012</v>
      </c>
      <c r="M1370" s="25" t="s">
        <v>36</v>
      </c>
      <c r="N1370" t="s">
        <v>36</v>
      </c>
      <c r="O1370" t="s">
        <v>3807</v>
      </c>
      <c r="P1370" t="s">
        <v>60</v>
      </c>
      <c r="Q1370" t="s">
        <v>899</v>
      </c>
      <c r="R1370" t="s">
        <v>828</v>
      </c>
      <c r="S1370" t="s">
        <v>836</v>
      </c>
      <c r="T1370">
        <v>69</v>
      </c>
      <c r="V1370" t="s">
        <v>907</v>
      </c>
      <c r="Z1370">
        <v>10</v>
      </c>
      <c r="AA1370">
        <v>10</v>
      </c>
      <c r="AG1370" t="str">
        <f t="shared" si="118"/>
        <v>54HELLO_Calanus_finmarchicus_D0_CO2NA_TNA_control_outcome11.00</v>
      </c>
      <c r="AI1370">
        <v>10</v>
      </c>
      <c r="AJ1370" t="s">
        <v>333</v>
      </c>
      <c r="AK1370" t="s">
        <v>59</v>
      </c>
      <c r="AM1370"/>
      <c r="AN1370">
        <v>11</v>
      </c>
      <c r="AO1370">
        <v>6.32455532</v>
      </c>
      <c r="AP1370">
        <v>16</v>
      </c>
      <c r="AQ1370">
        <v>9.4868329809999992</v>
      </c>
      <c r="AS1370">
        <f t="shared" si="119"/>
        <v>0.37469344944141048</v>
      </c>
      <c r="AT1370">
        <f t="shared" si="120"/>
        <v>6.8214101239816721E-2</v>
      </c>
      <c r="AW1370" s="28">
        <f t="shared" si="121"/>
        <v>0.62017367293380665</v>
      </c>
      <c r="AX1370">
        <f t="shared" si="122"/>
        <v>0.95774647887323949</v>
      </c>
      <c r="AY1370" s="62">
        <f t="shared" si="123"/>
        <v>0.59396915154223739</v>
      </c>
      <c r="AZ1370" s="68" t="str">
        <f t="shared" si="124"/>
        <v>No</v>
      </c>
      <c r="BA1370" s="68" t="str">
        <f t="shared" si="125"/>
        <v>No</v>
      </c>
    </row>
    <row r="1371" spans="1:53" hidden="1">
      <c r="A1371" t="s">
        <v>1280</v>
      </c>
      <c r="B1371" t="str">
        <f t="shared" si="117"/>
        <v>1371_Hamraj</v>
      </c>
      <c r="C1371" t="s">
        <v>1602</v>
      </c>
      <c r="F1371" t="s">
        <v>1241</v>
      </c>
      <c r="G1371" t="s">
        <v>1542</v>
      </c>
      <c r="I1371">
        <v>2012</v>
      </c>
      <c r="M1371" s="25" t="s">
        <v>36</v>
      </c>
      <c r="N1371" t="s">
        <v>36</v>
      </c>
      <c r="O1371" t="s">
        <v>3807</v>
      </c>
      <c r="P1371" t="s">
        <v>60</v>
      </c>
      <c r="Q1371" t="s">
        <v>899</v>
      </c>
      <c r="R1371" t="s">
        <v>828</v>
      </c>
      <c r="S1371" t="s">
        <v>836</v>
      </c>
      <c r="T1371">
        <v>69</v>
      </c>
      <c r="V1371" t="s">
        <v>907</v>
      </c>
      <c r="Z1371">
        <v>10</v>
      </c>
      <c r="AA1371">
        <v>10</v>
      </c>
      <c r="AG1371" t="str">
        <f t="shared" si="118"/>
        <v>54HELLO_Calanus_finmarchicus_D0_CO2NA_TNA_control_outcome3.00</v>
      </c>
      <c r="AI1371">
        <v>2.5</v>
      </c>
      <c r="AJ1371" t="s">
        <v>333</v>
      </c>
      <c r="AK1371" t="s">
        <v>59</v>
      </c>
      <c r="AM1371"/>
      <c r="AN1371">
        <v>3</v>
      </c>
      <c r="AO1371">
        <v>9.4868329809999992</v>
      </c>
      <c r="AP1371">
        <v>4</v>
      </c>
      <c r="AQ1371">
        <v>12.64911064</v>
      </c>
      <c r="AS1371">
        <f t="shared" si="119"/>
        <v>0.28768207245178079</v>
      </c>
      <c r="AT1371">
        <f t="shared" si="120"/>
        <v>1.9999999999978335</v>
      </c>
      <c r="AW1371" s="28">
        <f t="shared" si="121"/>
        <v>8.9442719101359966E-2</v>
      </c>
      <c r="AX1371">
        <f t="shared" si="122"/>
        <v>0.95774647887323949</v>
      </c>
      <c r="AY1371" s="62">
        <f t="shared" si="123"/>
        <v>8.5663449280175746E-2</v>
      </c>
      <c r="AZ1371" s="68" t="str">
        <f t="shared" si="124"/>
        <v>No</v>
      </c>
      <c r="BA1371" s="68" t="str">
        <f t="shared" si="125"/>
        <v>No</v>
      </c>
    </row>
    <row r="1372" spans="1:53" hidden="1">
      <c r="A1372" t="s">
        <v>1280</v>
      </c>
      <c r="B1372" t="str">
        <f t="shared" si="117"/>
        <v>1372_Hamraj</v>
      </c>
      <c r="C1372" t="s">
        <v>1602</v>
      </c>
      <c r="F1372" t="s">
        <v>1241</v>
      </c>
      <c r="G1372" t="s">
        <v>1543</v>
      </c>
      <c r="I1372">
        <v>2012</v>
      </c>
      <c r="M1372" s="25" t="s">
        <v>36</v>
      </c>
      <c r="N1372" t="s">
        <v>36</v>
      </c>
      <c r="O1372" t="s">
        <v>3807</v>
      </c>
      <c r="P1372" t="s">
        <v>60</v>
      </c>
      <c r="Q1372" t="s">
        <v>899</v>
      </c>
      <c r="R1372" t="s">
        <v>828</v>
      </c>
      <c r="S1372" t="s">
        <v>836</v>
      </c>
      <c r="T1372">
        <v>69</v>
      </c>
      <c r="V1372" t="s">
        <v>907</v>
      </c>
      <c r="Z1372">
        <v>10</v>
      </c>
      <c r="AA1372">
        <v>10</v>
      </c>
      <c r="AG1372" t="str">
        <f t="shared" si="118"/>
        <v>54HELLO_Calanus_finmarchicus_D0_CO2NA_TNA_control_outcome3.00</v>
      </c>
      <c r="AI1372">
        <v>5</v>
      </c>
      <c r="AJ1372" t="s">
        <v>333</v>
      </c>
      <c r="AK1372" t="s">
        <v>59</v>
      </c>
      <c r="AM1372"/>
      <c r="AN1372">
        <v>3</v>
      </c>
      <c r="AO1372">
        <v>9.4868329809999992</v>
      </c>
      <c r="AP1372">
        <v>6</v>
      </c>
      <c r="AQ1372">
        <v>11.06797181</v>
      </c>
      <c r="AS1372">
        <f t="shared" si="119"/>
        <v>0.69314718055994518</v>
      </c>
      <c r="AT1372">
        <f t="shared" si="120"/>
        <v>1.3402777778458665</v>
      </c>
      <c r="AW1372" s="28">
        <f t="shared" si="121"/>
        <v>0.29104275004610325</v>
      </c>
      <c r="AX1372">
        <f t="shared" si="122"/>
        <v>0.95774647887323949</v>
      </c>
      <c r="AY1372" s="62">
        <f t="shared" si="123"/>
        <v>0.27874516905823976</v>
      </c>
      <c r="AZ1372" s="68" t="str">
        <f t="shared" si="124"/>
        <v>No</v>
      </c>
      <c r="BA1372" s="68" t="str">
        <f t="shared" si="125"/>
        <v>No</v>
      </c>
    </row>
    <row r="1373" spans="1:53" hidden="1">
      <c r="A1373" t="s">
        <v>1280</v>
      </c>
      <c r="B1373" t="str">
        <f t="shared" si="117"/>
        <v>1373_Hamraj</v>
      </c>
      <c r="C1373" t="s">
        <v>1602</v>
      </c>
      <c r="F1373" t="s">
        <v>1241</v>
      </c>
      <c r="G1373" t="s">
        <v>1544</v>
      </c>
      <c r="I1373">
        <v>2012</v>
      </c>
      <c r="M1373" s="25" t="s">
        <v>36</v>
      </c>
      <c r="N1373" t="s">
        <v>36</v>
      </c>
      <c r="O1373" t="s">
        <v>3807</v>
      </c>
      <c r="P1373" t="s">
        <v>60</v>
      </c>
      <c r="Q1373" t="s">
        <v>899</v>
      </c>
      <c r="R1373" t="s">
        <v>828</v>
      </c>
      <c r="S1373" t="s">
        <v>836</v>
      </c>
      <c r="T1373">
        <v>69</v>
      </c>
      <c r="V1373" t="s">
        <v>907</v>
      </c>
      <c r="Z1373">
        <v>10</v>
      </c>
      <c r="AA1373">
        <v>10</v>
      </c>
      <c r="AG1373" t="str">
        <f t="shared" si="118"/>
        <v>54HELLO_Calanus_finmarchicus_D0_CO2NA_TNA_control_outcome3.00</v>
      </c>
      <c r="AI1373">
        <v>7.5</v>
      </c>
      <c r="AJ1373" t="s">
        <v>333</v>
      </c>
      <c r="AK1373" t="s">
        <v>59</v>
      </c>
      <c r="AM1373"/>
      <c r="AN1373">
        <v>3</v>
      </c>
      <c r="AO1373">
        <v>9.4868329809999992</v>
      </c>
      <c r="AP1373">
        <v>5</v>
      </c>
      <c r="AQ1373">
        <v>12.64911064</v>
      </c>
      <c r="AS1373">
        <f t="shared" si="119"/>
        <v>0.5108256237659905</v>
      </c>
      <c r="AT1373">
        <f t="shared" si="120"/>
        <v>1.6400000000361707</v>
      </c>
      <c r="AW1373" s="28">
        <f t="shared" si="121"/>
        <v>0.17888543820271993</v>
      </c>
      <c r="AX1373">
        <f t="shared" si="122"/>
        <v>0.95774647887323949</v>
      </c>
      <c r="AY1373" s="62">
        <f t="shared" si="123"/>
        <v>0.17132689856035149</v>
      </c>
      <c r="AZ1373" s="68" t="str">
        <f t="shared" si="124"/>
        <v>No</v>
      </c>
      <c r="BA1373" s="68" t="str">
        <f t="shared" si="125"/>
        <v>No</v>
      </c>
    </row>
    <row r="1374" spans="1:53" hidden="1">
      <c r="A1374" t="s">
        <v>1280</v>
      </c>
      <c r="B1374" t="str">
        <f t="shared" si="117"/>
        <v>1374_Hamraj</v>
      </c>
      <c r="C1374" t="s">
        <v>1602</v>
      </c>
      <c r="F1374" t="s">
        <v>1241</v>
      </c>
      <c r="G1374" t="s">
        <v>1545</v>
      </c>
      <c r="I1374">
        <v>2012</v>
      </c>
      <c r="M1374" s="25" t="s">
        <v>36</v>
      </c>
      <c r="N1374" t="s">
        <v>36</v>
      </c>
      <c r="O1374" t="s">
        <v>3807</v>
      </c>
      <c r="P1374" t="s">
        <v>60</v>
      </c>
      <c r="Q1374" t="s">
        <v>899</v>
      </c>
      <c r="R1374" t="s">
        <v>828</v>
      </c>
      <c r="S1374" t="s">
        <v>836</v>
      </c>
      <c r="T1374">
        <v>69</v>
      </c>
      <c r="V1374" t="s">
        <v>907</v>
      </c>
      <c r="Z1374">
        <v>10</v>
      </c>
      <c r="AA1374">
        <v>10</v>
      </c>
      <c r="AG1374" t="str">
        <f t="shared" si="118"/>
        <v>54HELLO_Calanus_finmarchicus_D0_CO2NA_TNA_control_outcome3.00</v>
      </c>
      <c r="AI1374">
        <v>10</v>
      </c>
      <c r="AJ1374" t="s">
        <v>333</v>
      </c>
      <c r="AK1374" t="s">
        <v>59</v>
      </c>
      <c r="AM1374"/>
      <c r="AN1374">
        <v>3</v>
      </c>
      <c r="AO1374">
        <v>9.4868329809999992</v>
      </c>
      <c r="AP1374">
        <v>11</v>
      </c>
      <c r="AQ1374">
        <v>28.460498940000001</v>
      </c>
      <c r="AS1374">
        <f t="shared" si="119"/>
        <v>1.2992829841302609</v>
      </c>
      <c r="AT1374">
        <f t="shared" si="120"/>
        <v>1.6694214876363433</v>
      </c>
      <c r="AW1374" s="28">
        <f t="shared" si="121"/>
        <v>0.37712361664893052</v>
      </c>
      <c r="AX1374">
        <f t="shared" si="122"/>
        <v>0.95774647887323949</v>
      </c>
      <c r="AY1374" s="62">
        <f t="shared" si="123"/>
        <v>0.3611888159454546</v>
      </c>
      <c r="AZ1374" s="68" t="str">
        <f t="shared" si="124"/>
        <v>No</v>
      </c>
      <c r="BA1374" s="68" t="str">
        <f t="shared" si="125"/>
        <v>No</v>
      </c>
    </row>
    <row r="1375" spans="1:53" hidden="1">
      <c r="A1375" t="s">
        <v>1280</v>
      </c>
      <c r="B1375" t="str">
        <f t="shared" si="117"/>
        <v>1375_Hamraj</v>
      </c>
      <c r="C1375" t="s">
        <v>1602</v>
      </c>
      <c r="F1375" t="s">
        <v>1241</v>
      </c>
      <c r="G1375" t="s">
        <v>1546</v>
      </c>
      <c r="I1375">
        <v>2012</v>
      </c>
      <c r="M1375" s="25" t="s">
        <v>36</v>
      </c>
      <c r="N1375" t="s">
        <v>36</v>
      </c>
      <c r="O1375" t="s">
        <v>3807</v>
      </c>
      <c r="P1375" t="s">
        <v>60</v>
      </c>
      <c r="Q1375" t="s">
        <v>899</v>
      </c>
      <c r="R1375" t="s">
        <v>828</v>
      </c>
      <c r="S1375" t="s">
        <v>836</v>
      </c>
      <c r="T1375">
        <v>69</v>
      </c>
      <c r="V1375" t="s">
        <v>907</v>
      </c>
      <c r="Z1375">
        <v>10</v>
      </c>
      <c r="AA1375">
        <v>10</v>
      </c>
      <c r="AG1375" t="str">
        <f t="shared" si="118"/>
        <v>54HELLO_Calanus_finmarchicus_D0_CO2NA_TNA_control_outcome9.00</v>
      </c>
      <c r="AI1375">
        <v>2.5</v>
      </c>
      <c r="AJ1375" t="s">
        <v>333</v>
      </c>
      <c r="AK1375" t="s">
        <v>59</v>
      </c>
      <c r="AM1375"/>
      <c r="AN1375">
        <v>9</v>
      </c>
      <c r="AO1375">
        <v>6.32455532</v>
      </c>
      <c r="AP1375">
        <v>11</v>
      </c>
      <c r="AQ1375">
        <v>9.4868329809999992</v>
      </c>
      <c r="AS1375">
        <f t="shared" si="119"/>
        <v>0.20067069546215111</v>
      </c>
      <c r="AT1375">
        <f t="shared" si="120"/>
        <v>0.1237628813411398</v>
      </c>
      <c r="AW1375" s="28">
        <f t="shared" si="121"/>
        <v>0.24806946917352266</v>
      </c>
      <c r="AX1375">
        <f t="shared" si="122"/>
        <v>0.95774647887323949</v>
      </c>
      <c r="AY1375" s="62">
        <f t="shared" si="123"/>
        <v>0.23758766061689496</v>
      </c>
      <c r="AZ1375" s="68" t="str">
        <f t="shared" si="124"/>
        <v>No</v>
      </c>
      <c r="BA1375" s="68" t="str">
        <f t="shared" si="125"/>
        <v>No</v>
      </c>
    </row>
    <row r="1376" spans="1:53" hidden="1">
      <c r="A1376" t="s">
        <v>1280</v>
      </c>
      <c r="B1376" t="str">
        <f t="shared" si="117"/>
        <v>1376_Hamraj</v>
      </c>
      <c r="C1376" t="s">
        <v>1602</v>
      </c>
      <c r="F1376" t="s">
        <v>1241</v>
      </c>
      <c r="G1376" t="s">
        <v>1547</v>
      </c>
      <c r="I1376">
        <v>2012</v>
      </c>
      <c r="M1376" s="25" t="s">
        <v>36</v>
      </c>
      <c r="N1376" t="s">
        <v>36</v>
      </c>
      <c r="O1376" t="s">
        <v>3807</v>
      </c>
      <c r="P1376" t="s">
        <v>60</v>
      </c>
      <c r="Q1376" t="s">
        <v>899</v>
      </c>
      <c r="R1376" t="s">
        <v>828</v>
      </c>
      <c r="S1376" t="s">
        <v>836</v>
      </c>
      <c r="T1376">
        <v>69</v>
      </c>
      <c r="V1376" t="s">
        <v>907</v>
      </c>
      <c r="Z1376">
        <v>10</v>
      </c>
      <c r="AA1376">
        <v>10</v>
      </c>
      <c r="AG1376" t="str">
        <f t="shared" si="118"/>
        <v>54HELLO_Calanus_finmarchicus_D0_CO2NA_TNA_control_outcome9.00</v>
      </c>
      <c r="AI1376">
        <v>5</v>
      </c>
      <c r="AJ1376" t="s">
        <v>333</v>
      </c>
      <c r="AK1376" t="s">
        <v>59</v>
      </c>
      <c r="AM1376"/>
      <c r="AN1376">
        <v>9</v>
      </c>
      <c r="AO1376">
        <v>6.32455532</v>
      </c>
      <c r="AP1376">
        <v>11</v>
      </c>
      <c r="AQ1376">
        <v>1.58113883</v>
      </c>
      <c r="AS1376">
        <f t="shared" si="119"/>
        <v>0.20067069546215111</v>
      </c>
      <c r="AT1376">
        <f t="shared" si="120"/>
        <v>5.1448831746383143E-2</v>
      </c>
      <c r="AW1376" s="28">
        <f t="shared" si="121"/>
        <v>0.43386091566041379</v>
      </c>
      <c r="AX1376">
        <f t="shared" si="122"/>
        <v>0.95774647887323949</v>
      </c>
      <c r="AY1376" s="62">
        <f t="shared" si="123"/>
        <v>0.41552876429448082</v>
      </c>
      <c r="AZ1376" s="68" t="str">
        <f t="shared" si="124"/>
        <v>No</v>
      </c>
      <c r="BA1376" s="68" t="str">
        <f t="shared" si="125"/>
        <v>No</v>
      </c>
    </row>
    <row r="1377" spans="1:53" hidden="1">
      <c r="A1377" t="s">
        <v>1280</v>
      </c>
      <c r="B1377" t="str">
        <f t="shared" si="117"/>
        <v>1377_Hamraj</v>
      </c>
      <c r="C1377" t="s">
        <v>1602</v>
      </c>
      <c r="F1377" t="s">
        <v>1241</v>
      </c>
      <c r="G1377" t="s">
        <v>1548</v>
      </c>
      <c r="I1377">
        <v>2012</v>
      </c>
      <c r="M1377" s="25" t="s">
        <v>36</v>
      </c>
      <c r="N1377" t="s">
        <v>36</v>
      </c>
      <c r="O1377" t="s">
        <v>3807</v>
      </c>
      <c r="P1377" t="s">
        <v>60</v>
      </c>
      <c r="Q1377" t="s">
        <v>899</v>
      </c>
      <c r="R1377" t="s">
        <v>828</v>
      </c>
      <c r="S1377" t="s">
        <v>836</v>
      </c>
      <c r="T1377">
        <v>69</v>
      </c>
      <c r="V1377" t="s">
        <v>907</v>
      </c>
      <c r="Z1377">
        <v>10</v>
      </c>
      <c r="AA1377">
        <v>10</v>
      </c>
      <c r="AG1377" t="str">
        <f t="shared" si="118"/>
        <v>54HELLO_Calanus_finmarchicus_D0_CO2NA_TNA_control_outcome9.00</v>
      </c>
      <c r="AI1377">
        <v>7.5</v>
      </c>
      <c r="AJ1377" t="s">
        <v>333</v>
      </c>
      <c r="AK1377" t="s">
        <v>59</v>
      </c>
      <c r="AM1377"/>
      <c r="AN1377">
        <v>9</v>
      </c>
      <c r="AO1377">
        <v>6.32455532</v>
      </c>
      <c r="AP1377">
        <v>10</v>
      </c>
      <c r="AQ1377">
        <v>3.16227766</v>
      </c>
      <c r="AS1377">
        <f t="shared" si="119"/>
        <v>0.10536051565782634</v>
      </c>
      <c r="AT1377">
        <f t="shared" si="120"/>
        <v>5.9382716043058906E-2</v>
      </c>
      <c r="AW1377" s="28">
        <f t="shared" si="121"/>
        <v>0.20000000001064921</v>
      </c>
      <c r="AX1377">
        <f t="shared" si="122"/>
        <v>0.95774647887323949</v>
      </c>
      <c r="AY1377" s="62">
        <f t="shared" si="123"/>
        <v>0.19154929578484714</v>
      </c>
      <c r="AZ1377" s="68" t="str">
        <f t="shared" si="124"/>
        <v>No</v>
      </c>
      <c r="BA1377" s="68" t="str">
        <f t="shared" si="125"/>
        <v>No</v>
      </c>
    </row>
    <row r="1378" spans="1:53" hidden="1">
      <c r="A1378" t="s">
        <v>1280</v>
      </c>
      <c r="B1378" t="str">
        <f t="shared" si="117"/>
        <v>1378_Hamraj</v>
      </c>
      <c r="C1378" t="s">
        <v>1602</v>
      </c>
      <c r="F1378" t="s">
        <v>1241</v>
      </c>
      <c r="G1378" t="s">
        <v>1549</v>
      </c>
      <c r="I1378">
        <v>2012</v>
      </c>
      <c r="M1378" s="25" t="s">
        <v>36</v>
      </c>
      <c r="N1378" t="s">
        <v>36</v>
      </c>
      <c r="O1378" t="s">
        <v>3807</v>
      </c>
      <c r="P1378" t="s">
        <v>60</v>
      </c>
      <c r="Q1378" t="s">
        <v>899</v>
      </c>
      <c r="R1378" t="s">
        <v>828</v>
      </c>
      <c r="S1378" t="s">
        <v>836</v>
      </c>
      <c r="T1378">
        <v>69</v>
      </c>
      <c r="V1378" t="s">
        <v>907</v>
      </c>
      <c r="Z1378">
        <v>10</v>
      </c>
      <c r="AA1378">
        <v>10</v>
      </c>
      <c r="AG1378" t="str">
        <f t="shared" si="118"/>
        <v>54HELLO_Calanus_finmarchicus_D0_CO2NA_TNA_control_outcome9.00</v>
      </c>
      <c r="AI1378">
        <v>10</v>
      </c>
      <c r="AJ1378" t="s">
        <v>333</v>
      </c>
      <c r="AK1378" t="s">
        <v>59</v>
      </c>
      <c r="AM1378"/>
      <c r="AN1378">
        <v>9</v>
      </c>
      <c r="AO1378">
        <v>6.32455532</v>
      </c>
      <c r="AP1378">
        <v>9</v>
      </c>
      <c r="AQ1378">
        <v>1.58113883</v>
      </c>
      <c r="AS1378">
        <f t="shared" si="119"/>
        <v>0</v>
      </c>
      <c r="AT1378">
        <f t="shared" si="120"/>
        <v>5.2469135796881568E-2</v>
      </c>
      <c r="AW1378" s="28">
        <f t="shared" si="121"/>
        <v>0</v>
      </c>
      <c r="AX1378">
        <f t="shared" si="122"/>
        <v>0.95774647887323949</v>
      </c>
      <c r="AY1378" s="62">
        <f t="shared" si="123"/>
        <v>0</v>
      </c>
      <c r="AZ1378" s="68" t="str">
        <f t="shared" si="124"/>
        <v>No</v>
      </c>
      <c r="BA1378" s="68" t="str">
        <f t="shared" si="125"/>
        <v>No</v>
      </c>
    </row>
    <row r="1379" spans="1:53" hidden="1">
      <c r="A1379" t="s">
        <v>1280</v>
      </c>
      <c r="B1379" t="str">
        <f t="shared" si="117"/>
        <v>1379_Hamraj</v>
      </c>
      <c r="C1379" t="s">
        <v>1602</v>
      </c>
      <c r="F1379" t="s">
        <v>1241</v>
      </c>
      <c r="G1379" t="s">
        <v>1550</v>
      </c>
      <c r="I1379">
        <v>2012</v>
      </c>
      <c r="M1379" s="25" t="s">
        <v>36</v>
      </c>
      <c r="N1379" t="s">
        <v>36</v>
      </c>
      <c r="O1379" t="s">
        <v>3807</v>
      </c>
      <c r="P1379" t="s">
        <v>60</v>
      </c>
      <c r="Q1379" t="s">
        <v>899</v>
      </c>
      <c r="R1379" t="s">
        <v>828</v>
      </c>
      <c r="S1379" t="s">
        <v>836</v>
      </c>
      <c r="T1379">
        <v>69</v>
      </c>
      <c r="V1379" t="s">
        <v>907</v>
      </c>
      <c r="Z1379">
        <v>10</v>
      </c>
      <c r="AA1379">
        <v>10</v>
      </c>
      <c r="AG1379" t="str">
        <f t="shared" si="118"/>
        <v>54HELLO_Calanus_finmarchicus_D0_CO2NA_TNA_control_outcome9.00</v>
      </c>
      <c r="AI1379">
        <v>2.5</v>
      </c>
      <c r="AJ1379" t="s">
        <v>333</v>
      </c>
      <c r="AK1379" t="s">
        <v>59</v>
      </c>
      <c r="AM1379"/>
      <c r="AN1379">
        <v>9</v>
      </c>
      <c r="AO1379">
        <v>3.16227766</v>
      </c>
      <c r="AP1379">
        <v>9</v>
      </c>
      <c r="AQ1379">
        <v>3.16227766</v>
      </c>
      <c r="AS1379">
        <f t="shared" si="119"/>
        <v>0</v>
      </c>
      <c r="AT1379">
        <f t="shared" si="120"/>
        <v>2.4691358022061915E-2</v>
      </c>
      <c r="AW1379" s="28">
        <f t="shared" si="121"/>
        <v>0</v>
      </c>
      <c r="AX1379">
        <f t="shared" si="122"/>
        <v>0.95774647887323949</v>
      </c>
      <c r="AY1379" s="62">
        <f t="shared" si="123"/>
        <v>0</v>
      </c>
      <c r="AZ1379" s="68" t="str">
        <f t="shared" si="124"/>
        <v>No</v>
      </c>
      <c r="BA1379" s="68" t="str">
        <f t="shared" si="125"/>
        <v>No</v>
      </c>
    </row>
    <row r="1380" spans="1:53" hidden="1">
      <c r="A1380" t="s">
        <v>1280</v>
      </c>
      <c r="B1380" t="str">
        <f t="shared" si="117"/>
        <v>1380_Hamraj</v>
      </c>
      <c r="C1380" t="s">
        <v>1602</v>
      </c>
      <c r="F1380" t="s">
        <v>1241</v>
      </c>
      <c r="G1380" t="s">
        <v>1551</v>
      </c>
      <c r="I1380">
        <v>2012</v>
      </c>
      <c r="M1380" s="25" t="s">
        <v>36</v>
      </c>
      <c r="N1380" t="s">
        <v>36</v>
      </c>
      <c r="O1380" t="s">
        <v>3807</v>
      </c>
      <c r="P1380" t="s">
        <v>60</v>
      </c>
      <c r="Q1380" t="s">
        <v>899</v>
      </c>
      <c r="R1380" t="s">
        <v>828</v>
      </c>
      <c r="S1380" t="s">
        <v>836</v>
      </c>
      <c r="T1380">
        <v>69</v>
      </c>
      <c r="V1380" t="s">
        <v>907</v>
      </c>
      <c r="Z1380">
        <v>10</v>
      </c>
      <c r="AA1380">
        <v>10</v>
      </c>
      <c r="AG1380" t="str">
        <f t="shared" si="118"/>
        <v>54HELLO_Calanus_finmarchicus_D0_CO2NA_TNA_control_outcome9.00</v>
      </c>
      <c r="AI1380">
        <v>5</v>
      </c>
      <c r="AJ1380" t="s">
        <v>333</v>
      </c>
      <c r="AK1380" t="s">
        <v>59</v>
      </c>
      <c r="AM1380"/>
      <c r="AN1380">
        <v>9</v>
      </c>
      <c r="AO1380">
        <v>3.16227766</v>
      </c>
      <c r="AP1380">
        <v>9</v>
      </c>
      <c r="AQ1380">
        <v>4.7434164900000004</v>
      </c>
      <c r="AS1380">
        <f t="shared" si="119"/>
        <v>0</v>
      </c>
      <c r="AT1380">
        <f t="shared" si="120"/>
        <v>4.0123456785850616E-2</v>
      </c>
      <c r="AW1380" s="28">
        <f t="shared" si="121"/>
        <v>0</v>
      </c>
      <c r="AX1380">
        <f t="shared" si="122"/>
        <v>0.95774647887323949</v>
      </c>
      <c r="AY1380" s="62">
        <f t="shared" si="123"/>
        <v>0</v>
      </c>
      <c r="AZ1380" s="68" t="str">
        <f t="shared" si="124"/>
        <v>No</v>
      </c>
      <c r="BA1380" s="68" t="str">
        <f t="shared" si="125"/>
        <v>No</v>
      </c>
    </row>
    <row r="1381" spans="1:53" hidden="1">
      <c r="A1381" t="s">
        <v>1280</v>
      </c>
      <c r="B1381" t="str">
        <f t="shared" si="117"/>
        <v>1381_Hamraj</v>
      </c>
      <c r="C1381" t="s">
        <v>1602</v>
      </c>
      <c r="F1381" t="s">
        <v>1241</v>
      </c>
      <c r="G1381" t="s">
        <v>1552</v>
      </c>
      <c r="I1381">
        <v>2012</v>
      </c>
      <c r="M1381" s="25" t="s">
        <v>36</v>
      </c>
      <c r="N1381" t="s">
        <v>36</v>
      </c>
      <c r="O1381" t="s">
        <v>3807</v>
      </c>
      <c r="P1381" t="s">
        <v>60</v>
      </c>
      <c r="Q1381" t="s">
        <v>899</v>
      </c>
      <c r="R1381" t="s">
        <v>828</v>
      </c>
      <c r="S1381" t="s">
        <v>836</v>
      </c>
      <c r="T1381">
        <v>69</v>
      </c>
      <c r="V1381" t="s">
        <v>907</v>
      </c>
      <c r="Z1381">
        <v>10</v>
      </c>
      <c r="AA1381">
        <v>10</v>
      </c>
      <c r="AG1381" t="str">
        <f t="shared" si="118"/>
        <v>54HELLO_Calanus_finmarchicus_D0_CO2NA_TNA_control_outcome9.00</v>
      </c>
      <c r="AI1381">
        <v>7.5</v>
      </c>
      <c r="AJ1381" t="s">
        <v>333</v>
      </c>
      <c r="AK1381" t="s">
        <v>59</v>
      </c>
      <c r="AM1381"/>
      <c r="AN1381">
        <v>9</v>
      </c>
      <c r="AO1381">
        <v>3.16227766</v>
      </c>
      <c r="AP1381">
        <v>8</v>
      </c>
      <c r="AQ1381">
        <v>3.16227766</v>
      </c>
      <c r="AS1381">
        <f t="shared" si="119"/>
        <v>-0.11778303565638382</v>
      </c>
      <c r="AT1381">
        <f t="shared" si="120"/>
        <v>2.7970679009367012E-2</v>
      </c>
      <c r="AW1381" s="28">
        <f t="shared" si="121"/>
        <v>-0.31622776603367586</v>
      </c>
      <c r="AX1381">
        <f t="shared" si="122"/>
        <v>0.95774647887323949</v>
      </c>
      <c r="AY1381" s="62">
        <f t="shared" si="123"/>
        <v>-0.30286602944070368</v>
      </c>
      <c r="AZ1381" s="68" t="str">
        <f t="shared" si="124"/>
        <v>No</v>
      </c>
      <c r="BA1381" s="68" t="str">
        <f t="shared" si="125"/>
        <v>No</v>
      </c>
    </row>
    <row r="1382" spans="1:53" hidden="1">
      <c r="A1382" t="s">
        <v>1280</v>
      </c>
      <c r="B1382" t="str">
        <f t="shared" si="117"/>
        <v>1382_Hamraj</v>
      </c>
      <c r="C1382" t="s">
        <v>1602</v>
      </c>
      <c r="F1382" t="s">
        <v>1241</v>
      </c>
      <c r="G1382" t="s">
        <v>1553</v>
      </c>
      <c r="I1382">
        <v>2012</v>
      </c>
      <c r="M1382" s="25" t="s">
        <v>36</v>
      </c>
      <c r="N1382" t="s">
        <v>36</v>
      </c>
      <c r="O1382" t="s">
        <v>3807</v>
      </c>
      <c r="P1382" t="s">
        <v>60</v>
      </c>
      <c r="Q1382" t="s">
        <v>899</v>
      </c>
      <c r="R1382" t="s">
        <v>828</v>
      </c>
      <c r="S1382" t="s">
        <v>836</v>
      </c>
      <c r="T1382">
        <v>69</v>
      </c>
      <c r="V1382" t="s">
        <v>907</v>
      </c>
      <c r="Z1382">
        <v>10</v>
      </c>
      <c r="AA1382">
        <v>10</v>
      </c>
      <c r="AG1382" t="str">
        <f t="shared" si="118"/>
        <v>54HELLO_Calanus_finmarchicus_D0_CO2NA_TNA_control_outcome9.00</v>
      </c>
      <c r="AI1382">
        <v>10</v>
      </c>
      <c r="AJ1382" t="s">
        <v>333</v>
      </c>
      <c r="AK1382" t="s">
        <v>59</v>
      </c>
      <c r="AM1382"/>
      <c r="AN1382">
        <v>9</v>
      </c>
      <c r="AO1382">
        <v>3.16227766</v>
      </c>
      <c r="AP1382">
        <v>5</v>
      </c>
      <c r="AQ1382">
        <v>3.16227766</v>
      </c>
      <c r="AS1382">
        <f t="shared" si="119"/>
        <v>-0.58778666490211928</v>
      </c>
      <c r="AT1382">
        <f t="shared" si="120"/>
        <v>5.2345679006771263E-2</v>
      </c>
      <c r="AW1382" s="28">
        <f t="shared" si="121"/>
        <v>-1.2649110641347034</v>
      </c>
      <c r="AX1382">
        <f t="shared" si="122"/>
        <v>0.95774647887323949</v>
      </c>
      <c r="AY1382" s="62">
        <f t="shared" si="123"/>
        <v>-1.2114641177628147</v>
      </c>
      <c r="AZ1382" s="68" t="str">
        <f t="shared" si="124"/>
        <v>No</v>
      </c>
      <c r="BA1382" s="68" t="str">
        <f t="shared" si="125"/>
        <v>No</v>
      </c>
    </row>
    <row r="1383" spans="1:53" hidden="1">
      <c r="A1383" t="s">
        <v>1280</v>
      </c>
      <c r="B1383" t="str">
        <f t="shared" si="117"/>
        <v>1383_Hamraj</v>
      </c>
      <c r="C1383" t="s">
        <v>1602</v>
      </c>
      <c r="F1383" t="s">
        <v>1241</v>
      </c>
      <c r="G1383" t="s">
        <v>1554</v>
      </c>
      <c r="I1383">
        <v>2012</v>
      </c>
      <c r="M1383" s="25" t="s">
        <v>36</v>
      </c>
      <c r="N1383" t="s">
        <v>36</v>
      </c>
      <c r="O1383" t="s">
        <v>3807</v>
      </c>
      <c r="P1383" t="s">
        <v>60</v>
      </c>
      <c r="Q1383" t="s">
        <v>899</v>
      </c>
      <c r="R1383" t="s">
        <v>828</v>
      </c>
      <c r="S1383" t="s">
        <v>1404</v>
      </c>
      <c r="T1383">
        <v>78</v>
      </c>
      <c r="V1383" t="s">
        <v>907</v>
      </c>
      <c r="Z1383">
        <v>10</v>
      </c>
      <c r="AA1383">
        <v>10</v>
      </c>
      <c r="AG1383" t="str">
        <f t="shared" si="118"/>
        <v>54HELLO_Calanus_glacialis_D0_CO2NA_TNA_control_outcome25.00</v>
      </c>
      <c r="AI1383">
        <v>2.5</v>
      </c>
      <c r="AJ1383" t="s">
        <v>333</v>
      </c>
      <c r="AK1383" t="s">
        <v>59</v>
      </c>
      <c r="AM1383"/>
      <c r="AN1383">
        <v>25</v>
      </c>
      <c r="AO1383">
        <v>9.4868329809999992</v>
      </c>
      <c r="AP1383">
        <v>33</v>
      </c>
      <c r="AQ1383">
        <v>18.973665960000002</v>
      </c>
      <c r="AS1383">
        <f t="shared" si="119"/>
        <v>0.27763173659827967</v>
      </c>
      <c r="AT1383">
        <f t="shared" si="120"/>
        <v>4.7457851237651311E-2</v>
      </c>
      <c r="AW1383" s="28">
        <f t="shared" si="121"/>
        <v>0.53333333335048771</v>
      </c>
      <c r="AX1383">
        <f t="shared" si="122"/>
        <v>0.95774647887323949</v>
      </c>
      <c r="AY1383" s="62">
        <f t="shared" si="123"/>
        <v>0.51079812208215725</v>
      </c>
      <c r="AZ1383" s="68" t="str">
        <f t="shared" si="124"/>
        <v>No</v>
      </c>
      <c r="BA1383" s="68" t="str">
        <f t="shared" si="125"/>
        <v>No</v>
      </c>
    </row>
    <row r="1384" spans="1:53" hidden="1">
      <c r="A1384" t="s">
        <v>1280</v>
      </c>
      <c r="B1384" t="str">
        <f t="shared" si="117"/>
        <v>1384_Hamraj</v>
      </c>
      <c r="C1384" t="s">
        <v>1602</v>
      </c>
      <c r="F1384" t="s">
        <v>1241</v>
      </c>
      <c r="G1384" t="s">
        <v>1555</v>
      </c>
      <c r="I1384">
        <v>2012</v>
      </c>
      <c r="M1384" s="25" t="s">
        <v>36</v>
      </c>
      <c r="N1384" t="s">
        <v>36</v>
      </c>
      <c r="O1384" t="s">
        <v>3807</v>
      </c>
      <c r="P1384" t="s">
        <v>60</v>
      </c>
      <c r="Q1384" t="s">
        <v>899</v>
      </c>
      <c r="R1384" t="s">
        <v>828</v>
      </c>
      <c r="S1384" t="s">
        <v>1404</v>
      </c>
      <c r="T1384">
        <v>78</v>
      </c>
      <c r="V1384" t="s">
        <v>907</v>
      </c>
      <c r="Z1384">
        <v>10</v>
      </c>
      <c r="AA1384">
        <v>10</v>
      </c>
      <c r="AG1384" t="str">
        <f t="shared" si="118"/>
        <v>54HELLO_Calanus_glacialis_D0_CO2NA_TNA_control_outcome25.00</v>
      </c>
      <c r="AI1384">
        <v>5</v>
      </c>
      <c r="AJ1384" t="s">
        <v>333</v>
      </c>
      <c r="AK1384" t="s">
        <v>59</v>
      </c>
      <c r="AM1384"/>
      <c r="AN1384">
        <v>25</v>
      </c>
      <c r="AO1384">
        <v>9.4868329809999992</v>
      </c>
      <c r="AP1384">
        <v>31</v>
      </c>
      <c r="AQ1384">
        <v>14.23024947</v>
      </c>
      <c r="AS1384">
        <f t="shared" si="119"/>
        <v>0.21511137961694571</v>
      </c>
      <c r="AT1384">
        <f t="shared" si="120"/>
        <v>3.5471800207374851E-2</v>
      </c>
      <c r="AW1384" s="28">
        <f t="shared" si="121"/>
        <v>0.49613893836715983</v>
      </c>
      <c r="AX1384">
        <f t="shared" si="122"/>
        <v>0.95774647887323949</v>
      </c>
      <c r="AY1384" s="62">
        <f t="shared" si="123"/>
        <v>0.47517532125305451</v>
      </c>
      <c r="AZ1384" s="68" t="str">
        <f t="shared" si="124"/>
        <v>No</v>
      </c>
      <c r="BA1384" s="68" t="str">
        <f t="shared" si="125"/>
        <v>No</v>
      </c>
    </row>
    <row r="1385" spans="1:53" hidden="1">
      <c r="A1385" t="s">
        <v>1280</v>
      </c>
      <c r="B1385" t="str">
        <f t="shared" si="117"/>
        <v>1385_Hamraj</v>
      </c>
      <c r="C1385" t="s">
        <v>1602</v>
      </c>
      <c r="F1385" t="s">
        <v>1241</v>
      </c>
      <c r="G1385" t="s">
        <v>1556</v>
      </c>
      <c r="I1385">
        <v>2012</v>
      </c>
      <c r="M1385" s="25" t="s">
        <v>36</v>
      </c>
      <c r="N1385" t="s">
        <v>36</v>
      </c>
      <c r="O1385" t="s">
        <v>3807</v>
      </c>
      <c r="P1385" t="s">
        <v>60</v>
      </c>
      <c r="Q1385" t="s">
        <v>899</v>
      </c>
      <c r="R1385" t="s">
        <v>828</v>
      </c>
      <c r="S1385" t="s">
        <v>1404</v>
      </c>
      <c r="T1385">
        <v>78</v>
      </c>
      <c r="V1385" t="s">
        <v>907</v>
      </c>
      <c r="Z1385">
        <v>10</v>
      </c>
      <c r="AA1385">
        <v>10</v>
      </c>
      <c r="AG1385" t="str">
        <f t="shared" si="118"/>
        <v>54HELLO_Calanus_glacialis_D0_CO2NA_TNA_control_outcome25.00</v>
      </c>
      <c r="AI1385">
        <v>7.5</v>
      </c>
      <c r="AJ1385" t="s">
        <v>333</v>
      </c>
      <c r="AK1385" t="s">
        <v>59</v>
      </c>
      <c r="AM1385"/>
      <c r="AN1385">
        <v>25</v>
      </c>
      <c r="AO1385">
        <v>9.4868329809999992</v>
      </c>
      <c r="AP1385">
        <v>22</v>
      </c>
      <c r="AQ1385">
        <v>15.811388300000001</v>
      </c>
      <c r="AS1385">
        <f t="shared" si="119"/>
        <v>-0.1278333715098845</v>
      </c>
      <c r="AT1385">
        <f t="shared" si="120"/>
        <v>6.6052892557985132E-2</v>
      </c>
      <c r="AW1385" s="28">
        <f t="shared" si="121"/>
        <v>-0.23008949666004247</v>
      </c>
      <c r="AX1385">
        <f t="shared" si="122"/>
        <v>0.95774647887323949</v>
      </c>
      <c r="AY1385" s="62">
        <f t="shared" si="123"/>
        <v>-0.22036740525187168</v>
      </c>
      <c r="AZ1385" s="68" t="str">
        <f t="shared" si="124"/>
        <v>No</v>
      </c>
      <c r="BA1385" s="68" t="str">
        <f t="shared" si="125"/>
        <v>No</v>
      </c>
    </row>
    <row r="1386" spans="1:53" hidden="1">
      <c r="A1386" t="s">
        <v>1280</v>
      </c>
      <c r="B1386" t="str">
        <f t="shared" ref="B1386:B1449" si="126">ROW(A1386)&amp;"_Hamraj"</f>
        <v>1386_Hamraj</v>
      </c>
      <c r="C1386" t="s">
        <v>1602</v>
      </c>
      <c r="F1386" t="s">
        <v>1241</v>
      </c>
      <c r="G1386" t="s">
        <v>1557</v>
      </c>
      <c r="I1386">
        <v>2012</v>
      </c>
      <c r="M1386" s="25" t="s">
        <v>36</v>
      </c>
      <c r="N1386" t="s">
        <v>36</v>
      </c>
      <c r="O1386" t="s">
        <v>3807</v>
      </c>
      <c r="P1386" t="s">
        <v>60</v>
      </c>
      <c r="Q1386" t="s">
        <v>899</v>
      </c>
      <c r="R1386" t="s">
        <v>828</v>
      </c>
      <c r="S1386" t="s">
        <v>1404</v>
      </c>
      <c r="T1386">
        <v>78</v>
      </c>
      <c r="V1386" t="s">
        <v>907</v>
      </c>
      <c r="Z1386">
        <v>10</v>
      </c>
      <c r="AA1386">
        <v>10</v>
      </c>
      <c r="AG1386" t="str">
        <f t="shared" ref="AG1386:AG1441" si="127">C1386 &amp; "_" &amp;
SUBSTITUTE(TRIM(S1386)," ","_") &amp; "_" &amp;
"D" &amp; TEXT(X1386,"0") &amp; "_" &amp;
"CO2" &amp; IF(AC1386&lt;&gt;"",TEXT(AC1386,"0.00"),"NA") &amp; "_" &amp;
"T" &amp; IF(AD1386&lt;&gt;"",TEXT(AD1386,"0.00"),"NA") &amp; "_" &amp;
"control_outcome" &amp; IF(AN1386&lt;&gt;"",TEXT(AN1386,"0.00"),"NA")</f>
        <v>54HELLO_Calanus_glacialis_D0_CO2NA_TNA_control_outcome25.00</v>
      </c>
      <c r="AI1386">
        <v>10</v>
      </c>
      <c r="AJ1386" t="s">
        <v>333</v>
      </c>
      <c r="AK1386" t="s">
        <v>59</v>
      </c>
      <c r="AM1386"/>
      <c r="AN1386">
        <v>25</v>
      </c>
      <c r="AO1386">
        <v>9.4868329809999992</v>
      </c>
      <c r="AP1386">
        <v>14</v>
      </c>
      <c r="AQ1386">
        <v>12.64911064</v>
      </c>
      <c r="AS1386">
        <f t="shared" ref="AS1386:AS1449" si="128">LN(AP1386)-LN(AN1386)</f>
        <v>-0.57981849525294216</v>
      </c>
      <c r="AT1386">
        <f t="shared" ref="AT1386:AT1449" si="129">(AQ1386^2)/(AA1386*AP1386^2) + (AO1386^2)/(Z1386*AN1386^2)</f>
        <v>9.6032653054033523E-2</v>
      </c>
      <c r="AW1386" s="28">
        <f t="shared" si="121"/>
        <v>-0.98386991011495961</v>
      </c>
      <c r="AX1386">
        <f t="shared" si="122"/>
        <v>0.95774647887323949</v>
      </c>
      <c r="AY1386" s="62">
        <f t="shared" si="123"/>
        <v>-0.94229794208193318</v>
      </c>
      <c r="AZ1386" s="68" t="str">
        <f t="shared" si="124"/>
        <v>No</v>
      </c>
      <c r="BA1386" s="68" t="str">
        <f t="shared" si="125"/>
        <v>No</v>
      </c>
    </row>
    <row r="1387" spans="1:53" hidden="1">
      <c r="A1387" t="s">
        <v>1280</v>
      </c>
      <c r="B1387" t="str">
        <f t="shared" si="126"/>
        <v>1387_Hamraj</v>
      </c>
      <c r="C1387" t="s">
        <v>1604</v>
      </c>
      <c r="F1387" t="s">
        <v>1241</v>
      </c>
      <c r="G1387" t="s">
        <v>1281</v>
      </c>
      <c r="I1387">
        <v>2008</v>
      </c>
      <c r="M1387" s="25" t="s">
        <v>36</v>
      </c>
      <c r="N1387" t="s">
        <v>36</v>
      </c>
      <c r="O1387" t="s">
        <v>74</v>
      </c>
      <c r="P1387" t="s">
        <v>60</v>
      </c>
      <c r="Q1387" t="s">
        <v>899</v>
      </c>
      <c r="R1387" t="s">
        <v>828</v>
      </c>
      <c r="S1387" t="s">
        <v>1304</v>
      </c>
      <c r="T1387">
        <v>54</v>
      </c>
      <c r="V1387" t="s">
        <v>907</v>
      </c>
      <c r="Z1387">
        <v>8</v>
      </c>
      <c r="AA1387">
        <v>4</v>
      </c>
      <c r="AG1387" t="str">
        <f t="shared" si="127"/>
        <v>55HELLO_Pseudocalanus_sp_D0_CO2NA_TNA_control_outcome0.69</v>
      </c>
      <c r="AI1387">
        <v>7</v>
      </c>
      <c r="AJ1387" t="s">
        <v>333</v>
      </c>
      <c r="AK1387" t="s">
        <v>59</v>
      </c>
      <c r="AM1387"/>
      <c r="AN1387">
        <v>0.68687069999999995</v>
      </c>
      <c r="AO1387">
        <v>0.301220983</v>
      </c>
      <c r="AP1387">
        <v>1.4679500000000001</v>
      </c>
      <c r="AQ1387">
        <v>0.4</v>
      </c>
      <c r="AS1387">
        <f t="shared" si="128"/>
        <v>0.75947608374719211</v>
      </c>
      <c r="AT1387">
        <f t="shared" si="129"/>
        <v>4.2602321834604731E-2</v>
      </c>
      <c r="AW1387" s="28">
        <f t="shared" si="121"/>
        <v>2.3390026339104519</v>
      </c>
      <c r="AX1387">
        <f t="shared" si="122"/>
        <v>0.92307692307692313</v>
      </c>
      <c r="AY1387" s="62">
        <f t="shared" si="123"/>
        <v>2.1590793543788789</v>
      </c>
      <c r="AZ1387" s="68" t="str">
        <f t="shared" si="124"/>
        <v>No</v>
      </c>
      <c r="BA1387" s="68" t="str">
        <f t="shared" si="125"/>
        <v>No</v>
      </c>
    </row>
    <row r="1388" spans="1:53" hidden="1">
      <c r="A1388" t="s">
        <v>1280</v>
      </c>
      <c r="B1388" t="str">
        <f t="shared" si="126"/>
        <v>1388_Hamraj</v>
      </c>
      <c r="C1388" t="s">
        <v>1604</v>
      </c>
      <c r="F1388" t="s">
        <v>1241</v>
      </c>
      <c r="G1388" t="s">
        <v>1282</v>
      </c>
      <c r="I1388">
        <v>2008</v>
      </c>
      <c r="M1388" s="25" t="s">
        <v>36</v>
      </c>
      <c r="N1388" t="s">
        <v>36</v>
      </c>
      <c r="O1388" t="s">
        <v>74</v>
      </c>
      <c r="P1388" t="s">
        <v>60</v>
      </c>
      <c r="Q1388" t="s">
        <v>899</v>
      </c>
      <c r="R1388" t="s">
        <v>828</v>
      </c>
      <c r="S1388" t="s">
        <v>1304</v>
      </c>
      <c r="T1388">
        <v>54</v>
      </c>
      <c r="V1388" t="s">
        <v>907</v>
      </c>
      <c r="Z1388">
        <v>8</v>
      </c>
      <c r="AA1388">
        <v>8</v>
      </c>
      <c r="AG1388" t="str">
        <f t="shared" si="127"/>
        <v>55HELLO_Pseudocalanus_sp_D0_CO2NA_TNA_control_outcome0.69</v>
      </c>
      <c r="AI1388">
        <v>9</v>
      </c>
      <c r="AJ1388" t="s">
        <v>333</v>
      </c>
      <c r="AK1388" t="s">
        <v>59</v>
      </c>
      <c r="AM1388"/>
      <c r="AN1388">
        <v>0.68687069999999995</v>
      </c>
      <c r="AO1388">
        <v>0.301220983</v>
      </c>
      <c r="AP1388">
        <v>2.3240959999999999</v>
      </c>
      <c r="AQ1388">
        <v>0.30115776799999999</v>
      </c>
      <c r="AS1388">
        <f t="shared" si="128"/>
        <v>1.2189403603064355</v>
      </c>
      <c r="AT1388">
        <f t="shared" si="129"/>
        <v>2.6138670854164117E-2</v>
      </c>
      <c r="AW1388" s="28">
        <f t="shared" si="121"/>
        <v>5.4358666811097898</v>
      </c>
      <c r="AX1388">
        <f t="shared" si="122"/>
        <v>0.94545454545454544</v>
      </c>
      <c r="AY1388" s="62">
        <f t="shared" si="123"/>
        <v>5.1393648621401651</v>
      </c>
      <c r="AZ1388" s="68" t="str">
        <f t="shared" si="124"/>
        <v>No</v>
      </c>
      <c r="BA1388" s="68" t="str">
        <f t="shared" si="125"/>
        <v>No</v>
      </c>
    </row>
    <row r="1389" spans="1:53" hidden="1">
      <c r="A1389" t="s">
        <v>1280</v>
      </c>
      <c r="B1389" t="str">
        <f t="shared" si="126"/>
        <v>1389_Hamraj</v>
      </c>
      <c r="C1389" t="s">
        <v>1604</v>
      </c>
      <c r="F1389" t="s">
        <v>1241</v>
      </c>
      <c r="G1389" t="s">
        <v>1283</v>
      </c>
      <c r="I1389">
        <v>2008</v>
      </c>
      <c r="M1389" s="25" t="s">
        <v>36</v>
      </c>
      <c r="N1389" t="s">
        <v>36</v>
      </c>
      <c r="O1389" t="s">
        <v>74</v>
      </c>
      <c r="P1389" t="s">
        <v>60</v>
      </c>
      <c r="Q1389" t="s">
        <v>899</v>
      </c>
      <c r="R1389" t="s">
        <v>828</v>
      </c>
      <c r="S1389" t="s">
        <v>1304</v>
      </c>
      <c r="T1389">
        <v>54</v>
      </c>
      <c r="V1389" t="s">
        <v>907</v>
      </c>
      <c r="Z1389">
        <v>8</v>
      </c>
      <c r="AA1389">
        <v>8</v>
      </c>
      <c r="AG1389" t="str">
        <f t="shared" si="127"/>
        <v>55HELLO_Pseudocalanus_sp_D0_CO2NA_TNA_control_outcome0.69</v>
      </c>
      <c r="AI1389">
        <v>11</v>
      </c>
      <c r="AJ1389" t="s">
        <v>333</v>
      </c>
      <c r="AK1389" t="s">
        <v>59</v>
      </c>
      <c r="AM1389"/>
      <c r="AN1389">
        <v>0.68687069999999995</v>
      </c>
      <c r="AO1389">
        <v>0.301220983</v>
      </c>
      <c r="AP1389">
        <v>1.75629685</v>
      </c>
      <c r="AQ1389">
        <v>1.2647956060000001</v>
      </c>
      <c r="AS1389">
        <f t="shared" si="128"/>
        <v>0.93881674398112547</v>
      </c>
      <c r="AT1389">
        <f t="shared" si="129"/>
        <v>8.8866620992157835E-2</v>
      </c>
      <c r="AW1389" s="28">
        <f t="shared" si="121"/>
        <v>1.163230174307144</v>
      </c>
      <c r="AX1389">
        <f t="shared" si="122"/>
        <v>0.94545454545454544</v>
      </c>
      <c r="AY1389" s="62">
        <f t="shared" si="123"/>
        <v>1.0997812557085724</v>
      </c>
      <c r="AZ1389" s="68" t="str">
        <f t="shared" si="124"/>
        <v>No</v>
      </c>
      <c r="BA1389" s="68" t="str">
        <f t="shared" si="125"/>
        <v>No</v>
      </c>
    </row>
    <row r="1390" spans="1:53" hidden="1">
      <c r="A1390" t="s">
        <v>1280</v>
      </c>
      <c r="B1390" t="str">
        <f t="shared" si="126"/>
        <v>1390_Hamraj</v>
      </c>
      <c r="C1390" t="s">
        <v>1597</v>
      </c>
      <c r="F1390" t="s">
        <v>1241</v>
      </c>
      <c r="G1390" t="s">
        <v>1558</v>
      </c>
      <c r="I1390">
        <v>2001</v>
      </c>
      <c r="M1390" s="25" t="s">
        <v>36</v>
      </c>
      <c r="N1390" t="s">
        <v>36</v>
      </c>
      <c r="O1390" t="s">
        <v>74</v>
      </c>
      <c r="P1390" t="s">
        <v>60</v>
      </c>
      <c r="Q1390" t="s">
        <v>899</v>
      </c>
      <c r="R1390" t="s">
        <v>828</v>
      </c>
      <c r="S1390" t="s">
        <v>1591</v>
      </c>
      <c r="T1390">
        <v>24</v>
      </c>
      <c r="V1390" t="s">
        <v>907</v>
      </c>
      <c r="Z1390">
        <v>8</v>
      </c>
      <c r="AA1390">
        <v>6</v>
      </c>
      <c r="AG1390" t="str">
        <f t="shared" si="127"/>
        <v>56HELLO_Acartia_lilljeborgi_D0_CO2NA_TNA_control_outcome20.27</v>
      </c>
      <c r="AI1390">
        <v>21.188196000000001</v>
      </c>
      <c r="AJ1390" t="s">
        <v>333</v>
      </c>
      <c r="AK1390" t="s">
        <v>59</v>
      </c>
      <c r="AM1390"/>
      <c r="AN1390">
        <v>20.26989356</v>
      </c>
      <c r="AO1390">
        <v>5.2031844329999997</v>
      </c>
      <c r="AP1390">
        <v>29.190027000000001</v>
      </c>
      <c r="AQ1390">
        <v>8.7639012510000001</v>
      </c>
      <c r="AS1390">
        <f t="shared" si="128"/>
        <v>0.36469040049979506</v>
      </c>
      <c r="AT1390">
        <f t="shared" si="129"/>
        <v>2.3260177417545866E-2</v>
      </c>
      <c r="AW1390" s="28">
        <f t="shared" si="121"/>
        <v>1.2902666313025359</v>
      </c>
      <c r="AX1390">
        <f t="shared" si="122"/>
        <v>0.93617021276595747</v>
      </c>
      <c r="AY1390" s="62">
        <f t="shared" si="123"/>
        <v>1.2079091867513103</v>
      </c>
      <c r="AZ1390" s="68" t="str">
        <f t="shared" si="124"/>
        <v>No</v>
      </c>
      <c r="BA1390" s="68" t="str">
        <f t="shared" si="125"/>
        <v>No</v>
      </c>
    </row>
    <row r="1391" spans="1:53" hidden="1">
      <c r="A1391" t="s">
        <v>1280</v>
      </c>
      <c r="B1391" t="str">
        <f t="shared" si="126"/>
        <v>1391_Hamraj</v>
      </c>
      <c r="C1391" t="s">
        <v>1597</v>
      </c>
      <c r="F1391" t="s">
        <v>1241</v>
      </c>
      <c r="G1391" t="s">
        <v>1559</v>
      </c>
      <c r="I1391">
        <v>2001</v>
      </c>
      <c r="M1391" s="25" t="s">
        <v>36</v>
      </c>
      <c r="N1391" t="s">
        <v>36</v>
      </c>
      <c r="O1391" t="s">
        <v>74</v>
      </c>
      <c r="P1391" t="s">
        <v>60</v>
      </c>
      <c r="Q1391" t="s">
        <v>899</v>
      </c>
      <c r="R1391" t="s">
        <v>828</v>
      </c>
      <c r="S1391" t="s">
        <v>1591</v>
      </c>
      <c r="T1391">
        <v>24</v>
      </c>
      <c r="V1391" t="s">
        <v>907</v>
      </c>
      <c r="Z1391">
        <v>8</v>
      </c>
      <c r="AA1391">
        <v>6</v>
      </c>
      <c r="AG1391" t="str">
        <f t="shared" si="127"/>
        <v>56HELLO_Acartia_lilljeborgi_D0_CO2NA_TNA_control_outcome20.27</v>
      </c>
      <c r="AI1391">
        <v>23.490734</v>
      </c>
      <c r="AJ1391" t="s">
        <v>333</v>
      </c>
      <c r="AK1391" t="s">
        <v>59</v>
      </c>
      <c r="AM1391"/>
      <c r="AN1391">
        <v>20.26989356</v>
      </c>
      <c r="AO1391">
        <v>5.2031844329999997</v>
      </c>
      <c r="AP1391">
        <v>41.56909967</v>
      </c>
      <c r="AQ1391">
        <v>14.238383369999999</v>
      </c>
      <c r="AS1391">
        <f t="shared" si="128"/>
        <v>0.71822038552295053</v>
      </c>
      <c r="AT1391">
        <f t="shared" si="129"/>
        <v>2.7790250198779745E-2</v>
      </c>
      <c r="AW1391" s="28">
        <f t="shared" si="121"/>
        <v>2.1271131652446913</v>
      </c>
      <c r="AX1391">
        <f t="shared" si="122"/>
        <v>0.93617021276595747</v>
      </c>
      <c r="AY1391" s="62">
        <f t="shared" si="123"/>
        <v>1.991339984484392</v>
      </c>
      <c r="AZ1391" s="68" t="str">
        <f t="shared" si="124"/>
        <v>No</v>
      </c>
      <c r="BA1391" s="68" t="str">
        <f t="shared" si="125"/>
        <v>No</v>
      </c>
    </row>
    <row r="1392" spans="1:53" hidden="1">
      <c r="A1392" t="s">
        <v>1280</v>
      </c>
      <c r="B1392" t="str">
        <f t="shared" si="126"/>
        <v>1392_Hamraj</v>
      </c>
      <c r="C1392" t="s">
        <v>1597</v>
      </c>
      <c r="F1392" t="s">
        <v>1241</v>
      </c>
      <c r="G1392" t="s">
        <v>1560</v>
      </c>
      <c r="I1392">
        <v>2001</v>
      </c>
      <c r="M1392" s="25" t="s">
        <v>36</v>
      </c>
      <c r="N1392" t="s">
        <v>36</v>
      </c>
      <c r="O1392" t="s">
        <v>74</v>
      </c>
      <c r="P1392" t="s">
        <v>60</v>
      </c>
      <c r="Q1392" t="s">
        <v>899</v>
      </c>
      <c r="R1392" t="s">
        <v>828</v>
      </c>
      <c r="S1392" t="s">
        <v>1591</v>
      </c>
      <c r="T1392">
        <v>24</v>
      </c>
      <c r="V1392" t="s">
        <v>907</v>
      </c>
      <c r="Z1392">
        <v>8</v>
      </c>
      <c r="AA1392">
        <v>4</v>
      </c>
      <c r="AG1392" t="str">
        <f t="shared" si="127"/>
        <v>56HELLO_Acartia_lilljeborgi_D0_CO2NA_TNA_control_outcome20.27</v>
      </c>
      <c r="AI1392">
        <v>25.259747999999998</v>
      </c>
      <c r="AJ1392" t="s">
        <v>333</v>
      </c>
      <c r="AK1392" t="s">
        <v>59</v>
      </c>
      <c r="AM1392"/>
      <c r="AN1392">
        <v>20.26989356</v>
      </c>
      <c r="AO1392">
        <v>5.2031844329999997</v>
      </c>
      <c r="AP1392">
        <v>47.183628749999997</v>
      </c>
      <c r="AQ1392">
        <v>14.2526814</v>
      </c>
      <c r="AS1392">
        <f t="shared" si="128"/>
        <v>0.84491027456859413</v>
      </c>
      <c r="AT1392">
        <f t="shared" si="129"/>
        <v>3.1047877047521419E-2</v>
      </c>
      <c r="AW1392" s="28">
        <f t="shared" si="121"/>
        <v>3.0110638811176909</v>
      </c>
      <c r="AX1392">
        <f t="shared" si="122"/>
        <v>0.92307692307692313</v>
      </c>
      <c r="AY1392" s="62">
        <f t="shared" si="123"/>
        <v>2.7794435825701762</v>
      </c>
      <c r="AZ1392" s="68" t="str">
        <f t="shared" si="124"/>
        <v>No</v>
      </c>
      <c r="BA1392" s="68" t="str">
        <f t="shared" si="125"/>
        <v>No</v>
      </c>
    </row>
    <row r="1393" spans="1:53" hidden="1">
      <c r="A1393" t="s">
        <v>1280</v>
      </c>
      <c r="B1393" t="str">
        <f t="shared" si="126"/>
        <v>1393_Hamraj</v>
      </c>
      <c r="C1393" t="s">
        <v>1597</v>
      </c>
      <c r="F1393" t="s">
        <v>1241</v>
      </c>
      <c r="G1393" t="s">
        <v>1561</v>
      </c>
      <c r="I1393">
        <v>2001</v>
      </c>
      <c r="M1393" s="25" t="s">
        <v>36</v>
      </c>
      <c r="N1393" t="s">
        <v>36</v>
      </c>
      <c r="O1393" t="s">
        <v>74</v>
      </c>
      <c r="P1393" t="s">
        <v>60</v>
      </c>
      <c r="Q1393" t="s">
        <v>899</v>
      </c>
      <c r="R1393" t="s">
        <v>828</v>
      </c>
      <c r="S1393" t="s">
        <v>1591</v>
      </c>
      <c r="T1393">
        <v>24</v>
      </c>
      <c r="V1393" t="s">
        <v>907</v>
      </c>
      <c r="Z1393">
        <v>8</v>
      </c>
      <c r="AA1393">
        <v>6</v>
      </c>
      <c r="AG1393" t="str">
        <f t="shared" si="127"/>
        <v>56HELLO_Acartia_lilljeborgi_D0_CO2NA_TNA_control_outcome20.27</v>
      </c>
      <c r="AI1393">
        <v>28.417819999999999</v>
      </c>
      <c r="AJ1393" t="s">
        <v>333</v>
      </c>
      <c r="AK1393" t="s">
        <v>59</v>
      </c>
      <c r="AM1393"/>
      <c r="AN1393">
        <v>20.26989356</v>
      </c>
      <c r="AO1393">
        <v>5.2031844329999997</v>
      </c>
      <c r="AP1393">
        <v>39.395509169999997</v>
      </c>
      <c r="AQ1393">
        <v>10.93067924</v>
      </c>
      <c r="AS1393">
        <f t="shared" si="128"/>
        <v>0.66451512001066249</v>
      </c>
      <c r="AT1393">
        <f t="shared" si="129"/>
        <v>2.1067231614423032E-2</v>
      </c>
      <c r="AW1393" s="28">
        <f t="shared" si="121"/>
        <v>2.3618011894725948</v>
      </c>
      <c r="AX1393">
        <f t="shared" si="122"/>
        <v>0.93617021276595747</v>
      </c>
      <c r="AY1393" s="62">
        <f t="shared" si="123"/>
        <v>2.2110479220594503</v>
      </c>
      <c r="AZ1393" s="68" t="str">
        <f t="shared" si="124"/>
        <v>No</v>
      </c>
      <c r="BA1393" s="68" t="str">
        <f t="shared" si="125"/>
        <v>No</v>
      </c>
    </row>
    <row r="1394" spans="1:53" hidden="1">
      <c r="A1394" t="s">
        <v>1280</v>
      </c>
      <c r="B1394" t="str">
        <f t="shared" si="126"/>
        <v>1394_Hamraj</v>
      </c>
      <c r="C1394" t="s">
        <v>1605</v>
      </c>
      <c r="F1394" t="s">
        <v>1241</v>
      </c>
      <c r="G1394" t="s">
        <v>1455</v>
      </c>
      <c r="I1394">
        <v>2009</v>
      </c>
      <c r="M1394" s="25" t="s">
        <v>36</v>
      </c>
      <c r="N1394" t="s">
        <v>36</v>
      </c>
      <c r="O1394" t="s">
        <v>74</v>
      </c>
      <c r="P1394" t="s">
        <v>60</v>
      </c>
      <c r="Q1394" t="s">
        <v>899</v>
      </c>
      <c r="R1394" t="s">
        <v>828</v>
      </c>
      <c r="S1394" t="s">
        <v>1500</v>
      </c>
      <c r="T1394">
        <v>40</v>
      </c>
      <c r="V1394" t="s">
        <v>907</v>
      </c>
      <c r="Z1394">
        <v>87</v>
      </c>
      <c r="AA1394">
        <v>65</v>
      </c>
      <c r="AG1394" t="str">
        <f t="shared" si="127"/>
        <v>57HELLO_Pseudocyclops_xiphophorus_D0_CO2NA_TNA_control_outcome1.67</v>
      </c>
      <c r="AI1394">
        <v>20</v>
      </c>
      <c r="AJ1394" t="s">
        <v>333</v>
      </c>
      <c r="AK1394" t="s">
        <v>59</v>
      </c>
      <c r="AM1394"/>
      <c r="AN1394">
        <v>1.669061285</v>
      </c>
      <c r="AO1394">
        <v>0.83891734200000001</v>
      </c>
      <c r="AP1394">
        <v>2.8047489859999999</v>
      </c>
      <c r="AQ1394">
        <v>0.74112563600000003</v>
      </c>
      <c r="AS1394">
        <f t="shared" si="128"/>
        <v>0.51905268331520282</v>
      </c>
      <c r="AT1394">
        <f t="shared" si="129"/>
        <v>3.9780453077604356E-3</v>
      </c>
      <c r="AW1394" s="28">
        <f t="shared" si="121"/>
        <v>1.4219936142136762</v>
      </c>
      <c r="AX1394">
        <f t="shared" si="122"/>
        <v>0.994991652754591</v>
      </c>
      <c r="AY1394" s="62">
        <f t="shared" si="123"/>
        <v>1.4148717764129399</v>
      </c>
      <c r="AZ1394" s="68" t="str">
        <f t="shared" si="124"/>
        <v>No</v>
      </c>
      <c r="BA1394" s="68" t="str">
        <f t="shared" si="125"/>
        <v>No</v>
      </c>
    </row>
    <row r="1395" spans="1:53" hidden="1">
      <c r="A1395" t="s">
        <v>1280</v>
      </c>
      <c r="B1395" t="str">
        <f t="shared" si="126"/>
        <v>1395_Hamraj</v>
      </c>
      <c r="C1395" t="s">
        <v>1605</v>
      </c>
      <c r="F1395" t="s">
        <v>1241</v>
      </c>
      <c r="G1395" t="s">
        <v>1456</v>
      </c>
      <c r="I1395">
        <v>2009</v>
      </c>
      <c r="M1395" s="25" t="s">
        <v>36</v>
      </c>
      <c r="N1395" t="s">
        <v>36</v>
      </c>
      <c r="O1395" t="s">
        <v>74</v>
      </c>
      <c r="P1395" t="s">
        <v>60</v>
      </c>
      <c r="Q1395" t="s">
        <v>899</v>
      </c>
      <c r="R1395" t="s">
        <v>868</v>
      </c>
      <c r="S1395" t="s">
        <v>1500</v>
      </c>
      <c r="T1395">
        <v>40</v>
      </c>
      <c r="V1395" t="s">
        <v>907</v>
      </c>
      <c r="Z1395">
        <v>87</v>
      </c>
      <c r="AA1395">
        <v>34</v>
      </c>
      <c r="AG1395" t="str">
        <f t="shared" si="127"/>
        <v>57HELLO_Pseudocyclops_xiphophorus_D0_CO2NA_TNA_control_outcome1.67</v>
      </c>
      <c r="AI1395">
        <v>24</v>
      </c>
      <c r="AJ1395" t="s">
        <v>333</v>
      </c>
      <c r="AK1395" t="s">
        <v>59</v>
      </c>
      <c r="AM1395"/>
      <c r="AN1395">
        <v>1.669061285</v>
      </c>
      <c r="AO1395">
        <v>0.83891734200000001</v>
      </c>
      <c r="AP1395">
        <v>4.7500554790000002</v>
      </c>
      <c r="AQ1395">
        <v>1.7751068619999999</v>
      </c>
      <c r="AS1395">
        <f t="shared" si="128"/>
        <v>1.0458949341696946</v>
      </c>
      <c r="AT1395">
        <f t="shared" si="129"/>
        <v>7.0113064648307886E-3</v>
      </c>
      <c r="AW1395" s="28">
        <f t="shared" si="121"/>
        <v>2.6204162954586407</v>
      </c>
      <c r="AX1395">
        <f t="shared" si="122"/>
        <v>0.99368421052631584</v>
      </c>
      <c r="AY1395" s="62">
        <f t="shared" si="123"/>
        <v>2.6038662978031124</v>
      </c>
      <c r="AZ1395" s="68" t="str">
        <f t="shared" si="124"/>
        <v>No</v>
      </c>
      <c r="BA1395" s="68" t="str">
        <f t="shared" si="125"/>
        <v>No</v>
      </c>
    </row>
    <row r="1396" spans="1:53" hidden="1">
      <c r="A1396" t="s">
        <v>1280</v>
      </c>
      <c r="B1396" t="str">
        <f t="shared" si="126"/>
        <v>1396_Hamraj</v>
      </c>
      <c r="C1396" t="s">
        <v>1605</v>
      </c>
      <c r="F1396" t="s">
        <v>1241</v>
      </c>
      <c r="G1396" t="s">
        <v>1457</v>
      </c>
      <c r="I1396">
        <v>2009</v>
      </c>
      <c r="M1396" s="25" t="s">
        <v>36</v>
      </c>
      <c r="N1396" t="s">
        <v>36</v>
      </c>
      <c r="O1396" t="s">
        <v>74</v>
      </c>
      <c r="P1396" t="s">
        <v>60</v>
      </c>
      <c r="Q1396" t="s">
        <v>899</v>
      </c>
      <c r="R1396" t="s">
        <v>868</v>
      </c>
      <c r="S1396" t="s">
        <v>1500</v>
      </c>
      <c r="T1396">
        <v>40</v>
      </c>
      <c r="V1396" t="s">
        <v>907</v>
      </c>
      <c r="Z1396">
        <v>87</v>
      </c>
      <c r="AA1396">
        <v>42</v>
      </c>
      <c r="AG1396" t="str">
        <f t="shared" si="127"/>
        <v>57HELLO_Pseudocyclops_xiphophorus_D0_CO2NA_TNA_control_outcome1.67</v>
      </c>
      <c r="AI1396">
        <v>28</v>
      </c>
      <c r="AJ1396" t="s">
        <v>333</v>
      </c>
      <c r="AK1396" t="s">
        <v>59</v>
      </c>
      <c r="AM1396"/>
      <c r="AN1396">
        <v>1.669061285</v>
      </c>
      <c r="AO1396">
        <v>0.83891734200000001</v>
      </c>
      <c r="AP1396">
        <v>5.9143347569999998</v>
      </c>
      <c r="AQ1396">
        <v>2.763645956</v>
      </c>
      <c r="AS1396">
        <f t="shared" si="128"/>
        <v>1.2651176603898309</v>
      </c>
      <c r="AT1396">
        <f t="shared" si="129"/>
        <v>8.1026595702298476E-3</v>
      </c>
      <c r="AW1396" s="28">
        <f t="shared" si="121"/>
        <v>2.4749242970273198</v>
      </c>
      <c r="AX1396">
        <f t="shared" si="122"/>
        <v>0.99408284023668636</v>
      </c>
      <c r="AY1396" s="62">
        <f t="shared" si="123"/>
        <v>2.4602797745597025</v>
      </c>
      <c r="AZ1396" s="68" t="str">
        <f t="shared" si="124"/>
        <v>No</v>
      </c>
      <c r="BA1396" s="68" t="str">
        <f t="shared" si="125"/>
        <v>No</v>
      </c>
    </row>
    <row r="1397" spans="1:53" hidden="1">
      <c r="A1397" t="s">
        <v>1280</v>
      </c>
      <c r="B1397" t="str">
        <f t="shared" si="126"/>
        <v>1397_Hamraj</v>
      </c>
      <c r="C1397" t="s">
        <v>1605</v>
      </c>
      <c r="F1397" t="s">
        <v>1241</v>
      </c>
      <c r="G1397" t="s">
        <v>1458</v>
      </c>
      <c r="I1397">
        <v>2009</v>
      </c>
      <c r="M1397" s="25" t="s">
        <v>36</v>
      </c>
      <c r="N1397" t="s">
        <v>36</v>
      </c>
      <c r="O1397" t="s">
        <v>74</v>
      </c>
      <c r="P1397" t="s">
        <v>60</v>
      </c>
      <c r="Q1397" t="s">
        <v>899</v>
      </c>
      <c r="R1397" t="s">
        <v>868</v>
      </c>
      <c r="S1397" t="s">
        <v>1500</v>
      </c>
      <c r="T1397">
        <v>40</v>
      </c>
      <c r="V1397" t="s">
        <v>907</v>
      </c>
      <c r="Z1397">
        <v>87</v>
      </c>
      <c r="AA1397">
        <v>40</v>
      </c>
      <c r="AG1397" t="str">
        <f t="shared" si="127"/>
        <v>57HELLO_Pseudocyclops_xiphophorus_D0_CO2NA_TNA_control_outcome1.67</v>
      </c>
      <c r="AI1397">
        <v>30</v>
      </c>
      <c r="AJ1397" t="s">
        <v>333</v>
      </c>
      <c r="AK1397" t="s">
        <v>59</v>
      </c>
      <c r="AM1397"/>
      <c r="AN1397">
        <v>1.669061285</v>
      </c>
      <c r="AO1397">
        <v>0.83891734200000001</v>
      </c>
      <c r="AP1397">
        <v>7.9042552549999998</v>
      </c>
      <c r="AQ1397">
        <v>3.3263425600000001</v>
      </c>
      <c r="AS1397">
        <f t="shared" si="128"/>
        <v>1.5551398907338876</v>
      </c>
      <c r="AT1397">
        <f t="shared" si="129"/>
        <v>7.3312857482835557E-3</v>
      </c>
      <c r="AW1397" s="28">
        <f t="shared" si="121"/>
        <v>3.1427040331103528</v>
      </c>
      <c r="AX1397">
        <f t="shared" si="122"/>
        <v>0.9939879759519038</v>
      </c>
      <c r="AY1397" s="62">
        <f t="shared" si="123"/>
        <v>3.1238100208872446</v>
      </c>
      <c r="AZ1397" s="68" t="str">
        <f t="shared" si="124"/>
        <v>No</v>
      </c>
      <c r="BA1397" s="68" t="str">
        <f t="shared" si="125"/>
        <v>No</v>
      </c>
    </row>
    <row r="1398" spans="1:53" hidden="1">
      <c r="A1398" t="s">
        <v>1280</v>
      </c>
      <c r="B1398" t="str">
        <f t="shared" si="126"/>
        <v>1398_Hamraj</v>
      </c>
      <c r="C1398" t="s">
        <v>1606</v>
      </c>
      <c r="F1398" t="s">
        <v>1241</v>
      </c>
      <c r="G1398" t="s">
        <v>1562</v>
      </c>
      <c r="I1398">
        <v>2009</v>
      </c>
      <c r="M1398" s="25" t="s">
        <v>36</v>
      </c>
      <c r="N1398" t="s">
        <v>36</v>
      </c>
      <c r="O1398" t="s">
        <v>3808</v>
      </c>
      <c r="P1398" t="s">
        <v>60</v>
      </c>
      <c r="Q1398" t="s">
        <v>899</v>
      </c>
      <c r="R1398" t="s">
        <v>868</v>
      </c>
      <c r="S1398" t="s">
        <v>852</v>
      </c>
      <c r="T1398">
        <v>40</v>
      </c>
      <c r="V1398" t="s">
        <v>907</v>
      </c>
      <c r="Z1398">
        <v>15</v>
      </c>
      <c r="AA1398">
        <v>24</v>
      </c>
      <c r="AG1398" t="str">
        <f t="shared" si="127"/>
        <v>58HELLO_Eurytemora_affinis_D0_CO2NA_TNA_control_outcome4.85</v>
      </c>
      <c r="AI1398">
        <v>15</v>
      </c>
      <c r="AJ1398" t="s">
        <v>333</v>
      </c>
      <c r="AK1398" t="s">
        <v>59</v>
      </c>
      <c r="AM1398"/>
      <c r="AN1398">
        <v>4.8518634929999997</v>
      </c>
      <c r="AO1398">
        <v>0.90170811799999995</v>
      </c>
      <c r="AP1398">
        <v>12.44884834</v>
      </c>
      <c r="AQ1398">
        <v>3.189718681</v>
      </c>
      <c r="AS1398">
        <f t="shared" si="128"/>
        <v>0.94226525930626814</v>
      </c>
      <c r="AT1398">
        <f t="shared" si="129"/>
        <v>5.0381170316398504E-3</v>
      </c>
      <c r="AW1398" s="28">
        <f t="shared" si="121"/>
        <v>2.9499307966158774</v>
      </c>
      <c r="AX1398">
        <f t="shared" si="122"/>
        <v>0.97959183673469385</v>
      </c>
      <c r="AY1398" s="62">
        <f t="shared" si="123"/>
        <v>2.889728127297186</v>
      </c>
      <c r="AZ1398" s="68" t="str">
        <f t="shared" si="124"/>
        <v>No</v>
      </c>
      <c r="BA1398" s="68" t="str">
        <f t="shared" si="125"/>
        <v>No</v>
      </c>
    </row>
    <row r="1399" spans="1:53" hidden="1">
      <c r="A1399" t="s">
        <v>1280</v>
      </c>
      <c r="B1399" t="str">
        <f t="shared" si="126"/>
        <v>1399_Hamraj</v>
      </c>
      <c r="C1399" t="s">
        <v>1603</v>
      </c>
      <c r="F1399" t="s">
        <v>1241</v>
      </c>
      <c r="G1399" t="s">
        <v>1563</v>
      </c>
      <c r="I1399">
        <v>2001</v>
      </c>
      <c r="M1399" s="25" t="s">
        <v>36</v>
      </c>
      <c r="N1399" t="s">
        <v>36</v>
      </c>
      <c r="O1399" t="s">
        <v>3808</v>
      </c>
      <c r="P1399" t="s">
        <v>60</v>
      </c>
      <c r="Q1399" t="s">
        <v>899</v>
      </c>
      <c r="R1399" t="s">
        <v>828</v>
      </c>
      <c r="S1399" t="s">
        <v>1592</v>
      </c>
      <c r="T1399">
        <v>46</v>
      </c>
      <c r="V1399" t="s">
        <v>907</v>
      </c>
      <c r="Z1399">
        <v>7</v>
      </c>
      <c r="AA1399">
        <v>7</v>
      </c>
      <c r="AG1399" t="str">
        <f t="shared" si="127"/>
        <v>59HELLO_Boeckella_hamata_D0_CO2NA_TNA_control_outcome1.27</v>
      </c>
      <c r="AI1399">
        <v>20</v>
      </c>
      <c r="AJ1399" t="s">
        <v>333</v>
      </c>
      <c r="AK1399" t="s">
        <v>59</v>
      </c>
      <c r="AM1399"/>
      <c r="AN1399">
        <v>1.27</v>
      </c>
      <c r="AO1399">
        <v>0.21</v>
      </c>
      <c r="AP1399">
        <v>1.7</v>
      </c>
      <c r="AQ1399">
        <v>0.42332020999999997</v>
      </c>
      <c r="AS1399">
        <f t="shared" si="128"/>
        <v>0.29161135059167043</v>
      </c>
      <c r="AT1399">
        <f t="shared" si="129"/>
        <v>1.2764139309516566E-2</v>
      </c>
      <c r="AW1399" s="28">
        <f t="shared" si="121"/>
        <v>1.2868830826532418</v>
      </c>
      <c r="AX1399">
        <f t="shared" si="122"/>
        <v>0.93617021276595747</v>
      </c>
      <c r="AY1399" s="62">
        <f t="shared" si="123"/>
        <v>1.2047416092923966</v>
      </c>
      <c r="AZ1399" s="68" t="str">
        <f t="shared" si="124"/>
        <v>No</v>
      </c>
      <c r="BA1399" s="68" t="str">
        <f t="shared" si="125"/>
        <v>No</v>
      </c>
    </row>
    <row r="1400" spans="1:53" hidden="1">
      <c r="A1400" t="s">
        <v>1280</v>
      </c>
      <c r="B1400" t="str">
        <f t="shared" si="126"/>
        <v>1400_Hamraj</v>
      </c>
      <c r="C1400" t="s">
        <v>1603</v>
      </c>
      <c r="F1400" t="s">
        <v>1241</v>
      </c>
      <c r="G1400" t="s">
        <v>1564</v>
      </c>
      <c r="I1400">
        <v>2002</v>
      </c>
      <c r="M1400" s="25" t="s">
        <v>36</v>
      </c>
      <c r="N1400" t="s">
        <v>36</v>
      </c>
      <c r="O1400" t="s">
        <v>3808</v>
      </c>
      <c r="P1400" t="s">
        <v>60</v>
      </c>
      <c r="Q1400" t="s">
        <v>899</v>
      </c>
      <c r="R1400" t="s">
        <v>828</v>
      </c>
      <c r="S1400" t="s">
        <v>1593</v>
      </c>
      <c r="T1400">
        <v>46</v>
      </c>
      <c r="V1400" t="s">
        <v>907</v>
      </c>
      <c r="Z1400">
        <v>10</v>
      </c>
      <c r="AA1400">
        <v>10</v>
      </c>
      <c r="AG1400" t="str">
        <f t="shared" si="127"/>
        <v>59HELLO_Gladioferens_pectinatus_D0_CO2NA_TNA_control_outcome1.30</v>
      </c>
      <c r="AI1400">
        <v>20</v>
      </c>
      <c r="AJ1400" t="s">
        <v>333</v>
      </c>
      <c r="AK1400" t="s">
        <v>59</v>
      </c>
      <c r="AM1400"/>
      <c r="AN1400">
        <v>1.3</v>
      </c>
      <c r="AO1400">
        <v>0.790569415</v>
      </c>
      <c r="AP1400">
        <v>2.4</v>
      </c>
      <c r="AQ1400">
        <v>1.2649110640000001</v>
      </c>
      <c r="AS1400">
        <f t="shared" si="128"/>
        <v>0.61310447288640879</v>
      </c>
      <c r="AT1400">
        <f t="shared" si="129"/>
        <v>6.4760026291591388E-2</v>
      </c>
      <c r="AW1400" s="28">
        <f t="shared" si="121"/>
        <v>1.0429000189634801</v>
      </c>
      <c r="AX1400">
        <f t="shared" si="122"/>
        <v>0.95774647887323949</v>
      </c>
      <c r="AY1400" s="62">
        <f t="shared" si="123"/>
        <v>0.99883382097910767</v>
      </c>
      <c r="AZ1400" s="68" t="str">
        <f t="shared" si="124"/>
        <v>No</v>
      </c>
      <c r="BA1400" s="68" t="str">
        <f t="shared" si="125"/>
        <v>No</v>
      </c>
    </row>
    <row r="1401" spans="1:53" hidden="1">
      <c r="A1401" t="s">
        <v>1280</v>
      </c>
      <c r="B1401" t="str">
        <f t="shared" si="126"/>
        <v>1401_Hamraj</v>
      </c>
      <c r="C1401" t="s">
        <v>1603</v>
      </c>
      <c r="F1401" t="s">
        <v>1241</v>
      </c>
      <c r="G1401" t="s">
        <v>1565</v>
      </c>
      <c r="I1401">
        <v>2002</v>
      </c>
      <c r="M1401" s="25" t="s">
        <v>36</v>
      </c>
      <c r="N1401" t="s">
        <v>36</v>
      </c>
      <c r="O1401" t="s">
        <v>3808</v>
      </c>
      <c r="P1401" t="s">
        <v>60</v>
      </c>
      <c r="Q1401" t="s">
        <v>899</v>
      </c>
      <c r="R1401" t="s">
        <v>828</v>
      </c>
      <c r="S1401" t="s">
        <v>1593</v>
      </c>
      <c r="T1401">
        <v>46</v>
      </c>
      <c r="V1401" t="s">
        <v>907</v>
      </c>
      <c r="Z1401">
        <v>10</v>
      </c>
      <c r="AA1401">
        <v>10</v>
      </c>
      <c r="AG1401" t="str">
        <f t="shared" si="127"/>
        <v>59HELLO_Gladioferens_pectinatus_D0_CO2NA_TNA_control_outcome2.90</v>
      </c>
      <c r="AI1401">
        <v>20</v>
      </c>
      <c r="AJ1401" t="s">
        <v>333</v>
      </c>
      <c r="AK1401" t="s">
        <v>59</v>
      </c>
      <c r="AM1401"/>
      <c r="AN1401">
        <v>2.9</v>
      </c>
      <c r="AO1401">
        <v>0.63245553200000004</v>
      </c>
      <c r="AP1401">
        <v>2.6</v>
      </c>
      <c r="AQ1401">
        <v>1.2649110640000001</v>
      </c>
      <c r="AS1401">
        <f t="shared" si="128"/>
        <v>-0.1091992919649919</v>
      </c>
      <c r="AT1401">
        <f t="shared" si="129"/>
        <v>2.8424881618598394E-2</v>
      </c>
      <c r="AW1401" s="28">
        <f t="shared" si="121"/>
        <v>-0.30000000001597366</v>
      </c>
      <c r="AX1401">
        <f t="shared" si="122"/>
        <v>0.95774647887323949</v>
      </c>
      <c r="AY1401" s="62">
        <f t="shared" si="123"/>
        <v>-0.28732394367727054</v>
      </c>
      <c r="AZ1401" s="68" t="str">
        <f t="shared" si="124"/>
        <v>No</v>
      </c>
      <c r="BA1401" s="68" t="str">
        <f t="shared" si="125"/>
        <v>No</v>
      </c>
    </row>
    <row r="1402" spans="1:53" hidden="1">
      <c r="A1402" t="s">
        <v>1280</v>
      </c>
      <c r="B1402" t="str">
        <f t="shared" si="126"/>
        <v>1402_Hamraj</v>
      </c>
      <c r="C1402" t="s">
        <v>1608</v>
      </c>
      <c r="F1402" t="s">
        <v>1241</v>
      </c>
      <c r="G1402" t="s">
        <v>1459</v>
      </c>
      <c r="I1402">
        <v>2018</v>
      </c>
      <c r="M1402" s="25" t="s">
        <v>36</v>
      </c>
      <c r="N1402" t="s">
        <v>36</v>
      </c>
      <c r="O1402" t="s">
        <v>74</v>
      </c>
      <c r="P1402" t="s">
        <v>60</v>
      </c>
      <c r="Q1402" t="s">
        <v>899</v>
      </c>
      <c r="R1402" t="s">
        <v>828</v>
      </c>
      <c r="S1402" t="s">
        <v>1501</v>
      </c>
      <c r="T1402">
        <v>36</v>
      </c>
      <c r="V1402" t="s">
        <v>907</v>
      </c>
      <c r="Z1402">
        <v>6</v>
      </c>
      <c r="AA1402">
        <v>6</v>
      </c>
      <c r="AG1402" t="str">
        <f t="shared" si="127"/>
        <v>60HELLO_Acartia_fancetti_D0_CO2NA_TNA_control_outcome4.10</v>
      </c>
      <c r="AI1402">
        <v>20</v>
      </c>
      <c r="AJ1402" t="s">
        <v>333</v>
      </c>
      <c r="AK1402" t="s">
        <v>59</v>
      </c>
      <c r="AM1402"/>
      <c r="AN1402">
        <v>4.0999999999999996</v>
      </c>
      <c r="AO1402">
        <v>0.5</v>
      </c>
      <c r="AP1402">
        <v>9</v>
      </c>
      <c r="AQ1402">
        <v>0.5</v>
      </c>
      <c r="AS1402">
        <f t="shared" si="128"/>
        <v>0.78623760362595752</v>
      </c>
      <c r="AT1402">
        <f t="shared" si="129"/>
        <v>2.99308661559967E-3</v>
      </c>
      <c r="AW1402" s="28">
        <f t="shared" si="121"/>
        <v>9.8000000000000007</v>
      </c>
      <c r="AX1402">
        <f t="shared" si="122"/>
        <v>0.92307692307692313</v>
      </c>
      <c r="AY1402" s="62">
        <f t="shared" si="123"/>
        <v>9.0461538461538478</v>
      </c>
      <c r="AZ1402" s="68" t="str">
        <f t="shared" si="124"/>
        <v>No</v>
      </c>
      <c r="BA1402" s="68" t="str">
        <f t="shared" si="125"/>
        <v>No</v>
      </c>
    </row>
    <row r="1403" spans="1:53" hidden="1">
      <c r="A1403" t="s">
        <v>1280</v>
      </c>
      <c r="B1403" t="str">
        <f t="shared" si="126"/>
        <v>1403_Hamraj</v>
      </c>
      <c r="C1403" t="s">
        <v>1609</v>
      </c>
      <c r="F1403" t="s">
        <v>1241</v>
      </c>
      <c r="G1403" t="s">
        <v>1566</v>
      </c>
      <c r="I1403">
        <v>1999</v>
      </c>
      <c r="M1403" s="25" t="s">
        <v>36</v>
      </c>
      <c r="N1403" t="s">
        <v>36</v>
      </c>
      <c r="O1403" t="s">
        <v>74</v>
      </c>
      <c r="P1403" t="s">
        <v>60</v>
      </c>
      <c r="Q1403" t="s">
        <v>899</v>
      </c>
      <c r="R1403" t="s">
        <v>828</v>
      </c>
      <c r="S1403" t="s">
        <v>851</v>
      </c>
      <c r="T1403">
        <v>59</v>
      </c>
      <c r="V1403" t="s">
        <v>907</v>
      </c>
      <c r="Z1403">
        <v>7</v>
      </c>
      <c r="AA1403">
        <v>7</v>
      </c>
      <c r="AG1403" t="str">
        <f t="shared" si="127"/>
        <v>61HELLO_Acartia_bifilosa_D0_CO2NA_TNA_control_outcome1.80</v>
      </c>
      <c r="AI1403">
        <v>7</v>
      </c>
      <c r="AJ1403" t="s">
        <v>333</v>
      </c>
      <c r="AK1403" t="s">
        <v>59</v>
      </c>
      <c r="AM1403"/>
      <c r="AN1403">
        <v>1.8</v>
      </c>
      <c r="AO1403">
        <v>0.52915026200000004</v>
      </c>
      <c r="AP1403">
        <v>4.2</v>
      </c>
      <c r="AQ1403">
        <v>1.5874507870000001</v>
      </c>
      <c r="AS1403">
        <f t="shared" si="128"/>
        <v>0.84729786038720367</v>
      </c>
      <c r="AT1403">
        <f t="shared" si="129"/>
        <v>3.2753842277004855E-2</v>
      </c>
      <c r="AW1403" s="28">
        <f t="shared" si="121"/>
        <v>2.0283702110146327</v>
      </c>
      <c r="AX1403">
        <f t="shared" si="122"/>
        <v>0.93617021276595747</v>
      </c>
      <c r="AY1403" s="62">
        <f t="shared" si="123"/>
        <v>1.8988997720136986</v>
      </c>
      <c r="AZ1403" s="68" t="str">
        <f t="shared" si="124"/>
        <v>No</v>
      </c>
      <c r="BA1403" s="68" t="str">
        <f t="shared" si="125"/>
        <v>No</v>
      </c>
    </row>
    <row r="1404" spans="1:53" hidden="1">
      <c r="A1404" t="s">
        <v>1280</v>
      </c>
      <c r="B1404" t="str">
        <f t="shared" si="126"/>
        <v>1404_Hamraj</v>
      </c>
      <c r="C1404" t="s">
        <v>1609</v>
      </c>
      <c r="F1404" t="s">
        <v>1241</v>
      </c>
      <c r="G1404" t="s">
        <v>1567</v>
      </c>
      <c r="I1404">
        <v>1999</v>
      </c>
      <c r="M1404" s="25" t="s">
        <v>36</v>
      </c>
      <c r="N1404" t="s">
        <v>36</v>
      </c>
      <c r="O1404" t="s">
        <v>74</v>
      </c>
      <c r="P1404" t="s">
        <v>60</v>
      </c>
      <c r="Q1404" t="s">
        <v>899</v>
      </c>
      <c r="R1404" t="s">
        <v>828</v>
      </c>
      <c r="S1404" t="s">
        <v>851</v>
      </c>
      <c r="T1404">
        <v>59</v>
      </c>
      <c r="V1404" t="s">
        <v>907</v>
      </c>
      <c r="Z1404">
        <v>7</v>
      </c>
      <c r="AA1404">
        <v>7</v>
      </c>
      <c r="AG1404" t="str">
        <f t="shared" si="127"/>
        <v>61HELLO_Acartia_bifilosa_D0_CO2NA_TNA_control_outcome1.80</v>
      </c>
      <c r="AI1404">
        <v>13</v>
      </c>
      <c r="AJ1404" t="s">
        <v>333</v>
      </c>
      <c r="AK1404" t="s">
        <v>59</v>
      </c>
      <c r="AM1404"/>
      <c r="AN1404">
        <v>1.8</v>
      </c>
      <c r="AO1404">
        <v>0.52915026200000004</v>
      </c>
      <c r="AP1404">
        <v>5.0999999999999996</v>
      </c>
      <c r="AQ1404">
        <v>0.793725393</v>
      </c>
      <c r="AS1404">
        <f t="shared" si="128"/>
        <v>1.041453874828161</v>
      </c>
      <c r="AT1404">
        <f t="shared" si="129"/>
        <v>1.5805886612082563E-2</v>
      </c>
      <c r="AW1404" s="28">
        <f t="shared" si="121"/>
        <v>4.8922454919317966</v>
      </c>
      <c r="AX1404">
        <f t="shared" si="122"/>
        <v>0.93617021276595747</v>
      </c>
      <c r="AY1404" s="62">
        <f t="shared" si="123"/>
        <v>4.5799745030850865</v>
      </c>
      <c r="AZ1404" s="68" t="str">
        <f t="shared" si="124"/>
        <v>No</v>
      </c>
      <c r="BA1404" s="68" t="str">
        <f t="shared" si="125"/>
        <v>No</v>
      </c>
    </row>
    <row r="1405" spans="1:53" hidden="1">
      <c r="A1405" t="s">
        <v>1280</v>
      </c>
      <c r="B1405" t="str">
        <f t="shared" si="126"/>
        <v>1405_Hamraj</v>
      </c>
      <c r="C1405" t="s">
        <v>1609</v>
      </c>
      <c r="F1405" t="s">
        <v>1241</v>
      </c>
      <c r="G1405" t="s">
        <v>1568</v>
      </c>
      <c r="I1405">
        <v>1999</v>
      </c>
      <c r="M1405" s="25" t="s">
        <v>36</v>
      </c>
      <c r="N1405" t="s">
        <v>36</v>
      </c>
      <c r="O1405" t="s">
        <v>74</v>
      </c>
      <c r="P1405" t="s">
        <v>60</v>
      </c>
      <c r="Q1405" t="s">
        <v>899</v>
      </c>
      <c r="R1405" t="s">
        <v>828</v>
      </c>
      <c r="S1405" t="s">
        <v>851</v>
      </c>
      <c r="T1405">
        <v>59</v>
      </c>
      <c r="V1405" t="s">
        <v>907</v>
      </c>
      <c r="Z1405">
        <v>7</v>
      </c>
      <c r="AA1405">
        <v>7</v>
      </c>
      <c r="AG1405" t="str">
        <f t="shared" si="127"/>
        <v>61HELLO_Acartia_bifilosa_D0_CO2NA_TNA_control_outcome1.80</v>
      </c>
      <c r="AI1405">
        <v>18</v>
      </c>
      <c r="AJ1405" t="s">
        <v>333</v>
      </c>
      <c r="AK1405" t="s">
        <v>59</v>
      </c>
      <c r="AM1405"/>
      <c r="AN1405">
        <v>1.8</v>
      </c>
      <c r="AO1405">
        <v>0.52915026200000004</v>
      </c>
      <c r="AP1405">
        <v>6</v>
      </c>
      <c r="AQ1405">
        <v>1.0583005240000001</v>
      </c>
      <c r="AS1405">
        <f t="shared" si="128"/>
        <v>1.2039728043259359</v>
      </c>
      <c r="AT1405">
        <f t="shared" si="129"/>
        <v>1.6790123443278192E-2</v>
      </c>
      <c r="AW1405" s="28">
        <f t="shared" si="121"/>
        <v>5.0199601612243718</v>
      </c>
      <c r="AX1405">
        <f t="shared" si="122"/>
        <v>0.93617021276595747</v>
      </c>
      <c r="AY1405" s="62">
        <f t="shared" si="123"/>
        <v>4.6995371722100501</v>
      </c>
      <c r="AZ1405" s="68" t="str">
        <f t="shared" si="124"/>
        <v>No</v>
      </c>
      <c r="BA1405" s="68" t="str">
        <f t="shared" si="125"/>
        <v>No</v>
      </c>
    </row>
    <row r="1406" spans="1:53" hidden="1">
      <c r="A1406" t="s">
        <v>1280</v>
      </c>
      <c r="B1406" t="str">
        <f t="shared" si="126"/>
        <v>1406_Hamraj</v>
      </c>
      <c r="C1406" t="s">
        <v>1609</v>
      </c>
      <c r="F1406" t="s">
        <v>1241</v>
      </c>
      <c r="G1406" t="s">
        <v>1569</v>
      </c>
      <c r="I1406">
        <v>1999</v>
      </c>
      <c r="M1406" s="25" t="s">
        <v>36</v>
      </c>
      <c r="N1406" t="s">
        <v>36</v>
      </c>
      <c r="O1406" t="s">
        <v>74</v>
      </c>
      <c r="P1406" t="s">
        <v>60</v>
      </c>
      <c r="Q1406" t="s">
        <v>899</v>
      </c>
      <c r="R1406" t="s">
        <v>828</v>
      </c>
      <c r="S1406" t="s">
        <v>851</v>
      </c>
      <c r="T1406">
        <v>59</v>
      </c>
      <c r="V1406" t="s">
        <v>907</v>
      </c>
      <c r="Z1406">
        <v>7</v>
      </c>
      <c r="AA1406">
        <v>7</v>
      </c>
      <c r="AG1406" t="str">
        <f t="shared" si="127"/>
        <v>61HELLO_Acartia_bifilosa_D0_CO2NA_TNA_control_outcome1.80</v>
      </c>
      <c r="AI1406">
        <v>24</v>
      </c>
      <c r="AJ1406" t="s">
        <v>333</v>
      </c>
      <c r="AK1406" t="s">
        <v>59</v>
      </c>
      <c r="AM1406"/>
      <c r="AN1406">
        <v>1.8</v>
      </c>
      <c r="AO1406">
        <v>0.52915026200000004</v>
      </c>
      <c r="AP1406">
        <v>0.6</v>
      </c>
      <c r="AQ1406">
        <v>0.52915026200000004</v>
      </c>
      <c r="AS1406">
        <f t="shared" si="128"/>
        <v>-1.0986122886681098</v>
      </c>
      <c r="AT1406">
        <f t="shared" si="129"/>
        <v>0.12345679002410434</v>
      </c>
      <c r="AW1406" s="28">
        <f t="shared" si="121"/>
        <v>-2.2677868389678699</v>
      </c>
      <c r="AX1406">
        <f t="shared" si="122"/>
        <v>0.93617021276595747</v>
      </c>
      <c r="AY1406" s="62">
        <f t="shared" si="123"/>
        <v>-2.1230344875443889</v>
      </c>
      <c r="AZ1406" s="68" t="str">
        <f t="shared" si="124"/>
        <v>No</v>
      </c>
      <c r="BA1406" s="68" t="str">
        <f t="shared" si="125"/>
        <v>No</v>
      </c>
    </row>
    <row r="1407" spans="1:53" hidden="1">
      <c r="A1407" t="s">
        <v>1280</v>
      </c>
      <c r="B1407" t="str">
        <f t="shared" si="126"/>
        <v>1407_Hamraj</v>
      </c>
      <c r="C1407" t="s">
        <v>1600</v>
      </c>
      <c r="F1407" t="s">
        <v>1241</v>
      </c>
      <c r="G1407" t="s">
        <v>910</v>
      </c>
      <c r="I1407">
        <v>2003</v>
      </c>
      <c r="M1407" s="25" t="s">
        <v>36</v>
      </c>
      <c r="N1407" t="s">
        <v>36</v>
      </c>
      <c r="O1407" t="s">
        <v>74</v>
      </c>
      <c r="P1407" t="s">
        <v>60</v>
      </c>
      <c r="Q1407" t="s">
        <v>899</v>
      </c>
      <c r="R1407" t="s">
        <v>828</v>
      </c>
      <c r="S1407" t="s">
        <v>909</v>
      </c>
      <c r="T1407">
        <v>42</v>
      </c>
      <c r="V1407" t="s">
        <v>907</v>
      </c>
      <c r="Z1407">
        <v>26</v>
      </c>
      <c r="AA1407">
        <v>25</v>
      </c>
      <c r="AG1407" t="str">
        <f t="shared" si="127"/>
        <v>62HELLO_Pseudocalanus_newmani_D0_CO2NA_TNA_control_outcome3.43</v>
      </c>
      <c r="AI1407">
        <v>6</v>
      </c>
      <c r="AJ1407" t="s">
        <v>333</v>
      </c>
      <c r="AK1407" t="s">
        <v>59</v>
      </c>
      <c r="AM1407"/>
      <c r="AN1407">
        <v>3.4278372190000002</v>
      </c>
      <c r="AO1407">
        <v>0.31567225599999998</v>
      </c>
      <c r="AP1407">
        <v>3.1741581120000002</v>
      </c>
      <c r="AQ1407">
        <v>0.36355523899999997</v>
      </c>
      <c r="AS1407">
        <f t="shared" si="128"/>
        <v>-7.6887078293794708E-2</v>
      </c>
      <c r="AT1407">
        <f t="shared" si="129"/>
        <v>8.5092075420162088E-4</v>
      </c>
      <c r="AW1407" s="28">
        <f t="shared" si="121"/>
        <v>-0.74618337862292194</v>
      </c>
      <c r="AX1407">
        <f t="shared" si="122"/>
        <v>0.98461538461538467</v>
      </c>
      <c r="AY1407" s="62">
        <f t="shared" si="123"/>
        <v>-0.7347036343364155</v>
      </c>
      <c r="AZ1407" s="68" t="str">
        <f t="shared" si="124"/>
        <v>No</v>
      </c>
      <c r="BA1407" s="68" t="str">
        <f t="shared" si="125"/>
        <v>No</v>
      </c>
    </row>
    <row r="1408" spans="1:53" hidden="1">
      <c r="A1408" t="s">
        <v>1280</v>
      </c>
      <c r="B1408" t="str">
        <f t="shared" si="126"/>
        <v>1408_Hamraj</v>
      </c>
      <c r="C1408" t="s">
        <v>1600</v>
      </c>
      <c r="F1408" t="s">
        <v>1241</v>
      </c>
      <c r="G1408" t="s">
        <v>1570</v>
      </c>
      <c r="I1408">
        <v>2003</v>
      </c>
      <c r="M1408" s="25" t="s">
        <v>36</v>
      </c>
      <c r="N1408" t="s">
        <v>36</v>
      </c>
      <c r="O1408" t="s">
        <v>74</v>
      </c>
      <c r="P1408" t="s">
        <v>60</v>
      </c>
      <c r="Q1408" t="s">
        <v>899</v>
      </c>
      <c r="R1408" t="s">
        <v>828</v>
      </c>
      <c r="S1408" t="s">
        <v>909</v>
      </c>
      <c r="T1408">
        <v>42</v>
      </c>
      <c r="V1408" t="s">
        <v>907</v>
      </c>
      <c r="Z1408">
        <v>26</v>
      </c>
      <c r="AA1408">
        <v>22</v>
      </c>
      <c r="AG1408" t="str">
        <f t="shared" si="127"/>
        <v>62HELLO_Pseudocalanus_newmani_D0_CO2NA_TNA_control_outcome3.43</v>
      </c>
      <c r="AI1408">
        <v>10</v>
      </c>
      <c r="AJ1408" t="s">
        <v>333</v>
      </c>
      <c r="AK1408" t="s">
        <v>59</v>
      </c>
      <c r="AM1408"/>
      <c r="AN1408">
        <v>3.4278372190000002</v>
      </c>
      <c r="AO1408">
        <v>0.31567225599999998</v>
      </c>
      <c r="AP1408">
        <v>2.5532935409999999</v>
      </c>
      <c r="AQ1408">
        <v>0.25442747700000001</v>
      </c>
      <c r="AS1408">
        <f t="shared" si="128"/>
        <v>-0.29454540340390123</v>
      </c>
      <c r="AT1408">
        <f t="shared" si="129"/>
        <v>7.7752135563857868E-4</v>
      </c>
      <c r="AW1408" s="28">
        <f t="shared" si="121"/>
        <v>-3.0226985386834122</v>
      </c>
      <c r="AX1408">
        <f t="shared" si="122"/>
        <v>0.98360655737704916</v>
      </c>
      <c r="AY1408" s="62">
        <f t="shared" si="123"/>
        <v>-2.9731461036230282</v>
      </c>
      <c r="AZ1408" s="68" t="str">
        <f t="shared" si="124"/>
        <v>No</v>
      </c>
      <c r="BA1408" s="68" t="str">
        <f t="shared" si="125"/>
        <v>No</v>
      </c>
    </row>
    <row r="1409" spans="1:53" hidden="1">
      <c r="A1409" t="s">
        <v>1280</v>
      </c>
      <c r="B1409" t="str">
        <f t="shared" si="126"/>
        <v>1409_Hamraj</v>
      </c>
      <c r="C1409" t="s">
        <v>1600</v>
      </c>
      <c r="F1409" t="s">
        <v>1241</v>
      </c>
      <c r="G1409" t="s">
        <v>1571</v>
      </c>
      <c r="I1409">
        <v>2003</v>
      </c>
      <c r="M1409" s="25" t="s">
        <v>36</v>
      </c>
      <c r="N1409" t="s">
        <v>36</v>
      </c>
      <c r="O1409" t="s">
        <v>74</v>
      </c>
      <c r="P1409" t="s">
        <v>60</v>
      </c>
      <c r="Q1409" t="s">
        <v>899</v>
      </c>
      <c r="R1409" t="s">
        <v>828</v>
      </c>
      <c r="S1409" t="s">
        <v>909</v>
      </c>
      <c r="T1409">
        <v>42</v>
      </c>
      <c r="V1409" t="s">
        <v>907</v>
      </c>
      <c r="Z1409">
        <v>26</v>
      </c>
      <c r="AA1409">
        <v>27</v>
      </c>
      <c r="AG1409" t="str">
        <f t="shared" si="127"/>
        <v>62HELLO_Pseudocalanus_newmani_D0_CO2NA_TNA_control_outcome3.43</v>
      </c>
      <c r="AI1409">
        <v>15</v>
      </c>
      <c r="AJ1409" t="s">
        <v>333</v>
      </c>
      <c r="AK1409" t="s">
        <v>59</v>
      </c>
      <c r="AM1409"/>
      <c r="AN1409">
        <v>3.4278372190000002</v>
      </c>
      <c r="AO1409">
        <v>0.31567225599999998</v>
      </c>
      <c r="AP1409">
        <v>1.7313543069999999</v>
      </c>
      <c r="AQ1409">
        <v>0.25643638899999999</v>
      </c>
      <c r="AS1409">
        <f t="shared" si="128"/>
        <v>-0.68302557523283314</v>
      </c>
      <c r="AT1409">
        <f t="shared" si="129"/>
        <v>1.1386818327631752E-3</v>
      </c>
      <c r="AW1409" s="28">
        <f t="shared" si="121"/>
        <v>-5.9109808902501122</v>
      </c>
      <c r="AX1409">
        <f t="shared" si="122"/>
        <v>0.98522167487684731</v>
      </c>
      <c r="AY1409" s="62">
        <f t="shared" si="123"/>
        <v>-5.8236264928572536</v>
      </c>
      <c r="AZ1409" s="68" t="str">
        <f t="shared" si="124"/>
        <v>No</v>
      </c>
      <c r="BA1409" s="68" t="str">
        <f t="shared" si="125"/>
        <v>No</v>
      </c>
    </row>
    <row r="1410" spans="1:53" hidden="1">
      <c r="A1410" t="s">
        <v>1280</v>
      </c>
      <c r="B1410" t="str">
        <f t="shared" si="126"/>
        <v>1410_Hamraj</v>
      </c>
      <c r="C1410" t="s">
        <v>1611</v>
      </c>
      <c r="F1410" t="s">
        <v>1241</v>
      </c>
      <c r="G1410" t="s">
        <v>1472</v>
      </c>
      <c r="I1410">
        <v>2015</v>
      </c>
      <c r="M1410" s="25" t="s">
        <v>36</v>
      </c>
      <c r="N1410" t="s">
        <v>36</v>
      </c>
      <c r="O1410" t="s">
        <v>74</v>
      </c>
      <c r="P1410" t="s">
        <v>60</v>
      </c>
      <c r="Q1410" t="s">
        <v>899</v>
      </c>
      <c r="R1410" t="s">
        <v>828</v>
      </c>
      <c r="S1410" t="s">
        <v>807</v>
      </c>
      <c r="T1410">
        <v>54</v>
      </c>
      <c r="V1410" t="s">
        <v>907</v>
      </c>
      <c r="Z1410">
        <v>3</v>
      </c>
      <c r="AA1410">
        <v>4</v>
      </c>
      <c r="AG1410" t="str">
        <f t="shared" si="127"/>
        <v>63HELLO_Acartia_tonsa_D0_CO2NA_TNA_control_outcome4.15</v>
      </c>
      <c r="AI1410">
        <v>8.9900249999999993</v>
      </c>
      <c r="AJ1410" t="s">
        <v>333</v>
      </c>
      <c r="AK1410" t="s">
        <v>59</v>
      </c>
      <c r="AM1410"/>
      <c r="AN1410">
        <v>4.1471572669999999</v>
      </c>
      <c r="AO1410">
        <v>1.3659249870000001</v>
      </c>
      <c r="AP1410">
        <v>11.086956499999999</v>
      </c>
      <c r="AQ1410">
        <v>2.169792765</v>
      </c>
      <c r="AS1410">
        <f t="shared" si="128"/>
        <v>0.98334622364638657</v>
      </c>
      <c r="AT1410">
        <f t="shared" si="129"/>
        <v>4.5735538657362095E-2</v>
      </c>
      <c r="AW1410" s="28">
        <f t="shared" ref="AW1410:AW1473" si="130">(AP1410-$AN1410)/SQRT(((AA1410-1)*AQ1410*AQ1410+($Z1410-1)*$AO1410*$AO1410)/(AA1410+$Z1410-2))</f>
        <v>3.6723650980707712</v>
      </c>
      <c r="AX1410">
        <f t="shared" ref="AX1410:AX1473" si="131">1-(3/(4*(AA1410+$Z1410-2)-1))</f>
        <v>0.84210526315789469</v>
      </c>
      <c r="AY1410" s="62">
        <f t="shared" ref="AY1410:AY1473" si="132">AX1410*AW1410</f>
        <v>3.0925179773227547</v>
      </c>
      <c r="AZ1410" s="68" t="str">
        <f t="shared" ref="AZ1410:AZ1473" si="133">IF(AY1410&gt;10,"Yes","No")</f>
        <v>No</v>
      </c>
      <c r="BA1410" s="68" t="str">
        <f t="shared" ref="BA1410:BA1473" si="134">IF(AY1410&lt;-10,"Yes","No")</f>
        <v>No</v>
      </c>
    </row>
    <row r="1411" spans="1:53" hidden="1">
      <c r="A1411" t="s">
        <v>1280</v>
      </c>
      <c r="B1411" t="str">
        <f t="shared" si="126"/>
        <v>1411_Hamraj</v>
      </c>
      <c r="C1411" t="s">
        <v>1611</v>
      </c>
      <c r="F1411" t="s">
        <v>1241</v>
      </c>
      <c r="G1411" t="s">
        <v>1473</v>
      </c>
      <c r="I1411">
        <v>2015</v>
      </c>
      <c r="M1411" s="25" t="s">
        <v>36</v>
      </c>
      <c r="N1411" t="s">
        <v>36</v>
      </c>
      <c r="O1411" t="s">
        <v>74</v>
      </c>
      <c r="P1411" t="s">
        <v>60</v>
      </c>
      <c r="Q1411" t="s">
        <v>899</v>
      </c>
      <c r="R1411" t="s">
        <v>828</v>
      </c>
      <c r="S1411" t="s">
        <v>807</v>
      </c>
      <c r="T1411">
        <v>54</v>
      </c>
      <c r="V1411" t="s">
        <v>907</v>
      </c>
      <c r="Z1411">
        <v>3</v>
      </c>
      <c r="AA1411">
        <v>6</v>
      </c>
      <c r="AG1411" t="str">
        <f t="shared" si="127"/>
        <v>63HELLO_Acartia_tonsa_D0_CO2NA_TNA_control_outcome4.15</v>
      </c>
      <c r="AI1411">
        <v>10.124688000000001</v>
      </c>
      <c r="AJ1411" t="s">
        <v>333</v>
      </c>
      <c r="AK1411" t="s">
        <v>59</v>
      </c>
      <c r="AM1411"/>
      <c r="AN1411">
        <v>4.1471572669999999</v>
      </c>
      <c r="AO1411">
        <v>1.3659249870000001</v>
      </c>
      <c r="AP1411">
        <v>18.6622074</v>
      </c>
      <c r="AQ1411">
        <v>8.3256234310000004</v>
      </c>
      <c r="AS1411">
        <f t="shared" si="128"/>
        <v>1.5040773806206291</v>
      </c>
      <c r="AT1411">
        <f t="shared" si="129"/>
        <v>6.9331074426978778E-2</v>
      </c>
      <c r="AW1411" s="28">
        <f t="shared" si="130"/>
        <v>2.051825129485561</v>
      </c>
      <c r="AX1411">
        <f t="shared" si="131"/>
        <v>0.88888888888888884</v>
      </c>
      <c r="AY1411" s="62">
        <f t="shared" si="132"/>
        <v>1.8238445595427208</v>
      </c>
      <c r="AZ1411" s="68" t="str">
        <f t="shared" si="133"/>
        <v>No</v>
      </c>
      <c r="BA1411" s="68" t="str">
        <f t="shared" si="134"/>
        <v>No</v>
      </c>
    </row>
    <row r="1412" spans="1:53" hidden="1">
      <c r="A1412" t="s">
        <v>1280</v>
      </c>
      <c r="B1412" t="str">
        <f t="shared" si="126"/>
        <v>1412_Hamraj</v>
      </c>
      <c r="C1412" t="s">
        <v>1611</v>
      </c>
      <c r="F1412" t="s">
        <v>1241</v>
      </c>
      <c r="G1412" t="s">
        <v>1474</v>
      </c>
      <c r="I1412">
        <v>2015</v>
      </c>
      <c r="M1412" s="25" t="s">
        <v>36</v>
      </c>
      <c r="N1412" t="s">
        <v>36</v>
      </c>
      <c r="O1412" t="s">
        <v>74</v>
      </c>
      <c r="P1412" t="s">
        <v>60</v>
      </c>
      <c r="Q1412" t="s">
        <v>899</v>
      </c>
      <c r="R1412" t="s">
        <v>828</v>
      </c>
      <c r="S1412" t="s">
        <v>807</v>
      </c>
      <c r="T1412">
        <v>54</v>
      </c>
      <c r="V1412" t="s">
        <v>907</v>
      </c>
      <c r="Z1412">
        <v>3</v>
      </c>
      <c r="AA1412">
        <v>6</v>
      </c>
      <c r="AG1412" t="str">
        <f t="shared" si="127"/>
        <v>63HELLO_Acartia_tonsa_D0_CO2NA_TNA_control_outcome4.15</v>
      </c>
      <c r="AI1412">
        <v>14.57606</v>
      </c>
      <c r="AJ1412" t="s">
        <v>333</v>
      </c>
      <c r="AK1412" t="s">
        <v>59</v>
      </c>
      <c r="AM1412"/>
      <c r="AN1412">
        <v>4.1471572669999999</v>
      </c>
      <c r="AO1412">
        <v>1.3659249870000001</v>
      </c>
      <c r="AP1412">
        <v>27.15719017</v>
      </c>
      <c r="AQ1412">
        <v>9.1779787380000002</v>
      </c>
      <c r="AS1412">
        <f t="shared" si="128"/>
        <v>1.8792187390037689</v>
      </c>
      <c r="AT1412">
        <f t="shared" si="129"/>
        <v>5.5196140473852962E-2</v>
      </c>
      <c r="AW1412" s="28">
        <f t="shared" si="130"/>
        <v>2.9533765396641032</v>
      </c>
      <c r="AX1412">
        <f t="shared" si="131"/>
        <v>0.88888888888888884</v>
      </c>
      <c r="AY1412" s="62">
        <f t="shared" si="132"/>
        <v>2.6252235908125359</v>
      </c>
      <c r="AZ1412" s="68" t="str">
        <f t="shared" si="133"/>
        <v>No</v>
      </c>
      <c r="BA1412" s="68" t="str">
        <f t="shared" si="134"/>
        <v>No</v>
      </c>
    </row>
    <row r="1413" spans="1:53" hidden="1">
      <c r="A1413" t="s">
        <v>1280</v>
      </c>
      <c r="B1413" t="str">
        <f t="shared" si="126"/>
        <v>1413_Hamraj</v>
      </c>
      <c r="C1413" t="s">
        <v>1611</v>
      </c>
      <c r="F1413" t="s">
        <v>1241</v>
      </c>
      <c r="G1413" t="s">
        <v>1475</v>
      </c>
      <c r="I1413">
        <v>2015</v>
      </c>
      <c r="M1413" s="25" t="s">
        <v>36</v>
      </c>
      <c r="N1413" t="s">
        <v>36</v>
      </c>
      <c r="O1413" t="s">
        <v>74</v>
      </c>
      <c r="P1413" t="s">
        <v>60</v>
      </c>
      <c r="Q1413" t="s">
        <v>899</v>
      </c>
      <c r="R1413" t="s">
        <v>828</v>
      </c>
      <c r="S1413" t="s">
        <v>807</v>
      </c>
      <c r="T1413">
        <v>54</v>
      </c>
      <c r="V1413" t="s">
        <v>907</v>
      </c>
      <c r="Z1413">
        <v>3</v>
      </c>
      <c r="AA1413">
        <v>6</v>
      </c>
      <c r="AG1413" t="str">
        <f t="shared" si="127"/>
        <v>63HELLO_Acartia_tonsa_D0_CO2NA_TNA_control_outcome4.15</v>
      </c>
      <c r="AI1413">
        <v>20.162094</v>
      </c>
      <c r="AJ1413" t="s">
        <v>333</v>
      </c>
      <c r="AK1413" t="s">
        <v>59</v>
      </c>
      <c r="AM1413"/>
      <c r="AN1413">
        <v>4.1471572669999999</v>
      </c>
      <c r="AO1413">
        <v>1.3659249870000001</v>
      </c>
      <c r="AP1413">
        <v>33.244147329999997</v>
      </c>
      <c r="AQ1413">
        <v>7.3266595939999997</v>
      </c>
      <c r="AS1413">
        <f t="shared" si="128"/>
        <v>2.081455627836017</v>
      </c>
      <c r="AT1413">
        <f t="shared" si="129"/>
        <v>4.4255503044073372E-2</v>
      </c>
      <c r="AW1413" s="28">
        <f t="shared" si="130"/>
        <v>4.6666788249162945</v>
      </c>
      <c r="AX1413">
        <f t="shared" si="131"/>
        <v>0.88888888888888884</v>
      </c>
      <c r="AY1413" s="62">
        <f t="shared" si="132"/>
        <v>4.1481589554811507</v>
      </c>
      <c r="AZ1413" s="68" t="str">
        <f t="shared" si="133"/>
        <v>No</v>
      </c>
      <c r="BA1413" s="68" t="str">
        <f t="shared" si="134"/>
        <v>No</v>
      </c>
    </row>
    <row r="1414" spans="1:53" hidden="1">
      <c r="A1414" t="s">
        <v>1280</v>
      </c>
      <c r="B1414" t="str">
        <f t="shared" si="126"/>
        <v>1414_Hamraj</v>
      </c>
      <c r="C1414" t="s">
        <v>1611</v>
      </c>
      <c r="F1414" t="s">
        <v>1241</v>
      </c>
      <c r="G1414" t="s">
        <v>1476</v>
      </c>
      <c r="I1414">
        <v>2015</v>
      </c>
      <c r="M1414" s="25" t="s">
        <v>36</v>
      </c>
      <c r="N1414" t="s">
        <v>36</v>
      </c>
      <c r="O1414" t="s">
        <v>74</v>
      </c>
      <c r="P1414" t="s">
        <v>60</v>
      </c>
      <c r="Q1414" t="s">
        <v>899</v>
      </c>
      <c r="R1414" t="s">
        <v>828</v>
      </c>
      <c r="S1414" t="s">
        <v>807</v>
      </c>
      <c r="T1414">
        <v>54</v>
      </c>
      <c r="V1414" t="s">
        <v>907</v>
      </c>
      <c r="Z1414">
        <v>3</v>
      </c>
      <c r="AA1414">
        <v>10</v>
      </c>
      <c r="AG1414" t="str">
        <f t="shared" si="127"/>
        <v>63HELLO_Acartia_tonsa_D0_CO2NA_TNA_control_outcome4.15</v>
      </c>
      <c r="AI1414">
        <v>22.518702999999999</v>
      </c>
      <c r="AJ1414" t="s">
        <v>333</v>
      </c>
      <c r="AK1414" t="s">
        <v>59</v>
      </c>
      <c r="AM1414"/>
      <c r="AN1414">
        <v>4.1471572669999999</v>
      </c>
      <c r="AO1414">
        <v>1.3659249870000001</v>
      </c>
      <c r="AP1414">
        <v>36.700111560000003</v>
      </c>
      <c r="AQ1414">
        <v>6.4411975979999996</v>
      </c>
      <c r="AS1414">
        <f t="shared" si="128"/>
        <v>2.180356691215815</v>
      </c>
      <c r="AT1414">
        <f t="shared" si="129"/>
        <v>3.9240589609355558E-2</v>
      </c>
      <c r="AW1414" s="28">
        <f t="shared" si="130"/>
        <v>5.5595498976986137</v>
      </c>
      <c r="AX1414">
        <f t="shared" si="131"/>
        <v>0.93023255813953487</v>
      </c>
      <c r="AY1414" s="62">
        <f t="shared" si="132"/>
        <v>5.1716743234405707</v>
      </c>
      <c r="AZ1414" s="68" t="str">
        <f t="shared" si="133"/>
        <v>No</v>
      </c>
      <c r="BA1414" s="68" t="str">
        <f t="shared" si="134"/>
        <v>No</v>
      </c>
    </row>
    <row r="1415" spans="1:53" hidden="1">
      <c r="A1415" t="s">
        <v>1280</v>
      </c>
      <c r="B1415" t="str">
        <f t="shared" si="126"/>
        <v>1415_Hamraj</v>
      </c>
      <c r="C1415" t="s">
        <v>1611</v>
      </c>
      <c r="F1415" t="s">
        <v>1241</v>
      </c>
      <c r="G1415" t="s">
        <v>1477</v>
      </c>
      <c r="I1415">
        <v>2015</v>
      </c>
      <c r="M1415" s="25" t="s">
        <v>36</v>
      </c>
      <c r="N1415" t="s">
        <v>36</v>
      </c>
      <c r="O1415" t="s">
        <v>74</v>
      </c>
      <c r="P1415" t="s">
        <v>60</v>
      </c>
      <c r="Q1415" t="s">
        <v>899</v>
      </c>
      <c r="R1415" t="s">
        <v>828</v>
      </c>
      <c r="S1415" t="s">
        <v>807</v>
      </c>
      <c r="T1415">
        <v>54</v>
      </c>
      <c r="V1415" t="s">
        <v>907</v>
      </c>
      <c r="Z1415">
        <v>3</v>
      </c>
      <c r="AA1415">
        <v>5</v>
      </c>
      <c r="AG1415" t="str">
        <f t="shared" si="127"/>
        <v>63HELLO_Acartia_tonsa_D0_CO2NA_TNA_control_outcome4.15</v>
      </c>
      <c r="AI1415">
        <v>26.446383999999998</v>
      </c>
      <c r="AJ1415" t="s">
        <v>333</v>
      </c>
      <c r="AK1415" t="s">
        <v>59</v>
      </c>
      <c r="AM1415"/>
      <c r="AN1415">
        <v>4.1471572669999999</v>
      </c>
      <c r="AO1415">
        <v>1.3659249870000001</v>
      </c>
      <c r="AP1415">
        <v>23.438127399999999</v>
      </c>
      <c r="AQ1415">
        <v>8.6862052110000008</v>
      </c>
      <c r="AS1415">
        <f t="shared" si="128"/>
        <v>1.7319409688169054</v>
      </c>
      <c r="AT1415">
        <f t="shared" si="129"/>
        <v>6.3629345493115136E-2</v>
      </c>
      <c r="AW1415" s="28">
        <f t="shared" si="130"/>
        <v>2.7033435361590574</v>
      </c>
      <c r="AX1415">
        <f t="shared" si="131"/>
        <v>0.86956521739130432</v>
      </c>
      <c r="AY1415" s="62">
        <f t="shared" si="132"/>
        <v>2.3507335097035282</v>
      </c>
      <c r="AZ1415" s="68" t="str">
        <f t="shared" si="133"/>
        <v>No</v>
      </c>
      <c r="BA1415" s="68" t="str">
        <f t="shared" si="134"/>
        <v>No</v>
      </c>
    </row>
    <row r="1416" spans="1:53" hidden="1">
      <c r="A1416" t="s">
        <v>1280</v>
      </c>
      <c r="B1416" t="str">
        <f t="shared" si="126"/>
        <v>1416_Hamraj</v>
      </c>
      <c r="C1416" t="s">
        <v>1611</v>
      </c>
      <c r="F1416" t="s">
        <v>1241</v>
      </c>
      <c r="G1416" t="s">
        <v>1478</v>
      </c>
      <c r="I1416">
        <v>2015</v>
      </c>
      <c r="M1416" s="25" t="s">
        <v>36</v>
      </c>
      <c r="N1416" t="s">
        <v>36</v>
      </c>
      <c r="O1416" t="s">
        <v>74</v>
      </c>
      <c r="P1416" t="s">
        <v>60</v>
      </c>
      <c r="Q1416" t="s">
        <v>899</v>
      </c>
      <c r="R1416" t="s">
        <v>828</v>
      </c>
      <c r="S1416" t="s">
        <v>807</v>
      </c>
      <c r="T1416">
        <v>54</v>
      </c>
      <c r="V1416" t="s">
        <v>907</v>
      </c>
      <c r="Z1416">
        <v>3</v>
      </c>
      <c r="AA1416">
        <v>8</v>
      </c>
      <c r="AG1416" t="str">
        <f t="shared" si="127"/>
        <v>63HELLO_Acartia_tonsa_D0_CO2NA_TNA_control_outcome4.15</v>
      </c>
      <c r="AI1416">
        <v>29.937656</v>
      </c>
      <c r="AJ1416" t="s">
        <v>333</v>
      </c>
      <c r="AK1416" t="s">
        <v>59</v>
      </c>
      <c r="AM1416"/>
      <c r="AN1416">
        <v>4.1471572669999999</v>
      </c>
      <c r="AO1416">
        <v>1.3659249870000001</v>
      </c>
      <c r="AP1416">
        <v>6.923077138</v>
      </c>
      <c r="AQ1416">
        <v>7.3613338280000002</v>
      </c>
      <c r="AS1416">
        <f t="shared" si="128"/>
        <v>0.51243724029106663</v>
      </c>
      <c r="AT1416">
        <f t="shared" si="129"/>
        <v>0.17748710689134561</v>
      </c>
      <c r="AW1416" s="28">
        <f t="shared" si="130"/>
        <v>0.42549744783716531</v>
      </c>
      <c r="AX1416">
        <f t="shared" si="131"/>
        <v>0.91428571428571426</v>
      </c>
      <c r="AY1416" s="62">
        <f t="shared" si="132"/>
        <v>0.38902623802255115</v>
      </c>
      <c r="AZ1416" s="68" t="str">
        <f t="shared" si="133"/>
        <v>No</v>
      </c>
      <c r="BA1416" s="68" t="str">
        <f t="shared" si="134"/>
        <v>No</v>
      </c>
    </row>
    <row r="1417" spans="1:53" hidden="1">
      <c r="A1417" t="s">
        <v>1280</v>
      </c>
      <c r="B1417" t="str">
        <f t="shared" si="126"/>
        <v>1417_Hamraj</v>
      </c>
      <c r="C1417" t="s">
        <v>1607</v>
      </c>
      <c r="F1417" t="s">
        <v>1241</v>
      </c>
      <c r="G1417" t="s">
        <v>1376</v>
      </c>
      <c r="I1417">
        <v>2009</v>
      </c>
      <c r="M1417" s="25" t="s">
        <v>36</v>
      </c>
      <c r="N1417" t="s">
        <v>36</v>
      </c>
      <c r="O1417" t="s">
        <v>74</v>
      </c>
      <c r="P1417" t="s">
        <v>60</v>
      </c>
      <c r="Q1417" t="s">
        <v>899</v>
      </c>
      <c r="R1417" t="s">
        <v>828</v>
      </c>
      <c r="S1417" t="s">
        <v>1412</v>
      </c>
      <c r="T1417">
        <v>26</v>
      </c>
      <c r="V1417" t="s">
        <v>907</v>
      </c>
      <c r="Z1417">
        <v>6</v>
      </c>
      <c r="AA1417">
        <v>6</v>
      </c>
      <c r="AG1417" t="str">
        <f t="shared" si="127"/>
        <v>64HELLO_Pseudodiaptomus_pelagicus_D0_CO2NA_TNA_control_outcome16.20</v>
      </c>
      <c r="AI1417">
        <v>26</v>
      </c>
      <c r="AJ1417" t="s">
        <v>333</v>
      </c>
      <c r="AK1417" t="s">
        <v>59</v>
      </c>
      <c r="AM1417"/>
      <c r="AN1417">
        <v>16.2</v>
      </c>
      <c r="AO1417">
        <v>1.5</v>
      </c>
      <c r="AP1417">
        <v>10.9</v>
      </c>
      <c r="AQ1417">
        <v>6.4</v>
      </c>
      <c r="AS1417">
        <f t="shared" si="128"/>
        <v>-0.39624845300324019</v>
      </c>
      <c r="AT1417">
        <f t="shared" si="129"/>
        <v>5.8887585574166817E-2</v>
      </c>
      <c r="AW1417" s="28">
        <f t="shared" si="130"/>
        <v>-1.1402464643826542</v>
      </c>
      <c r="AX1417">
        <f t="shared" si="131"/>
        <v>0.92307692307692313</v>
      </c>
      <c r="AY1417" s="62">
        <f t="shared" si="132"/>
        <v>-1.0525351978916808</v>
      </c>
      <c r="AZ1417" s="68" t="str">
        <f t="shared" si="133"/>
        <v>No</v>
      </c>
      <c r="BA1417" s="68" t="str">
        <f t="shared" si="134"/>
        <v>No</v>
      </c>
    </row>
    <row r="1418" spans="1:53" hidden="1">
      <c r="A1418" t="s">
        <v>1280</v>
      </c>
      <c r="B1418" t="str">
        <f t="shared" si="126"/>
        <v>1418_Hamraj</v>
      </c>
      <c r="C1418" t="s">
        <v>1607</v>
      </c>
      <c r="F1418" t="s">
        <v>1241</v>
      </c>
      <c r="G1418" t="s">
        <v>1377</v>
      </c>
      <c r="I1418">
        <v>2009</v>
      </c>
      <c r="M1418" s="25" t="s">
        <v>36</v>
      </c>
      <c r="N1418" t="s">
        <v>36</v>
      </c>
      <c r="O1418" t="s">
        <v>74</v>
      </c>
      <c r="P1418" t="s">
        <v>60</v>
      </c>
      <c r="Q1418" t="s">
        <v>899</v>
      </c>
      <c r="R1418" t="s">
        <v>828</v>
      </c>
      <c r="S1418" t="s">
        <v>1412</v>
      </c>
      <c r="T1418">
        <v>26</v>
      </c>
      <c r="V1418" t="s">
        <v>907</v>
      </c>
      <c r="Z1418">
        <v>6</v>
      </c>
      <c r="AA1418">
        <v>6</v>
      </c>
      <c r="AG1418" t="str">
        <f t="shared" si="127"/>
        <v>64HELLO_Pseudodiaptomus_pelagicus_D0_CO2NA_TNA_control_outcome16.20</v>
      </c>
      <c r="AI1418">
        <v>28</v>
      </c>
      <c r="AJ1418" t="s">
        <v>333</v>
      </c>
      <c r="AK1418" t="s">
        <v>59</v>
      </c>
      <c r="AM1418"/>
      <c r="AN1418">
        <v>16.2</v>
      </c>
      <c r="AO1418">
        <v>1.5</v>
      </c>
      <c r="AP1418">
        <v>25.2</v>
      </c>
      <c r="AQ1418">
        <v>1</v>
      </c>
      <c r="AS1418">
        <f t="shared" si="128"/>
        <v>0.44183275227903929</v>
      </c>
      <c r="AT1418">
        <f t="shared" si="129"/>
        <v>1.6913486931123616E-3</v>
      </c>
      <c r="AW1418" s="28">
        <f t="shared" si="130"/>
        <v>7.060180864974626</v>
      </c>
      <c r="AX1418">
        <f t="shared" si="131"/>
        <v>0.92307692307692313</v>
      </c>
      <c r="AY1418" s="62">
        <f t="shared" si="132"/>
        <v>6.5170900292073473</v>
      </c>
      <c r="AZ1418" s="68" t="str">
        <f t="shared" si="133"/>
        <v>No</v>
      </c>
      <c r="BA1418" s="68" t="str">
        <f t="shared" si="134"/>
        <v>No</v>
      </c>
    </row>
    <row r="1419" spans="1:53" hidden="1">
      <c r="A1419" t="s">
        <v>1280</v>
      </c>
      <c r="B1419" t="str">
        <f t="shared" si="126"/>
        <v>1419_Hamraj</v>
      </c>
      <c r="C1419" t="s">
        <v>1607</v>
      </c>
      <c r="F1419" t="s">
        <v>1241</v>
      </c>
      <c r="G1419" t="s">
        <v>1378</v>
      </c>
      <c r="I1419">
        <v>2009</v>
      </c>
      <c r="M1419" s="25" t="s">
        <v>36</v>
      </c>
      <c r="N1419" t="s">
        <v>36</v>
      </c>
      <c r="O1419" t="s">
        <v>74</v>
      </c>
      <c r="P1419" t="s">
        <v>60</v>
      </c>
      <c r="Q1419" t="s">
        <v>899</v>
      </c>
      <c r="R1419" t="s">
        <v>828</v>
      </c>
      <c r="S1419" t="s">
        <v>1412</v>
      </c>
      <c r="T1419">
        <v>26</v>
      </c>
      <c r="V1419" t="s">
        <v>907</v>
      </c>
      <c r="Z1419">
        <v>6</v>
      </c>
      <c r="AA1419">
        <v>6</v>
      </c>
      <c r="AG1419" t="str">
        <f t="shared" si="127"/>
        <v>64HELLO_Pseudodiaptomus_pelagicus_D0_CO2NA_TNA_control_outcome16.20</v>
      </c>
      <c r="AI1419">
        <v>30</v>
      </c>
      <c r="AJ1419" t="s">
        <v>333</v>
      </c>
      <c r="AK1419" t="s">
        <v>59</v>
      </c>
      <c r="AM1419"/>
      <c r="AN1419">
        <v>16.2</v>
      </c>
      <c r="AO1419">
        <v>1.5</v>
      </c>
      <c r="AP1419">
        <v>23.7</v>
      </c>
      <c r="AQ1419">
        <v>2.2999999999999998</v>
      </c>
      <c r="AS1419">
        <f t="shared" si="128"/>
        <v>0.38046380590274742</v>
      </c>
      <c r="AT1419">
        <f t="shared" si="129"/>
        <v>2.9985657627733826E-3</v>
      </c>
      <c r="AW1419" s="28">
        <f t="shared" si="130"/>
        <v>3.8626965196845355</v>
      </c>
      <c r="AX1419">
        <f t="shared" si="131"/>
        <v>0.92307692307692313</v>
      </c>
      <c r="AY1419" s="62">
        <f t="shared" si="132"/>
        <v>3.5655660181703408</v>
      </c>
      <c r="AZ1419" s="68" t="str">
        <f t="shared" si="133"/>
        <v>No</v>
      </c>
      <c r="BA1419" s="68" t="str">
        <f t="shared" si="134"/>
        <v>No</v>
      </c>
    </row>
    <row r="1420" spans="1:53" hidden="1">
      <c r="A1420" t="s">
        <v>1280</v>
      </c>
      <c r="B1420" t="str">
        <f t="shared" si="126"/>
        <v>1420_Hamraj</v>
      </c>
      <c r="C1420" t="s">
        <v>1607</v>
      </c>
      <c r="F1420" t="s">
        <v>1241</v>
      </c>
      <c r="G1420" t="s">
        <v>1379</v>
      </c>
      <c r="I1420">
        <v>2009</v>
      </c>
      <c r="M1420" s="25" t="s">
        <v>36</v>
      </c>
      <c r="N1420" t="s">
        <v>36</v>
      </c>
      <c r="O1420" t="s">
        <v>74</v>
      </c>
      <c r="P1420" t="s">
        <v>60</v>
      </c>
      <c r="Q1420" t="s">
        <v>899</v>
      </c>
      <c r="R1420" t="s">
        <v>828</v>
      </c>
      <c r="S1420" t="s">
        <v>1412</v>
      </c>
      <c r="T1420">
        <v>26</v>
      </c>
      <c r="V1420" t="s">
        <v>907</v>
      </c>
      <c r="Z1420">
        <v>6</v>
      </c>
      <c r="AA1420">
        <v>6</v>
      </c>
      <c r="AG1420" t="str">
        <f t="shared" si="127"/>
        <v>64HELLO_Pseudodiaptomus_pelagicus_D0_CO2NA_TNA_control_outcome16.20</v>
      </c>
      <c r="AI1420">
        <v>32</v>
      </c>
      <c r="AJ1420" t="s">
        <v>333</v>
      </c>
      <c r="AK1420" t="s">
        <v>59</v>
      </c>
      <c r="AM1420"/>
      <c r="AN1420">
        <v>16.2</v>
      </c>
      <c r="AO1420">
        <v>1.5</v>
      </c>
      <c r="AP1420">
        <v>20.6</v>
      </c>
      <c r="AQ1420">
        <v>2.6</v>
      </c>
      <c r="AS1420">
        <f t="shared" si="128"/>
        <v>0.24027983355719718</v>
      </c>
      <c r="AT1420">
        <f t="shared" si="129"/>
        <v>4.0838765112297132E-3</v>
      </c>
      <c r="AW1420" s="28">
        <f t="shared" si="130"/>
        <v>2.0730285286988011</v>
      </c>
      <c r="AX1420">
        <f t="shared" si="131"/>
        <v>0.92307692307692313</v>
      </c>
      <c r="AY1420" s="62">
        <f t="shared" si="132"/>
        <v>1.9135647957219704</v>
      </c>
      <c r="AZ1420" s="68" t="str">
        <f t="shared" si="133"/>
        <v>No</v>
      </c>
      <c r="BA1420" s="68" t="str">
        <f t="shared" si="134"/>
        <v>No</v>
      </c>
    </row>
    <row r="1421" spans="1:53" hidden="1">
      <c r="A1421" t="s">
        <v>1280</v>
      </c>
      <c r="B1421" t="str">
        <f t="shared" si="126"/>
        <v>1421_Hamraj</v>
      </c>
      <c r="C1421" t="s">
        <v>1607</v>
      </c>
      <c r="F1421" t="s">
        <v>1241</v>
      </c>
      <c r="G1421" t="s">
        <v>1380</v>
      </c>
      <c r="I1421">
        <v>2009</v>
      </c>
      <c r="M1421" s="25" t="s">
        <v>36</v>
      </c>
      <c r="N1421" t="s">
        <v>36</v>
      </c>
      <c r="O1421" t="s">
        <v>74</v>
      </c>
      <c r="P1421" t="s">
        <v>60</v>
      </c>
      <c r="Q1421" t="s">
        <v>899</v>
      </c>
      <c r="R1421" t="s">
        <v>828</v>
      </c>
      <c r="S1421" t="s">
        <v>1412</v>
      </c>
      <c r="T1421">
        <v>26</v>
      </c>
      <c r="V1421" t="s">
        <v>907</v>
      </c>
      <c r="Z1421">
        <v>6</v>
      </c>
      <c r="AA1421">
        <v>6</v>
      </c>
      <c r="AG1421" t="str">
        <f t="shared" si="127"/>
        <v>64HELLO_Pseudodiaptomus_pelagicus_D0_CO2NA_TNA_control_outcome16.20</v>
      </c>
      <c r="AI1421">
        <v>34</v>
      </c>
      <c r="AJ1421" t="s">
        <v>333</v>
      </c>
      <c r="AK1421" t="s">
        <v>59</v>
      </c>
      <c r="AM1421"/>
      <c r="AN1421">
        <v>16.2</v>
      </c>
      <c r="AO1421">
        <v>1.5</v>
      </c>
      <c r="AP1421">
        <v>19.100000000000001</v>
      </c>
      <c r="AQ1421">
        <v>2.1</v>
      </c>
      <c r="AS1421">
        <f t="shared" si="128"/>
        <v>0.16467709281424625</v>
      </c>
      <c r="AT1421">
        <f t="shared" si="129"/>
        <v>3.4436454365939046E-3</v>
      </c>
      <c r="AW1421" s="28">
        <f t="shared" si="130"/>
        <v>1.589190210618455</v>
      </c>
      <c r="AX1421">
        <f t="shared" si="131"/>
        <v>0.92307692307692313</v>
      </c>
      <c r="AY1421" s="62">
        <f t="shared" si="132"/>
        <v>1.4669448098016509</v>
      </c>
      <c r="AZ1421" s="68" t="str">
        <f t="shared" si="133"/>
        <v>No</v>
      </c>
      <c r="BA1421" s="68" t="str">
        <f t="shared" si="134"/>
        <v>No</v>
      </c>
    </row>
    <row r="1422" spans="1:53" hidden="1">
      <c r="A1422" t="s">
        <v>1280</v>
      </c>
      <c r="B1422" t="str">
        <f t="shared" si="126"/>
        <v>1422_Hamraj</v>
      </c>
      <c r="C1422" t="s">
        <v>1610</v>
      </c>
      <c r="F1422" t="s">
        <v>1241</v>
      </c>
      <c r="G1422" t="s">
        <v>1572</v>
      </c>
      <c r="I1422">
        <v>2016</v>
      </c>
      <c r="M1422" s="25" t="s">
        <v>36</v>
      </c>
      <c r="N1422" t="s">
        <v>36</v>
      </c>
      <c r="O1422" t="s">
        <v>3808</v>
      </c>
      <c r="P1422" t="s">
        <v>60</v>
      </c>
      <c r="Q1422" t="s">
        <v>899</v>
      </c>
      <c r="R1422" t="s">
        <v>828</v>
      </c>
      <c r="S1422" t="s">
        <v>852</v>
      </c>
      <c r="T1422">
        <v>49</v>
      </c>
      <c r="V1422" t="s">
        <v>907</v>
      </c>
      <c r="Z1422">
        <v>6</v>
      </c>
      <c r="AA1422">
        <v>6</v>
      </c>
      <c r="AG1422" t="str">
        <f t="shared" si="127"/>
        <v>65HELLO_Eurytemora_affinis_D0_CO2NA_TNA_control_outcome37.51</v>
      </c>
      <c r="AI1422">
        <v>24</v>
      </c>
      <c r="AJ1422" t="s">
        <v>333</v>
      </c>
      <c r="AK1422" t="s">
        <v>59</v>
      </c>
      <c r="AM1422"/>
      <c r="AN1422">
        <v>37.512950750000002</v>
      </c>
      <c r="AO1422">
        <v>12.132868480000001</v>
      </c>
      <c r="AP1422">
        <v>26.7661555</v>
      </c>
      <c r="AQ1422">
        <v>8.6990285440000008</v>
      </c>
      <c r="AS1422">
        <f t="shared" si="128"/>
        <v>-0.33754799172244976</v>
      </c>
      <c r="AT1422">
        <f t="shared" si="129"/>
        <v>3.5038931717061322E-2</v>
      </c>
      <c r="AW1422" s="28">
        <f t="shared" si="130"/>
        <v>-1.0180258770565513</v>
      </c>
      <c r="AX1422">
        <f t="shared" si="131"/>
        <v>0.92307692307692313</v>
      </c>
      <c r="AY1422" s="62">
        <f t="shared" si="132"/>
        <v>-0.93971619420604746</v>
      </c>
      <c r="AZ1422" s="68" t="str">
        <f t="shared" si="133"/>
        <v>No</v>
      </c>
      <c r="BA1422" s="68" t="str">
        <f t="shared" si="134"/>
        <v>No</v>
      </c>
    </row>
    <row r="1423" spans="1:53" hidden="1">
      <c r="A1423" t="s">
        <v>1280</v>
      </c>
      <c r="B1423" t="str">
        <f t="shared" si="126"/>
        <v>1423_Hamraj</v>
      </c>
      <c r="C1423" t="s">
        <v>1612</v>
      </c>
      <c r="F1423" t="s">
        <v>1241</v>
      </c>
      <c r="G1423" t="s">
        <v>1573</v>
      </c>
      <c r="I1423">
        <v>2007</v>
      </c>
      <c r="M1423" s="25" t="s">
        <v>36</v>
      </c>
      <c r="N1423" t="s">
        <v>36</v>
      </c>
      <c r="O1423" t="s">
        <v>74</v>
      </c>
      <c r="P1423" t="s">
        <v>60</v>
      </c>
      <c r="Q1423" t="s">
        <v>899</v>
      </c>
      <c r="R1423" t="s">
        <v>828</v>
      </c>
      <c r="S1423" t="s">
        <v>1327</v>
      </c>
      <c r="T1423">
        <v>60</v>
      </c>
      <c r="V1423" t="s">
        <v>907</v>
      </c>
      <c r="Z1423">
        <v>7</v>
      </c>
      <c r="AA1423">
        <v>11</v>
      </c>
      <c r="AG1423" t="str">
        <f t="shared" si="127"/>
        <v>66HELLO_Oithona_similis_D0_CO2NA_TNA_control_outcome16.12</v>
      </c>
      <c r="AI1423">
        <v>-0.81098545</v>
      </c>
      <c r="AJ1423" t="s">
        <v>333</v>
      </c>
      <c r="AK1423" t="s">
        <v>59</v>
      </c>
      <c r="AM1423"/>
      <c r="AN1423">
        <v>16.115879710000002</v>
      </c>
      <c r="AO1423">
        <v>2.4548549359999998</v>
      </c>
      <c r="AP1423">
        <v>15.84081136</v>
      </c>
      <c r="AQ1423">
        <v>4.2953830179999999</v>
      </c>
      <c r="AS1423">
        <f t="shared" si="128"/>
        <v>-1.7215495993635699E-2</v>
      </c>
      <c r="AT1423">
        <f t="shared" si="129"/>
        <v>9.9990154737721031E-3</v>
      </c>
      <c r="AW1423" s="28">
        <f t="shared" si="130"/>
        <v>-7.4069223858295508E-2</v>
      </c>
      <c r="AX1423">
        <f t="shared" si="131"/>
        <v>0.95238095238095233</v>
      </c>
      <c r="AY1423" s="62">
        <f t="shared" si="132"/>
        <v>-7.0542117960281425E-2</v>
      </c>
      <c r="AZ1423" s="68" t="str">
        <f t="shared" si="133"/>
        <v>No</v>
      </c>
      <c r="BA1423" s="68" t="str">
        <f t="shared" si="134"/>
        <v>No</v>
      </c>
    </row>
    <row r="1424" spans="1:53" hidden="1">
      <c r="A1424" t="s">
        <v>1280</v>
      </c>
      <c r="B1424" t="str">
        <f t="shared" si="126"/>
        <v>1424_Hamraj</v>
      </c>
      <c r="C1424" t="s">
        <v>1612</v>
      </c>
      <c r="F1424" t="s">
        <v>1241</v>
      </c>
      <c r="G1424" t="s">
        <v>1574</v>
      </c>
      <c r="I1424">
        <v>2007</v>
      </c>
      <c r="M1424" s="25" t="s">
        <v>36</v>
      </c>
      <c r="N1424" t="s">
        <v>36</v>
      </c>
      <c r="O1424" t="s">
        <v>74</v>
      </c>
      <c r="P1424" t="s">
        <v>60</v>
      </c>
      <c r="Q1424" t="s">
        <v>899</v>
      </c>
      <c r="R1424" t="s">
        <v>868</v>
      </c>
      <c r="S1424" t="s">
        <v>1327</v>
      </c>
      <c r="T1424">
        <v>60</v>
      </c>
      <c r="V1424" t="s">
        <v>907</v>
      </c>
      <c r="Z1424">
        <v>7</v>
      </c>
      <c r="AA1424">
        <v>10</v>
      </c>
      <c r="AG1424" t="str">
        <f t="shared" si="127"/>
        <v>66HELLO_Oithona_similis_D0_CO2NA_TNA_control_outcome16.12</v>
      </c>
      <c r="AI1424">
        <v>-0.55250405999999996</v>
      </c>
      <c r="AJ1424" t="s">
        <v>333</v>
      </c>
      <c r="AK1424" t="s">
        <v>59</v>
      </c>
      <c r="AM1424"/>
      <c r="AN1424">
        <v>16.115879710000002</v>
      </c>
      <c r="AO1424">
        <v>2.4548549359999998</v>
      </c>
      <c r="AP1424">
        <v>16.486051499999999</v>
      </c>
      <c r="AQ1424">
        <v>2.9646510180000001</v>
      </c>
      <c r="AS1424">
        <f t="shared" si="128"/>
        <v>2.2709556458503588E-2</v>
      </c>
      <c r="AT1424">
        <f t="shared" si="129"/>
        <v>6.5485155899685614E-3</v>
      </c>
      <c r="AW1424" s="28">
        <f t="shared" si="130"/>
        <v>0.1335393070149358</v>
      </c>
      <c r="AX1424">
        <f t="shared" si="131"/>
        <v>0.94915254237288138</v>
      </c>
      <c r="AY1424" s="62">
        <f t="shared" si="132"/>
        <v>0.12674917275993908</v>
      </c>
      <c r="AZ1424" s="68" t="str">
        <f t="shared" si="133"/>
        <v>No</v>
      </c>
      <c r="BA1424" s="68" t="str">
        <f t="shared" si="134"/>
        <v>No</v>
      </c>
    </row>
    <row r="1425" spans="1:53" hidden="1">
      <c r="A1425" t="s">
        <v>1280</v>
      </c>
      <c r="B1425" t="str">
        <f t="shared" si="126"/>
        <v>1425_Hamraj</v>
      </c>
      <c r="C1425" t="s">
        <v>1612</v>
      </c>
      <c r="F1425" t="s">
        <v>1241</v>
      </c>
      <c r="G1425" t="s">
        <v>1575</v>
      </c>
      <c r="I1425">
        <v>2007</v>
      </c>
      <c r="M1425" s="25" t="s">
        <v>36</v>
      </c>
      <c r="N1425" t="s">
        <v>36</v>
      </c>
      <c r="O1425" t="s">
        <v>74</v>
      </c>
      <c r="P1425" t="s">
        <v>60</v>
      </c>
      <c r="Q1425" t="s">
        <v>899</v>
      </c>
      <c r="R1425" t="s">
        <v>868</v>
      </c>
      <c r="S1425" t="s">
        <v>1327</v>
      </c>
      <c r="T1425">
        <v>60</v>
      </c>
      <c r="V1425" t="s">
        <v>907</v>
      </c>
      <c r="Z1425">
        <v>7</v>
      </c>
      <c r="AA1425">
        <v>13</v>
      </c>
      <c r="AG1425" t="str">
        <f t="shared" si="127"/>
        <v>66HELLO_Oithona_similis_D0_CO2NA_TNA_control_outcome16.12</v>
      </c>
      <c r="AI1425">
        <v>-0.25525039999999999</v>
      </c>
      <c r="AJ1425" t="s">
        <v>333</v>
      </c>
      <c r="AK1425" t="s">
        <v>59</v>
      </c>
      <c r="AM1425"/>
      <c r="AN1425">
        <v>16.115879710000002</v>
      </c>
      <c r="AO1425">
        <v>2.4548549359999998</v>
      </c>
      <c r="AP1425">
        <v>15.77253208</v>
      </c>
      <c r="AQ1425">
        <v>5.7212339160000001</v>
      </c>
      <c r="AS1425">
        <f t="shared" si="128"/>
        <v>-2.1535152109768418E-2</v>
      </c>
      <c r="AT1425">
        <f t="shared" si="129"/>
        <v>1.3435938639971936E-2</v>
      </c>
      <c r="AW1425" s="28">
        <f t="shared" si="130"/>
        <v>-7.0334424612545701E-2</v>
      </c>
      <c r="AX1425">
        <f t="shared" si="131"/>
        <v>0.95774647887323949</v>
      </c>
      <c r="AY1425" s="62">
        <f t="shared" si="132"/>
        <v>-6.7362547516240961E-2</v>
      </c>
      <c r="AZ1425" s="68" t="str">
        <f t="shared" si="133"/>
        <v>No</v>
      </c>
      <c r="BA1425" s="68" t="str">
        <f t="shared" si="134"/>
        <v>No</v>
      </c>
    </row>
    <row r="1426" spans="1:53" hidden="1">
      <c r="A1426" t="s">
        <v>1280</v>
      </c>
      <c r="B1426" t="str">
        <f t="shared" si="126"/>
        <v>1426_Hamraj</v>
      </c>
      <c r="C1426" t="s">
        <v>1612</v>
      </c>
      <c r="F1426" t="s">
        <v>1241</v>
      </c>
      <c r="G1426" t="s">
        <v>1576</v>
      </c>
      <c r="I1426">
        <v>2007</v>
      </c>
      <c r="M1426" s="25" t="s">
        <v>36</v>
      </c>
      <c r="N1426" t="s">
        <v>36</v>
      </c>
      <c r="O1426" t="s">
        <v>74</v>
      </c>
      <c r="P1426" t="s">
        <v>60</v>
      </c>
      <c r="Q1426" t="s">
        <v>899</v>
      </c>
      <c r="R1426" t="s">
        <v>868</v>
      </c>
      <c r="S1426" t="s">
        <v>1327</v>
      </c>
      <c r="T1426">
        <v>60</v>
      </c>
      <c r="V1426" t="s">
        <v>907</v>
      </c>
      <c r="Z1426">
        <v>7</v>
      </c>
      <c r="AA1426">
        <v>7</v>
      </c>
      <c r="AG1426" t="str">
        <f t="shared" si="127"/>
        <v>66HELLO_Oithona_similis_D0_CO2NA_TNA_control_outcome16.12</v>
      </c>
      <c r="AI1426">
        <v>-7.4313409999999996E-2</v>
      </c>
      <c r="AJ1426" t="s">
        <v>333</v>
      </c>
      <c r="AK1426" t="s">
        <v>59</v>
      </c>
      <c r="AM1426"/>
      <c r="AN1426">
        <v>16.115879710000002</v>
      </c>
      <c r="AO1426">
        <v>2.4548549359999998</v>
      </c>
      <c r="AP1426">
        <v>14.098712430000001</v>
      </c>
      <c r="AQ1426">
        <v>2.4274550019999999</v>
      </c>
      <c r="AS1426">
        <f t="shared" si="128"/>
        <v>-0.13372162709713153</v>
      </c>
      <c r="AT1426">
        <f t="shared" si="129"/>
        <v>7.5496325678744217E-3</v>
      </c>
      <c r="AW1426" s="28">
        <f t="shared" si="130"/>
        <v>-0.82630375397376343</v>
      </c>
      <c r="AX1426">
        <f t="shared" si="131"/>
        <v>0.93617021276595747</v>
      </c>
      <c r="AY1426" s="62">
        <f t="shared" si="132"/>
        <v>-0.77356096116692752</v>
      </c>
      <c r="AZ1426" s="68" t="str">
        <f t="shared" si="133"/>
        <v>No</v>
      </c>
      <c r="BA1426" s="68" t="str">
        <f t="shared" si="134"/>
        <v>No</v>
      </c>
    </row>
    <row r="1427" spans="1:53" hidden="1">
      <c r="A1427" t="s">
        <v>1280</v>
      </c>
      <c r="B1427" t="str">
        <f t="shared" si="126"/>
        <v>1427_Hamraj</v>
      </c>
      <c r="C1427" t="s">
        <v>1612</v>
      </c>
      <c r="F1427" t="s">
        <v>1241</v>
      </c>
      <c r="G1427" t="s">
        <v>1577</v>
      </c>
      <c r="I1427">
        <v>2007</v>
      </c>
      <c r="M1427" s="25" t="s">
        <v>36</v>
      </c>
      <c r="N1427" t="s">
        <v>36</v>
      </c>
      <c r="O1427" t="s">
        <v>74</v>
      </c>
      <c r="P1427" t="s">
        <v>60</v>
      </c>
      <c r="Q1427" t="s">
        <v>899</v>
      </c>
      <c r="R1427" t="s">
        <v>868</v>
      </c>
      <c r="S1427" t="s">
        <v>1327</v>
      </c>
      <c r="T1427">
        <v>60</v>
      </c>
      <c r="V1427" t="s">
        <v>907</v>
      </c>
      <c r="Z1427">
        <v>7</v>
      </c>
      <c r="AA1427">
        <v>8</v>
      </c>
      <c r="AG1427" t="str">
        <f t="shared" si="127"/>
        <v>66HELLO_Oithona_similis_D0_CO2NA_TNA_control_outcome16.12</v>
      </c>
      <c r="AI1427">
        <v>0.66235864</v>
      </c>
      <c r="AJ1427" t="s">
        <v>333</v>
      </c>
      <c r="AK1427" t="s">
        <v>59</v>
      </c>
      <c r="AM1427"/>
      <c r="AN1427">
        <v>16.115879710000002</v>
      </c>
      <c r="AO1427">
        <v>2.4548549359999998</v>
      </c>
      <c r="AP1427">
        <v>15.744367130000001</v>
      </c>
      <c r="AQ1427">
        <v>3.3961070630000001</v>
      </c>
      <c r="AS1427">
        <f t="shared" si="128"/>
        <v>-2.3322444527710484E-2</v>
      </c>
      <c r="AT1427">
        <f t="shared" si="129"/>
        <v>9.1306828932045565E-3</v>
      </c>
      <c r="AW1427" s="28">
        <f t="shared" si="130"/>
        <v>-0.12389436230408014</v>
      </c>
      <c r="AX1427">
        <f t="shared" si="131"/>
        <v>0.94117647058823528</v>
      </c>
      <c r="AY1427" s="62">
        <f t="shared" si="132"/>
        <v>-0.11660645863913426</v>
      </c>
      <c r="AZ1427" s="68" t="str">
        <f t="shared" si="133"/>
        <v>No</v>
      </c>
      <c r="BA1427" s="68" t="str">
        <f t="shared" si="134"/>
        <v>No</v>
      </c>
    </row>
    <row r="1428" spans="1:53" hidden="1">
      <c r="A1428" t="s">
        <v>1280</v>
      </c>
      <c r="B1428" t="str">
        <f t="shared" si="126"/>
        <v>1428_Hamraj</v>
      </c>
      <c r="C1428" t="s">
        <v>1612</v>
      </c>
      <c r="F1428" t="s">
        <v>1241</v>
      </c>
      <c r="G1428" t="s">
        <v>1578</v>
      </c>
      <c r="I1428">
        <v>2007</v>
      </c>
      <c r="M1428" s="25" t="s">
        <v>36</v>
      </c>
      <c r="N1428" t="s">
        <v>36</v>
      </c>
      <c r="O1428" t="s">
        <v>74</v>
      </c>
      <c r="P1428" t="s">
        <v>60</v>
      </c>
      <c r="Q1428" t="s">
        <v>899</v>
      </c>
      <c r="R1428" t="s">
        <v>868</v>
      </c>
      <c r="S1428" t="s">
        <v>1327</v>
      </c>
      <c r="T1428">
        <v>60</v>
      </c>
      <c r="V1428" t="s">
        <v>907</v>
      </c>
      <c r="Z1428">
        <v>7</v>
      </c>
      <c r="AA1428">
        <v>11</v>
      </c>
      <c r="AG1428" t="str">
        <f t="shared" si="127"/>
        <v>66HELLO_Oithona_similis_D0_CO2NA_TNA_control_outcome16.12</v>
      </c>
      <c r="AI1428">
        <v>1.9418416999999999</v>
      </c>
      <c r="AJ1428" t="s">
        <v>333</v>
      </c>
      <c r="AK1428" t="s">
        <v>59</v>
      </c>
      <c r="AM1428"/>
      <c r="AN1428">
        <v>16.115879710000002</v>
      </c>
      <c r="AO1428">
        <v>2.4548549359999998</v>
      </c>
      <c r="AP1428">
        <v>16.892313730000001</v>
      </c>
      <c r="AQ1428">
        <v>3.3641788780000002</v>
      </c>
      <c r="AS1428">
        <f t="shared" si="128"/>
        <v>4.7053606306037388E-2</v>
      </c>
      <c r="AT1428">
        <f t="shared" si="129"/>
        <v>6.920390548372745E-3</v>
      </c>
      <c r="AW1428" s="28">
        <f t="shared" si="130"/>
        <v>0.25414638151692281</v>
      </c>
      <c r="AX1428">
        <f t="shared" si="131"/>
        <v>0.95238095238095233</v>
      </c>
      <c r="AY1428" s="62">
        <f t="shared" si="132"/>
        <v>0.2420441728732598</v>
      </c>
      <c r="AZ1428" s="68" t="str">
        <f t="shared" si="133"/>
        <v>No</v>
      </c>
      <c r="BA1428" s="68" t="str">
        <f t="shared" si="134"/>
        <v>No</v>
      </c>
    </row>
    <row r="1429" spans="1:53" hidden="1">
      <c r="A1429" t="s">
        <v>1280</v>
      </c>
      <c r="B1429" t="str">
        <f t="shared" si="126"/>
        <v>1429_Hamraj</v>
      </c>
      <c r="C1429" t="s">
        <v>1612</v>
      </c>
      <c r="F1429" t="s">
        <v>1241</v>
      </c>
      <c r="G1429" t="s">
        <v>1579</v>
      </c>
      <c r="I1429">
        <v>2007</v>
      </c>
      <c r="M1429" s="25" t="s">
        <v>36</v>
      </c>
      <c r="N1429" t="s">
        <v>36</v>
      </c>
      <c r="O1429" t="s">
        <v>74</v>
      </c>
      <c r="P1429" t="s">
        <v>60</v>
      </c>
      <c r="Q1429" t="s">
        <v>899</v>
      </c>
      <c r="R1429" t="s">
        <v>868</v>
      </c>
      <c r="S1429" t="s">
        <v>1327</v>
      </c>
      <c r="T1429">
        <v>60</v>
      </c>
      <c r="V1429" t="s">
        <v>907</v>
      </c>
      <c r="Z1429">
        <v>7</v>
      </c>
      <c r="AA1429">
        <v>13</v>
      </c>
      <c r="AG1429" t="str">
        <f t="shared" si="127"/>
        <v>66HELLO_Oithona_similis_D0_CO2NA_TNA_control_outcome16.12</v>
      </c>
      <c r="AI1429">
        <v>2.2390952</v>
      </c>
      <c r="AJ1429" t="s">
        <v>333</v>
      </c>
      <c r="AK1429" t="s">
        <v>59</v>
      </c>
      <c r="AM1429"/>
      <c r="AN1429">
        <v>16.115879710000002</v>
      </c>
      <c r="AO1429">
        <v>2.4548549359999998</v>
      </c>
      <c r="AP1429">
        <v>17.51733269</v>
      </c>
      <c r="AQ1429">
        <v>3.3152527190000001</v>
      </c>
      <c r="AS1429">
        <f t="shared" si="128"/>
        <v>8.3385726906207935E-2</v>
      </c>
      <c r="AT1429">
        <f t="shared" si="129"/>
        <v>6.069915752961846E-3</v>
      </c>
      <c r="AW1429" s="28">
        <f t="shared" si="130"/>
        <v>0.4586667166275078</v>
      </c>
      <c r="AX1429">
        <f t="shared" si="131"/>
        <v>0.95774647887323949</v>
      </c>
      <c r="AY1429" s="62">
        <f t="shared" si="132"/>
        <v>0.4392864328263455</v>
      </c>
      <c r="AZ1429" s="68" t="str">
        <f t="shared" si="133"/>
        <v>No</v>
      </c>
      <c r="BA1429" s="68" t="str">
        <f t="shared" si="134"/>
        <v>No</v>
      </c>
    </row>
    <row r="1430" spans="1:53" hidden="1">
      <c r="A1430" t="s">
        <v>1280</v>
      </c>
      <c r="B1430" t="str">
        <f t="shared" si="126"/>
        <v>1430_Hamraj</v>
      </c>
      <c r="C1430" t="s">
        <v>1612</v>
      </c>
      <c r="F1430" t="s">
        <v>1241</v>
      </c>
      <c r="G1430" t="s">
        <v>1580</v>
      </c>
      <c r="I1430">
        <v>2007</v>
      </c>
      <c r="M1430" s="25" t="s">
        <v>36</v>
      </c>
      <c r="N1430" t="s">
        <v>36</v>
      </c>
      <c r="O1430" t="s">
        <v>74</v>
      </c>
      <c r="P1430" t="s">
        <v>60</v>
      </c>
      <c r="Q1430" t="s">
        <v>899</v>
      </c>
      <c r="R1430" t="s">
        <v>868</v>
      </c>
      <c r="S1430" t="s">
        <v>1327</v>
      </c>
      <c r="T1430">
        <v>60</v>
      </c>
      <c r="V1430" t="s">
        <v>907</v>
      </c>
      <c r="Z1430">
        <v>7</v>
      </c>
      <c r="AA1430">
        <v>11</v>
      </c>
      <c r="AG1430" t="str">
        <f t="shared" si="127"/>
        <v>66HELLO_Oithona_similis_D0_CO2NA_TNA_control_outcome16.12</v>
      </c>
      <c r="AI1430">
        <v>2.4846528000000001</v>
      </c>
      <c r="AJ1430" t="s">
        <v>333</v>
      </c>
      <c r="AK1430" t="s">
        <v>59</v>
      </c>
      <c r="AM1430"/>
      <c r="AN1430">
        <v>16.115879710000002</v>
      </c>
      <c r="AO1430">
        <v>2.4548549359999998</v>
      </c>
      <c r="AP1430">
        <v>15.103394359999999</v>
      </c>
      <c r="AQ1430">
        <v>4.5166223629999998</v>
      </c>
      <c r="AS1430">
        <f t="shared" si="128"/>
        <v>-6.4885592678413317E-2</v>
      </c>
      <c r="AT1430">
        <f t="shared" si="129"/>
        <v>1.1444620666707426E-2</v>
      </c>
      <c r="AW1430" s="28">
        <f t="shared" si="130"/>
        <v>-0.26133731742605071</v>
      </c>
      <c r="AX1430">
        <f t="shared" si="131"/>
        <v>0.95238095238095233</v>
      </c>
      <c r="AY1430" s="62">
        <f t="shared" si="132"/>
        <v>-0.24889268326290542</v>
      </c>
      <c r="AZ1430" s="68" t="str">
        <f t="shared" si="133"/>
        <v>No</v>
      </c>
      <c r="BA1430" s="68" t="str">
        <f t="shared" si="134"/>
        <v>No</v>
      </c>
    </row>
    <row r="1431" spans="1:53" hidden="1">
      <c r="A1431" t="s">
        <v>1280</v>
      </c>
      <c r="B1431" t="str">
        <f t="shared" si="126"/>
        <v>1431_Hamraj</v>
      </c>
      <c r="C1431" t="s">
        <v>1612</v>
      </c>
      <c r="F1431" t="s">
        <v>1241</v>
      </c>
      <c r="G1431" t="s">
        <v>1581</v>
      </c>
      <c r="I1431">
        <v>2007</v>
      </c>
      <c r="M1431" s="25" t="s">
        <v>36</v>
      </c>
      <c r="N1431" t="s">
        <v>36</v>
      </c>
      <c r="O1431" t="s">
        <v>74</v>
      </c>
      <c r="P1431" t="s">
        <v>60</v>
      </c>
      <c r="Q1431" t="s">
        <v>899</v>
      </c>
      <c r="R1431" t="s">
        <v>868</v>
      </c>
      <c r="S1431" t="s">
        <v>1327</v>
      </c>
      <c r="T1431">
        <v>60</v>
      </c>
      <c r="V1431" t="s">
        <v>907</v>
      </c>
      <c r="Z1431">
        <v>7</v>
      </c>
      <c r="AA1431">
        <v>15</v>
      </c>
      <c r="AG1431" t="str">
        <f t="shared" si="127"/>
        <v>66HELLO_Oithona_similis_D0_CO2NA_TNA_control_outcome16.12</v>
      </c>
      <c r="AI1431">
        <v>3.7124394999999999</v>
      </c>
      <c r="AJ1431" t="s">
        <v>333</v>
      </c>
      <c r="AK1431" t="s">
        <v>59</v>
      </c>
      <c r="AM1431"/>
      <c r="AN1431">
        <v>16.115879710000002</v>
      </c>
      <c r="AO1431">
        <v>2.4548549359999998</v>
      </c>
      <c r="AP1431">
        <v>17.089413400000002</v>
      </c>
      <c r="AQ1431">
        <v>4.4009348030000002</v>
      </c>
      <c r="AS1431">
        <f t="shared" si="128"/>
        <v>5.86540690819084E-2</v>
      </c>
      <c r="AT1431">
        <f t="shared" si="129"/>
        <v>7.7359525399819783E-3</v>
      </c>
      <c r="AW1431" s="28">
        <f t="shared" si="130"/>
        <v>0.24835646922980878</v>
      </c>
      <c r="AX1431">
        <f t="shared" si="131"/>
        <v>0.96202531645569622</v>
      </c>
      <c r="AY1431" s="62">
        <f t="shared" si="132"/>
        <v>0.23892521090462618</v>
      </c>
      <c r="AZ1431" s="68" t="str">
        <f t="shared" si="133"/>
        <v>No</v>
      </c>
      <c r="BA1431" s="68" t="str">
        <f t="shared" si="134"/>
        <v>No</v>
      </c>
    </row>
    <row r="1432" spans="1:53" hidden="1">
      <c r="A1432" t="s">
        <v>1280</v>
      </c>
      <c r="B1432" t="str">
        <f t="shared" si="126"/>
        <v>1432_Hamraj</v>
      </c>
      <c r="C1432" t="s">
        <v>1612</v>
      </c>
      <c r="F1432" t="s">
        <v>1241</v>
      </c>
      <c r="G1432" t="s">
        <v>1582</v>
      </c>
      <c r="I1432">
        <v>2007</v>
      </c>
      <c r="M1432" s="25" t="s">
        <v>36</v>
      </c>
      <c r="N1432" t="s">
        <v>36</v>
      </c>
      <c r="O1432" t="s">
        <v>74</v>
      </c>
      <c r="P1432" t="s">
        <v>60</v>
      </c>
      <c r="Q1432" t="s">
        <v>899</v>
      </c>
      <c r="R1432" t="s">
        <v>868</v>
      </c>
      <c r="S1432" t="s">
        <v>1327</v>
      </c>
      <c r="T1432">
        <v>60</v>
      </c>
      <c r="V1432" t="s">
        <v>907</v>
      </c>
      <c r="Z1432">
        <v>7</v>
      </c>
      <c r="AA1432">
        <v>14</v>
      </c>
      <c r="AG1432" t="str">
        <f t="shared" si="127"/>
        <v>66HELLO_Oithona_similis_D0_CO2NA_TNA_control_outcome16.12</v>
      </c>
      <c r="AI1432">
        <v>3.7899837000000001</v>
      </c>
      <c r="AJ1432" t="s">
        <v>333</v>
      </c>
      <c r="AK1432" t="s">
        <v>59</v>
      </c>
      <c r="AM1432"/>
      <c r="AN1432">
        <v>16.115879710000002</v>
      </c>
      <c r="AO1432">
        <v>2.4548549359999998</v>
      </c>
      <c r="AP1432">
        <v>16.657725289999998</v>
      </c>
      <c r="AQ1432">
        <v>4.2747945520000004</v>
      </c>
      <c r="AS1432">
        <f t="shared" si="128"/>
        <v>3.306898691143223E-2</v>
      </c>
      <c r="AT1432">
        <f t="shared" si="129"/>
        <v>8.018751080606696E-3</v>
      </c>
      <c r="AW1432" s="28">
        <f t="shared" si="130"/>
        <v>0.14275802281217023</v>
      </c>
      <c r="AX1432">
        <f t="shared" si="131"/>
        <v>0.96</v>
      </c>
      <c r="AY1432" s="62">
        <f t="shared" si="132"/>
        <v>0.13704770189968341</v>
      </c>
      <c r="AZ1432" s="68" t="str">
        <f t="shared" si="133"/>
        <v>No</v>
      </c>
      <c r="BA1432" s="68" t="str">
        <f t="shared" si="134"/>
        <v>No</v>
      </c>
    </row>
    <row r="1433" spans="1:53" hidden="1">
      <c r="A1433" t="s">
        <v>1280</v>
      </c>
      <c r="B1433" t="str">
        <f t="shared" si="126"/>
        <v>1433_Hamraj</v>
      </c>
      <c r="C1433" t="s">
        <v>1612</v>
      </c>
      <c r="F1433" t="s">
        <v>1241</v>
      </c>
      <c r="G1433" t="s">
        <v>1583</v>
      </c>
      <c r="I1433">
        <v>2007</v>
      </c>
      <c r="M1433" s="25" t="s">
        <v>36</v>
      </c>
      <c r="N1433" t="s">
        <v>36</v>
      </c>
      <c r="O1433" t="s">
        <v>74</v>
      </c>
      <c r="P1433" t="s">
        <v>60</v>
      </c>
      <c r="Q1433" t="s">
        <v>899</v>
      </c>
      <c r="R1433" t="s">
        <v>868</v>
      </c>
      <c r="S1433" t="s">
        <v>1327</v>
      </c>
      <c r="T1433">
        <v>60</v>
      </c>
      <c r="V1433" t="s">
        <v>907</v>
      </c>
      <c r="Z1433">
        <v>7</v>
      </c>
      <c r="AA1433">
        <v>15</v>
      </c>
      <c r="AG1433" t="str">
        <f t="shared" si="127"/>
        <v>66HELLO_Oithona_similis_D0_CO2NA_TNA_control_outcome16.12</v>
      </c>
      <c r="AI1433">
        <v>4.1001615999999999</v>
      </c>
      <c r="AJ1433" t="s">
        <v>333</v>
      </c>
      <c r="AK1433" t="s">
        <v>59</v>
      </c>
      <c r="AM1433"/>
      <c r="AN1433">
        <v>16.115879710000002</v>
      </c>
      <c r="AO1433">
        <v>2.4548549359999998</v>
      </c>
      <c r="AP1433">
        <v>19.570815360000001</v>
      </c>
      <c r="AQ1433">
        <v>6.0503819859999997</v>
      </c>
      <c r="AS1433">
        <f t="shared" si="128"/>
        <v>0.19423434102082782</v>
      </c>
      <c r="AT1433">
        <f t="shared" si="129"/>
        <v>9.6864275918370699E-3</v>
      </c>
      <c r="AW1433" s="28">
        <f t="shared" si="130"/>
        <v>0.65963587333030216</v>
      </c>
      <c r="AX1433">
        <f t="shared" si="131"/>
        <v>0.96202531645569622</v>
      </c>
      <c r="AY1433" s="62">
        <f t="shared" si="132"/>
        <v>0.63458640978611347</v>
      </c>
      <c r="AZ1433" s="68" t="str">
        <f t="shared" si="133"/>
        <v>No</v>
      </c>
      <c r="BA1433" s="68" t="str">
        <f t="shared" si="134"/>
        <v>No</v>
      </c>
    </row>
    <row r="1434" spans="1:53" hidden="1">
      <c r="A1434" t="s">
        <v>1280</v>
      </c>
      <c r="B1434" t="str">
        <f t="shared" si="126"/>
        <v>1434_Hamraj</v>
      </c>
      <c r="C1434" t="s">
        <v>1612</v>
      </c>
      <c r="F1434" t="s">
        <v>1241</v>
      </c>
      <c r="G1434" t="s">
        <v>1584</v>
      </c>
      <c r="I1434">
        <v>2007</v>
      </c>
      <c r="M1434" s="25" t="s">
        <v>36</v>
      </c>
      <c r="N1434" t="s">
        <v>36</v>
      </c>
      <c r="O1434" t="s">
        <v>74</v>
      </c>
      <c r="P1434" t="s">
        <v>60</v>
      </c>
      <c r="Q1434" t="s">
        <v>899</v>
      </c>
      <c r="R1434" t="s">
        <v>868</v>
      </c>
      <c r="S1434" t="s">
        <v>1327</v>
      </c>
      <c r="T1434">
        <v>60</v>
      </c>
      <c r="V1434" t="s">
        <v>907</v>
      </c>
      <c r="Z1434">
        <v>7</v>
      </c>
      <c r="AA1434">
        <v>13</v>
      </c>
      <c r="AG1434" t="str">
        <f t="shared" si="127"/>
        <v>66HELLO_Oithona_similis_D0_CO2NA_TNA_control_outcome16.12</v>
      </c>
      <c r="AI1434">
        <v>4.3327947</v>
      </c>
      <c r="AJ1434" t="s">
        <v>333</v>
      </c>
      <c r="AK1434" t="s">
        <v>59</v>
      </c>
      <c r="AM1434"/>
      <c r="AN1434">
        <v>16.115879710000002</v>
      </c>
      <c r="AO1434">
        <v>2.4548549359999998</v>
      </c>
      <c r="AP1434">
        <v>15.847639689999999</v>
      </c>
      <c r="AQ1434">
        <v>4.7316602000000003</v>
      </c>
      <c r="AS1434">
        <f t="shared" si="128"/>
        <v>-1.6784529513455659E-2</v>
      </c>
      <c r="AT1434">
        <f t="shared" si="129"/>
        <v>1.0172032803434329E-2</v>
      </c>
      <c r="AW1434" s="28">
        <f t="shared" si="130"/>
        <v>-6.5183437345659068E-2</v>
      </c>
      <c r="AX1434">
        <f t="shared" si="131"/>
        <v>0.95774647887323949</v>
      </c>
      <c r="AY1434" s="62">
        <f t="shared" si="132"/>
        <v>-6.2429207598659393E-2</v>
      </c>
      <c r="AZ1434" s="68" t="str">
        <f t="shared" si="133"/>
        <v>No</v>
      </c>
      <c r="BA1434" s="68" t="str">
        <f t="shared" si="134"/>
        <v>No</v>
      </c>
    </row>
    <row r="1435" spans="1:53" hidden="1">
      <c r="A1435" t="s">
        <v>1280</v>
      </c>
      <c r="B1435" t="str">
        <f t="shared" si="126"/>
        <v>1435_Hamraj</v>
      </c>
      <c r="C1435" t="s">
        <v>1612</v>
      </c>
      <c r="F1435" t="s">
        <v>1241</v>
      </c>
      <c r="G1435" t="s">
        <v>1585</v>
      </c>
      <c r="I1435">
        <v>2007</v>
      </c>
      <c r="M1435" s="25" t="s">
        <v>36</v>
      </c>
      <c r="N1435" t="s">
        <v>36</v>
      </c>
      <c r="O1435" t="s">
        <v>74</v>
      </c>
      <c r="P1435" t="s">
        <v>60</v>
      </c>
      <c r="Q1435" t="s">
        <v>899</v>
      </c>
      <c r="R1435" t="s">
        <v>868</v>
      </c>
      <c r="S1435" t="s">
        <v>1327</v>
      </c>
      <c r="T1435">
        <v>60</v>
      </c>
      <c r="V1435" t="s">
        <v>907</v>
      </c>
      <c r="Z1435">
        <v>7</v>
      </c>
      <c r="AA1435">
        <v>14</v>
      </c>
      <c r="AG1435" t="str">
        <f t="shared" si="127"/>
        <v>66HELLO_Oithona_similis_D0_CO2NA_TNA_control_outcome16.12</v>
      </c>
      <c r="AI1435">
        <v>4.5137320000000001</v>
      </c>
      <c r="AJ1435" t="s">
        <v>333</v>
      </c>
      <c r="AK1435" t="s">
        <v>59</v>
      </c>
      <c r="AM1435"/>
      <c r="AN1435">
        <v>16.115879710000002</v>
      </c>
      <c r="AO1435">
        <v>2.4548549359999998</v>
      </c>
      <c r="AP1435">
        <v>17.435622429999999</v>
      </c>
      <c r="AQ1435">
        <v>4.1275760190000002</v>
      </c>
      <c r="AS1435">
        <f t="shared" si="128"/>
        <v>7.8710276228737275E-2</v>
      </c>
      <c r="AT1435">
        <f t="shared" si="129"/>
        <v>7.3177253823863992E-3</v>
      </c>
      <c r="AW1435" s="28">
        <f t="shared" si="130"/>
        <v>0.35839475924339737</v>
      </c>
      <c r="AX1435">
        <f t="shared" si="131"/>
        <v>0.96</v>
      </c>
      <c r="AY1435" s="62">
        <f t="shared" si="132"/>
        <v>0.34405896887366144</v>
      </c>
      <c r="AZ1435" s="68" t="str">
        <f t="shared" si="133"/>
        <v>No</v>
      </c>
      <c r="BA1435" s="68" t="str">
        <f t="shared" si="134"/>
        <v>No</v>
      </c>
    </row>
    <row r="1436" spans="1:53" hidden="1">
      <c r="A1436" t="s">
        <v>1280</v>
      </c>
      <c r="B1436" t="str">
        <f t="shared" si="126"/>
        <v>1436_Hamraj</v>
      </c>
      <c r="C1436" t="s">
        <v>1615</v>
      </c>
      <c r="F1436" t="s">
        <v>1241</v>
      </c>
      <c r="G1436" t="s">
        <v>1439</v>
      </c>
      <c r="I1436">
        <v>2012</v>
      </c>
      <c r="M1436" s="25" t="s">
        <v>36</v>
      </c>
      <c r="N1436" t="s">
        <v>36</v>
      </c>
      <c r="O1436" t="s">
        <v>74</v>
      </c>
      <c r="P1436" t="s">
        <v>60</v>
      </c>
      <c r="Q1436" t="s">
        <v>899</v>
      </c>
      <c r="R1436" t="s">
        <v>868</v>
      </c>
      <c r="S1436" t="s">
        <v>1406</v>
      </c>
      <c r="T1436">
        <v>60</v>
      </c>
      <c r="V1436" t="s">
        <v>907</v>
      </c>
      <c r="Z1436">
        <v>5</v>
      </c>
      <c r="AA1436">
        <v>5</v>
      </c>
      <c r="AG1436" t="str">
        <f t="shared" si="127"/>
        <v>67HELLO_Acartia_sp_D0_CO2NA_TNA_control_outcome4.00</v>
      </c>
      <c r="AI1436">
        <v>20</v>
      </c>
      <c r="AJ1436" t="s">
        <v>333</v>
      </c>
      <c r="AK1436" t="s">
        <v>59</v>
      </c>
      <c r="AM1436"/>
      <c r="AN1436">
        <v>4</v>
      </c>
      <c r="AO1436">
        <v>1.58113883</v>
      </c>
      <c r="AP1436">
        <v>6.6</v>
      </c>
      <c r="AQ1436">
        <v>1.917028951</v>
      </c>
      <c r="AS1436">
        <f t="shared" si="128"/>
        <v>0.50077528791248915</v>
      </c>
      <c r="AT1436">
        <f t="shared" si="129"/>
        <v>4.8123278228867528E-2</v>
      </c>
      <c r="AW1436" s="28">
        <f t="shared" si="130"/>
        <v>1.4796870225386736</v>
      </c>
      <c r="AX1436">
        <f t="shared" si="131"/>
        <v>0.90322580645161288</v>
      </c>
      <c r="AY1436" s="62">
        <f t="shared" si="132"/>
        <v>1.3364915042284793</v>
      </c>
      <c r="AZ1436" s="68" t="str">
        <f t="shared" si="133"/>
        <v>No</v>
      </c>
      <c r="BA1436" s="68" t="str">
        <f t="shared" si="134"/>
        <v>No</v>
      </c>
    </row>
    <row r="1437" spans="1:53" hidden="1">
      <c r="A1437" t="s">
        <v>1280</v>
      </c>
      <c r="B1437" t="str">
        <f t="shared" si="126"/>
        <v>1437_Hamraj</v>
      </c>
      <c r="C1437" t="s">
        <v>1615</v>
      </c>
      <c r="F1437" t="s">
        <v>1241</v>
      </c>
      <c r="G1437" t="s">
        <v>1586</v>
      </c>
      <c r="I1437">
        <v>2016</v>
      </c>
      <c r="M1437" s="25" t="s">
        <v>36</v>
      </c>
      <c r="N1437" t="s">
        <v>36</v>
      </c>
      <c r="O1437" t="s">
        <v>74</v>
      </c>
      <c r="P1437" t="s">
        <v>60</v>
      </c>
      <c r="Q1437" t="s">
        <v>899</v>
      </c>
      <c r="R1437" t="s">
        <v>828</v>
      </c>
      <c r="S1437" t="s">
        <v>1406</v>
      </c>
      <c r="T1437">
        <v>60</v>
      </c>
      <c r="V1437" t="s">
        <v>907</v>
      </c>
      <c r="Z1437">
        <v>3</v>
      </c>
      <c r="AA1437">
        <v>3</v>
      </c>
      <c r="AG1437" t="str">
        <f t="shared" si="127"/>
        <v>67HELLO_Acartia_sp_D0_CO2NA_TNA_control_outcome6.89</v>
      </c>
      <c r="AI1437">
        <v>12</v>
      </c>
      <c r="AJ1437" t="s">
        <v>333</v>
      </c>
      <c r="AK1437" t="s">
        <v>59</v>
      </c>
      <c r="AM1437"/>
      <c r="AN1437">
        <v>6.8866666670000001</v>
      </c>
      <c r="AO1437">
        <v>1.1672917039999999</v>
      </c>
      <c r="AP1437">
        <v>11.21526667</v>
      </c>
      <c r="AQ1437">
        <v>2.8866592359999999</v>
      </c>
      <c r="AS1437">
        <f t="shared" si="128"/>
        <v>0.4876887705936197</v>
      </c>
      <c r="AT1437">
        <f t="shared" si="129"/>
        <v>3.1659396738735093E-2</v>
      </c>
      <c r="AW1437" s="28">
        <f t="shared" si="130"/>
        <v>1.965985120792036</v>
      </c>
      <c r="AX1437">
        <f t="shared" si="131"/>
        <v>0.8</v>
      </c>
      <c r="AY1437" s="62">
        <f t="shared" si="132"/>
        <v>1.572788096633629</v>
      </c>
      <c r="AZ1437" s="68" t="str">
        <f t="shared" si="133"/>
        <v>No</v>
      </c>
      <c r="BA1437" s="68" t="str">
        <f t="shared" si="134"/>
        <v>No</v>
      </c>
    </row>
    <row r="1438" spans="1:53" hidden="1">
      <c r="A1438" t="s">
        <v>1280</v>
      </c>
      <c r="B1438" t="str">
        <f t="shared" si="126"/>
        <v>1438_Hamraj</v>
      </c>
      <c r="C1438" t="s">
        <v>1615</v>
      </c>
      <c r="F1438" t="s">
        <v>1241</v>
      </c>
      <c r="G1438" t="s">
        <v>1587</v>
      </c>
      <c r="I1438">
        <v>2016</v>
      </c>
      <c r="M1438" s="25" t="s">
        <v>36</v>
      </c>
      <c r="N1438" t="s">
        <v>36</v>
      </c>
      <c r="O1438" t="s">
        <v>74</v>
      </c>
      <c r="P1438" t="s">
        <v>60</v>
      </c>
      <c r="Q1438" t="s">
        <v>899</v>
      </c>
      <c r="R1438" t="s">
        <v>828</v>
      </c>
      <c r="S1438" t="s">
        <v>1406</v>
      </c>
      <c r="T1438">
        <v>60</v>
      </c>
      <c r="V1438" t="s">
        <v>907</v>
      </c>
      <c r="Z1438">
        <v>3</v>
      </c>
      <c r="AA1438">
        <v>3</v>
      </c>
      <c r="AG1438" t="str">
        <f t="shared" si="127"/>
        <v>67HELLO_Acartia_sp_D0_CO2NA_TNA_control_outcome6.89</v>
      </c>
      <c r="AI1438">
        <v>15</v>
      </c>
      <c r="AJ1438" t="s">
        <v>333</v>
      </c>
      <c r="AK1438" t="s">
        <v>59</v>
      </c>
      <c r="AM1438"/>
      <c r="AN1438">
        <v>6.8866666670000001</v>
      </c>
      <c r="AO1438">
        <v>1.1672917039999999</v>
      </c>
      <c r="AP1438">
        <v>5.6315333330000001</v>
      </c>
      <c r="AQ1438">
        <v>0.65854221800000001</v>
      </c>
      <c r="AS1438">
        <f t="shared" si="128"/>
        <v>-0.2012054195567865</v>
      </c>
      <c r="AT1438">
        <f t="shared" si="129"/>
        <v>1.4134970554758451E-2</v>
      </c>
      <c r="AW1438" s="28">
        <f t="shared" si="130"/>
        <v>-1.3244078310269296</v>
      </c>
      <c r="AX1438">
        <f t="shared" si="131"/>
        <v>0.8</v>
      </c>
      <c r="AY1438" s="62">
        <f t="shared" si="132"/>
        <v>-1.0595262648215438</v>
      </c>
      <c r="AZ1438" s="68" t="str">
        <f t="shared" si="133"/>
        <v>No</v>
      </c>
      <c r="BA1438" s="68" t="str">
        <f t="shared" si="134"/>
        <v>No</v>
      </c>
    </row>
    <row r="1439" spans="1:53" hidden="1">
      <c r="A1439" t="s">
        <v>1280</v>
      </c>
      <c r="B1439" t="str">
        <f t="shared" si="126"/>
        <v>1439_Hamraj</v>
      </c>
      <c r="C1439" t="s">
        <v>1613</v>
      </c>
      <c r="F1439" t="s">
        <v>1241</v>
      </c>
      <c r="G1439" t="s">
        <v>1442</v>
      </c>
      <c r="I1439">
        <v>2014</v>
      </c>
      <c r="M1439" s="25" t="s">
        <v>36</v>
      </c>
      <c r="N1439" t="s">
        <v>36</v>
      </c>
      <c r="O1439" t="s">
        <v>74</v>
      </c>
      <c r="P1439" t="s">
        <v>60</v>
      </c>
      <c r="Q1439" t="s">
        <v>899</v>
      </c>
      <c r="R1439" t="s">
        <v>828</v>
      </c>
      <c r="S1439" t="s">
        <v>1409</v>
      </c>
      <c r="T1439">
        <v>37</v>
      </c>
      <c r="V1439" t="s">
        <v>907</v>
      </c>
      <c r="Z1439">
        <v>5</v>
      </c>
      <c r="AA1439">
        <v>5</v>
      </c>
      <c r="AG1439" t="str">
        <f t="shared" si="127"/>
        <v>68HELLO_Acartia_clausi_D0_CO2NA_TNA_control_outcome3.88</v>
      </c>
      <c r="AI1439">
        <v>20</v>
      </c>
      <c r="AJ1439" t="s">
        <v>333</v>
      </c>
      <c r="AK1439" t="s">
        <v>59</v>
      </c>
      <c r="AM1439"/>
      <c r="AN1439">
        <v>3.88</v>
      </c>
      <c r="AO1439">
        <v>1.194571053</v>
      </c>
      <c r="AP1439">
        <v>3.02</v>
      </c>
      <c r="AQ1439">
        <v>0.85556998500000003</v>
      </c>
      <c r="AS1439">
        <f t="shared" si="128"/>
        <v>-0.25057832224840371</v>
      </c>
      <c r="AT1439">
        <f t="shared" si="129"/>
        <v>3.5009840175894508E-2</v>
      </c>
      <c r="AW1439" s="28">
        <f t="shared" si="130"/>
        <v>-0.82772701151427985</v>
      </c>
      <c r="AX1439">
        <f t="shared" si="131"/>
        <v>0.90322580645161288</v>
      </c>
      <c r="AY1439" s="62">
        <f t="shared" si="132"/>
        <v>-0.7476243974967689</v>
      </c>
      <c r="AZ1439" s="68" t="str">
        <f t="shared" si="133"/>
        <v>No</v>
      </c>
      <c r="BA1439" s="68" t="str">
        <f t="shared" si="134"/>
        <v>No</v>
      </c>
    </row>
    <row r="1440" spans="1:53" hidden="1">
      <c r="A1440" t="s">
        <v>1280</v>
      </c>
      <c r="B1440" t="str">
        <f t="shared" si="126"/>
        <v>1440_Hamraj</v>
      </c>
      <c r="C1440" t="s">
        <v>1614</v>
      </c>
      <c r="F1440" t="s">
        <v>1241</v>
      </c>
      <c r="G1440" t="s">
        <v>1588</v>
      </c>
      <c r="I1440">
        <v>2019</v>
      </c>
      <c r="M1440" s="25" t="s">
        <v>36</v>
      </c>
      <c r="N1440" t="s">
        <v>36</v>
      </c>
      <c r="O1440" t="s">
        <v>74</v>
      </c>
      <c r="P1440" t="s">
        <v>60</v>
      </c>
      <c r="Q1440" t="s">
        <v>899</v>
      </c>
      <c r="R1440" t="s">
        <v>828</v>
      </c>
      <c r="S1440" t="s">
        <v>807</v>
      </c>
      <c r="T1440">
        <v>23</v>
      </c>
      <c r="V1440" t="s">
        <v>907</v>
      </c>
      <c r="Z1440">
        <v>23</v>
      </c>
      <c r="AA1440">
        <v>28</v>
      </c>
      <c r="AG1440" t="str">
        <f t="shared" si="127"/>
        <v>69HELLO_Acartia_tonsa_D0_CO2NA_TNA_control_outcome13.65</v>
      </c>
      <c r="AI1440">
        <v>15</v>
      </c>
      <c r="AJ1440" t="s">
        <v>333</v>
      </c>
      <c r="AK1440" t="s">
        <v>59</v>
      </c>
      <c r="AM1440"/>
      <c r="AN1440">
        <v>13.65217391</v>
      </c>
      <c r="AO1440">
        <v>5.788772013</v>
      </c>
      <c r="AP1440">
        <v>15.10714286</v>
      </c>
      <c r="AQ1440">
        <v>4.3148261689999998</v>
      </c>
      <c r="AS1440">
        <f t="shared" si="128"/>
        <v>0.10126889930402561</v>
      </c>
      <c r="AT1440">
        <f t="shared" si="129"/>
        <v>1.0730449158296285E-2</v>
      </c>
      <c r="AW1440" s="28">
        <f t="shared" si="130"/>
        <v>0.28924052581578447</v>
      </c>
      <c r="AX1440">
        <f t="shared" si="131"/>
        <v>0.98461538461538467</v>
      </c>
      <c r="AY1440" s="62">
        <f t="shared" si="132"/>
        <v>0.28479067157246474</v>
      </c>
      <c r="AZ1440" s="68" t="str">
        <f t="shared" si="133"/>
        <v>No</v>
      </c>
      <c r="BA1440" s="68" t="str">
        <f t="shared" si="134"/>
        <v>No</v>
      </c>
    </row>
    <row r="1441" spans="1:53" hidden="1">
      <c r="A1441" t="s">
        <v>1280</v>
      </c>
      <c r="B1441" t="str">
        <f t="shared" si="126"/>
        <v>1441_Hamraj</v>
      </c>
      <c r="C1441" t="s">
        <v>1614</v>
      </c>
      <c r="F1441" t="s">
        <v>1241</v>
      </c>
      <c r="G1441" t="s">
        <v>1589</v>
      </c>
      <c r="I1441">
        <v>2019</v>
      </c>
      <c r="M1441" s="25" t="s">
        <v>36</v>
      </c>
      <c r="N1441" t="s">
        <v>36</v>
      </c>
      <c r="O1441" t="s">
        <v>74</v>
      </c>
      <c r="P1441" t="s">
        <v>60</v>
      </c>
      <c r="Q1441" t="s">
        <v>899</v>
      </c>
      <c r="R1441" t="s">
        <v>828</v>
      </c>
      <c r="S1441" t="s">
        <v>807</v>
      </c>
      <c r="T1441">
        <v>23</v>
      </c>
      <c r="V1441" t="s">
        <v>907</v>
      </c>
      <c r="Z1441">
        <v>6</v>
      </c>
      <c r="AA1441">
        <v>15</v>
      </c>
      <c r="AG1441" t="str">
        <f t="shared" si="127"/>
        <v>69HELLO_Acartia_tonsa_D0_CO2NA_TNA_control_outcome7.83</v>
      </c>
      <c r="AI1441">
        <v>17</v>
      </c>
      <c r="AJ1441" t="s">
        <v>333</v>
      </c>
      <c r="AK1441" t="s">
        <v>59</v>
      </c>
      <c r="AM1441"/>
      <c r="AN1441">
        <v>7.8333333329999997</v>
      </c>
      <c r="AO1441">
        <v>2.7141603980000002</v>
      </c>
      <c r="AP1441">
        <v>8.0538348989999999</v>
      </c>
      <c r="AQ1441">
        <v>4.5779796999999997E-2</v>
      </c>
      <c r="AS1441">
        <f t="shared" si="128"/>
        <v>2.7760230524670693E-2</v>
      </c>
      <c r="AT1441">
        <f t="shared" si="129"/>
        <v>2.0011207897012957E-2</v>
      </c>
      <c r="AW1441" s="28">
        <f t="shared" si="130"/>
        <v>0.15830515546414814</v>
      </c>
      <c r="AX1441">
        <f t="shared" si="131"/>
        <v>0.96</v>
      </c>
      <c r="AY1441" s="62">
        <f t="shared" si="132"/>
        <v>0.15197294924558222</v>
      </c>
      <c r="AZ1441" s="68" t="str">
        <f t="shared" si="133"/>
        <v>No</v>
      </c>
      <c r="BA1441" s="68" t="str">
        <f t="shared" si="134"/>
        <v>No</v>
      </c>
    </row>
    <row r="1442" spans="1:53" hidden="1">
      <c r="A1442" t="s">
        <v>1136</v>
      </c>
      <c r="B1442" t="s">
        <v>3674</v>
      </c>
      <c r="C1442" t="s">
        <v>1152</v>
      </c>
      <c r="F1442" t="s">
        <v>1241</v>
      </c>
      <c r="G1442" t="s">
        <v>1107</v>
      </c>
      <c r="M1442" s="25" t="s">
        <v>36</v>
      </c>
      <c r="N1442" t="s">
        <v>36</v>
      </c>
      <c r="P1442" t="s">
        <v>60</v>
      </c>
      <c r="Q1442" t="s">
        <v>900</v>
      </c>
      <c r="R1442" t="s">
        <v>1742</v>
      </c>
      <c r="S1442" t="s">
        <v>1137</v>
      </c>
      <c r="V1442" t="s">
        <v>905</v>
      </c>
      <c r="X1442">
        <v>87</v>
      </c>
      <c r="Z1442">
        <v>60</v>
      </c>
      <c r="AA1442">
        <v>60</v>
      </c>
      <c r="AC1442" t="s">
        <v>3758</v>
      </c>
      <c r="AD1442">
        <v>26.2</v>
      </c>
      <c r="AE1442" t="s">
        <v>3758</v>
      </c>
      <c r="AF1442">
        <v>25.6</v>
      </c>
      <c r="AG1442" t="str">
        <f t="shared" ref="AG1442:AG1473" si="135">C1442 &amp; "_" &amp;
SUBSTITUTE(TRIM(S1442)," ","_") &amp; "_" &amp;
"D" &amp; TEXT(X1442,"0") &amp; "_" &amp;
"CO2" &amp; IF(AC1442&lt;&gt;"",TEXT(AC1442,"0.00"),"NA") &amp; "_" &amp;
"T" &amp; IF(AD1442&lt;&gt;"",TEXT(AD1442,"0.00"),"NA")</f>
        <v>1KRI_Schizoporella_errata_D87_CO2na_T26.20</v>
      </c>
      <c r="AJ1442" t="s">
        <v>40</v>
      </c>
      <c r="AK1442" t="s">
        <v>40</v>
      </c>
      <c r="AM1442"/>
      <c r="AN1442">
        <v>661.1</v>
      </c>
      <c r="AO1442">
        <v>36.1</v>
      </c>
      <c r="AP1442">
        <v>635.29999999999995</v>
      </c>
      <c r="AQ1442">
        <v>47.9</v>
      </c>
      <c r="AR1442" t="s">
        <v>3760</v>
      </c>
      <c r="AS1442">
        <f t="shared" si="128"/>
        <v>-3.9807786067044937E-2</v>
      </c>
      <c r="AT1442">
        <f t="shared" si="129"/>
        <v>1.4444310519689545E-4</v>
      </c>
      <c r="AW1442" s="28">
        <f t="shared" si="130"/>
        <v>-0.60831294628959298</v>
      </c>
      <c r="AX1442">
        <f t="shared" si="131"/>
        <v>0.99363057324840764</v>
      </c>
      <c r="AY1442" s="62">
        <f t="shared" si="132"/>
        <v>-0.60443834153615605</v>
      </c>
      <c r="AZ1442" s="68" t="str">
        <f t="shared" si="133"/>
        <v>No</v>
      </c>
      <c r="BA1442" s="68" t="str">
        <f t="shared" si="134"/>
        <v>No</v>
      </c>
    </row>
    <row r="1443" spans="1:53" hidden="1">
      <c r="A1443" t="s">
        <v>1136</v>
      </c>
      <c r="B1443" t="s">
        <v>3675</v>
      </c>
      <c r="C1443" t="s">
        <v>1153</v>
      </c>
      <c r="F1443" t="s">
        <v>1241</v>
      </c>
      <c r="G1443" t="s">
        <v>1108</v>
      </c>
      <c r="M1443" s="25" t="s">
        <v>36</v>
      </c>
      <c r="N1443" t="s">
        <v>36</v>
      </c>
      <c r="P1443" t="s">
        <v>60</v>
      </c>
      <c r="Q1443" t="s">
        <v>900</v>
      </c>
      <c r="R1443" t="s">
        <v>827</v>
      </c>
      <c r="S1443" t="s">
        <v>1138</v>
      </c>
      <c r="V1443" t="s">
        <v>1015</v>
      </c>
      <c r="X1443">
        <v>150</v>
      </c>
      <c r="Z1443">
        <v>9</v>
      </c>
      <c r="AA1443">
        <v>27</v>
      </c>
      <c r="AC1443">
        <v>692</v>
      </c>
      <c r="AD1443">
        <v>10</v>
      </c>
      <c r="AE1443">
        <v>1198</v>
      </c>
      <c r="AF1443">
        <v>14</v>
      </c>
      <c r="AG1443" t="str">
        <f t="shared" si="135"/>
        <v>2KRI_Homarus_gammarus_D150_CO2692.00_T10.00</v>
      </c>
      <c r="AJ1443" t="s">
        <v>40</v>
      </c>
      <c r="AK1443" t="s">
        <v>40</v>
      </c>
      <c r="AM1443"/>
      <c r="AN1443">
        <v>3.9</v>
      </c>
      <c r="AO1443">
        <v>0.19</v>
      </c>
      <c r="AP1443">
        <v>4.07</v>
      </c>
      <c r="AQ1443">
        <v>0.08</v>
      </c>
      <c r="AR1443" t="s">
        <v>3761</v>
      </c>
      <c r="AS1443">
        <f t="shared" si="128"/>
        <v>4.266644631890304E-2</v>
      </c>
      <c r="AT1443">
        <f t="shared" si="129"/>
        <v>2.7802498853969908E-4</v>
      </c>
      <c r="AW1443" s="28">
        <f t="shared" si="130"/>
        <v>1.4692214262312613</v>
      </c>
      <c r="AX1443">
        <f t="shared" si="131"/>
        <v>0.97777777777777775</v>
      </c>
      <c r="AY1443" s="62">
        <f t="shared" si="132"/>
        <v>1.4365720612038999</v>
      </c>
      <c r="AZ1443" s="68" t="str">
        <f t="shared" si="133"/>
        <v>No</v>
      </c>
      <c r="BA1443" s="68" t="str">
        <f t="shared" si="134"/>
        <v>No</v>
      </c>
    </row>
    <row r="1444" spans="1:53" hidden="1">
      <c r="A1444" t="s">
        <v>1136</v>
      </c>
      <c r="B1444" t="s">
        <v>3676</v>
      </c>
      <c r="C1444" t="s">
        <v>1154</v>
      </c>
      <c r="F1444" t="s">
        <v>1241</v>
      </c>
      <c r="G1444" t="s">
        <v>1109</v>
      </c>
      <c r="M1444" s="25" t="s">
        <v>36</v>
      </c>
      <c r="N1444" t="s">
        <v>36</v>
      </c>
      <c r="P1444" t="s">
        <v>60</v>
      </c>
      <c r="Q1444" t="s">
        <v>900</v>
      </c>
      <c r="R1444" t="s">
        <v>827</v>
      </c>
      <c r="S1444" t="s">
        <v>1138</v>
      </c>
      <c r="V1444" t="s">
        <v>905</v>
      </c>
      <c r="X1444">
        <v>28</v>
      </c>
      <c r="Z1444">
        <v>9</v>
      </c>
      <c r="AA1444">
        <v>9</v>
      </c>
      <c r="AC1444">
        <v>315</v>
      </c>
      <c r="AD1444">
        <v>17</v>
      </c>
      <c r="AE1444">
        <v>1202</v>
      </c>
      <c r="AF1444">
        <v>17</v>
      </c>
      <c r="AG1444" t="str">
        <f t="shared" si="135"/>
        <v>3KRI_Homarus_gammarus_D28_CO2315.00_T17.00</v>
      </c>
      <c r="AJ1444" t="s">
        <v>40</v>
      </c>
      <c r="AK1444" t="s">
        <v>40</v>
      </c>
      <c r="AM1444"/>
      <c r="AN1444">
        <v>1.07</v>
      </c>
      <c r="AO1444">
        <v>0.04</v>
      </c>
      <c r="AP1444">
        <v>1.02</v>
      </c>
      <c r="AQ1444">
        <v>0.02</v>
      </c>
      <c r="AR1444" t="s">
        <v>3762</v>
      </c>
      <c r="AS1444">
        <f t="shared" si="128"/>
        <v>-4.7856021177635134E-2</v>
      </c>
      <c r="AT1444">
        <f t="shared" si="129"/>
        <v>1.9799660863692586E-4</v>
      </c>
      <c r="AW1444" s="28">
        <f t="shared" si="130"/>
        <v>-1.5811388300841911</v>
      </c>
      <c r="AX1444">
        <f t="shared" si="131"/>
        <v>0.95238095238095233</v>
      </c>
      <c r="AY1444" s="62">
        <f t="shared" si="132"/>
        <v>-1.5058465048420866</v>
      </c>
      <c r="AZ1444" s="68" t="str">
        <f t="shared" si="133"/>
        <v>No</v>
      </c>
      <c r="BA1444" s="68" t="str">
        <f t="shared" si="134"/>
        <v>No</v>
      </c>
    </row>
    <row r="1445" spans="1:53" hidden="1">
      <c r="A1445" t="s">
        <v>1136</v>
      </c>
      <c r="B1445" t="s">
        <v>3677</v>
      </c>
      <c r="C1445" t="s">
        <v>1155</v>
      </c>
      <c r="F1445" t="s">
        <v>1241</v>
      </c>
      <c r="G1445" t="s">
        <v>1110</v>
      </c>
      <c r="M1445" s="25" t="s">
        <v>36</v>
      </c>
      <c r="N1445" t="s">
        <v>36</v>
      </c>
      <c r="P1445" t="s">
        <v>60</v>
      </c>
      <c r="Q1445" t="s">
        <v>900</v>
      </c>
      <c r="R1445" t="s">
        <v>827</v>
      </c>
      <c r="S1445" t="s">
        <v>912</v>
      </c>
      <c r="V1445" t="s">
        <v>905</v>
      </c>
      <c r="X1445">
        <v>35</v>
      </c>
      <c r="Z1445">
        <v>1600</v>
      </c>
      <c r="AA1445">
        <v>1600</v>
      </c>
      <c r="AC1445">
        <v>375</v>
      </c>
      <c r="AD1445">
        <v>5</v>
      </c>
      <c r="AE1445">
        <v>1312</v>
      </c>
      <c r="AF1445">
        <v>5</v>
      </c>
      <c r="AG1445" t="str">
        <f t="shared" si="135"/>
        <v>4KRI_Pandalus_borealis_D35_CO2375.00_T5.00</v>
      </c>
      <c r="AJ1445" t="s">
        <v>69</v>
      </c>
      <c r="AK1445" t="s">
        <v>69</v>
      </c>
      <c r="AM1445"/>
      <c r="AN1445">
        <v>37.5</v>
      </c>
      <c r="AO1445">
        <v>12.5</v>
      </c>
      <c r="AP1445">
        <v>25.1</v>
      </c>
      <c r="AQ1445">
        <v>12.7</v>
      </c>
      <c r="AR1445" t="s">
        <v>3763</v>
      </c>
      <c r="AS1445">
        <f t="shared" si="128"/>
        <v>-0.4014730868386267</v>
      </c>
      <c r="AT1445">
        <f t="shared" si="129"/>
        <v>2.2945182527966924E-4</v>
      </c>
      <c r="AW1445" s="28">
        <f t="shared" si="130"/>
        <v>-0.98409599141801118</v>
      </c>
      <c r="AX1445">
        <f t="shared" si="131"/>
        <v>0.99976546008912515</v>
      </c>
      <c r="AY1445" s="62">
        <f t="shared" si="132"/>
        <v>-0.98386518163189174</v>
      </c>
      <c r="AZ1445" s="68" t="str">
        <f t="shared" si="133"/>
        <v>No</v>
      </c>
      <c r="BA1445" s="68" t="str">
        <f t="shared" si="134"/>
        <v>No</v>
      </c>
    </row>
    <row r="1446" spans="1:53" hidden="1">
      <c r="A1446" t="s">
        <v>1136</v>
      </c>
      <c r="B1446" t="s">
        <v>3678</v>
      </c>
      <c r="C1446" t="s">
        <v>1156</v>
      </c>
      <c r="F1446" t="s">
        <v>1241</v>
      </c>
      <c r="G1446" t="s">
        <v>1111</v>
      </c>
      <c r="M1446" s="25" t="s">
        <v>36</v>
      </c>
      <c r="N1446" t="s">
        <v>36</v>
      </c>
      <c r="P1446" t="s">
        <v>60</v>
      </c>
      <c r="Q1446" t="s">
        <v>899</v>
      </c>
      <c r="R1446" t="s">
        <v>828</v>
      </c>
      <c r="S1446" t="s">
        <v>807</v>
      </c>
      <c r="V1446" t="s">
        <v>905</v>
      </c>
      <c r="X1446">
        <v>4</v>
      </c>
      <c r="Z1446">
        <v>70</v>
      </c>
      <c r="AA1446">
        <v>70</v>
      </c>
      <c r="AC1446">
        <v>375</v>
      </c>
      <c r="AD1446">
        <v>24.41</v>
      </c>
      <c r="AE1446">
        <v>940</v>
      </c>
      <c r="AF1446">
        <v>24.1</v>
      </c>
      <c r="AG1446" t="str">
        <f t="shared" si="135"/>
        <v>5KRI_Acartia_tonsa_D4_CO2375.00_T24.41</v>
      </c>
      <c r="AJ1446" t="s">
        <v>59</v>
      </c>
      <c r="AK1446" t="s">
        <v>59</v>
      </c>
      <c r="AM1446"/>
      <c r="AN1446">
        <v>88.31</v>
      </c>
      <c r="AO1446">
        <v>2.27</v>
      </c>
      <c r="AP1446">
        <v>74.92</v>
      </c>
      <c r="AQ1446">
        <v>1.71</v>
      </c>
      <c r="AR1446" t="s">
        <v>3764</v>
      </c>
      <c r="AS1446">
        <f t="shared" si="128"/>
        <v>-0.16443247390482352</v>
      </c>
      <c r="AT1446">
        <f t="shared" si="129"/>
        <v>1.6881325950124669E-5</v>
      </c>
      <c r="AW1446" s="28">
        <f t="shared" si="130"/>
        <v>-6.6630110484130212</v>
      </c>
      <c r="AX1446">
        <f t="shared" si="131"/>
        <v>0.99455535390199634</v>
      </c>
      <c r="AY1446" s="62">
        <f t="shared" si="132"/>
        <v>-6.6267333113073237</v>
      </c>
      <c r="AZ1446" s="68" t="str">
        <f t="shared" si="133"/>
        <v>No</v>
      </c>
      <c r="BA1446" s="68" t="str">
        <f t="shared" si="134"/>
        <v>No</v>
      </c>
    </row>
    <row r="1447" spans="1:53" hidden="1">
      <c r="A1447" t="s">
        <v>1136</v>
      </c>
      <c r="B1447" t="s">
        <v>3679</v>
      </c>
      <c r="C1447" t="s">
        <v>1157</v>
      </c>
      <c r="F1447" t="s">
        <v>1241</v>
      </c>
      <c r="G1447" t="s">
        <v>1112</v>
      </c>
      <c r="M1447" s="25" t="s">
        <v>36</v>
      </c>
      <c r="N1447" t="s">
        <v>36</v>
      </c>
      <c r="P1447" t="s">
        <v>60</v>
      </c>
      <c r="Q1447" t="s">
        <v>899</v>
      </c>
      <c r="R1447" t="s">
        <v>828</v>
      </c>
      <c r="S1447" t="s">
        <v>807</v>
      </c>
      <c r="V1447" t="s">
        <v>905</v>
      </c>
      <c r="X1447">
        <v>4</v>
      </c>
      <c r="Z1447">
        <v>72</v>
      </c>
      <c r="AA1447">
        <v>72</v>
      </c>
      <c r="AC1447">
        <v>385</v>
      </c>
      <c r="AD1447">
        <v>24</v>
      </c>
      <c r="AE1447">
        <v>1000</v>
      </c>
      <c r="AF1447">
        <v>24</v>
      </c>
      <c r="AG1447" t="str">
        <f t="shared" si="135"/>
        <v>6KRI_Acartia_tonsa_D4_CO2385.00_T24.00</v>
      </c>
      <c r="AJ1447" t="s">
        <v>59</v>
      </c>
      <c r="AK1447" t="s">
        <v>59</v>
      </c>
      <c r="AM1447"/>
      <c r="AN1447">
        <v>90.55</v>
      </c>
      <c r="AO1447">
        <v>3.42</v>
      </c>
      <c r="AP1447">
        <v>81.400000000000006</v>
      </c>
      <c r="AQ1447">
        <v>3.02</v>
      </c>
      <c r="AR1447" t="s">
        <v>3765</v>
      </c>
      <c r="AS1447">
        <f t="shared" si="128"/>
        <v>-0.10652691132092773</v>
      </c>
      <c r="AT1447">
        <f t="shared" si="129"/>
        <v>3.8930226080382424E-5</v>
      </c>
      <c r="AW1447" s="28">
        <f t="shared" si="130"/>
        <v>-2.8361494168772867</v>
      </c>
      <c r="AX1447">
        <f t="shared" si="131"/>
        <v>0.99470899470899465</v>
      </c>
      <c r="AY1447" s="62">
        <f t="shared" si="132"/>
        <v>-2.8211433353065072</v>
      </c>
      <c r="AZ1447" s="68" t="str">
        <f t="shared" si="133"/>
        <v>No</v>
      </c>
      <c r="BA1447" s="68" t="str">
        <f t="shared" si="134"/>
        <v>No</v>
      </c>
    </row>
    <row r="1448" spans="1:53" hidden="1">
      <c r="A1448" t="s">
        <v>1136</v>
      </c>
      <c r="B1448" t="s">
        <v>3680</v>
      </c>
      <c r="C1448" t="s">
        <v>1157</v>
      </c>
      <c r="F1448" t="s">
        <v>1241</v>
      </c>
      <c r="G1448" t="s">
        <v>1112</v>
      </c>
      <c r="M1448" s="25" t="s">
        <v>36</v>
      </c>
      <c r="N1448" t="s">
        <v>36</v>
      </c>
      <c r="P1448" t="s">
        <v>60</v>
      </c>
      <c r="Q1448" t="s">
        <v>899</v>
      </c>
      <c r="R1448" t="s">
        <v>828</v>
      </c>
      <c r="S1448" t="s">
        <v>807</v>
      </c>
      <c r="V1448" t="s">
        <v>905</v>
      </c>
      <c r="X1448">
        <v>4</v>
      </c>
      <c r="Z1448">
        <v>350</v>
      </c>
      <c r="AA1448">
        <v>350</v>
      </c>
      <c r="AC1448">
        <v>385</v>
      </c>
      <c r="AD1448">
        <v>24</v>
      </c>
      <c r="AE1448">
        <v>1000</v>
      </c>
      <c r="AF1448">
        <v>24</v>
      </c>
      <c r="AG1448" t="str">
        <f t="shared" si="135"/>
        <v>6KRI_Acartia_tonsa_D4_CO2385.00_T24.00</v>
      </c>
      <c r="AJ1448" t="s">
        <v>69</v>
      </c>
      <c r="AK1448" t="s">
        <v>69</v>
      </c>
      <c r="AM1448"/>
      <c r="AN1448">
        <v>0.20069999999999999</v>
      </c>
      <c r="AO1448">
        <v>1.4E-2</v>
      </c>
      <c r="AP1448">
        <v>0.20039999999999999</v>
      </c>
      <c r="AQ1448">
        <v>2.8000000000000001E-2</v>
      </c>
      <c r="AR1448" t="s">
        <v>3766</v>
      </c>
      <c r="AS1448">
        <f t="shared" si="128"/>
        <v>-1.4958865915826181E-3</v>
      </c>
      <c r="AT1448">
        <f t="shared" si="129"/>
        <v>6.9679182321929725E-5</v>
      </c>
      <c r="AW1448" s="28">
        <f t="shared" si="130"/>
        <v>-1.3552618543578528E-2</v>
      </c>
      <c r="AX1448">
        <f t="shared" si="131"/>
        <v>0.99892511644571835</v>
      </c>
      <c r="AY1448" s="62">
        <f t="shared" si="132"/>
        <v>-1.3538051056788583E-2</v>
      </c>
      <c r="AZ1448" s="68" t="str">
        <f t="shared" si="133"/>
        <v>No</v>
      </c>
      <c r="BA1448" s="68" t="str">
        <f t="shared" si="134"/>
        <v>No</v>
      </c>
    </row>
    <row r="1449" spans="1:53" hidden="1">
      <c r="A1449" t="s">
        <v>1136</v>
      </c>
      <c r="B1449" t="s">
        <v>3681</v>
      </c>
      <c r="C1449" t="s">
        <v>1157</v>
      </c>
      <c r="F1449" t="s">
        <v>1241</v>
      </c>
      <c r="G1449" t="s">
        <v>1112</v>
      </c>
      <c r="M1449" s="25" t="s">
        <v>36</v>
      </c>
      <c r="N1449" t="s">
        <v>36</v>
      </c>
      <c r="P1449" t="s">
        <v>60</v>
      </c>
      <c r="Q1449" t="s">
        <v>899</v>
      </c>
      <c r="R1449" t="s">
        <v>828</v>
      </c>
      <c r="S1449" t="s">
        <v>807</v>
      </c>
      <c r="V1449" t="s">
        <v>905</v>
      </c>
      <c r="X1449">
        <v>4</v>
      </c>
      <c r="Z1449">
        <v>100</v>
      </c>
      <c r="AA1449">
        <v>100</v>
      </c>
      <c r="AC1449">
        <v>385</v>
      </c>
      <c r="AD1449">
        <v>24</v>
      </c>
      <c r="AE1449">
        <v>1000</v>
      </c>
      <c r="AF1449">
        <v>24</v>
      </c>
      <c r="AG1449" t="str">
        <f t="shared" si="135"/>
        <v>6KRI_Acartia_tonsa_D4_CO2385.00_T24.00</v>
      </c>
      <c r="AJ1449" t="s">
        <v>69</v>
      </c>
      <c r="AK1449" t="s">
        <v>69</v>
      </c>
      <c r="AM1449"/>
      <c r="AN1449">
        <v>0.20039999999999999</v>
      </c>
      <c r="AO1449">
        <v>0.02</v>
      </c>
      <c r="AP1449">
        <v>0.20019999999999999</v>
      </c>
      <c r="AQ1449">
        <v>2.5000000000000001E-2</v>
      </c>
      <c r="AR1449" t="s">
        <v>3767</v>
      </c>
      <c r="AS1449">
        <f t="shared" si="128"/>
        <v>-9.9850232958953455E-4</v>
      </c>
      <c r="AT1449">
        <f t="shared" si="129"/>
        <v>2.555391649337612E-4</v>
      </c>
      <c r="AW1449" s="28">
        <f t="shared" si="130"/>
        <v>-8.8345220859879763E-3</v>
      </c>
      <c r="AX1449">
        <f t="shared" si="131"/>
        <v>0.99620733249051829</v>
      </c>
      <c r="AY1449" s="62">
        <f t="shared" si="132"/>
        <v>-8.8010156811106511E-3</v>
      </c>
      <c r="AZ1449" s="68" t="str">
        <f t="shared" si="133"/>
        <v>No</v>
      </c>
      <c r="BA1449" s="68" t="str">
        <f t="shared" si="134"/>
        <v>No</v>
      </c>
    </row>
    <row r="1450" spans="1:53" hidden="1">
      <c r="A1450" t="s">
        <v>1136</v>
      </c>
      <c r="B1450" t="s">
        <v>3682</v>
      </c>
      <c r="C1450" t="s">
        <v>1157</v>
      </c>
      <c r="F1450" t="s">
        <v>1241</v>
      </c>
      <c r="G1450" t="s">
        <v>1112</v>
      </c>
      <c r="M1450" s="25" t="s">
        <v>36</v>
      </c>
      <c r="N1450" t="s">
        <v>36</v>
      </c>
      <c r="P1450" t="s">
        <v>60</v>
      </c>
      <c r="Q1450" t="s">
        <v>899</v>
      </c>
      <c r="R1450" t="s">
        <v>828</v>
      </c>
      <c r="S1450" t="s">
        <v>807</v>
      </c>
      <c r="V1450" t="s">
        <v>905</v>
      </c>
      <c r="X1450">
        <v>4</v>
      </c>
      <c r="Z1450">
        <v>36</v>
      </c>
      <c r="AA1450">
        <v>36</v>
      </c>
      <c r="AC1450">
        <v>385</v>
      </c>
      <c r="AD1450">
        <v>24</v>
      </c>
      <c r="AE1450">
        <v>1000</v>
      </c>
      <c r="AF1450">
        <v>24</v>
      </c>
      <c r="AG1450" t="str">
        <f t="shared" si="135"/>
        <v>6KRI_Acartia_tonsa_D4_CO2385.00_T24.00</v>
      </c>
      <c r="AJ1450" t="s">
        <v>69</v>
      </c>
      <c r="AK1450" t="s">
        <v>69</v>
      </c>
      <c r="AM1450"/>
      <c r="AN1450">
        <v>0.20069999999999999</v>
      </c>
      <c r="AO1450">
        <v>0.02</v>
      </c>
      <c r="AP1450">
        <v>0.20050000000000001</v>
      </c>
      <c r="AQ1450">
        <v>0.01</v>
      </c>
      <c r="AR1450" t="s">
        <v>3768</v>
      </c>
      <c r="AS1450">
        <f t="shared" ref="AS1450:AS1513" si="136">LN(AP1450)-LN(AN1450)</f>
        <v>-9.9700905566835196E-4</v>
      </c>
      <c r="AT1450">
        <f t="shared" ref="AT1450:AT1513" si="137">(AQ1450^2)/(AA1450*AP1450^2) + (AO1450^2)/(Z1450*AN1450^2)</f>
        <v>3.4494201421412672E-4</v>
      </c>
      <c r="AW1450" s="28">
        <f t="shared" si="130"/>
        <v>-1.2649110640672125E-2</v>
      </c>
      <c r="AX1450">
        <f t="shared" si="131"/>
        <v>0.989247311827957</v>
      </c>
      <c r="AY1450" s="62">
        <f t="shared" si="132"/>
        <v>-1.2513098698299306E-2</v>
      </c>
      <c r="AZ1450" s="68" t="str">
        <f t="shared" si="133"/>
        <v>No</v>
      </c>
      <c r="BA1450" s="68" t="str">
        <f t="shared" si="134"/>
        <v>No</v>
      </c>
    </row>
    <row r="1451" spans="1:53" hidden="1">
      <c r="A1451" t="s">
        <v>1136</v>
      </c>
      <c r="B1451" t="s">
        <v>3683</v>
      </c>
      <c r="C1451" t="s">
        <v>1157</v>
      </c>
      <c r="F1451" t="s">
        <v>1241</v>
      </c>
      <c r="G1451" t="s">
        <v>1112</v>
      </c>
      <c r="M1451" s="25" t="s">
        <v>36</v>
      </c>
      <c r="N1451" t="s">
        <v>36</v>
      </c>
      <c r="P1451" t="s">
        <v>60</v>
      </c>
      <c r="Q1451" t="s">
        <v>899</v>
      </c>
      <c r="R1451" t="s">
        <v>828</v>
      </c>
      <c r="S1451" t="s">
        <v>807</v>
      </c>
      <c r="V1451" t="s">
        <v>905</v>
      </c>
      <c r="X1451">
        <v>4</v>
      </c>
      <c r="Z1451">
        <v>72</v>
      </c>
      <c r="AA1451">
        <v>72</v>
      </c>
      <c r="AC1451">
        <v>385</v>
      </c>
      <c r="AD1451">
        <v>24</v>
      </c>
      <c r="AE1451">
        <v>1000</v>
      </c>
      <c r="AF1451">
        <v>24</v>
      </c>
      <c r="AG1451" t="str">
        <f t="shared" si="135"/>
        <v>6KRI_Acartia_tonsa_D4_CO2385.00_T24.00</v>
      </c>
      <c r="AJ1451" t="s">
        <v>69</v>
      </c>
      <c r="AK1451" t="s">
        <v>69</v>
      </c>
      <c r="AM1451"/>
      <c r="AN1451">
        <v>0.20039999999999999</v>
      </c>
      <c r="AO1451">
        <v>2.8000000000000001E-2</v>
      </c>
      <c r="AP1451">
        <v>0.20030000000000001</v>
      </c>
      <c r="AQ1451">
        <v>4.9000000000000002E-2</v>
      </c>
      <c r="AR1451" t="s">
        <v>3769</v>
      </c>
      <c r="AS1451">
        <f t="shared" si="136"/>
        <v>-4.9912653893713355E-4</v>
      </c>
      <c r="AT1451">
        <f t="shared" si="137"/>
        <v>1.1023217213096306E-3</v>
      </c>
      <c r="AW1451" s="28">
        <f t="shared" si="130"/>
        <v>-2.5058800551626646E-3</v>
      </c>
      <c r="AX1451">
        <f t="shared" si="131"/>
        <v>0.99470899470899465</v>
      </c>
      <c r="AY1451" s="62">
        <f t="shared" si="132"/>
        <v>-2.4926214305321741E-3</v>
      </c>
      <c r="AZ1451" s="68" t="str">
        <f t="shared" si="133"/>
        <v>No</v>
      </c>
      <c r="BA1451" s="68" t="str">
        <f t="shared" si="134"/>
        <v>No</v>
      </c>
    </row>
    <row r="1452" spans="1:53" hidden="1">
      <c r="A1452" t="s">
        <v>1136</v>
      </c>
      <c r="B1452" t="s">
        <v>3684</v>
      </c>
      <c r="C1452" t="s">
        <v>1157</v>
      </c>
      <c r="F1452" t="s">
        <v>1241</v>
      </c>
      <c r="G1452" t="s">
        <v>1112</v>
      </c>
      <c r="M1452" s="25" t="s">
        <v>36</v>
      </c>
      <c r="N1452" t="s">
        <v>36</v>
      </c>
      <c r="P1452" t="s">
        <v>60</v>
      </c>
      <c r="Q1452" t="s">
        <v>899</v>
      </c>
      <c r="R1452" t="s">
        <v>828</v>
      </c>
      <c r="S1452" t="s">
        <v>807</v>
      </c>
      <c r="V1452" t="s">
        <v>905</v>
      </c>
      <c r="X1452">
        <v>4</v>
      </c>
      <c r="Z1452">
        <v>80</v>
      </c>
      <c r="AA1452">
        <v>80</v>
      </c>
      <c r="AC1452">
        <v>385</v>
      </c>
      <c r="AD1452">
        <v>24</v>
      </c>
      <c r="AE1452">
        <v>1000</v>
      </c>
      <c r="AF1452">
        <v>24</v>
      </c>
      <c r="AG1452" t="str">
        <f t="shared" si="135"/>
        <v>6KRI_Acartia_tonsa_D4_CO2385.00_T24.00</v>
      </c>
      <c r="AJ1452" t="s">
        <v>69</v>
      </c>
      <c r="AK1452" t="s">
        <v>69</v>
      </c>
      <c r="AM1452"/>
      <c r="AN1452">
        <v>0.2001</v>
      </c>
      <c r="AO1452">
        <v>1.4E-2</v>
      </c>
      <c r="AP1452">
        <v>0.20019999999999999</v>
      </c>
      <c r="AQ1452">
        <v>1.7000000000000001E-2</v>
      </c>
      <c r="AR1452" t="s">
        <v>3770</v>
      </c>
      <c r="AS1452">
        <f t="shared" si="136"/>
        <v>4.9962529143243728E-4</v>
      </c>
      <c r="AT1452">
        <f t="shared" si="137"/>
        <v>1.5132094148359517E-4</v>
      </c>
      <c r="AW1452" s="28">
        <f t="shared" si="130"/>
        <v>6.4216129906786478E-3</v>
      </c>
      <c r="AX1452">
        <f t="shared" si="131"/>
        <v>0.99524564183835185</v>
      </c>
      <c r="AY1452" s="62">
        <f t="shared" si="132"/>
        <v>6.3910823425454687E-3</v>
      </c>
      <c r="AZ1452" s="68" t="str">
        <f t="shared" si="133"/>
        <v>No</v>
      </c>
      <c r="BA1452" s="68" t="str">
        <f t="shared" si="134"/>
        <v>No</v>
      </c>
    </row>
    <row r="1453" spans="1:53" hidden="1">
      <c r="A1453" t="s">
        <v>1136</v>
      </c>
      <c r="B1453" t="s">
        <v>3685</v>
      </c>
      <c r="C1453" t="s">
        <v>1158</v>
      </c>
      <c r="F1453" t="s">
        <v>1241</v>
      </c>
      <c r="G1453" t="s">
        <v>1113</v>
      </c>
      <c r="M1453" s="25" t="s">
        <v>36</v>
      </c>
      <c r="N1453" t="s">
        <v>36</v>
      </c>
      <c r="P1453" t="s">
        <v>60</v>
      </c>
      <c r="Q1453" t="s">
        <v>900</v>
      </c>
      <c r="R1453" t="s">
        <v>1742</v>
      </c>
      <c r="S1453" t="s">
        <v>1139</v>
      </c>
      <c r="V1453" t="s">
        <v>905</v>
      </c>
      <c r="X1453">
        <v>84</v>
      </c>
      <c r="Z1453">
        <v>7</v>
      </c>
      <c r="AA1453">
        <v>7</v>
      </c>
      <c r="AC1453">
        <v>380</v>
      </c>
      <c r="AD1453">
        <v>19</v>
      </c>
      <c r="AE1453">
        <v>970</v>
      </c>
      <c r="AF1453">
        <v>19</v>
      </c>
      <c r="AG1453" t="str">
        <f t="shared" si="135"/>
        <v>7KRI_Balanus_improvisus_D84_CO2380.00_T19.00</v>
      </c>
      <c r="AJ1453" t="s">
        <v>40</v>
      </c>
      <c r="AK1453" t="s">
        <v>40</v>
      </c>
      <c r="AM1453"/>
      <c r="AN1453">
        <v>6.27</v>
      </c>
      <c r="AO1453">
        <v>0.25</v>
      </c>
      <c r="AP1453">
        <v>6.09</v>
      </c>
      <c r="AQ1453">
        <v>0.23</v>
      </c>
      <c r="AR1453" t="s">
        <v>3771</v>
      </c>
      <c r="AS1453">
        <f t="shared" si="136"/>
        <v>-2.9128272923023779E-2</v>
      </c>
      <c r="AT1453">
        <f t="shared" si="137"/>
        <v>4.3087749387210313E-4</v>
      </c>
      <c r="AW1453" s="28">
        <f t="shared" si="130"/>
        <v>-0.74934980481926272</v>
      </c>
      <c r="AX1453">
        <f t="shared" si="131"/>
        <v>0.93617021276595747</v>
      </c>
      <c r="AY1453" s="62">
        <f t="shared" si="132"/>
        <v>-0.70151896621377785</v>
      </c>
      <c r="AZ1453" s="68" t="str">
        <f t="shared" si="133"/>
        <v>No</v>
      </c>
      <c r="BA1453" s="68" t="str">
        <f t="shared" si="134"/>
        <v>No</v>
      </c>
    </row>
    <row r="1454" spans="1:53" hidden="1">
      <c r="A1454" t="s">
        <v>1136</v>
      </c>
      <c r="B1454" t="s">
        <v>3686</v>
      </c>
      <c r="C1454" t="s">
        <v>1158</v>
      </c>
      <c r="F1454" t="s">
        <v>1241</v>
      </c>
      <c r="G1454" t="s">
        <v>1113</v>
      </c>
      <c r="M1454" s="25" t="s">
        <v>36</v>
      </c>
      <c r="N1454" t="s">
        <v>36</v>
      </c>
      <c r="P1454" t="s">
        <v>60</v>
      </c>
      <c r="Q1454" t="s">
        <v>900</v>
      </c>
      <c r="R1454" t="s">
        <v>1742</v>
      </c>
      <c r="S1454" t="s">
        <v>1139</v>
      </c>
      <c r="V1454" t="s">
        <v>905</v>
      </c>
      <c r="X1454">
        <v>84</v>
      </c>
      <c r="Z1454">
        <v>7</v>
      </c>
      <c r="AA1454">
        <v>7</v>
      </c>
      <c r="AC1454">
        <v>380</v>
      </c>
      <c r="AD1454">
        <v>19</v>
      </c>
      <c r="AE1454">
        <v>970</v>
      </c>
      <c r="AF1454">
        <v>19</v>
      </c>
      <c r="AG1454" t="str">
        <f t="shared" si="135"/>
        <v>7KRI_Balanus_improvisus_D84_CO2380.00_T19.00</v>
      </c>
      <c r="AJ1454" t="s">
        <v>69</v>
      </c>
      <c r="AK1454" t="s">
        <v>69</v>
      </c>
      <c r="AM1454"/>
      <c r="AN1454">
        <v>76.5</v>
      </c>
      <c r="AO1454">
        <v>9.6999999999999993</v>
      </c>
      <c r="AP1454">
        <v>56.3</v>
      </c>
      <c r="AQ1454">
        <v>12.8</v>
      </c>
      <c r="AR1454" t="s">
        <v>3772</v>
      </c>
      <c r="AS1454">
        <f t="shared" si="136"/>
        <v>-0.3065962056868452</v>
      </c>
      <c r="AT1454">
        <f t="shared" si="137"/>
        <v>9.6810249151033645E-3</v>
      </c>
      <c r="AW1454" s="28">
        <f t="shared" si="130"/>
        <v>-1.7787521507338122</v>
      </c>
      <c r="AX1454">
        <f t="shared" si="131"/>
        <v>0.93617021276595747</v>
      </c>
      <c r="AY1454" s="62">
        <f t="shared" si="132"/>
        <v>-1.6652147794103773</v>
      </c>
      <c r="AZ1454" s="68" t="str">
        <f t="shared" si="133"/>
        <v>No</v>
      </c>
      <c r="BA1454" s="68" t="str">
        <f t="shared" si="134"/>
        <v>No</v>
      </c>
    </row>
    <row r="1455" spans="1:53" hidden="1">
      <c r="A1455" t="s">
        <v>1136</v>
      </c>
      <c r="B1455" t="s">
        <v>3687</v>
      </c>
      <c r="C1455" t="s">
        <v>1158</v>
      </c>
      <c r="F1455" t="s">
        <v>1241</v>
      </c>
      <c r="G1455" t="s">
        <v>1113</v>
      </c>
      <c r="M1455" s="25" t="s">
        <v>36</v>
      </c>
      <c r="N1455" t="s">
        <v>36</v>
      </c>
      <c r="P1455" t="s">
        <v>60</v>
      </c>
      <c r="Q1455" t="s">
        <v>900</v>
      </c>
      <c r="R1455" t="s">
        <v>1742</v>
      </c>
      <c r="S1455" t="s">
        <v>1139</v>
      </c>
      <c r="V1455" t="s">
        <v>905</v>
      </c>
      <c r="X1455">
        <v>84</v>
      </c>
      <c r="Z1455">
        <v>7</v>
      </c>
      <c r="AA1455">
        <v>7</v>
      </c>
      <c r="AC1455">
        <v>380</v>
      </c>
      <c r="AD1455">
        <v>19</v>
      </c>
      <c r="AE1455">
        <v>970</v>
      </c>
      <c r="AF1455">
        <v>19</v>
      </c>
      <c r="AG1455" t="str">
        <f t="shared" si="135"/>
        <v>7KRI_Balanus_improvisus_D84_CO2380.00_T19.00</v>
      </c>
      <c r="AJ1455" t="s">
        <v>69</v>
      </c>
      <c r="AK1455" t="s">
        <v>69</v>
      </c>
      <c r="AM1455"/>
      <c r="AN1455">
        <v>70.5</v>
      </c>
      <c r="AO1455">
        <v>11.5</v>
      </c>
      <c r="AP1455">
        <v>70.099999999999994</v>
      </c>
      <c r="AQ1455">
        <v>16.2</v>
      </c>
      <c r="AR1455" t="s">
        <v>3773</v>
      </c>
      <c r="AS1455">
        <f t="shared" si="136"/>
        <v>-5.6899157776788556E-3</v>
      </c>
      <c r="AT1455">
        <f t="shared" si="137"/>
        <v>1.1430686317902779E-2</v>
      </c>
      <c r="AW1455" s="28">
        <f t="shared" si="130"/>
        <v>-2.8473898173498893E-2</v>
      </c>
      <c r="AX1455">
        <f t="shared" si="131"/>
        <v>0.93617021276595747</v>
      </c>
      <c r="AY1455" s="62">
        <f t="shared" si="132"/>
        <v>-2.6656415311360666E-2</v>
      </c>
      <c r="AZ1455" s="68" t="str">
        <f t="shared" si="133"/>
        <v>No</v>
      </c>
      <c r="BA1455" s="68" t="str">
        <f t="shared" si="134"/>
        <v>No</v>
      </c>
    </row>
    <row r="1456" spans="1:53" hidden="1">
      <c r="A1456" t="s">
        <v>1136</v>
      </c>
      <c r="B1456" t="s">
        <v>3688</v>
      </c>
      <c r="C1456" t="s">
        <v>1158</v>
      </c>
      <c r="F1456" t="s">
        <v>1241</v>
      </c>
      <c r="G1456" t="s">
        <v>1113</v>
      </c>
      <c r="M1456" s="25" t="s">
        <v>36</v>
      </c>
      <c r="N1456" t="s">
        <v>36</v>
      </c>
      <c r="P1456" t="s">
        <v>60</v>
      </c>
      <c r="Q1456" t="s">
        <v>900</v>
      </c>
      <c r="R1456" t="s">
        <v>1742</v>
      </c>
      <c r="S1456" t="s">
        <v>1139</v>
      </c>
      <c r="V1456" t="s">
        <v>905</v>
      </c>
      <c r="X1456">
        <v>84</v>
      </c>
      <c r="Z1456">
        <v>7</v>
      </c>
      <c r="AA1456">
        <v>7</v>
      </c>
      <c r="AC1456">
        <v>380</v>
      </c>
      <c r="AD1456">
        <v>19</v>
      </c>
      <c r="AE1456">
        <v>970</v>
      </c>
      <c r="AF1456">
        <v>19</v>
      </c>
      <c r="AG1456" t="str">
        <f t="shared" si="135"/>
        <v>7KRI_Balanus_improvisus_D84_CO2380.00_T19.00</v>
      </c>
      <c r="AJ1456" t="s">
        <v>69</v>
      </c>
      <c r="AK1456" t="s">
        <v>69</v>
      </c>
      <c r="AM1456"/>
      <c r="AN1456">
        <v>78.8</v>
      </c>
      <c r="AO1456">
        <v>9.8000000000000007</v>
      </c>
      <c r="AP1456">
        <v>96.2</v>
      </c>
      <c r="AQ1456">
        <v>2.6</v>
      </c>
      <c r="AR1456" t="s">
        <v>3774</v>
      </c>
      <c r="AS1456">
        <f t="shared" si="136"/>
        <v>0.1995163608078272</v>
      </c>
      <c r="AT1456">
        <f t="shared" si="137"/>
        <v>2.3138904801558984E-3</v>
      </c>
      <c r="AW1456" s="28">
        <f t="shared" si="130"/>
        <v>2.426988334034768</v>
      </c>
      <c r="AX1456">
        <f t="shared" si="131"/>
        <v>0.93617021276595747</v>
      </c>
      <c r="AY1456" s="62">
        <f t="shared" si="132"/>
        <v>2.2720741850538255</v>
      </c>
      <c r="AZ1456" s="68" t="str">
        <f t="shared" si="133"/>
        <v>No</v>
      </c>
      <c r="BA1456" s="68" t="str">
        <f t="shared" si="134"/>
        <v>No</v>
      </c>
    </row>
    <row r="1457" spans="1:53" hidden="1">
      <c r="A1457" t="s">
        <v>1136</v>
      </c>
      <c r="B1457" t="s">
        <v>3689</v>
      </c>
      <c r="C1457" t="s">
        <v>1159</v>
      </c>
      <c r="F1457" t="s">
        <v>1241</v>
      </c>
      <c r="G1457" t="s">
        <v>1114</v>
      </c>
      <c r="M1457" s="25" t="s">
        <v>36</v>
      </c>
      <c r="N1457" t="s">
        <v>36</v>
      </c>
      <c r="P1457" t="s">
        <v>60</v>
      </c>
      <c r="Q1457" t="s">
        <v>899</v>
      </c>
      <c r="R1457" t="s">
        <v>828</v>
      </c>
      <c r="S1457" t="s">
        <v>1140</v>
      </c>
      <c r="V1457" t="s">
        <v>905</v>
      </c>
      <c r="X1457">
        <v>1</v>
      </c>
      <c r="Z1457">
        <v>5</v>
      </c>
      <c r="AA1457">
        <v>4</v>
      </c>
      <c r="AC1457">
        <v>380</v>
      </c>
      <c r="AD1457">
        <v>10</v>
      </c>
      <c r="AE1457">
        <v>1000</v>
      </c>
      <c r="AF1457">
        <v>10</v>
      </c>
      <c r="AG1457" t="str">
        <f t="shared" si="135"/>
        <v>8KRI_Calanus_helgolandicus_D1_CO2380.00_T10.00</v>
      </c>
      <c r="AJ1457" t="s">
        <v>59</v>
      </c>
      <c r="AK1457" t="s">
        <v>59</v>
      </c>
      <c r="AM1457"/>
      <c r="AN1457">
        <v>0.51</v>
      </c>
      <c r="AO1457">
        <v>0.08</v>
      </c>
      <c r="AP1457">
        <v>0.47</v>
      </c>
      <c r="AQ1457">
        <v>0.15</v>
      </c>
      <c r="AR1457" t="s">
        <v>3775</v>
      </c>
      <c r="AS1457">
        <f t="shared" si="136"/>
        <v>-8.1678031014267183E-2</v>
      </c>
      <c r="AT1457">
        <f t="shared" si="137"/>
        <v>3.0385195024583121E-2</v>
      </c>
      <c r="AW1457" s="28">
        <f t="shared" si="130"/>
        <v>-0.34684398780964831</v>
      </c>
      <c r="AX1457">
        <f t="shared" si="131"/>
        <v>0.88888888888888884</v>
      </c>
      <c r="AY1457" s="62">
        <f t="shared" si="132"/>
        <v>-0.30830576694190959</v>
      </c>
      <c r="AZ1457" s="68" t="str">
        <f t="shared" si="133"/>
        <v>No</v>
      </c>
      <c r="BA1457" s="68" t="str">
        <f t="shared" si="134"/>
        <v>No</v>
      </c>
    </row>
    <row r="1458" spans="1:53" hidden="1">
      <c r="A1458" t="s">
        <v>1136</v>
      </c>
      <c r="B1458" t="s">
        <v>3690</v>
      </c>
      <c r="C1458" t="s">
        <v>1159</v>
      </c>
      <c r="F1458" t="s">
        <v>1241</v>
      </c>
      <c r="G1458" t="s">
        <v>1114</v>
      </c>
      <c r="M1458" s="25" t="s">
        <v>36</v>
      </c>
      <c r="N1458" t="s">
        <v>36</v>
      </c>
      <c r="P1458" t="s">
        <v>60</v>
      </c>
      <c r="Q1458" t="s">
        <v>899</v>
      </c>
      <c r="R1458" t="s">
        <v>828</v>
      </c>
      <c r="S1458" t="s">
        <v>1140</v>
      </c>
      <c r="V1458" t="s">
        <v>905</v>
      </c>
      <c r="X1458">
        <v>1</v>
      </c>
      <c r="Z1458">
        <v>4</v>
      </c>
      <c r="AA1458">
        <v>5</v>
      </c>
      <c r="AC1458">
        <v>380</v>
      </c>
      <c r="AD1458">
        <v>10</v>
      </c>
      <c r="AE1458">
        <v>1000</v>
      </c>
      <c r="AF1458">
        <v>10</v>
      </c>
      <c r="AG1458" t="str">
        <f t="shared" si="135"/>
        <v>8KRI_Calanus_helgolandicus_D1_CO2380.00_T10.00</v>
      </c>
      <c r="AJ1458" t="s">
        <v>59</v>
      </c>
      <c r="AK1458" t="s">
        <v>59</v>
      </c>
      <c r="AM1458"/>
      <c r="AN1458">
        <v>0.66</v>
      </c>
      <c r="AO1458">
        <v>0.18</v>
      </c>
      <c r="AP1458">
        <v>0.67</v>
      </c>
      <c r="AQ1458">
        <v>0.2</v>
      </c>
      <c r="AR1458" t="s">
        <v>3776</v>
      </c>
      <c r="AS1458">
        <f t="shared" si="136"/>
        <v>1.5037877364540542E-2</v>
      </c>
      <c r="AT1458">
        <f t="shared" si="137"/>
        <v>3.6416382378228501E-2</v>
      </c>
      <c r="AW1458" s="28">
        <f t="shared" si="130"/>
        <v>5.2169123227743461E-2</v>
      </c>
      <c r="AX1458">
        <f t="shared" si="131"/>
        <v>0.88888888888888884</v>
      </c>
      <c r="AY1458" s="62">
        <f t="shared" si="132"/>
        <v>4.6372553980216405E-2</v>
      </c>
      <c r="AZ1458" s="68" t="str">
        <f t="shared" si="133"/>
        <v>No</v>
      </c>
      <c r="BA1458" s="68" t="str">
        <f t="shared" si="134"/>
        <v>No</v>
      </c>
    </row>
    <row r="1459" spans="1:53" hidden="1">
      <c r="A1459" t="s">
        <v>1136</v>
      </c>
      <c r="B1459" t="s">
        <v>3691</v>
      </c>
      <c r="C1459" t="s">
        <v>1159</v>
      </c>
      <c r="F1459" t="s">
        <v>1241</v>
      </c>
      <c r="G1459" t="s">
        <v>1114</v>
      </c>
      <c r="M1459" s="25" t="s">
        <v>36</v>
      </c>
      <c r="N1459" t="s">
        <v>36</v>
      </c>
      <c r="P1459" t="s">
        <v>60</v>
      </c>
      <c r="Q1459" t="s">
        <v>899</v>
      </c>
      <c r="R1459" t="s">
        <v>828</v>
      </c>
      <c r="S1459" t="s">
        <v>1140</v>
      </c>
      <c r="V1459" t="s">
        <v>1015</v>
      </c>
      <c r="X1459">
        <v>1</v>
      </c>
      <c r="Z1459">
        <v>5</v>
      </c>
      <c r="AA1459">
        <v>5</v>
      </c>
      <c r="AC1459">
        <v>380</v>
      </c>
      <c r="AD1459">
        <v>10</v>
      </c>
      <c r="AE1459">
        <v>1000</v>
      </c>
      <c r="AF1459">
        <v>12</v>
      </c>
      <c r="AG1459" t="str">
        <f t="shared" si="135"/>
        <v>8KRI_Calanus_helgolandicus_D1_CO2380.00_T10.00</v>
      </c>
      <c r="AJ1459" t="s">
        <v>59</v>
      </c>
      <c r="AK1459" t="s">
        <v>59</v>
      </c>
      <c r="AM1459"/>
      <c r="AN1459">
        <v>0.51</v>
      </c>
      <c r="AO1459">
        <v>0.08</v>
      </c>
      <c r="AP1459">
        <v>0.38</v>
      </c>
      <c r="AQ1459">
        <v>0.08</v>
      </c>
      <c r="AR1459" t="s">
        <v>3775</v>
      </c>
      <c r="AS1459">
        <f t="shared" si="136"/>
        <v>-0.29423947299793995</v>
      </c>
      <c r="AT1459">
        <f t="shared" si="137"/>
        <v>1.3785450087916325E-2</v>
      </c>
      <c r="AW1459" s="28">
        <f t="shared" si="130"/>
        <v>-1.625</v>
      </c>
      <c r="AX1459">
        <f t="shared" si="131"/>
        <v>0.90322580645161288</v>
      </c>
      <c r="AY1459" s="62">
        <f t="shared" si="132"/>
        <v>-1.467741935483871</v>
      </c>
      <c r="AZ1459" s="68" t="str">
        <f t="shared" si="133"/>
        <v>No</v>
      </c>
      <c r="BA1459" s="68" t="str">
        <f t="shared" si="134"/>
        <v>No</v>
      </c>
    </row>
    <row r="1460" spans="1:53" hidden="1">
      <c r="A1460" t="s">
        <v>1136</v>
      </c>
      <c r="B1460" t="s">
        <v>3692</v>
      </c>
      <c r="C1460" t="s">
        <v>1159</v>
      </c>
      <c r="F1460" t="s">
        <v>1241</v>
      </c>
      <c r="G1460" t="s">
        <v>1114</v>
      </c>
      <c r="M1460" s="25" t="s">
        <v>36</v>
      </c>
      <c r="N1460" t="s">
        <v>36</v>
      </c>
      <c r="P1460" t="s">
        <v>60</v>
      </c>
      <c r="Q1460" t="s">
        <v>899</v>
      </c>
      <c r="R1460" t="s">
        <v>828</v>
      </c>
      <c r="S1460" t="s">
        <v>1140</v>
      </c>
      <c r="V1460" t="s">
        <v>907</v>
      </c>
      <c r="X1460">
        <v>1</v>
      </c>
      <c r="Z1460">
        <v>5</v>
      </c>
      <c r="AA1460">
        <v>4</v>
      </c>
      <c r="AC1460">
        <v>380</v>
      </c>
      <c r="AD1460">
        <v>10</v>
      </c>
      <c r="AE1460">
        <v>380</v>
      </c>
      <c r="AF1460">
        <v>12</v>
      </c>
      <c r="AG1460" t="str">
        <f t="shared" si="135"/>
        <v>8KRI_Calanus_helgolandicus_D1_CO2380.00_T10.00</v>
      </c>
      <c r="AJ1460" t="s">
        <v>59</v>
      </c>
      <c r="AK1460" t="s">
        <v>59</v>
      </c>
      <c r="AM1460"/>
      <c r="AN1460">
        <v>0.51</v>
      </c>
      <c r="AO1460">
        <v>0.08</v>
      </c>
      <c r="AP1460">
        <v>0.52</v>
      </c>
      <c r="AQ1460">
        <v>0.09</v>
      </c>
      <c r="AR1460" t="s">
        <v>3775</v>
      </c>
      <c r="AS1460">
        <f t="shared" si="136"/>
        <v>1.9418085857101697E-2</v>
      </c>
      <c r="AT1460">
        <f t="shared" si="137"/>
        <v>1.2410089485382272E-2</v>
      </c>
      <c r="AW1460" s="28">
        <f t="shared" si="130"/>
        <v>0.11844009503637049</v>
      </c>
      <c r="AX1460">
        <f t="shared" si="131"/>
        <v>0.88888888888888884</v>
      </c>
      <c r="AY1460" s="62">
        <f t="shared" si="132"/>
        <v>0.10528008447677376</v>
      </c>
      <c r="AZ1460" s="68" t="str">
        <f t="shared" si="133"/>
        <v>No</v>
      </c>
      <c r="BA1460" s="68" t="str">
        <f t="shared" si="134"/>
        <v>No</v>
      </c>
    </row>
    <row r="1461" spans="1:53" hidden="1">
      <c r="A1461" t="s">
        <v>1136</v>
      </c>
      <c r="B1461" t="s">
        <v>3693</v>
      </c>
      <c r="C1461" t="s">
        <v>1159</v>
      </c>
      <c r="F1461" t="s">
        <v>1241</v>
      </c>
      <c r="G1461" t="s">
        <v>1114</v>
      </c>
      <c r="M1461" s="25" t="s">
        <v>36</v>
      </c>
      <c r="N1461" t="s">
        <v>36</v>
      </c>
      <c r="P1461" t="s">
        <v>60</v>
      </c>
      <c r="Q1461" t="s">
        <v>899</v>
      </c>
      <c r="R1461" t="s">
        <v>828</v>
      </c>
      <c r="S1461" t="s">
        <v>1140</v>
      </c>
      <c r="V1461" t="s">
        <v>1015</v>
      </c>
      <c r="X1461">
        <v>1</v>
      </c>
      <c r="Z1461">
        <v>4</v>
      </c>
      <c r="AA1461">
        <v>5</v>
      </c>
      <c r="AC1461">
        <v>380</v>
      </c>
      <c r="AD1461">
        <v>10</v>
      </c>
      <c r="AE1461">
        <v>1000</v>
      </c>
      <c r="AF1461">
        <v>12</v>
      </c>
      <c r="AG1461" t="str">
        <f t="shared" si="135"/>
        <v>8KRI_Calanus_helgolandicus_D1_CO2380.00_T10.00</v>
      </c>
      <c r="AJ1461" t="s">
        <v>59</v>
      </c>
      <c r="AK1461" t="s">
        <v>59</v>
      </c>
      <c r="AM1461"/>
      <c r="AN1461">
        <v>0.66</v>
      </c>
      <c r="AO1461">
        <v>0.18</v>
      </c>
      <c r="AP1461">
        <v>0.63</v>
      </c>
      <c r="AQ1461">
        <v>0.08</v>
      </c>
      <c r="AR1461" t="s">
        <v>3776</v>
      </c>
      <c r="AS1461">
        <f t="shared" si="136"/>
        <v>-4.6520015634892886E-2</v>
      </c>
      <c r="AT1461">
        <f t="shared" si="137"/>
        <v>2.1820035023498226E-2</v>
      </c>
      <c r="AW1461" s="28">
        <f t="shared" si="130"/>
        <v>-0.22650150462213553</v>
      </c>
      <c r="AX1461">
        <f t="shared" si="131"/>
        <v>0.88888888888888884</v>
      </c>
      <c r="AY1461" s="62">
        <f t="shared" si="132"/>
        <v>-0.20133467077523157</v>
      </c>
      <c r="AZ1461" s="68" t="str">
        <f t="shared" si="133"/>
        <v>No</v>
      </c>
      <c r="BA1461" s="68" t="str">
        <f t="shared" si="134"/>
        <v>No</v>
      </c>
    </row>
    <row r="1462" spans="1:53" hidden="1">
      <c r="A1462" t="s">
        <v>1136</v>
      </c>
      <c r="B1462" t="s">
        <v>3694</v>
      </c>
      <c r="C1462" t="s">
        <v>1159</v>
      </c>
      <c r="F1462" t="s">
        <v>1241</v>
      </c>
      <c r="G1462" t="s">
        <v>1114</v>
      </c>
      <c r="M1462" s="25" t="s">
        <v>36</v>
      </c>
      <c r="N1462" t="s">
        <v>36</v>
      </c>
      <c r="P1462" t="s">
        <v>60</v>
      </c>
      <c r="Q1462" t="s">
        <v>899</v>
      </c>
      <c r="R1462" t="s">
        <v>828</v>
      </c>
      <c r="S1462" t="s">
        <v>1140</v>
      </c>
      <c r="V1462" t="s">
        <v>907</v>
      </c>
      <c r="X1462">
        <v>1</v>
      </c>
      <c r="Z1462">
        <v>4</v>
      </c>
      <c r="AA1462">
        <v>4</v>
      </c>
      <c r="AC1462">
        <v>380</v>
      </c>
      <c r="AD1462">
        <v>10</v>
      </c>
      <c r="AE1462">
        <v>380</v>
      </c>
      <c r="AF1462">
        <v>12</v>
      </c>
      <c r="AG1462" t="str">
        <f t="shared" si="135"/>
        <v>8KRI_Calanus_helgolandicus_D1_CO2380.00_T10.00</v>
      </c>
      <c r="AJ1462" t="s">
        <v>59</v>
      </c>
      <c r="AK1462" t="s">
        <v>59</v>
      </c>
      <c r="AM1462"/>
      <c r="AN1462">
        <v>0.66</v>
      </c>
      <c r="AO1462">
        <v>0.18</v>
      </c>
      <c r="AP1462">
        <v>0.69</v>
      </c>
      <c r="AQ1462">
        <v>0.06</v>
      </c>
      <c r="AR1462" t="s">
        <v>3776</v>
      </c>
      <c r="AS1462">
        <f t="shared" si="136"/>
        <v>4.4451762570833719E-2</v>
      </c>
      <c r="AT1462">
        <f t="shared" si="137"/>
        <v>2.0485400490556013E-2</v>
      </c>
      <c r="AW1462" s="28">
        <f t="shared" si="130"/>
        <v>0.22360679774997833</v>
      </c>
      <c r="AX1462">
        <f t="shared" si="131"/>
        <v>0.86956521739130432</v>
      </c>
      <c r="AY1462" s="62">
        <f t="shared" si="132"/>
        <v>0.19444069369563333</v>
      </c>
      <c r="AZ1462" s="68" t="str">
        <f t="shared" si="133"/>
        <v>No</v>
      </c>
      <c r="BA1462" s="68" t="str">
        <f t="shared" si="134"/>
        <v>No</v>
      </c>
    </row>
    <row r="1463" spans="1:53" hidden="1">
      <c r="A1463" t="s">
        <v>1136</v>
      </c>
      <c r="B1463" t="s">
        <v>3695</v>
      </c>
      <c r="C1463" t="s">
        <v>1160</v>
      </c>
      <c r="F1463" t="s">
        <v>1241</v>
      </c>
      <c r="G1463" t="s">
        <v>1115</v>
      </c>
      <c r="M1463" s="25" t="s">
        <v>36</v>
      </c>
      <c r="N1463" t="s">
        <v>36</v>
      </c>
      <c r="P1463" t="s">
        <v>60</v>
      </c>
      <c r="Q1463" t="s">
        <v>899</v>
      </c>
      <c r="R1463" t="s">
        <v>828</v>
      </c>
      <c r="S1463" t="s">
        <v>1141</v>
      </c>
      <c r="V1463" t="s">
        <v>905</v>
      </c>
      <c r="X1463">
        <v>4</v>
      </c>
      <c r="Z1463">
        <v>3</v>
      </c>
      <c r="AA1463">
        <v>3</v>
      </c>
      <c r="AC1463">
        <v>380</v>
      </c>
      <c r="AD1463">
        <v>14.7</v>
      </c>
      <c r="AE1463">
        <v>750</v>
      </c>
      <c r="AF1463">
        <v>14.7</v>
      </c>
      <c r="AG1463" t="str">
        <f t="shared" si="135"/>
        <v>9KRI_Temora_longicornis_D4_CO2380.00_T14.70</v>
      </c>
      <c r="AJ1463" t="s">
        <v>59</v>
      </c>
      <c r="AK1463" t="s">
        <v>59</v>
      </c>
      <c r="AM1463"/>
      <c r="AN1463">
        <v>2.0699999999999998</v>
      </c>
      <c r="AO1463">
        <v>2.42</v>
      </c>
      <c r="AP1463">
        <v>1</v>
      </c>
      <c r="AQ1463">
        <v>0.38</v>
      </c>
      <c r="AR1463" t="s">
        <v>3777</v>
      </c>
      <c r="AS1463">
        <f t="shared" si="136"/>
        <v>-0.72754860727727766</v>
      </c>
      <c r="AT1463">
        <f t="shared" si="137"/>
        <v>0.50371767213548357</v>
      </c>
      <c r="AW1463" s="28">
        <f t="shared" si="130"/>
        <v>-0.61772360783167168</v>
      </c>
      <c r="AX1463">
        <f t="shared" si="131"/>
        <v>0.8</v>
      </c>
      <c r="AY1463" s="62">
        <f t="shared" si="132"/>
        <v>-0.49417888626533735</v>
      </c>
      <c r="AZ1463" s="68" t="str">
        <f t="shared" si="133"/>
        <v>No</v>
      </c>
      <c r="BA1463" s="68" t="str">
        <f t="shared" si="134"/>
        <v>No</v>
      </c>
    </row>
    <row r="1464" spans="1:53" hidden="1">
      <c r="A1464" t="s">
        <v>1136</v>
      </c>
      <c r="B1464" t="s">
        <v>3696</v>
      </c>
      <c r="C1464" t="s">
        <v>1160</v>
      </c>
      <c r="F1464" t="s">
        <v>1241</v>
      </c>
      <c r="G1464" t="s">
        <v>1115</v>
      </c>
      <c r="M1464" s="25" t="s">
        <v>36</v>
      </c>
      <c r="N1464" t="s">
        <v>36</v>
      </c>
      <c r="P1464" t="s">
        <v>60</v>
      </c>
      <c r="Q1464" t="s">
        <v>899</v>
      </c>
      <c r="R1464" t="s">
        <v>828</v>
      </c>
      <c r="S1464" t="s">
        <v>1141</v>
      </c>
      <c r="V1464" t="s">
        <v>905</v>
      </c>
      <c r="X1464">
        <v>4</v>
      </c>
      <c r="Z1464">
        <v>3</v>
      </c>
      <c r="AA1464">
        <v>3</v>
      </c>
      <c r="AC1464">
        <v>380</v>
      </c>
      <c r="AD1464">
        <v>14.7</v>
      </c>
      <c r="AE1464">
        <v>480</v>
      </c>
      <c r="AF1464">
        <v>14.7</v>
      </c>
      <c r="AG1464" t="str">
        <f t="shared" si="135"/>
        <v>9KRI_Temora_longicornis_D4_CO2380.00_T14.70</v>
      </c>
      <c r="AJ1464" t="s">
        <v>59</v>
      </c>
      <c r="AK1464" t="s">
        <v>59</v>
      </c>
      <c r="AM1464"/>
      <c r="AN1464">
        <v>2.0699999999999998</v>
      </c>
      <c r="AO1464">
        <v>2.42</v>
      </c>
      <c r="AP1464">
        <v>1.03</v>
      </c>
      <c r="AQ1464">
        <v>0.7</v>
      </c>
      <c r="AR1464" t="s">
        <v>3777</v>
      </c>
      <c r="AS1464">
        <f t="shared" si="136"/>
        <v>-0.69798980503573327</v>
      </c>
      <c r="AT1464">
        <f t="shared" si="137"/>
        <v>0.60954167062733011</v>
      </c>
      <c r="AW1464" s="28">
        <f t="shared" si="130"/>
        <v>-0.58382759249518967</v>
      </c>
      <c r="AX1464">
        <f t="shared" si="131"/>
        <v>0.8</v>
      </c>
      <c r="AY1464" s="62">
        <f t="shared" si="132"/>
        <v>-0.46706207399615174</v>
      </c>
      <c r="AZ1464" s="68" t="str">
        <f t="shared" si="133"/>
        <v>No</v>
      </c>
      <c r="BA1464" s="68" t="str">
        <f t="shared" si="134"/>
        <v>No</v>
      </c>
    </row>
    <row r="1465" spans="1:53" hidden="1">
      <c r="A1465" t="s">
        <v>1136</v>
      </c>
      <c r="B1465" t="s">
        <v>3697</v>
      </c>
      <c r="C1465" t="s">
        <v>1160</v>
      </c>
      <c r="F1465" t="s">
        <v>1241</v>
      </c>
      <c r="G1465" t="s">
        <v>1115</v>
      </c>
      <c r="M1465" s="25" t="s">
        <v>36</v>
      </c>
      <c r="N1465" t="s">
        <v>36</v>
      </c>
      <c r="P1465" t="s">
        <v>60</v>
      </c>
      <c r="Q1465" t="s">
        <v>899</v>
      </c>
      <c r="R1465" t="s">
        <v>828</v>
      </c>
      <c r="S1465" t="s">
        <v>1141</v>
      </c>
      <c r="V1465" t="s">
        <v>905</v>
      </c>
      <c r="X1465">
        <v>4</v>
      </c>
      <c r="Z1465">
        <v>3</v>
      </c>
      <c r="AA1465">
        <v>3</v>
      </c>
      <c r="AC1465">
        <v>380</v>
      </c>
      <c r="AD1465">
        <v>14.7</v>
      </c>
      <c r="AE1465">
        <v>620</v>
      </c>
      <c r="AF1465">
        <v>14.7</v>
      </c>
      <c r="AG1465" t="str">
        <f t="shared" si="135"/>
        <v>9KRI_Temora_longicornis_D4_CO2380.00_T14.70</v>
      </c>
      <c r="AJ1465" t="s">
        <v>59</v>
      </c>
      <c r="AK1465" t="s">
        <v>59</v>
      </c>
      <c r="AM1465"/>
      <c r="AN1465">
        <v>2.0699999999999998</v>
      </c>
      <c r="AO1465">
        <v>2.42</v>
      </c>
      <c r="AP1465">
        <v>1.03</v>
      </c>
      <c r="AQ1465">
        <v>0.35</v>
      </c>
      <c r="AR1465" t="s">
        <v>3777</v>
      </c>
      <c r="AS1465">
        <f t="shared" si="136"/>
        <v>-0.69798980503573327</v>
      </c>
      <c r="AT1465">
        <f t="shared" si="137"/>
        <v>0.49407367175844524</v>
      </c>
      <c r="AW1465" s="28">
        <f t="shared" si="130"/>
        <v>-0.60150285395804581</v>
      </c>
      <c r="AX1465">
        <f t="shared" si="131"/>
        <v>0.8</v>
      </c>
      <c r="AY1465" s="62">
        <f t="shared" si="132"/>
        <v>-0.48120228316643665</v>
      </c>
      <c r="AZ1465" s="68" t="str">
        <f t="shared" si="133"/>
        <v>No</v>
      </c>
      <c r="BA1465" s="68" t="str">
        <f t="shared" si="134"/>
        <v>No</v>
      </c>
    </row>
    <row r="1466" spans="1:53" hidden="1">
      <c r="A1466" t="s">
        <v>1136</v>
      </c>
      <c r="B1466" t="s">
        <v>3698</v>
      </c>
      <c r="C1466" t="s">
        <v>1160</v>
      </c>
      <c r="F1466" t="s">
        <v>1241</v>
      </c>
      <c r="G1466" t="s">
        <v>1115</v>
      </c>
      <c r="M1466" s="25" t="s">
        <v>36</v>
      </c>
      <c r="N1466" t="s">
        <v>36</v>
      </c>
      <c r="P1466" t="s">
        <v>60</v>
      </c>
      <c r="Q1466" t="s">
        <v>899</v>
      </c>
      <c r="R1466" t="s">
        <v>828</v>
      </c>
      <c r="S1466" t="s">
        <v>1142</v>
      </c>
      <c r="V1466" t="s">
        <v>905</v>
      </c>
      <c r="X1466">
        <v>4</v>
      </c>
      <c r="Z1466">
        <v>4</v>
      </c>
      <c r="AA1466">
        <v>4</v>
      </c>
      <c r="AC1466">
        <v>380</v>
      </c>
      <c r="AD1466">
        <v>14.7</v>
      </c>
      <c r="AE1466">
        <v>620</v>
      </c>
      <c r="AF1466">
        <v>14.7</v>
      </c>
      <c r="AG1466" t="str">
        <f t="shared" si="135"/>
        <v>9KRI_Centropages_typicus_D4_CO2380.00_T14.70</v>
      </c>
      <c r="AJ1466" t="s">
        <v>59</v>
      </c>
      <c r="AK1466" t="s">
        <v>59</v>
      </c>
      <c r="AM1466"/>
      <c r="AN1466">
        <v>96.1</v>
      </c>
      <c r="AO1466">
        <v>9.9</v>
      </c>
      <c r="AP1466">
        <v>65.7</v>
      </c>
      <c r="AQ1466">
        <v>21.9</v>
      </c>
      <c r="AR1466" t="s">
        <v>3778</v>
      </c>
      <c r="AS1466">
        <f t="shared" si="136"/>
        <v>-0.38029039048568158</v>
      </c>
      <c r="AT1466">
        <f t="shared" si="137"/>
        <v>3.0430938886187864E-2</v>
      </c>
      <c r="AW1466" s="28">
        <f t="shared" si="130"/>
        <v>-1.7888234123334943</v>
      </c>
      <c r="AX1466">
        <f t="shared" si="131"/>
        <v>0.86956521739130432</v>
      </c>
      <c r="AY1466" s="62">
        <f t="shared" si="132"/>
        <v>-1.5554986194204299</v>
      </c>
      <c r="AZ1466" s="68" t="str">
        <f t="shared" si="133"/>
        <v>No</v>
      </c>
      <c r="BA1466" s="68" t="str">
        <f t="shared" si="134"/>
        <v>No</v>
      </c>
    </row>
    <row r="1467" spans="1:53" hidden="1">
      <c r="A1467" t="s">
        <v>1136</v>
      </c>
      <c r="B1467" t="s">
        <v>3699</v>
      </c>
      <c r="C1467" t="s">
        <v>1160</v>
      </c>
      <c r="F1467" t="s">
        <v>1241</v>
      </c>
      <c r="G1467" t="s">
        <v>1115</v>
      </c>
      <c r="M1467" s="25" t="s">
        <v>36</v>
      </c>
      <c r="N1467" t="s">
        <v>36</v>
      </c>
      <c r="P1467" t="s">
        <v>60</v>
      </c>
      <c r="Q1467" t="s">
        <v>899</v>
      </c>
      <c r="R1467" t="s">
        <v>828</v>
      </c>
      <c r="S1467" t="s">
        <v>1142</v>
      </c>
      <c r="V1467" t="s">
        <v>905</v>
      </c>
      <c r="X1467">
        <v>4</v>
      </c>
      <c r="Z1467">
        <v>4</v>
      </c>
      <c r="AA1467">
        <v>4</v>
      </c>
      <c r="AC1467">
        <v>380</v>
      </c>
      <c r="AD1467">
        <v>14.7</v>
      </c>
      <c r="AE1467">
        <v>480</v>
      </c>
      <c r="AF1467">
        <v>14.7</v>
      </c>
      <c r="AG1467" t="str">
        <f t="shared" si="135"/>
        <v>9KRI_Centropages_typicus_D4_CO2380.00_T14.70</v>
      </c>
      <c r="AJ1467" t="s">
        <v>59</v>
      </c>
      <c r="AK1467" t="s">
        <v>59</v>
      </c>
      <c r="AM1467"/>
      <c r="AN1467">
        <v>96.1</v>
      </c>
      <c r="AO1467">
        <v>9.9</v>
      </c>
      <c r="AP1467">
        <v>78.400000000000006</v>
      </c>
      <c r="AQ1467">
        <v>45.9</v>
      </c>
      <c r="AR1467" t="s">
        <v>3778</v>
      </c>
      <c r="AS1467">
        <f t="shared" si="136"/>
        <v>-0.20356538861988405</v>
      </c>
      <c r="AT1467">
        <f t="shared" si="137"/>
        <v>8.8343775045311379E-2</v>
      </c>
      <c r="AW1467" s="28">
        <f t="shared" si="130"/>
        <v>-0.53309142199172466</v>
      </c>
      <c r="AX1467">
        <f t="shared" si="131"/>
        <v>0.86956521739130432</v>
      </c>
      <c r="AY1467" s="62">
        <f t="shared" si="132"/>
        <v>-0.46355775825367362</v>
      </c>
      <c r="AZ1467" s="68" t="str">
        <f t="shared" si="133"/>
        <v>No</v>
      </c>
      <c r="BA1467" s="68" t="str">
        <f t="shared" si="134"/>
        <v>No</v>
      </c>
    </row>
    <row r="1468" spans="1:53" hidden="1">
      <c r="A1468" t="s">
        <v>1136</v>
      </c>
      <c r="B1468" t="s">
        <v>3700</v>
      </c>
      <c r="C1468" t="s">
        <v>1160</v>
      </c>
      <c r="F1468" t="s">
        <v>1241</v>
      </c>
      <c r="G1468" t="s">
        <v>1115</v>
      </c>
      <c r="M1468" s="25" t="s">
        <v>36</v>
      </c>
      <c r="N1468" t="s">
        <v>36</v>
      </c>
      <c r="P1468" t="s">
        <v>60</v>
      </c>
      <c r="Q1468" t="s">
        <v>899</v>
      </c>
      <c r="R1468" t="s">
        <v>828</v>
      </c>
      <c r="S1468" t="s">
        <v>1142</v>
      </c>
      <c r="V1468" t="s">
        <v>905</v>
      </c>
      <c r="X1468">
        <v>4</v>
      </c>
      <c r="Z1468">
        <v>4</v>
      </c>
      <c r="AA1468">
        <v>4</v>
      </c>
      <c r="AC1468">
        <v>380</v>
      </c>
      <c r="AD1468">
        <v>14.7</v>
      </c>
      <c r="AE1468">
        <v>750</v>
      </c>
      <c r="AF1468">
        <v>14.7</v>
      </c>
      <c r="AG1468" t="str">
        <f t="shared" si="135"/>
        <v>9KRI_Centropages_typicus_D4_CO2380.00_T14.70</v>
      </c>
      <c r="AJ1468" t="s">
        <v>59</v>
      </c>
      <c r="AK1468" t="s">
        <v>59</v>
      </c>
      <c r="AM1468"/>
      <c r="AN1468">
        <v>96.1</v>
      </c>
      <c r="AO1468">
        <v>9.9</v>
      </c>
      <c r="AP1468">
        <v>109.5</v>
      </c>
      <c r="AQ1468">
        <v>9.1999999999999993</v>
      </c>
      <c r="AR1468" t="s">
        <v>3778</v>
      </c>
      <c r="AS1468">
        <f t="shared" si="136"/>
        <v>0.13053523328030892</v>
      </c>
      <c r="AT1468">
        <f t="shared" si="137"/>
        <v>4.4179283150988635E-3</v>
      </c>
      <c r="AW1468" s="28">
        <f t="shared" si="130"/>
        <v>1.402199984331064</v>
      </c>
      <c r="AX1468">
        <f t="shared" si="131"/>
        <v>0.86956521739130432</v>
      </c>
      <c r="AY1468" s="62">
        <f t="shared" si="132"/>
        <v>1.2193043342009251</v>
      </c>
      <c r="AZ1468" s="68" t="str">
        <f t="shared" si="133"/>
        <v>No</v>
      </c>
      <c r="BA1468" s="68" t="str">
        <f t="shared" si="134"/>
        <v>No</v>
      </c>
    </row>
    <row r="1469" spans="1:53" hidden="1">
      <c r="A1469" t="s">
        <v>1136</v>
      </c>
      <c r="B1469" t="s">
        <v>3701</v>
      </c>
      <c r="C1469" t="s">
        <v>1161</v>
      </c>
      <c r="F1469" t="s">
        <v>1241</v>
      </c>
      <c r="G1469" t="s">
        <v>1116</v>
      </c>
      <c r="M1469" s="25" t="s">
        <v>36</v>
      </c>
      <c r="N1469" t="s">
        <v>36</v>
      </c>
      <c r="P1469" t="s">
        <v>60</v>
      </c>
      <c r="Q1469" t="s">
        <v>899</v>
      </c>
      <c r="R1469" t="s">
        <v>828</v>
      </c>
      <c r="S1469" t="s">
        <v>836</v>
      </c>
      <c r="V1469" t="s">
        <v>905</v>
      </c>
      <c r="X1469">
        <v>30</v>
      </c>
      <c r="Z1469">
        <v>3</v>
      </c>
      <c r="AA1469">
        <v>3</v>
      </c>
      <c r="AC1469">
        <v>584</v>
      </c>
      <c r="AD1469">
        <v>12</v>
      </c>
      <c r="AE1469">
        <v>1232</v>
      </c>
      <c r="AF1469">
        <v>12</v>
      </c>
      <c r="AG1469" t="str">
        <f t="shared" si="135"/>
        <v>10KRI_Calanus_finmarchicus_D30_CO2584.00_T12.00</v>
      </c>
      <c r="AJ1469" t="s">
        <v>40</v>
      </c>
      <c r="AK1469" t="s">
        <v>40</v>
      </c>
      <c r="AM1469"/>
      <c r="AN1469">
        <v>2.57</v>
      </c>
      <c r="AO1469">
        <v>0.05</v>
      </c>
      <c r="AP1469">
        <v>2.42</v>
      </c>
      <c r="AQ1469">
        <v>0.05</v>
      </c>
      <c r="AR1469" t="s">
        <v>3779</v>
      </c>
      <c r="AS1469">
        <f t="shared" si="136"/>
        <v>-6.0138358738533348E-2</v>
      </c>
      <c r="AT1469">
        <f t="shared" si="137"/>
        <v>2.6846342523924023E-4</v>
      </c>
      <c r="AW1469" s="28">
        <f t="shared" si="130"/>
        <v>-2.9999999999999982</v>
      </c>
      <c r="AX1469">
        <f t="shared" si="131"/>
        <v>0.8</v>
      </c>
      <c r="AY1469" s="62">
        <f t="shared" si="132"/>
        <v>-2.3999999999999986</v>
      </c>
      <c r="AZ1469" s="68" t="str">
        <f t="shared" si="133"/>
        <v>No</v>
      </c>
      <c r="BA1469" s="68" t="str">
        <f t="shared" si="134"/>
        <v>No</v>
      </c>
    </row>
    <row r="1470" spans="1:53" hidden="1">
      <c r="A1470" t="s">
        <v>1136</v>
      </c>
      <c r="B1470" t="s">
        <v>3702</v>
      </c>
      <c r="C1470" t="s">
        <v>1161</v>
      </c>
      <c r="F1470" t="s">
        <v>1241</v>
      </c>
      <c r="G1470" t="s">
        <v>1116</v>
      </c>
      <c r="M1470" s="25" t="s">
        <v>36</v>
      </c>
      <c r="N1470" t="s">
        <v>36</v>
      </c>
      <c r="P1470" t="s">
        <v>60</v>
      </c>
      <c r="Q1470" t="s">
        <v>899</v>
      </c>
      <c r="R1470" t="s">
        <v>828</v>
      </c>
      <c r="S1470" t="s">
        <v>836</v>
      </c>
      <c r="V1470" t="s">
        <v>905</v>
      </c>
      <c r="X1470">
        <v>30</v>
      </c>
      <c r="Z1470">
        <v>3</v>
      </c>
      <c r="AA1470">
        <v>3</v>
      </c>
      <c r="AC1470">
        <v>584</v>
      </c>
      <c r="AD1470">
        <v>12</v>
      </c>
      <c r="AE1470">
        <v>1232</v>
      </c>
      <c r="AF1470">
        <v>12</v>
      </c>
      <c r="AG1470" t="str">
        <f t="shared" si="135"/>
        <v>10KRI_Calanus_finmarchicus_D30_CO2584.00_T12.00</v>
      </c>
      <c r="AJ1470" t="s">
        <v>1150</v>
      </c>
      <c r="AK1470" t="s">
        <v>904</v>
      </c>
      <c r="AM1470"/>
      <c r="AN1470">
        <v>42.02</v>
      </c>
      <c r="AO1470">
        <v>8.4700000000000006</v>
      </c>
      <c r="AP1470">
        <v>43.05</v>
      </c>
      <c r="AQ1470">
        <v>4.1399999999999997</v>
      </c>
      <c r="AR1470" t="s">
        <v>3780</v>
      </c>
      <c r="AS1470">
        <f t="shared" si="136"/>
        <v>2.4216535456885069E-2</v>
      </c>
      <c r="AT1470">
        <f t="shared" si="137"/>
        <v>1.6626292919630383E-2</v>
      </c>
      <c r="AW1470" s="28">
        <f t="shared" si="130"/>
        <v>0.15450729098481816</v>
      </c>
      <c r="AX1470">
        <f t="shared" si="131"/>
        <v>0.8</v>
      </c>
      <c r="AY1470" s="62">
        <f t="shared" si="132"/>
        <v>0.12360583278785453</v>
      </c>
      <c r="AZ1470" s="68" t="str">
        <f t="shared" si="133"/>
        <v>No</v>
      </c>
      <c r="BA1470" s="68" t="str">
        <f t="shared" si="134"/>
        <v>No</v>
      </c>
    </row>
    <row r="1471" spans="1:53" hidden="1">
      <c r="A1471" t="s">
        <v>1136</v>
      </c>
      <c r="B1471" t="s">
        <v>3703</v>
      </c>
      <c r="C1471" t="s">
        <v>1162</v>
      </c>
      <c r="F1471" t="s">
        <v>1241</v>
      </c>
      <c r="G1471" t="s">
        <v>1117</v>
      </c>
      <c r="M1471" s="25" t="s">
        <v>36</v>
      </c>
      <c r="N1471" t="s">
        <v>36</v>
      </c>
      <c r="P1471" t="s">
        <v>60</v>
      </c>
      <c r="Q1471" t="s">
        <v>900</v>
      </c>
      <c r="R1471" t="s">
        <v>827</v>
      </c>
      <c r="S1471" t="s">
        <v>1143</v>
      </c>
      <c r="V1471" t="s">
        <v>907</v>
      </c>
      <c r="X1471">
        <v>0</v>
      </c>
      <c r="Z1471">
        <v>5</v>
      </c>
      <c r="AA1471">
        <v>5</v>
      </c>
      <c r="AC1471">
        <v>428</v>
      </c>
      <c r="AD1471">
        <v>10</v>
      </c>
      <c r="AE1471">
        <v>428</v>
      </c>
      <c r="AF1471">
        <v>13</v>
      </c>
      <c r="AG1471" t="str">
        <f t="shared" si="135"/>
        <v>11KRI_Hyas_araneus_D0_CO2428.00_T10.00</v>
      </c>
      <c r="AJ1471" t="s">
        <v>1150</v>
      </c>
      <c r="AK1471" t="s">
        <v>904</v>
      </c>
      <c r="AM1471"/>
      <c r="AN1471">
        <v>0.28799999999999998</v>
      </c>
      <c r="AO1471">
        <v>0.152</v>
      </c>
      <c r="AP1471">
        <v>1.0589999999999999</v>
      </c>
      <c r="AQ1471">
        <v>0.13800000000000001</v>
      </c>
      <c r="AR1471" t="s">
        <v>3781</v>
      </c>
      <c r="AS1471">
        <f t="shared" si="136"/>
        <v>1.3021198654654604</v>
      </c>
      <c r="AT1471">
        <f t="shared" si="137"/>
        <v>5.9106099929963643E-2</v>
      </c>
      <c r="AW1471" s="28">
        <f t="shared" si="130"/>
        <v>5.311056116552594</v>
      </c>
      <c r="AX1471">
        <f t="shared" si="131"/>
        <v>0.90322580645161288</v>
      </c>
      <c r="AY1471" s="62">
        <f t="shared" si="132"/>
        <v>4.7970829439829883</v>
      </c>
      <c r="AZ1471" s="68" t="str">
        <f t="shared" si="133"/>
        <v>No</v>
      </c>
      <c r="BA1471" s="68" t="str">
        <f t="shared" si="134"/>
        <v>No</v>
      </c>
    </row>
    <row r="1472" spans="1:53" hidden="1">
      <c r="A1472" t="s">
        <v>1136</v>
      </c>
      <c r="B1472" t="s">
        <v>3704</v>
      </c>
      <c r="C1472" t="s">
        <v>1163</v>
      </c>
      <c r="F1472" t="s">
        <v>1241</v>
      </c>
      <c r="G1472" t="s">
        <v>1118</v>
      </c>
      <c r="M1472" s="25" t="s">
        <v>36</v>
      </c>
      <c r="N1472" t="s">
        <v>36</v>
      </c>
      <c r="P1472" t="s">
        <v>60</v>
      </c>
      <c r="Q1472" t="s">
        <v>899</v>
      </c>
      <c r="R1472" t="s">
        <v>849</v>
      </c>
      <c r="S1472" t="s">
        <v>1144</v>
      </c>
      <c r="V1472" t="s">
        <v>905</v>
      </c>
      <c r="X1472">
        <v>35</v>
      </c>
      <c r="Z1472">
        <v>18</v>
      </c>
      <c r="AA1472">
        <v>18</v>
      </c>
      <c r="AC1472">
        <v>430</v>
      </c>
      <c r="AD1472">
        <v>7.9</v>
      </c>
      <c r="AE1472">
        <v>1128</v>
      </c>
      <c r="AF1472">
        <v>7.9</v>
      </c>
      <c r="AG1472" t="str">
        <f t="shared" si="135"/>
        <v>12KRI_Nyctiphanes_couchii_D35_CO2430.00_T7.90</v>
      </c>
      <c r="AJ1472" t="s">
        <v>40</v>
      </c>
      <c r="AK1472" t="s">
        <v>40</v>
      </c>
      <c r="AM1472"/>
      <c r="AN1472">
        <v>0.01</v>
      </c>
      <c r="AO1472">
        <v>0.38</v>
      </c>
      <c r="AP1472">
        <v>0.19</v>
      </c>
      <c r="AQ1472">
        <v>0.35</v>
      </c>
      <c r="AR1472" t="s">
        <v>3760</v>
      </c>
      <c r="AS1472">
        <f t="shared" si="136"/>
        <v>2.9444389791664403</v>
      </c>
      <c r="AT1472">
        <f t="shared" si="137"/>
        <v>80.410741766697441</v>
      </c>
      <c r="AW1472" s="28">
        <f t="shared" si="130"/>
        <v>0.49273477742516436</v>
      </c>
      <c r="AX1472">
        <f t="shared" si="131"/>
        <v>0.97777777777777775</v>
      </c>
      <c r="AY1472" s="62">
        <f t="shared" si="132"/>
        <v>0.48178511570460514</v>
      </c>
      <c r="AZ1472" s="68" t="str">
        <f t="shared" si="133"/>
        <v>No</v>
      </c>
      <c r="BA1472" s="68" t="str">
        <f t="shared" si="134"/>
        <v>No</v>
      </c>
    </row>
    <row r="1473" spans="1:53" hidden="1">
      <c r="A1473" t="s">
        <v>1136</v>
      </c>
      <c r="B1473" t="s">
        <v>3705</v>
      </c>
      <c r="C1473" t="s">
        <v>1163</v>
      </c>
      <c r="F1473" t="s">
        <v>1241</v>
      </c>
      <c r="G1473" t="s">
        <v>1118</v>
      </c>
      <c r="M1473" s="25" t="s">
        <v>36</v>
      </c>
      <c r="N1473" t="s">
        <v>36</v>
      </c>
      <c r="P1473" t="s">
        <v>60</v>
      </c>
      <c r="Q1473" t="s">
        <v>899</v>
      </c>
      <c r="R1473" t="s">
        <v>849</v>
      </c>
      <c r="S1473" t="s">
        <v>1144</v>
      </c>
      <c r="V1473" t="s">
        <v>905</v>
      </c>
      <c r="X1473">
        <v>35</v>
      </c>
      <c r="Z1473">
        <v>18</v>
      </c>
      <c r="AA1473">
        <v>18</v>
      </c>
      <c r="AC1473">
        <v>430</v>
      </c>
      <c r="AD1473">
        <v>7.9</v>
      </c>
      <c r="AE1473">
        <v>1128</v>
      </c>
      <c r="AF1473">
        <v>7.9</v>
      </c>
      <c r="AG1473" t="str">
        <f t="shared" si="135"/>
        <v>12KRI_Nyctiphanes_couchii_D35_CO2430.00_T7.90</v>
      </c>
      <c r="AJ1473" t="s">
        <v>69</v>
      </c>
      <c r="AK1473" t="s">
        <v>69</v>
      </c>
      <c r="AM1473"/>
      <c r="AN1473">
        <v>0.184</v>
      </c>
      <c r="AO1473">
        <v>0.1</v>
      </c>
      <c r="AP1473">
        <v>0.123</v>
      </c>
      <c r="AQ1473">
        <v>8.1000000000000003E-2</v>
      </c>
      <c r="AR1473" t="s">
        <v>3782</v>
      </c>
      <c r="AS1473">
        <f t="shared" si="136"/>
        <v>-0.40275140223656836</v>
      </c>
      <c r="AT1473">
        <f t="shared" si="137"/>
        <v>4.0502169683506971E-2</v>
      </c>
      <c r="AW1473" s="28">
        <f t="shared" si="130"/>
        <v>-0.67034990822446938</v>
      </c>
      <c r="AX1473">
        <f t="shared" si="131"/>
        <v>0.97777777777777775</v>
      </c>
      <c r="AY1473" s="62">
        <f t="shared" si="132"/>
        <v>-0.65545324359725898</v>
      </c>
      <c r="AZ1473" s="68" t="str">
        <f t="shared" si="133"/>
        <v>No</v>
      </c>
      <c r="BA1473" s="68" t="str">
        <f t="shared" si="134"/>
        <v>No</v>
      </c>
    </row>
    <row r="1474" spans="1:53" hidden="1">
      <c r="A1474" t="s">
        <v>1136</v>
      </c>
      <c r="B1474" t="s">
        <v>3706</v>
      </c>
      <c r="C1474" t="s">
        <v>1163</v>
      </c>
      <c r="F1474" t="s">
        <v>1241</v>
      </c>
      <c r="G1474" t="s">
        <v>1118</v>
      </c>
      <c r="M1474" s="25" t="s">
        <v>36</v>
      </c>
      <c r="N1474" t="s">
        <v>36</v>
      </c>
      <c r="P1474" t="s">
        <v>60</v>
      </c>
      <c r="Q1474" t="s">
        <v>899</v>
      </c>
      <c r="R1474" t="s">
        <v>849</v>
      </c>
      <c r="S1474" t="s">
        <v>1144</v>
      </c>
      <c r="V1474" t="s">
        <v>905</v>
      </c>
      <c r="X1474">
        <v>35</v>
      </c>
      <c r="Z1474">
        <v>18</v>
      </c>
      <c r="AA1474">
        <v>18</v>
      </c>
      <c r="AC1474">
        <v>430</v>
      </c>
      <c r="AD1474">
        <v>7.9</v>
      </c>
      <c r="AE1474">
        <v>794</v>
      </c>
      <c r="AF1474">
        <v>8</v>
      </c>
      <c r="AG1474" t="str">
        <f t="shared" ref="AG1474:AG1505" si="138">C1474 &amp; "_" &amp;
SUBSTITUTE(TRIM(S1474)," ","_") &amp; "_" &amp;
"D" &amp; TEXT(X1474,"0") &amp; "_" &amp;
"CO2" &amp; IF(AC1474&lt;&gt;"",TEXT(AC1474,"0.00"),"NA") &amp; "_" &amp;
"T" &amp; IF(AD1474&lt;&gt;"",TEXT(AD1474,"0.00"),"NA")</f>
        <v>12KRI_Nyctiphanes_couchii_D35_CO2430.00_T7.90</v>
      </c>
      <c r="AJ1474" t="s">
        <v>40</v>
      </c>
      <c r="AK1474" t="s">
        <v>40</v>
      </c>
      <c r="AM1474"/>
      <c r="AN1474">
        <v>0.01</v>
      </c>
      <c r="AO1474">
        <v>0.38</v>
      </c>
      <c r="AP1474">
        <v>0.06</v>
      </c>
      <c r="AQ1474">
        <v>0.36</v>
      </c>
      <c r="AR1474" t="s">
        <v>3760</v>
      </c>
      <c r="AS1474">
        <f t="shared" si="136"/>
        <v>1.7917594692280545</v>
      </c>
      <c r="AT1474">
        <f t="shared" si="137"/>
        <v>82.222222222222214</v>
      </c>
      <c r="AW1474" s="28">
        <f t="shared" ref="AW1474:AW1525" si="139">(AP1474-$AN1474)/SQRT(((AA1474-1)*AQ1474*AQ1474+($Z1474-1)*$AO1474*$AO1474)/(AA1474+$Z1474-2))</f>
        <v>0.13508580673957479</v>
      </c>
      <c r="AX1474">
        <f t="shared" ref="AX1474:AX1525" si="140">1-(3/(4*(AA1474+$Z1474-2)-1))</f>
        <v>0.97777777777777775</v>
      </c>
      <c r="AY1474" s="62">
        <f t="shared" ref="AY1474:AY1537" si="141">AX1474*AW1474</f>
        <v>0.13208389992313979</v>
      </c>
      <c r="AZ1474" s="68" t="str">
        <f t="shared" ref="AZ1474:AZ1537" si="142">IF(AY1474&gt;10,"Yes","No")</f>
        <v>No</v>
      </c>
      <c r="BA1474" s="68" t="str">
        <f t="shared" ref="BA1474:BA1525" si="143">IF(AY1474&lt;-10,"Yes","No")</f>
        <v>No</v>
      </c>
    </row>
    <row r="1475" spans="1:53" hidden="1">
      <c r="A1475" t="s">
        <v>1136</v>
      </c>
      <c r="B1475" t="s">
        <v>3707</v>
      </c>
      <c r="C1475" t="s">
        <v>1163</v>
      </c>
      <c r="F1475" t="s">
        <v>1241</v>
      </c>
      <c r="G1475" t="s">
        <v>1118</v>
      </c>
      <c r="M1475" s="25" t="s">
        <v>36</v>
      </c>
      <c r="N1475" t="s">
        <v>36</v>
      </c>
      <c r="P1475" t="s">
        <v>60</v>
      </c>
      <c r="Q1475" t="s">
        <v>899</v>
      </c>
      <c r="R1475" t="s">
        <v>849</v>
      </c>
      <c r="S1475" t="s">
        <v>1144</v>
      </c>
      <c r="V1475" t="s">
        <v>905</v>
      </c>
      <c r="X1475">
        <v>35</v>
      </c>
      <c r="Z1475">
        <v>18</v>
      </c>
      <c r="AA1475">
        <v>18</v>
      </c>
      <c r="AC1475">
        <v>430</v>
      </c>
      <c r="AD1475">
        <v>7.9</v>
      </c>
      <c r="AE1475">
        <v>794</v>
      </c>
      <c r="AF1475">
        <v>8</v>
      </c>
      <c r="AG1475" t="str">
        <f t="shared" si="138"/>
        <v>12KRI_Nyctiphanes_couchii_D35_CO2430.00_T7.90</v>
      </c>
      <c r="AJ1475" t="s">
        <v>69</v>
      </c>
      <c r="AK1475" t="s">
        <v>69</v>
      </c>
      <c r="AM1475"/>
      <c r="AN1475">
        <v>0.184</v>
      </c>
      <c r="AO1475">
        <v>0.1</v>
      </c>
      <c r="AP1475">
        <v>0.308</v>
      </c>
      <c r="AQ1475">
        <v>0.11799999999999999</v>
      </c>
      <c r="AR1475" t="s">
        <v>3783</v>
      </c>
      <c r="AS1475">
        <f t="shared" si="136"/>
        <v>0.51516402536458883</v>
      </c>
      <c r="AT1475">
        <f t="shared" si="137"/>
        <v>2.4563731453722371E-2</v>
      </c>
      <c r="AW1475" s="28">
        <f t="shared" si="139"/>
        <v>1.1337564900067103</v>
      </c>
      <c r="AX1475">
        <f t="shared" si="140"/>
        <v>0.97777777777777775</v>
      </c>
      <c r="AY1475" s="62">
        <f t="shared" si="141"/>
        <v>1.1085619013398944</v>
      </c>
      <c r="AZ1475" s="68" t="str">
        <f t="shared" si="142"/>
        <v>No</v>
      </c>
      <c r="BA1475" s="68" t="str">
        <f t="shared" si="143"/>
        <v>No</v>
      </c>
    </row>
    <row r="1476" spans="1:53" hidden="1">
      <c r="A1476" t="s">
        <v>1136</v>
      </c>
      <c r="B1476" t="s">
        <v>3708</v>
      </c>
      <c r="C1476" t="s">
        <v>1164</v>
      </c>
      <c r="F1476" t="s">
        <v>1241</v>
      </c>
      <c r="G1476" t="s">
        <v>1119</v>
      </c>
      <c r="M1476" s="25" t="s">
        <v>36</v>
      </c>
      <c r="N1476" t="s">
        <v>36</v>
      </c>
      <c r="P1476" t="s">
        <v>60</v>
      </c>
      <c r="Q1476" t="s">
        <v>900</v>
      </c>
      <c r="R1476" t="s">
        <v>827</v>
      </c>
      <c r="S1476" t="s">
        <v>1145</v>
      </c>
      <c r="V1476" t="s">
        <v>907</v>
      </c>
      <c r="X1476">
        <v>13</v>
      </c>
      <c r="Z1476">
        <v>12</v>
      </c>
      <c r="AA1476">
        <v>12</v>
      </c>
      <c r="AC1476">
        <v>422</v>
      </c>
      <c r="AD1476">
        <v>10</v>
      </c>
      <c r="AE1476">
        <v>466</v>
      </c>
      <c r="AF1476">
        <v>11.71</v>
      </c>
      <c r="AG1476" t="str">
        <f t="shared" si="138"/>
        <v>13KRI_Nephrops_norvegicus_D13_CO2422.00_T10.00</v>
      </c>
      <c r="AJ1476" t="s">
        <v>1150</v>
      </c>
      <c r="AK1476" t="s">
        <v>904</v>
      </c>
      <c r="AM1476"/>
      <c r="AN1476">
        <v>2.75</v>
      </c>
      <c r="AO1476">
        <v>0.21</v>
      </c>
      <c r="AP1476">
        <v>2.69</v>
      </c>
      <c r="AQ1476">
        <v>0.18</v>
      </c>
      <c r="AR1476" t="s">
        <v>3784</v>
      </c>
      <c r="AS1476">
        <f t="shared" si="136"/>
        <v>-2.205971806473217E-2</v>
      </c>
      <c r="AT1476">
        <f t="shared" si="137"/>
        <v>8.5907958501457498E-4</v>
      </c>
      <c r="AW1476" s="28">
        <f t="shared" si="139"/>
        <v>-0.30678599553894842</v>
      </c>
      <c r="AX1476">
        <f t="shared" si="140"/>
        <v>0.96551724137931039</v>
      </c>
      <c r="AY1476" s="62">
        <f t="shared" si="141"/>
        <v>-0.29620716810657088</v>
      </c>
      <c r="AZ1476" s="68" t="str">
        <f t="shared" si="142"/>
        <v>No</v>
      </c>
      <c r="BA1476" s="68" t="str">
        <f t="shared" si="143"/>
        <v>No</v>
      </c>
    </row>
    <row r="1477" spans="1:53" hidden="1">
      <c r="A1477" t="s">
        <v>1136</v>
      </c>
      <c r="B1477" t="s">
        <v>3709</v>
      </c>
      <c r="C1477" t="s">
        <v>1164</v>
      </c>
      <c r="F1477" t="s">
        <v>1241</v>
      </c>
      <c r="G1477" t="s">
        <v>1119</v>
      </c>
      <c r="M1477" s="25" t="s">
        <v>36</v>
      </c>
      <c r="N1477" t="s">
        <v>36</v>
      </c>
      <c r="P1477" t="s">
        <v>60</v>
      </c>
      <c r="Q1477" t="s">
        <v>900</v>
      </c>
      <c r="R1477" t="s">
        <v>827</v>
      </c>
      <c r="S1477" t="s">
        <v>1145</v>
      </c>
      <c r="V1477" t="s">
        <v>907</v>
      </c>
      <c r="X1477">
        <v>13</v>
      </c>
      <c r="Z1477">
        <v>12</v>
      </c>
      <c r="AA1477">
        <v>12</v>
      </c>
      <c r="AC1477">
        <v>422</v>
      </c>
      <c r="AD1477">
        <v>10</v>
      </c>
      <c r="AE1477">
        <v>518</v>
      </c>
      <c r="AF1477">
        <v>13.57</v>
      </c>
      <c r="AG1477" t="str">
        <f t="shared" si="138"/>
        <v>13KRI_Nephrops_norvegicus_D13_CO2422.00_T10.00</v>
      </c>
      <c r="AJ1477" t="s">
        <v>1150</v>
      </c>
      <c r="AK1477" t="s">
        <v>904</v>
      </c>
      <c r="AM1477"/>
      <c r="AN1477">
        <v>2.75</v>
      </c>
      <c r="AO1477">
        <v>0.21</v>
      </c>
      <c r="AP1477">
        <v>3.48</v>
      </c>
      <c r="AQ1477">
        <v>0.1</v>
      </c>
      <c r="AR1477" t="s">
        <v>3784</v>
      </c>
      <c r="AS1477">
        <f t="shared" si="136"/>
        <v>0.23543138210790304</v>
      </c>
      <c r="AT1477">
        <f t="shared" si="137"/>
        <v>5.5476179297387805E-4</v>
      </c>
      <c r="AW1477" s="28">
        <f t="shared" si="139"/>
        <v>4.4385306722665154</v>
      </c>
      <c r="AX1477">
        <f t="shared" si="140"/>
        <v>0.96551724137931039</v>
      </c>
      <c r="AY1477" s="62">
        <f t="shared" si="141"/>
        <v>4.2854778904642217</v>
      </c>
      <c r="AZ1477" s="68" t="str">
        <f t="shared" si="142"/>
        <v>No</v>
      </c>
      <c r="BA1477" s="68" t="str">
        <f t="shared" si="143"/>
        <v>No</v>
      </c>
    </row>
    <row r="1478" spans="1:53" hidden="1">
      <c r="A1478" t="s">
        <v>1136</v>
      </c>
      <c r="B1478" t="s">
        <v>3710</v>
      </c>
      <c r="C1478" t="s">
        <v>1165</v>
      </c>
      <c r="F1478" t="s">
        <v>1241</v>
      </c>
      <c r="G1478" t="s">
        <v>1120</v>
      </c>
      <c r="M1478" s="25" t="s">
        <v>36</v>
      </c>
      <c r="N1478" t="s">
        <v>36</v>
      </c>
      <c r="P1478" t="s">
        <v>60</v>
      </c>
      <c r="Q1478" t="s">
        <v>899</v>
      </c>
      <c r="R1478" t="s">
        <v>828</v>
      </c>
      <c r="S1478" t="s">
        <v>1146</v>
      </c>
      <c r="V1478" t="s">
        <v>905</v>
      </c>
      <c r="X1478">
        <v>17</v>
      </c>
      <c r="Z1478">
        <v>6</v>
      </c>
      <c r="AA1478">
        <v>6</v>
      </c>
      <c r="AC1478">
        <v>402</v>
      </c>
      <c r="AD1478">
        <v>5.74</v>
      </c>
      <c r="AE1478">
        <v>1549</v>
      </c>
      <c r="AF1478">
        <v>5.53</v>
      </c>
      <c r="AG1478" t="str">
        <f t="shared" si="138"/>
        <v>14KRI_Pseudocalanus_acuspes_D17_CO2402.00_T5.74</v>
      </c>
      <c r="AJ1478" t="s">
        <v>59</v>
      </c>
      <c r="AK1478" t="s">
        <v>59</v>
      </c>
      <c r="AM1478"/>
      <c r="AN1478">
        <v>0.93</v>
      </c>
      <c r="AO1478">
        <v>0.14000000000000001</v>
      </c>
      <c r="AP1478">
        <v>0.66</v>
      </c>
      <c r="AQ1478">
        <v>0.19</v>
      </c>
      <c r="AR1478" t="s">
        <v>3785</v>
      </c>
      <c r="AS1478">
        <f t="shared" si="136"/>
        <v>-0.34294475112683043</v>
      </c>
      <c r="AT1478">
        <f t="shared" si="137"/>
        <v>1.7589295980649681E-2</v>
      </c>
      <c r="AW1478" s="28">
        <f t="shared" si="139"/>
        <v>-1.6178980978223454</v>
      </c>
      <c r="AX1478">
        <f t="shared" si="140"/>
        <v>0.92307692307692313</v>
      </c>
      <c r="AY1478" s="62">
        <f t="shared" si="141"/>
        <v>-1.4934443979898573</v>
      </c>
      <c r="AZ1478" s="68" t="str">
        <f t="shared" si="142"/>
        <v>No</v>
      </c>
      <c r="BA1478" s="68" t="str">
        <f t="shared" si="143"/>
        <v>No</v>
      </c>
    </row>
    <row r="1479" spans="1:53" hidden="1">
      <c r="A1479" t="s">
        <v>1136</v>
      </c>
      <c r="B1479" t="s">
        <v>3711</v>
      </c>
      <c r="C1479" t="s">
        <v>1165</v>
      </c>
      <c r="F1479" t="s">
        <v>1241</v>
      </c>
      <c r="G1479" t="s">
        <v>1120</v>
      </c>
      <c r="M1479" s="25" t="s">
        <v>36</v>
      </c>
      <c r="N1479" t="s">
        <v>36</v>
      </c>
      <c r="P1479" t="s">
        <v>60</v>
      </c>
      <c r="Q1479" t="s">
        <v>899</v>
      </c>
      <c r="R1479" t="s">
        <v>828</v>
      </c>
      <c r="S1479" t="s">
        <v>1146</v>
      </c>
      <c r="V1479" t="s">
        <v>905</v>
      </c>
      <c r="X1479">
        <v>17</v>
      </c>
      <c r="Z1479">
        <v>6</v>
      </c>
      <c r="AA1479">
        <v>6</v>
      </c>
      <c r="AC1479">
        <v>402</v>
      </c>
      <c r="AD1479">
        <v>5.74</v>
      </c>
      <c r="AE1479">
        <v>890</v>
      </c>
      <c r="AF1479">
        <v>5.36</v>
      </c>
      <c r="AG1479" t="str">
        <f t="shared" si="138"/>
        <v>14KRI_Pseudocalanus_acuspes_D17_CO2402.00_T5.74</v>
      </c>
      <c r="AJ1479" t="s">
        <v>59</v>
      </c>
      <c r="AK1479" t="s">
        <v>59</v>
      </c>
      <c r="AM1479"/>
      <c r="AN1479">
        <v>0.93</v>
      </c>
      <c r="AO1479">
        <v>0.14000000000000001</v>
      </c>
      <c r="AP1479">
        <v>0.68</v>
      </c>
      <c r="AQ1479">
        <v>0.05</v>
      </c>
      <c r="AR1479" t="s">
        <v>3785</v>
      </c>
      <c r="AS1479">
        <f t="shared" si="136"/>
        <v>-0.31309178797714926</v>
      </c>
      <c r="AT1479">
        <f t="shared" si="137"/>
        <v>4.6780256279669377E-3</v>
      </c>
      <c r="AW1479" s="28">
        <f t="shared" si="139"/>
        <v>-2.3782574707724704</v>
      </c>
      <c r="AX1479">
        <f t="shared" si="140"/>
        <v>0.92307692307692313</v>
      </c>
      <c r="AY1479" s="62">
        <f t="shared" si="141"/>
        <v>-2.1953145884053575</v>
      </c>
      <c r="AZ1479" s="68" t="str">
        <f t="shared" si="142"/>
        <v>No</v>
      </c>
      <c r="BA1479" s="68" t="str">
        <f t="shared" si="143"/>
        <v>No</v>
      </c>
    </row>
    <row r="1480" spans="1:53" hidden="1">
      <c r="A1480" t="s">
        <v>1136</v>
      </c>
      <c r="B1480" t="s">
        <v>3712</v>
      </c>
      <c r="C1480" t="s">
        <v>1166</v>
      </c>
      <c r="F1480" t="s">
        <v>1241</v>
      </c>
      <c r="G1480" t="s">
        <v>1121</v>
      </c>
      <c r="M1480" s="25" t="s">
        <v>36</v>
      </c>
      <c r="N1480" t="s">
        <v>36</v>
      </c>
      <c r="P1480" t="s">
        <v>60</v>
      </c>
      <c r="Q1480" t="s">
        <v>900</v>
      </c>
      <c r="R1480" t="s">
        <v>827</v>
      </c>
      <c r="S1480" t="s">
        <v>1147</v>
      </c>
      <c r="V1480" t="s">
        <v>905</v>
      </c>
      <c r="X1480">
        <v>274</v>
      </c>
      <c r="Z1480">
        <v>13</v>
      </c>
      <c r="AA1480">
        <v>11</v>
      </c>
      <c r="AC1480">
        <v>570</v>
      </c>
      <c r="AD1480">
        <v>12.66</v>
      </c>
      <c r="AE1480">
        <v>1138</v>
      </c>
      <c r="AF1480">
        <v>12.78</v>
      </c>
      <c r="AG1480" t="str">
        <f t="shared" si="138"/>
        <v>15KRI_Cancer_pagurus_D274_CO2570.00_T12.66</v>
      </c>
      <c r="AJ1480" t="s">
        <v>40</v>
      </c>
      <c r="AK1480" t="s">
        <v>40</v>
      </c>
      <c r="AM1480"/>
      <c r="AN1480">
        <v>70.61</v>
      </c>
      <c r="AO1480">
        <v>15.86</v>
      </c>
      <c r="AP1480">
        <v>66.81</v>
      </c>
      <c r="AQ1480">
        <v>18.63</v>
      </c>
      <c r="AR1480" t="s">
        <v>3786</v>
      </c>
      <c r="AS1480">
        <f t="shared" si="136"/>
        <v>-5.5319007590870051E-2</v>
      </c>
      <c r="AT1480">
        <f t="shared" si="137"/>
        <v>1.0949754768459011E-2</v>
      </c>
      <c r="AW1480" s="28">
        <f t="shared" si="139"/>
        <v>-0.22125743746376447</v>
      </c>
      <c r="AX1480">
        <f t="shared" si="140"/>
        <v>0.96551724137931039</v>
      </c>
      <c r="AY1480" s="62">
        <f t="shared" si="141"/>
        <v>-0.21362787065466915</v>
      </c>
      <c r="AZ1480" s="68" t="str">
        <f t="shared" si="142"/>
        <v>No</v>
      </c>
      <c r="BA1480" s="68" t="str">
        <f t="shared" si="143"/>
        <v>No</v>
      </c>
    </row>
    <row r="1481" spans="1:53" hidden="1">
      <c r="A1481" t="s">
        <v>1136</v>
      </c>
      <c r="B1481" t="s">
        <v>3713</v>
      </c>
      <c r="C1481" t="s">
        <v>1167</v>
      </c>
      <c r="F1481" t="s">
        <v>1241</v>
      </c>
      <c r="G1481" t="s">
        <v>1122</v>
      </c>
      <c r="M1481" s="25" t="s">
        <v>36</v>
      </c>
      <c r="N1481" t="s">
        <v>36</v>
      </c>
      <c r="P1481" t="s">
        <v>60</v>
      </c>
      <c r="Q1481" t="s">
        <v>900</v>
      </c>
      <c r="R1481" t="s">
        <v>827</v>
      </c>
      <c r="S1481" t="s">
        <v>1147</v>
      </c>
      <c r="V1481" t="s">
        <v>905</v>
      </c>
      <c r="X1481">
        <v>18</v>
      </c>
      <c r="Z1481">
        <v>4</v>
      </c>
      <c r="AA1481">
        <v>4</v>
      </c>
      <c r="AC1481">
        <v>596</v>
      </c>
      <c r="AD1481">
        <v>12.1</v>
      </c>
      <c r="AE1481">
        <v>1599</v>
      </c>
      <c r="AF1481">
        <v>12</v>
      </c>
      <c r="AG1481" t="str">
        <f t="shared" si="138"/>
        <v>16KRI_Cancer_pagurus_D18_CO2596.00_T12.10</v>
      </c>
      <c r="AJ1481" t="s">
        <v>1150</v>
      </c>
      <c r="AK1481" t="s">
        <v>904</v>
      </c>
      <c r="AM1481"/>
      <c r="AN1481">
        <v>2.0299999999999998</v>
      </c>
      <c r="AO1481">
        <v>0.49</v>
      </c>
      <c r="AP1481">
        <v>2.1800000000000002</v>
      </c>
      <c r="AQ1481">
        <v>0.42</v>
      </c>
      <c r="AR1481" t="s">
        <v>3787</v>
      </c>
      <c r="AS1481">
        <f t="shared" si="136"/>
        <v>7.1289083747301807E-2</v>
      </c>
      <c r="AT1481">
        <f t="shared" si="137"/>
        <v>2.3845514791399972E-2</v>
      </c>
      <c r="AW1481" s="28">
        <f t="shared" si="139"/>
        <v>0.32869928093458817</v>
      </c>
      <c r="AX1481">
        <f t="shared" si="140"/>
        <v>0.86956521739130432</v>
      </c>
      <c r="AY1481" s="62">
        <f t="shared" si="141"/>
        <v>0.28582546168225059</v>
      </c>
      <c r="AZ1481" s="68" t="str">
        <f t="shared" si="142"/>
        <v>No</v>
      </c>
      <c r="BA1481" s="68" t="str">
        <f t="shared" si="143"/>
        <v>No</v>
      </c>
    </row>
    <row r="1482" spans="1:53" hidden="1">
      <c r="A1482" t="s">
        <v>1136</v>
      </c>
      <c r="B1482" t="s">
        <v>3714</v>
      </c>
      <c r="C1482" t="s">
        <v>1167</v>
      </c>
      <c r="F1482" t="s">
        <v>1241</v>
      </c>
      <c r="G1482" t="s">
        <v>1122</v>
      </c>
      <c r="M1482" s="25" t="s">
        <v>36</v>
      </c>
      <c r="N1482" t="s">
        <v>36</v>
      </c>
      <c r="P1482" t="s">
        <v>60</v>
      </c>
      <c r="Q1482" t="s">
        <v>900</v>
      </c>
      <c r="R1482" t="s">
        <v>827</v>
      </c>
      <c r="S1482" t="s">
        <v>1147</v>
      </c>
      <c r="V1482" t="s">
        <v>905</v>
      </c>
      <c r="X1482">
        <v>120</v>
      </c>
      <c r="Z1482">
        <v>9</v>
      </c>
      <c r="AA1482">
        <v>7</v>
      </c>
      <c r="AC1482">
        <v>596</v>
      </c>
      <c r="AD1482">
        <v>12.1</v>
      </c>
      <c r="AE1482">
        <v>1599</v>
      </c>
      <c r="AF1482">
        <v>12</v>
      </c>
      <c r="AG1482" t="str">
        <f t="shared" si="138"/>
        <v>16KRI_Cancer_pagurus_D120_CO2596.00_T12.10</v>
      </c>
      <c r="AJ1482" t="s">
        <v>1151</v>
      </c>
      <c r="AK1482" t="s">
        <v>904</v>
      </c>
      <c r="AM1482"/>
      <c r="AN1482">
        <v>28.91</v>
      </c>
      <c r="AO1482">
        <v>1.96</v>
      </c>
      <c r="AP1482">
        <v>27.17</v>
      </c>
      <c r="AQ1482">
        <v>0.87</v>
      </c>
      <c r="AR1482" t="s">
        <v>3788</v>
      </c>
      <c r="AS1482">
        <f t="shared" si="136"/>
        <v>-6.2074132589998499E-2</v>
      </c>
      <c r="AT1482">
        <f t="shared" si="137"/>
        <v>6.5718314593939922E-4</v>
      </c>
      <c r="AW1482" s="28">
        <f t="shared" si="139"/>
        <v>-1.0961870815113652</v>
      </c>
      <c r="AX1482">
        <f t="shared" si="140"/>
        <v>0.94545454545454544</v>
      </c>
      <c r="AY1482" s="62">
        <f t="shared" si="141"/>
        <v>-1.0363950588834725</v>
      </c>
      <c r="AZ1482" s="68" t="str">
        <f t="shared" si="142"/>
        <v>No</v>
      </c>
      <c r="BA1482" s="68" t="str">
        <f t="shared" si="143"/>
        <v>No</v>
      </c>
    </row>
    <row r="1483" spans="1:53" hidden="1">
      <c r="A1483" t="s">
        <v>1136</v>
      </c>
      <c r="B1483" t="s">
        <v>3715</v>
      </c>
      <c r="C1483" t="s">
        <v>1168</v>
      </c>
      <c r="F1483" t="s">
        <v>1241</v>
      </c>
      <c r="G1483" t="s">
        <v>1123</v>
      </c>
      <c r="M1483" s="25" t="s">
        <v>36</v>
      </c>
      <c r="N1483" t="s">
        <v>36</v>
      </c>
      <c r="P1483" t="s">
        <v>60</v>
      </c>
      <c r="Q1483" t="s">
        <v>900</v>
      </c>
      <c r="R1483" t="s">
        <v>827</v>
      </c>
      <c r="S1483" t="s">
        <v>1147</v>
      </c>
      <c r="V1483" t="s">
        <v>905</v>
      </c>
      <c r="X1483">
        <v>15</v>
      </c>
      <c r="Z1483">
        <v>3</v>
      </c>
      <c r="AA1483">
        <v>3</v>
      </c>
      <c r="AC1483" t="s">
        <v>3758</v>
      </c>
      <c r="AD1483" t="s">
        <v>3758</v>
      </c>
      <c r="AE1483" t="s">
        <v>3758</v>
      </c>
      <c r="AF1483" t="s">
        <v>3758</v>
      </c>
      <c r="AG1483" t="str">
        <f t="shared" si="138"/>
        <v>17KRI_Cancer_pagurus_D15_CO2na_Tna</v>
      </c>
      <c r="AJ1483" t="s">
        <v>69</v>
      </c>
      <c r="AK1483" t="s">
        <v>69</v>
      </c>
      <c r="AM1483"/>
      <c r="AN1483">
        <v>3.5999999999999997E-2</v>
      </c>
      <c r="AO1483">
        <v>5.0000000000000001E-3</v>
      </c>
      <c r="AP1483">
        <v>2.5999999999999999E-2</v>
      </c>
      <c r="AQ1483">
        <v>0.01</v>
      </c>
      <c r="AR1483" t="s">
        <v>3779</v>
      </c>
      <c r="AS1483">
        <f t="shared" si="136"/>
        <v>-0.32542240043462778</v>
      </c>
      <c r="AT1483">
        <f t="shared" si="137"/>
        <v>5.5739705846543461E-2</v>
      </c>
      <c r="AW1483" s="28">
        <f t="shared" si="139"/>
        <v>-1.2649110640673515</v>
      </c>
      <c r="AX1483">
        <f t="shared" si="140"/>
        <v>0.8</v>
      </c>
      <c r="AY1483" s="62">
        <f t="shared" si="141"/>
        <v>-1.0119288512538813</v>
      </c>
      <c r="AZ1483" s="68" t="str">
        <f t="shared" si="142"/>
        <v>No</v>
      </c>
      <c r="BA1483" s="68" t="str">
        <f t="shared" si="143"/>
        <v>No</v>
      </c>
    </row>
    <row r="1484" spans="1:53" hidden="1">
      <c r="A1484" t="s">
        <v>1136</v>
      </c>
      <c r="B1484" t="s">
        <v>3716</v>
      </c>
      <c r="C1484" t="s">
        <v>1168</v>
      </c>
      <c r="F1484" t="s">
        <v>1241</v>
      </c>
      <c r="G1484" t="s">
        <v>1123</v>
      </c>
      <c r="M1484" s="25" t="s">
        <v>36</v>
      </c>
      <c r="N1484" t="s">
        <v>36</v>
      </c>
      <c r="P1484" t="s">
        <v>60</v>
      </c>
      <c r="Q1484" t="s">
        <v>900</v>
      </c>
      <c r="R1484" t="s">
        <v>827</v>
      </c>
      <c r="S1484" t="s">
        <v>1147</v>
      </c>
      <c r="V1484" t="s">
        <v>905</v>
      </c>
      <c r="X1484">
        <v>15</v>
      </c>
      <c r="Z1484">
        <v>3</v>
      </c>
      <c r="AA1484">
        <v>3</v>
      </c>
      <c r="AC1484" t="s">
        <v>3758</v>
      </c>
      <c r="AD1484" t="s">
        <v>3758</v>
      </c>
      <c r="AE1484" t="s">
        <v>3758</v>
      </c>
      <c r="AF1484" t="s">
        <v>3758</v>
      </c>
      <c r="AG1484" t="str">
        <f t="shared" si="138"/>
        <v>17KRI_Cancer_pagurus_D15_CO2na_Tna</v>
      </c>
      <c r="AJ1484" t="s">
        <v>69</v>
      </c>
      <c r="AK1484" t="s">
        <v>69</v>
      </c>
      <c r="AM1484"/>
      <c r="AN1484">
        <v>3.5999999999999997E-2</v>
      </c>
      <c r="AO1484">
        <v>5.0000000000000001E-3</v>
      </c>
      <c r="AP1484">
        <v>3.7999999999999999E-2</v>
      </c>
      <c r="AQ1484">
        <v>5.0000000000000001E-3</v>
      </c>
      <c r="AR1484" t="s">
        <v>3779</v>
      </c>
      <c r="AS1484">
        <f t="shared" si="136"/>
        <v>5.4067221270276189E-2</v>
      </c>
      <c r="AT1484">
        <f t="shared" si="137"/>
        <v>1.2201047615790616E-2</v>
      </c>
      <c r="AW1484" s="28">
        <f t="shared" si="139"/>
        <v>0.40000000000000036</v>
      </c>
      <c r="AX1484">
        <f t="shared" si="140"/>
        <v>0.8</v>
      </c>
      <c r="AY1484" s="62">
        <f t="shared" si="141"/>
        <v>0.32000000000000028</v>
      </c>
      <c r="AZ1484" s="68" t="str">
        <f t="shared" si="142"/>
        <v>No</v>
      </c>
      <c r="BA1484" s="68" t="str">
        <f t="shared" si="143"/>
        <v>No</v>
      </c>
    </row>
    <row r="1485" spans="1:53" hidden="1">
      <c r="A1485" t="s">
        <v>1136</v>
      </c>
      <c r="B1485" t="s">
        <v>3717</v>
      </c>
      <c r="C1485" t="s">
        <v>1168</v>
      </c>
      <c r="F1485" t="s">
        <v>1241</v>
      </c>
      <c r="G1485" t="s">
        <v>1123</v>
      </c>
      <c r="M1485" s="25" t="s">
        <v>36</v>
      </c>
      <c r="N1485" t="s">
        <v>36</v>
      </c>
      <c r="P1485" t="s">
        <v>60</v>
      </c>
      <c r="Q1485" t="s">
        <v>900</v>
      </c>
      <c r="R1485" t="s">
        <v>827</v>
      </c>
      <c r="S1485" t="s">
        <v>1147</v>
      </c>
      <c r="V1485" t="s">
        <v>905</v>
      </c>
      <c r="X1485">
        <v>15</v>
      </c>
      <c r="Z1485">
        <v>3</v>
      </c>
      <c r="AA1485">
        <v>3</v>
      </c>
      <c r="AC1485" t="s">
        <v>3758</v>
      </c>
      <c r="AD1485" t="s">
        <v>3758</v>
      </c>
      <c r="AE1485" t="s">
        <v>3758</v>
      </c>
      <c r="AF1485" t="s">
        <v>3758</v>
      </c>
      <c r="AG1485" t="str">
        <f t="shared" si="138"/>
        <v>17KRI_Cancer_pagurus_D15_CO2na_Tna</v>
      </c>
      <c r="AJ1485" t="s">
        <v>40</v>
      </c>
      <c r="AK1485" t="s">
        <v>40</v>
      </c>
      <c r="AM1485"/>
      <c r="AN1485">
        <v>0.105</v>
      </c>
      <c r="AO1485">
        <v>3.5000000000000001E-3</v>
      </c>
      <c r="AP1485">
        <v>7.9000000000000001E-2</v>
      </c>
      <c r="AQ1485">
        <v>4.5999999999999999E-3</v>
      </c>
      <c r="AR1485" t="s">
        <v>3515</v>
      </c>
      <c r="AS1485">
        <f t="shared" si="136"/>
        <v>-0.28451249769050202</v>
      </c>
      <c r="AT1485">
        <f t="shared" si="137"/>
        <v>1.5005311352050659E-3</v>
      </c>
      <c r="AW1485" s="28">
        <f t="shared" si="139"/>
        <v>-6.361361966594802</v>
      </c>
      <c r="AX1485">
        <f t="shared" si="140"/>
        <v>0.8</v>
      </c>
      <c r="AY1485" s="62">
        <f t="shared" si="141"/>
        <v>-5.0890895732758423</v>
      </c>
      <c r="AZ1485" s="68" t="str">
        <f t="shared" si="142"/>
        <v>No</v>
      </c>
      <c r="BA1485" s="68" t="str">
        <f t="shared" si="143"/>
        <v>No</v>
      </c>
    </row>
    <row r="1486" spans="1:53" hidden="1">
      <c r="A1486" t="s">
        <v>1136</v>
      </c>
      <c r="B1486" t="s">
        <v>3718</v>
      </c>
      <c r="C1486" t="s">
        <v>1168</v>
      </c>
      <c r="F1486" t="s">
        <v>1241</v>
      </c>
      <c r="G1486" t="s">
        <v>1123</v>
      </c>
      <c r="M1486" s="25" t="s">
        <v>36</v>
      </c>
      <c r="N1486" t="s">
        <v>36</v>
      </c>
      <c r="P1486" t="s">
        <v>60</v>
      </c>
      <c r="Q1486" t="s">
        <v>900</v>
      </c>
      <c r="R1486" t="s">
        <v>827</v>
      </c>
      <c r="S1486" t="s">
        <v>1147</v>
      </c>
      <c r="V1486" t="s">
        <v>905</v>
      </c>
      <c r="X1486">
        <v>15</v>
      </c>
      <c r="Z1486">
        <v>3</v>
      </c>
      <c r="AA1486">
        <v>3</v>
      </c>
      <c r="AC1486" t="s">
        <v>3758</v>
      </c>
      <c r="AD1486" t="s">
        <v>3758</v>
      </c>
      <c r="AE1486" t="s">
        <v>3758</v>
      </c>
      <c r="AF1486" t="s">
        <v>3758</v>
      </c>
      <c r="AG1486" t="str">
        <f t="shared" si="138"/>
        <v>17KRI_Cancer_pagurus_D15_CO2na_Tna</v>
      </c>
      <c r="AJ1486" t="s">
        <v>40</v>
      </c>
      <c r="AK1486" t="s">
        <v>40</v>
      </c>
      <c r="AM1486"/>
      <c r="AN1486">
        <v>0.105</v>
      </c>
      <c r="AO1486">
        <v>3.5000000000000001E-3</v>
      </c>
      <c r="AP1486">
        <v>0.10299999999999999</v>
      </c>
      <c r="AQ1486">
        <v>1.6999999999999999E-3</v>
      </c>
      <c r="AR1486" t="s">
        <v>3515</v>
      </c>
      <c r="AS1486">
        <f t="shared" si="136"/>
        <v>-1.9231361927887658E-2</v>
      </c>
      <c r="AT1486">
        <f t="shared" si="137"/>
        <v>4.6117377628358879E-4</v>
      </c>
      <c r="AW1486" s="28">
        <f t="shared" si="139"/>
        <v>-0.72691236418481453</v>
      </c>
      <c r="AX1486">
        <f t="shared" si="140"/>
        <v>0.8</v>
      </c>
      <c r="AY1486" s="62">
        <f t="shared" si="141"/>
        <v>-0.5815298913478516</v>
      </c>
      <c r="AZ1486" s="68" t="str">
        <f t="shared" si="142"/>
        <v>No</v>
      </c>
      <c r="BA1486" s="68" t="str">
        <f t="shared" si="143"/>
        <v>No</v>
      </c>
    </row>
    <row r="1487" spans="1:53" hidden="1">
      <c r="A1487" t="s">
        <v>1136</v>
      </c>
      <c r="B1487" t="s">
        <v>3719</v>
      </c>
      <c r="C1487" t="s">
        <v>1169</v>
      </c>
      <c r="F1487" t="s">
        <v>1241</v>
      </c>
      <c r="G1487" t="s">
        <v>1124</v>
      </c>
      <c r="M1487" s="25" t="s">
        <v>36</v>
      </c>
      <c r="N1487" t="s">
        <v>36</v>
      </c>
      <c r="P1487" t="s">
        <v>60</v>
      </c>
      <c r="Q1487" t="s">
        <v>900</v>
      </c>
      <c r="R1487" t="s">
        <v>827</v>
      </c>
      <c r="S1487" t="s">
        <v>1147</v>
      </c>
      <c r="V1487" t="s">
        <v>905</v>
      </c>
      <c r="X1487">
        <v>2.9</v>
      </c>
      <c r="Z1487">
        <v>30</v>
      </c>
      <c r="AA1487">
        <v>30</v>
      </c>
      <c r="AC1487">
        <v>397</v>
      </c>
      <c r="AD1487">
        <v>20</v>
      </c>
      <c r="AE1487">
        <v>1188</v>
      </c>
      <c r="AF1487">
        <v>20</v>
      </c>
      <c r="AG1487" t="str">
        <f t="shared" si="138"/>
        <v>18KRI_Cancer_pagurus_D3_CO2397.00_T20.00</v>
      </c>
      <c r="AJ1487" t="s">
        <v>40</v>
      </c>
      <c r="AK1487" t="s">
        <v>40</v>
      </c>
      <c r="AM1487"/>
      <c r="AN1487">
        <v>542.47</v>
      </c>
      <c r="AO1487">
        <v>18.489999999999998</v>
      </c>
      <c r="AP1487">
        <v>520.85</v>
      </c>
      <c r="AQ1487">
        <v>17.43</v>
      </c>
      <c r="AR1487" t="s">
        <v>3789</v>
      </c>
      <c r="AS1487">
        <f t="shared" si="136"/>
        <v>-4.0670691915910773E-2</v>
      </c>
      <c r="AT1487">
        <f t="shared" si="137"/>
        <v>7.6055021053613147E-5</v>
      </c>
      <c r="AW1487" s="28">
        <f t="shared" si="139"/>
        <v>-1.2032623801945066</v>
      </c>
      <c r="AX1487">
        <f t="shared" si="140"/>
        <v>0.98701298701298701</v>
      </c>
      <c r="AY1487" s="62">
        <f t="shared" si="141"/>
        <v>-1.1876355960361364</v>
      </c>
      <c r="AZ1487" s="68" t="str">
        <f t="shared" si="142"/>
        <v>No</v>
      </c>
      <c r="BA1487" s="68" t="str">
        <f t="shared" si="143"/>
        <v>No</v>
      </c>
    </row>
    <row r="1488" spans="1:53" hidden="1">
      <c r="A1488" t="s">
        <v>1136</v>
      </c>
      <c r="B1488" t="s">
        <v>3720</v>
      </c>
      <c r="C1488" t="s">
        <v>1169</v>
      </c>
      <c r="F1488" t="s">
        <v>1241</v>
      </c>
      <c r="G1488" t="s">
        <v>1124</v>
      </c>
      <c r="M1488" s="25" t="s">
        <v>36</v>
      </c>
      <c r="N1488" t="s">
        <v>36</v>
      </c>
      <c r="P1488" t="s">
        <v>60</v>
      </c>
      <c r="Q1488" t="s">
        <v>900</v>
      </c>
      <c r="R1488" t="s">
        <v>827</v>
      </c>
      <c r="S1488" t="s">
        <v>1147</v>
      </c>
      <c r="V1488" t="s">
        <v>905</v>
      </c>
      <c r="X1488">
        <v>2.9</v>
      </c>
      <c r="Z1488">
        <v>30</v>
      </c>
      <c r="AA1488">
        <v>30</v>
      </c>
      <c r="AC1488">
        <v>397</v>
      </c>
      <c r="AD1488">
        <v>20</v>
      </c>
      <c r="AE1488">
        <v>743</v>
      </c>
      <c r="AF1488">
        <v>20</v>
      </c>
      <c r="AG1488" t="str">
        <f t="shared" si="138"/>
        <v>18KRI_Cancer_pagurus_D3_CO2397.00_T20.00</v>
      </c>
      <c r="AJ1488" t="s">
        <v>40</v>
      </c>
      <c r="AK1488" t="s">
        <v>40</v>
      </c>
      <c r="AM1488"/>
      <c r="AN1488">
        <v>542.47</v>
      </c>
      <c r="AO1488">
        <v>18.489999999999998</v>
      </c>
      <c r="AP1488">
        <v>532.19000000000005</v>
      </c>
      <c r="AQ1488">
        <v>22.6</v>
      </c>
      <c r="AR1488" t="s">
        <v>3789</v>
      </c>
      <c r="AS1488">
        <f t="shared" si="136"/>
        <v>-1.9132215907911032E-2</v>
      </c>
      <c r="AT1488">
        <f t="shared" si="137"/>
        <v>9.8838006099731605E-5</v>
      </c>
      <c r="AW1488" s="28">
        <f t="shared" si="139"/>
        <v>-0.49788063591301596</v>
      </c>
      <c r="AX1488">
        <f t="shared" si="140"/>
        <v>0.98701298701298701</v>
      </c>
      <c r="AY1488" s="62">
        <f t="shared" si="141"/>
        <v>-0.49141465362843134</v>
      </c>
      <c r="AZ1488" s="68" t="str">
        <f t="shared" si="142"/>
        <v>No</v>
      </c>
      <c r="BA1488" s="68" t="str">
        <f t="shared" si="143"/>
        <v>No</v>
      </c>
    </row>
    <row r="1489" spans="1:53" hidden="1">
      <c r="A1489" t="s">
        <v>1136</v>
      </c>
      <c r="B1489" t="s">
        <v>3721</v>
      </c>
      <c r="C1489" t="s">
        <v>1170</v>
      </c>
      <c r="F1489" t="s">
        <v>1241</v>
      </c>
      <c r="G1489" t="s">
        <v>1125</v>
      </c>
      <c r="M1489" s="25" t="s">
        <v>36</v>
      </c>
      <c r="N1489" t="s">
        <v>36</v>
      </c>
      <c r="P1489" t="s">
        <v>60</v>
      </c>
      <c r="Q1489" t="s">
        <v>900</v>
      </c>
      <c r="R1489" t="s">
        <v>827</v>
      </c>
      <c r="S1489" t="s">
        <v>1147</v>
      </c>
      <c r="V1489" t="s">
        <v>905</v>
      </c>
      <c r="X1489">
        <v>1</v>
      </c>
      <c r="Z1489">
        <v>3</v>
      </c>
      <c r="AA1489">
        <v>3</v>
      </c>
      <c r="AC1489">
        <v>445</v>
      </c>
      <c r="AD1489">
        <v>14.7</v>
      </c>
      <c r="AE1489">
        <v>2114</v>
      </c>
      <c r="AF1489">
        <v>14.7</v>
      </c>
      <c r="AG1489" t="str">
        <f t="shared" si="138"/>
        <v>19KRI_Cancer_pagurus_D1_CO2445.00_T14.70</v>
      </c>
      <c r="AJ1489" t="s">
        <v>40</v>
      </c>
      <c r="AK1489" t="s">
        <v>40</v>
      </c>
      <c r="AM1489"/>
      <c r="AN1489">
        <v>0.39</v>
      </c>
      <c r="AO1489">
        <v>0.01</v>
      </c>
      <c r="AP1489">
        <v>0.37</v>
      </c>
      <c r="AQ1489">
        <v>0.01</v>
      </c>
      <c r="AR1489" t="s">
        <v>3790</v>
      </c>
      <c r="AS1489">
        <f t="shared" si="136"/>
        <v>-5.2643733485421951E-2</v>
      </c>
      <c r="AT1489">
        <f t="shared" si="137"/>
        <v>4.6264079528112796E-4</v>
      </c>
      <c r="AW1489" s="28">
        <f t="shared" si="139"/>
        <v>-2.0000000000000018</v>
      </c>
      <c r="AX1489">
        <f t="shared" si="140"/>
        <v>0.8</v>
      </c>
      <c r="AY1489" s="62">
        <f t="shared" si="141"/>
        <v>-1.6000000000000014</v>
      </c>
      <c r="AZ1489" s="68" t="str">
        <f t="shared" si="142"/>
        <v>No</v>
      </c>
      <c r="BA1489" s="68" t="str">
        <f t="shared" si="143"/>
        <v>No</v>
      </c>
    </row>
    <row r="1490" spans="1:53" hidden="1">
      <c r="A1490" t="s">
        <v>1136</v>
      </c>
      <c r="B1490" t="s">
        <v>3722</v>
      </c>
      <c r="C1490" t="s">
        <v>1170</v>
      </c>
      <c r="F1490" t="s">
        <v>1241</v>
      </c>
      <c r="G1490" t="s">
        <v>1125</v>
      </c>
      <c r="M1490" s="25" t="s">
        <v>36</v>
      </c>
      <c r="N1490" t="s">
        <v>36</v>
      </c>
      <c r="P1490" t="s">
        <v>60</v>
      </c>
      <c r="Q1490" t="s">
        <v>900</v>
      </c>
      <c r="R1490" t="s">
        <v>827</v>
      </c>
      <c r="S1490" t="s">
        <v>1147</v>
      </c>
      <c r="V1490" t="s">
        <v>905</v>
      </c>
      <c r="X1490">
        <v>1</v>
      </c>
      <c r="Z1490">
        <v>3</v>
      </c>
      <c r="AA1490">
        <v>3</v>
      </c>
      <c r="AC1490">
        <v>445</v>
      </c>
      <c r="AD1490">
        <v>14.7</v>
      </c>
      <c r="AE1490">
        <v>1373</v>
      </c>
      <c r="AF1490">
        <v>14.7</v>
      </c>
      <c r="AG1490" t="str">
        <f t="shared" si="138"/>
        <v>19KRI_Cancer_pagurus_D1_CO2445.00_T14.70</v>
      </c>
      <c r="AJ1490" t="s">
        <v>40</v>
      </c>
      <c r="AK1490" t="s">
        <v>40</v>
      </c>
      <c r="AM1490"/>
      <c r="AN1490">
        <v>0.39</v>
      </c>
      <c r="AO1490">
        <v>0.01</v>
      </c>
      <c r="AP1490">
        <v>0.38</v>
      </c>
      <c r="AQ1490">
        <v>0.02</v>
      </c>
      <c r="AR1490" t="s">
        <v>3790</v>
      </c>
      <c r="AS1490">
        <f t="shared" si="136"/>
        <v>-2.5975486403260639E-2</v>
      </c>
      <c r="AT1490">
        <f t="shared" si="137"/>
        <v>1.1425150994722696E-3</v>
      </c>
      <c r="AW1490" s="28">
        <f t="shared" si="139"/>
        <v>-0.63245553203367644</v>
      </c>
      <c r="AX1490">
        <f t="shared" si="140"/>
        <v>0.8</v>
      </c>
      <c r="AY1490" s="62">
        <f t="shared" si="141"/>
        <v>-0.50596442562694122</v>
      </c>
      <c r="AZ1490" s="68" t="str">
        <f t="shared" si="142"/>
        <v>No</v>
      </c>
      <c r="BA1490" s="68" t="str">
        <f t="shared" si="143"/>
        <v>No</v>
      </c>
    </row>
    <row r="1491" spans="1:53" hidden="1">
      <c r="A1491" t="s">
        <v>1136</v>
      </c>
      <c r="B1491" t="s">
        <v>3723</v>
      </c>
      <c r="C1491" t="s">
        <v>1170</v>
      </c>
      <c r="F1491" t="s">
        <v>1241</v>
      </c>
      <c r="G1491" t="s">
        <v>1125</v>
      </c>
      <c r="M1491" s="25" t="s">
        <v>36</v>
      </c>
      <c r="N1491" t="s">
        <v>36</v>
      </c>
      <c r="P1491" t="s">
        <v>60</v>
      </c>
      <c r="Q1491" t="s">
        <v>900</v>
      </c>
      <c r="R1491" t="s">
        <v>827</v>
      </c>
      <c r="S1491" t="s">
        <v>1147</v>
      </c>
      <c r="V1491" t="s">
        <v>905</v>
      </c>
      <c r="X1491">
        <v>1</v>
      </c>
      <c r="Z1491">
        <v>3</v>
      </c>
      <c r="AA1491">
        <v>3</v>
      </c>
      <c r="AC1491">
        <v>508</v>
      </c>
      <c r="AD1491">
        <v>15</v>
      </c>
      <c r="AE1491">
        <v>1744</v>
      </c>
      <c r="AF1491">
        <v>15</v>
      </c>
      <c r="AG1491" t="str">
        <f t="shared" si="138"/>
        <v>19KRI_Cancer_pagurus_D1_CO2508.00_T15.00</v>
      </c>
      <c r="AJ1491" t="s">
        <v>40</v>
      </c>
      <c r="AK1491" t="s">
        <v>40</v>
      </c>
      <c r="AM1491"/>
      <c r="AN1491">
        <v>0.4</v>
      </c>
      <c r="AO1491">
        <v>0.02</v>
      </c>
      <c r="AP1491">
        <v>0.38</v>
      </c>
      <c r="AQ1491">
        <v>0.01</v>
      </c>
      <c r="AR1491" t="s">
        <v>3791</v>
      </c>
      <c r="AS1491">
        <f t="shared" si="136"/>
        <v>-5.1293294387550592E-2</v>
      </c>
      <c r="AT1491">
        <f t="shared" si="137"/>
        <v>1.0641735918744228E-3</v>
      </c>
      <c r="AW1491" s="28">
        <f t="shared" si="139"/>
        <v>-1.2649110640673529</v>
      </c>
      <c r="AX1491">
        <f t="shared" si="140"/>
        <v>0.8</v>
      </c>
      <c r="AY1491" s="62">
        <f t="shared" si="141"/>
        <v>-1.0119288512538824</v>
      </c>
      <c r="AZ1491" s="68" t="str">
        <f t="shared" si="142"/>
        <v>No</v>
      </c>
      <c r="BA1491" s="68" t="str">
        <f t="shared" si="143"/>
        <v>No</v>
      </c>
    </row>
    <row r="1492" spans="1:53" hidden="1">
      <c r="A1492" t="s">
        <v>1136</v>
      </c>
      <c r="B1492" t="s">
        <v>3724</v>
      </c>
      <c r="C1492" t="s">
        <v>1170</v>
      </c>
      <c r="F1492" t="s">
        <v>1241</v>
      </c>
      <c r="G1492" t="s">
        <v>1125</v>
      </c>
      <c r="M1492" s="25" t="s">
        <v>36</v>
      </c>
      <c r="N1492" t="s">
        <v>36</v>
      </c>
      <c r="P1492" t="s">
        <v>60</v>
      </c>
      <c r="Q1492" t="s">
        <v>900</v>
      </c>
      <c r="R1492" t="s">
        <v>827</v>
      </c>
      <c r="S1492" t="s">
        <v>1147</v>
      </c>
      <c r="V1492" t="s">
        <v>905</v>
      </c>
      <c r="X1492">
        <v>1</v>
      </c>
      <c r="Z1492">
        <v>3</v>
      </c>
      <c r="AA1492">
        <v>3</v>
      </c>
      <c r="AC1492">
        <v>445</v>
      </c>
      <c r="AD1492">
        <v>14.7</v>
      </c>
      <c r="AE1492">
        <v>895</v>
      </c>
      <c r="AF1492">
        <v>14.7</v>
      </c>
      <c r="AG1492" t="str">
        <f t="shared" si="138"/>
        <v>19KRI_Cancer_pagurus_D1_CO2445.00_T14.70</v>
      </c>
      <c r="AJ1492" t="s">
        <v>40</v>
      </c>
      <c r="AK1492" t="s">
        <v>40</v>
      </c>
      <c r="AM1492"/>
      <c r="AN1492">
        <v>0.39</v>
      </c>
      <c r="AO1492">
        <v>0.01</v>
      </c>
      <c r="AP1492">
        <v>0.39</v>
      </c>
      <c r="AQ1492">
        <v>0.15</v>
      </c>
      <c r="AR1492" t="s">
        <v>3790</v>
      </c>
      <c r="AS1492">
        <f t="shared" si="136"/>
        <v>0</v>
      </c>
      <c r="AT1492">
        <f t="shared" si="137"/>
        <v>4.9528818759587985E-2</v>
      </c>
      <c r="AW1492" s="28">
        <f t="shared" si="139"/>
        <v>0</v>
      </c>
      <c r="AX1492">
        <f t="shared" si="140"/>
        <v>0.8</v>
      </c>
      <c r="AY1492" s="62">
        <f t="shared" si="141"/>
        <v>0</v>
      </c>
      <c r="AZ1492" s="68" t="str">
        <f t="shared" si="142"/>
        <v>No</v>
      </c>
      <c r="BA1492" s="68" t="str">
        <f t="shared" si="143"/>
        <v>No</v>
      </c>
    </row>
    <row r="1493" spans="1:53" hidden="1">
      <c r="A1493" t="s">
        <v>1136</v>
      </c>
      <c r="B1493" t="s">
        <v>3725</v>
      </c>
      <c r="C1493" t="s">
        <v>1170</v>
      </c>
      <c r="F1493" t="s">
        <v>1241</v>
      </c>
      <c r="G1493" t="s">
        <v>1125</v>
      </c>
      <c r="M1493" s="25" t="s">
        <v>36</v>
      </c>
      <c r="N1493" t="s">
        <v>36</v>
      </c>
      <c r="P1493" t="s">
        <v>60</v>
      </c>
      <c r="Q1493" t="s">
        <v>900</v>
      </c>
      <c r="R1493" t="s">
        <v>827</v>
      </c>
      <c r="S1493" t="s">
        <v>1147</v>
      </c>
      <c r="V1493" t="s">
        <v>905</v>
      </c>
      <c r="X1493">
        <v>1</v>
      </c>
      <c r="Z1493">
        <v>3</v>
      </c>
      <c r="AA1493">
        <v>3</v>
      </c>
      <c r="AC1493">
        <v>508</v>
      </c>
      <c r="AD1493">
        <v>15</v>
      </c>
      <c r="AE1493">
        <v>830</v>
      </c>
      <c r="AF1493">
        <v>15</v>
      </c>
      <c r="AG1493" t="str">
        <f t="shared" si="138"/>
        <v>19KRI_Cancer_pagurus_D1_CO2508.00_T15.00</v>
      </c>
      <c r="AJ1493" t="s">
        <v>40</v>
      </c>
      <c r="AK1493" t="s">
        <v>40</v>
      </c>
      <c r="AM1493"/>
      <c r="AN1493">
        <v>0.4</v>
      </c>
      <c r="AO1493">
        <v>0.02</v>
      </c>
      <c r="AP1493">
        <v>0.41</v>
      </c>
      <c r="AQ1493">
        <v>0.01</v>
      </c>
      <c r="AR1493" t="s">
        <v>3791</v>
      </c>
      <c r="AS1493">
        <f t="shared" si="136"/>
        <v>2.4692612590371366E-2</v>
      </c>
      <c r="AT1493">
        <f t="shared" si="137"/>
        <v>1.0316279992068213E-3</v>
      </c>
      <c r="AW1493" s="28">
        <f t="shared" si="139"/>
        <v>0.632455532033673</v>
      </c>
      <c r="AX1493">
        <f t="shared" si="140"/>
        <v>0.8</v>
      </c>
      <c r="AY1493" s="62">
        <f t="shared" si="141"/>
        <v>0.50596442562693844</v>
      </c>
      <c r="AZ1493" s="68" t="str">
        <f t="shared" si="142"/>
        <v>No</v>
      </c>
      <c r="BA1493" s="68" t="str">
        <f t="shared" si="143"/>
        <v>No</v>
      </c>
    </row>
    <row r="1494" spans="1:53" hidden="1">
      <c r="A1494" t="s">
        <v>1136</v>
      </c>
      <c r="B1494" t="s">
        <v>3726</v>
      </c>
      <c r="C1494" t="s">
        <v>1170</v>
      </c>
      <c r="F1494" t="s">
        <v>1241</v>
      </c>
      <c r="G1494" t="s">
        <v>1125</v>
      </c>
      <c r="M1494" s="25" t="s">
        <v>36</v>
      </c>
      <c r="N1494" t="s">
        <v>36</v>
      </c>
      <c r="P1494" t="s">
        <v>60</v>
      </c>
      <c r="Q1494" t="s">
        <v>900</v>
      </c>
      <c r="R1494" t="s">
        <v>827</v>
      </c>
      <c r="S1494" t="s">
        <v>1147</v>
      </c>
      <c r="V1494" t="s">
        <v>905</v>
      </c>
      <c r="X1494">
        <v>1</v>
      </c>
      <c r="Z1494">
        <v>3</v>
      </c>
      <c r="AA1494">
        <v>3</v>
      </c>
      <c r="AC1494">
        <v>508</v>
      </c>
      <c r="AD1494">
        <v>15</v>
      </c>
      <c r="AE1494">
        <v>1255</v>
      </c>
      <c r="AF1494">
        <v>15</v>
      </c>
      <c r="AG1494" t="str">
        <f t="shared" si="138"/>
        <v>19KRI_Cancer_pagurus_D1_CO2508.00_T15.00</v>
      </c>
      <c r="AJ1494" t="s">
        <v>40</v>
      </c>
      <c r="AK1494" t="s">
        <v>40</v>
      </c>
      <c r="AM1494"/>
      <c r="AN1494">
        <v>0.4</v>
      </c>
      <c r="AO1494">
        <v>0.02</v>
      </c>
      <c r="AP1494">
        <v>4</v>
      </c>
      <c r="AQ1494">
        <v>0.08</v>
      </c>
      <c r="AR1494" t="s">
        <v>3791</v>
      </c>
      <c r="AS1494">
        <f t="shared" si="136"/>
        <v>2.3025850929940455</v>
      </c>
      <c r="AT1494">
        <f t="shared" si="137"/>
        <v>9.6666666666666646E-4</v>
      </c>
      <c r="AW1494" s="28">
        <f t="shared" si="139"/>
        <v>61.739490651303178</v>
      </c>
      <c r="AX1494">
        <f t="shared" si="140"/>
        <v>0.8</v>
      </c>
      <c r="AY1494" s="62">
        <f t="shared" si="141"/>
        <v>49.391592521042547</v>
      </c>
      <c r="AZ1494" s="68" t="str">
        <f t="shared" si="142"/>
        <v>Yes</v>
      </c>
      <c r="BA1494" s="68" t="str">
        <f t="shared" si="143"/>
        <v>No</v>
      </c>
    </row>
    <row r="1495" spans="1:53" hidden="1">
      <c r="A1495" t="s">
        <v>1136</v>
      </c>
      <c r="B1495" t="s">
        <v>3727</v>
      </c>
      <c r="C1495" t="s">
        <v>1171</v>
      </c>
      <c r="F1495" t="s">
        <v>1241</v>
      </c>
      <c r="G1495" t="s">
        <v>1110</v>
      </c>
      <c r="M1495" s="25" t="s">
        <v>36</v>
      </c>
      <c r="N1495" t="s">
        <v>36</v>
      </c>
      <c r="P1495" t="s">
        <v>60</v>
      </c>
      <c r="Q1495" t="s">
        <v>900</v>
      </c>
      <c r="R1495" t="s">
        <v>827</v>
      </c>
      <c r="S1495" t="s">
        <v>1147</v>
      </c>
      <c r="V1495" t="s">
        <v>905</v>
      </c>
      <c r="X1495">
        <v>64</v>
      </c>
      <c r="Z1495">
        <v>102</v>
      </c>
      <c r="AA1495">
        <v>139</v>
      </c>
      <c r="AC1495">
        <v>444</v>
      </c>
      <c r="AD1495">
        <v>10</v>
      </c>
      <c r="AE1495">
        <v>1441</v>
      </c>
      <c r="AF1495">
        <v>10</v>
      </c>
      <c r="AG1495" t="str">
        <f t="shared" si="138"/>
        <v>20KRI_Cancer_pagurus_D64_CO2444.00_T10.00</v>
      </c>
      <c r="AJ1495" t="s">
        <v>40</v>
      </c>
      <c r="AK1495" t="s">
        <v>40</v>
      </c>
      <c r="AM1495"/>
      <c r="AN1495">
        <v>0.13500000000000001</v>
      </c>
      <c r="AO1495">
        <v>4.5999999999999999E-2</v>
      </c>
      <c r="AP1495">
        <v>9.7000000000000003E-2</v>
      </c>
      <c r="AQ1495">
        <v>4.2999999999999997E-2</v>
      </c>
      <c r="AR1495" t="s">
        <v>3513</v>
      </c>
      <c r="AS1495">
        <f t="shared" si="136"/>
        <v>-0.33056379993504637</v>
      </c>
      <c r="AT1495">
        <f t="shared" si="137"/>
        <v>2.5520465956892068E-3</v>
      </c>
      <c r="AW1495" s="28">
        <f t="shared" si="139"/>
        <v>-0.85793151061649775</v>
      </c>
      <c r="AX1495">
        <f t="shared" si="140"/>
        <v>0.99685863874345548</v>
      </c>
      <c r="AY1495" s="62">
        <f t="shared" si="141"/>
        <v>-0.8552364378082784</v>
      </c>
      <c r="AZ1495" s="68" t="str">
        <f t="shared" si="142"/>
        <v>No</v>
      </c>
      <c r="BA1495" s="68" t="str">
        <f t="shared" si="143"/>
        <v>No</v>
      </c>
    </row>
    <row r="1496" spans="1:53" hidden="1">
      <c r="A1496" t="s">
        <v>1136</v>
      </c>
      <c r="B1496" t="s">
        <v>3728</v>
      </c>
      <c r="C1496" t="s">
        <v>1172</v>
      </c>
      <c r="F1496" t="s">
        <v>1241</v>
      </c>
      <c r="G1496" t="s">
        <v>1126</v>
      </c>
      <c r="M1496" s="25" t="s">
        <v>36</v>
      </c>
      <c r="N1496" t="s">
        <v>36</v>
      </c>
      <c r="P1496" t="s">
        <v>60</v>
      </c>
      <c r="Q1496" t="s">
        <v>899</v>
      </c>
      <c r="R1496" t="s">
        <v>827</v>
      </c>
      <c r="S1496" t="s">
        <v>1147</v>
      </c>
      <c r="V1496" t="s">
        <v>905</v>
      </c>
      <c r="X1496">
        <v>12</v>
      </c>
      <c r="Z1496">
        <v>6</v>
      </c>
      <c r="AA1496">
        <v>6</v>
      </c>
      <c r="AC1496">
        <v>381</v>
      </c>
      <c r="AD1496">
        <v>13</v>
      </c>
      <c r="AE1496">
        <v>1713</v>
      </c>
      <c r="AF1496">
        <v>13</v>
      </c>
      <c r="AG1496" t="str">
        <f t="shared" si="138"/>
        <v>21KRI_Cancer_pagurus_D12_CO2381.00_T13.00</v>
      </c>
      <c r="AJ1496" t="s">
        <v>40</v>
      </c>
      <c r="AK1496" t="s">
        <v>40</v>
      </c>
      <c r="AM1496"/>
      <c r="AN1496">
        <v>418</v>
      </c>
      <c r="AO1496">
        <v>22</v>
      </c>
      <c r="AP1496">
        <v>38</v>
      </c>
      <c r="AQ1496">
        <v>21</v>
      </c>
      <c r="AR1496" t="s">
        <v>3515</v>
      </c>
      <c r="AS1496">
        <f t="shared" si="136"/>
        <v>-2.3978952727983707</v>
      </c>
      <c r="AT1496">
        <f t="shared" si="137"/>
        <v>5.1361957525392431E-2</v>
      </c>
      <c r="AW1496" s="28">
        <f t="shared" si="139"/>
        <v>-17.66964108906053</v>
      </c>
      <c r="AX1496">
        <f t="shared" si="140"/>
        <v>0.92307692307692313</v>
      </c>
      <c r="AY1496" s="62">
        <f t="shared" si="141"/>
        <v>-16.310437928363566</v>
      </c>
      <c r="AZ1496" s="68" t="str">
        <f t="shared" si="142"/>
        <v>No</v>
      </c>
      <c r="BA1496" s="68" t="str">
        <f t="shared" si="143"/>
        <v>Yes</v>
      </c>
    </row>
    <row r="1497" spans="1:53" hidden="1">
      <c r="A1497" t="s">
        <v>1136</v>
      </c>
      <c r="B1497" t="s">
        <v>3729</v>
      </c>
      <c r="C1497" t="s">
        <v>1172</v>
      </c>
      <c r="F1497" t="s">
        <v>1241</v>
      </c>
      <c r="G1497" t="s">
        <v>1126</v>
      </c>
      <c r="M1497" s="25" t="s">
        <v>36</v>
      </c>
      <c r="N1497" t="s">
        <v>36</v>
      </c>
      <c r="P1497" t="s">
        <v>60</v>
      </c>
      <c r="Q1497" t="s">
        <v>899</v>
      </c>
      <c r="R1497" t="s">
        <v>827</v>
      </c>
      <c r="S1497" t="s">
        <v>1147</v>
      </c>
      <c r="V1497" t="s">
        <v>905</v>
      </c>
      <c r="X1497">
        <v>5</v>
      </c>
      <c r="Z1497">
        <v>7</v>
      </c>
      <c r="AA1497">
        <v>7</v>
      </c>
      <c r="AC1497">
        <v>381</v>
      </c>
      <c r="AD1497">
        <v>13</v>
      </c>
      <c r="AE1497">
        <v>857</v>
      </c>
      <c r="AF1497">
        <v>13</v>
      </c>
      <c r="AG1497" t="str">
        <f t="shared" si="138"/>
        <v>21KRI_Cancer_pagurus_D5_CO2381.00_T13.00</v>
      </c>
      <c r="AJ1497" t="s">
        <v>40</v>
      </c>
      <c r="AK1497" t="s">
        <v>40</v>
      </c>
      <c r="AM1497"/>
      <c r="AN1497">
        <v>304</v>
      </c>
      <c r="AO1497">
        <v>38</v>
      </c>
      <c r="AP1497">
        <v>243</v>
      </c>
      <c r="AQ1497">
        <v>46</v>
      </c>
      <c r="AR1497" t="s">
        <v>3515</v>
      </c>
      <c r="AS1497">
        <f t="shared" si="136"/>
        <v>-0.22396625806567361</v>
      </c>
      <c r="AT1497">
        <f t="shared" si="137"/>
        <v>7.3513779718054981E-3</v>
      </c>
      <c r="AW1497" s="28">
        <f t="shared" si="139"/>
        <v>-1.4458386625769304</v>
      </c>
      <c r="AX1497">
        <f t="shared" si="140"/>
        <v>0.93617021276595747</v>
      </c>
      <c r="AY1497" s="62">
        <f t="shared" si="141"/>
        <v>-1.3535510883698922</v>
      </c>
      <c r="AZ1497" s="68" t="str">
        <f t="shared" si="142"/>
        <v>No</v>
      </c>
      <c r="BA1497" s="68" t="str">
        <f t="shared" si="143"/>
        <v>No</v>
      </c>
    </row>
    <row r="1498" spans="1:53" hidden="1">
      <c r="A1498" t="s">
        <v>1136</v>
      </c>
      <c r="B1498" t="s">
        <v>3730</v>
      </c>
      <c r="C1498" t="s">
        <v>1173</v>
      </c>
      <c r="F1498" t="s">
        <v>1241</v>
      </c>
      <c r="G1498" t="s">
        <v>1127</v>
      </c>
      <c r="M1498" s="25" t="s">
        <v>36</v>
      </c>
      <c r="N1498" t="s">
        <v>36</v>
      </c>
      <c r="P1498" t="s">
        <v>60</v>
      </c>
      <c r="Q1498" t="s">
        <v>900</v>
      </c>
      <c r="R1498" t="s">
        <v>827</v>
      </c>
      <c r="S1498" t="s">
        <v>1147</v>
      </c>
      <c r="V1498" t="s">
        <v>905</v>
      </c>
      <c r="X1498">
        <v>15</v>
      </c>
      <c r="Z1498">
        <v>3</v>
      </c>
      <c r="AA1498">
        <v>3</v>
      </c>
      <c r="AC1498">
        <v>642</v>
      </c>
      <c r="AD1498">
        <v>19.5</v>
      </c>
      <c r="AE1498">
        <v>1213</v>
      </c>
      <c r="AF1498">
        <v>19.2</v>
      </c>
      <c r="AG1498" t="str">
        <f t="shared" si="138"/>
        <v>22KRI_Cancer_pagurus_D15_CO2642.00_T19.50</v>
      </c>
      <c r="AJ1498" t="s">
        <v>40</v>
      </c>
      <c r="AK1498" t="s">
        <v>40</v>
      </c>
      <c r="AM1498"/>
      <c r="AN1498">
        <v>206.3</v>
      </c>
      <c r="AO1498">
        <v>4.7</v>
      </c>
      <c r="AP1498">
        <v>194.4</v>
      </c>
      <c r="AQ1498">
        <v>0</v>
      </c>
      <c r="AR1498" t="s">
        <v>3514</v>
      </c>
      <c r="AS1498">
        <f t="shared" si="136"/>
        <v>-5.9413528050868081E-2</v>
      </c>
      <c r="AT1498">
        <f t="shared" si="137"/>
        <v>1.7301191181921989E-4</v>
      </c>
      <c r="AW1498" s="28">
        <f t="shared" si="139"/>
        <v>-3.5806683813276252</v>
      </c>
      <c r="AX1498">
        <f t="shared" si="140"/>
        <v>0.8</v>
      </c>
      <c r="AY1498" s="62">
        <f t="shared" si="141"/>
        <v>-2.8645347050621002</v>
      </c>
      <c r="AZ1498" s="68" t="str">
        <f t="shared" si="142"/>
        <v>No</v>
      </c>
      <c r="BA1498" s="68" t="str">
        <f t="shared" si="143"/>
        <v>No</v>
      </c>
    </row>
    <row r="1499" spans="1:53" hidden="1">
      <c r="A1499" t="s">
        <v>1136</v>
      </c>
      <c r="B1499" t="s">
        <v>3731</v>
      </c>
      <c r="C1499" t="s">
        <v>1174</v>
      </c>
      <c r="F1499" t="s">
        <v>1241</v>
      </c>
      <c r="G1499" t="s">
        <v>1128</v>
      </c>
      <c r="M1499" s="25" t="s">
        <v>36</v>
      </c>
      <c r="N1499" t="s">
        <v>36</v>
      </c>
      <c r="P1499" t="s">
        <v>60</v>
      </c>
      <c r="Q1499" t="s">
        <v>900</v>
      </c>
      <c r="R1499" t="s">
        <v>827</v>
      </c>
      <c r="S1499" t="s">
        <v>1147</v>
      </c>
      <c r="V1499" t="s">
        <v>905</v>
      </c>
      <c r="X1499">
        <v>10</v>
      </c>
      <c r="Z1499">
        <v>70</v>
      </c>
      <c r="AA1499">
        <v>70</v>
      </c>
      <c r="AC1499">
        <v>319</v>
      </c>
      <c r="AD1499" t="s">
        <v>3758</v>
      </c>
      <c r="AE1499">
        <v>1072</v>
      </c>
      <c r="AF1499" t="s">
        <v>3758</v>
      </c>
      <c r="AG1499" t="str">
        <f t="shared" si="138"/>
        <v>23KRI_Cancer_pagurus_D10_CO2319.00_Tna</v>
      </c>
      <c r="AJ1499" t="s">
        <v>40</v>
      </c>
      <c r="AK1499" t="s">
        <v>40</v>
      </c>
      <c r="AM1499"/>
      <c r="AN1499">
        <v>286.27</v>
      </c>
      <c r="AO1499">
        <v>3.31</v>
      </c>
      <c r="AP1499">
        <v>305.24</v>
      </c>
      <c r="AQ1499">
        <v>2.41</v>
      </c>
      <c r="AR1499" t="s">
        <v>3779</v>
      </c>
      <c r="AS1499">
        <f t="shared" si="136"/>
        <v>6.4162930998073797E-2</v>
      </c>
      <c r="AT1499">
        <f t="shared" si="137"/>
        <v>2.8004202726992424E-6</v>
      </c>
      <c r="AW1499" s="28">
        <f t="shared" si="139"/>
        <v>6.5522568271638839</v>
      </c>
      <c r="AX1499">
        <f t="shared" si="140"/>
        <v>0.99455535390199634</v>
      </c>
      <c r="AY1499" s="62">
        <f t="shared" si="141"/>
        <v>6.5165821075967481</v>
      </c>
      <c r="AZ1499" s="68" t="str">
        <f t="shared" si="142"/>
        <v>No</v>
      </c>
      <c r="BA1499" s="68" t="str">
        <f t="shared" si="143"/>
        <v>No</v>
      </c>
    </row>
    <row r="1500" spans="1:53" hidden="1">
      <c r="A1500" t="s">
        <v>1136</v>
      </c>
      <c r="B1500" t="s">
        <v>3732</v>
      </c>
      <c r="C1500" t="s">
        <v>1175</v>
      </c>
      <c r="F1500" t="s">
        <v>1241</v>
      </c>
      <c r="G1500" t="s">
        <v>1129</v>
      </c>
      <c r="M1500" s="25" t="s">
        <v>36</v>
      </c>
      <c r="N1500" t="s">
        <v>36</v>
      </c>
      <c r="P1500" t="s">
        <v>60</v>
      </c>
      <c r="Q1500" t="s">
        <v>900</v>
      </c>
      <c r="R1500" t="s">
        <v>827</v>
      </c>
      <c r="S1500" t="s">
        <v>1147</v>
      </c>
      <c r="V1500" t="s">
        <v>905</v>
      </c>
      <c r="X1500">
        <v>4</v>
      </c>
      <c r="Z1500">
        <v>3</v>
      </c>
      <c r="AA1500">
        <v>3</v>
      </c>
      <c r="AC1500" t="s">
        <v>3758</v>
      </c>
      <c r="AD1500" t="s">
        <v>3758</v>
      </c>
      <c r="AE1500" t="s">
        <v>3758</v>
      </c>
      <c r="AF1500" t="s">
        <v>3758</v>
      </c>
      <c r="AG1500" t="str">
        <f t="shared" si="138"/>
        <v>24KRI_Cancer_pagurus_D4_CO2na_Tna</v>
      </c>
      <c r="AJ1500" t="s">
        <v>69</v>
      </c>
      <c r="AK1500" t="s">
        <v>69</v>
      </c>
      <c r="AM1500"/>
      <c r="AN1500">
        <v>91.6</v>
      </c>
      <c r="AO1500">
        <v>0.6</v>
      </c>
      <c r="AP1500">
        <v>58.5</v>
      </c>
      <c r="AQ1500">
        <v>5.6</v>
      </c>
      <c r="AR1500" t="s">
        <v>3792</v>
      </c>
      <c r="AS1500">
        <f t="shared" si="136"/>
        <v>-0.44840451744227394</v>
      </c>
      <c r="AT1500">
        <f t="shared" si="137"/>
        <v>3.0688224481281614E-3</v>
      </c>
      <c r="AW1500" s="28">
        <f t="shared" si="139"/>
        <v>-8.3114424537527096</v>
      </c>
      <c r="AX1500">
        <f t="shared" si="140"/>
        <v>0.8</v>
      </c>
      <c r="AY1500" s="62">
        <f t="shared" si="141"/>
        <v>-6.6491539630021679</v>
      </c>
      <c r="AZ1500" s="68" t="str">
        <f t="shared" si="142"/>
        <v>No</v>
      </c>
      <c r="BA1500" s="68" t="str">
        <f t="shared" si="143"/>
        <v>No</v>
      </c>
    </row>
    <row r="1501" spans="1:53" hidden="1">
      <c r="A1501" t="s">
        <v>1136</v>
      </c>
      <c r="B1501" t="s">
        <v>3733</v>
      </c>
      <c r="C1501" t="s">
        <v>1175</v>
      </c>
      <c r="F1501" t="s">
        <v>1241</v>
      </c>
      <c r="G1501" t="s">
        <v>1129</v>
      </c>
      <c r="M1501" s="25" t="s">
        <v>36</v>
      </c>
      <c r="N1501" t="s">
        <v>36</v>
      </c>
      <c r="P1501" t="s">
        <v>60</v>
      </c>
      <c r="Q1501" t="s">
        <v>900</v>
      </c>
      <c r="R1501" t="s">
        <v>827</v>
      </c>
      <c r="S1501" t="s">
        <v>1147</v>
      </c>
      <c r="V1501" t="s">
        <v>905</v>
      </c>
      <c r="X1501">
        <v>4</v>
      </c>
      <c r="Z1501">
        <v>200</v>
      </c>
      <c r="AA1501">
        <v>200</v>
      </c>
      <c r="AC1501" t="s">
        <v>3758</v>
      </c>
      <c r="AD1501" t="s">
        <v>3758</v>
      </c>
      <c r="AE1501" t="s">
        <v>3758</v>
      </c>
      <c r="AF1501" t="s">
        <v>3758</v>
      </c>
      <c r="AG1501" t="str">
        <f t="shared" si="138"/>
        <v>24KRI_Cancer_pagurus_D4_CO2na_Tna</v>
      </c>
      <c r="AJ1501" t="s">
        <v>40</v>
      </c>
      <c r="AK1501" t="s">
        <v>40</v>
      </c>
      <c r="AM1501"/>
      <c r="AN1501">
        <v>114.94</v>
      </c>
      <c r="AO1501">
        <v>11.5</v>
      </c>
      <c r="AP1501">
        <v>114</v>
      </c>
      <c r="AQ1501">
        <v>11.86</v>
      </c>
      <c r="AR1501" t="s">
        <v>3516</v>
      </c>
      <c r="AS1501">
        <f t="shared" si="136"/>
        <v>-8.211804685100077E-3</v>
      </c>
      <c r="AT1501">
        <f t="shared" si="137"/>
        <v>1.0416871215703515E-4</v>
      </c>
      <c r="AW1501" s="28">
        <f t="shared" si="139"/>
        <v>-8.0469896916209926E-2</v>
      </c>
      <c r="AX1501">
        <f t="shared" si="140"/>
        <v>0.99811439346323072</v>
      </c>
      <c r="AY1501" s="62">
        <f t="shared" si="141"/>
        <v>-8.0318162352571568E-2</v>
      </c>
      <c r="AZ1501" s="68" t="str">
        <f t="shared" si="142"/>
        <v>No</v>
      </c>
      <c r="BA1501" s="68" t="str">
        <f t="shared" si="143"/>
        <v>No</v>
      </c>
    </row>
    <row r="1502" spans="1:53" hidden="1">
      <c r="A1502" t="s">
        <v>1136</v>
      </c>
      <c r="B1502" t="s">
        <v>3734</v>
      </c>
      <c r="C1502" t="s">
        <v>1176</v>
      </c>
      <c r="F1502" t="s">
        <v>1241</v>
      </c>
      <c r="G1502" t="s">
        <v>1130</v>
      </c>
      <c r="M1502" s="25" t="s">
        <v>36</v>
      </c>
      <c r="N1502" t="s">
        <v>36</v>
      </c>
      <c r="P1502" t="s">
        <v>60</v>
      </c>
      <c r="Q1502" t="s">
        <v>900</v>
      </c>
      <c r="R1502" t="s">
        <v>827</v>
      </c>
      <c r="S1502" t="s">
        <v>1147</v>
      </c>
      <c r="V1502" t="s">
        <v>905</v>
      </c>
      <c r="X1502">
        <v>168</v>
      </c>
      <c r="Z1502">
        <v>5</v>
      </c>
      <c r="AA1502">
        <v>8</v>
      </c>
      <c r="AC1502">
        <v>376</v>
      </c>
      <c r="AD1502">
        <v>15.9</v>
      </c>
      <c r="AE1502">
        <v>1492</v>
      </c>
      <c r="AF1502">
        <v>16</v>
      </c>
      <c r="AG1502" t="str">
        <f t="shared" si="138"/>
        <v>25KRI_Cancer_pagurus_D168_CO2376.00_T15.90</v>
      </c>
      <c r="AJ1502" t="s">
        <v>1151</v>
      </c>
      <c r="AK1502" t="s">
        <v>904</v>
      </c>
      <c r="AM1502"/>
      <c r="AN1502">
        <v>120.1</v>
      </c>
      <c r="AO1502">
        <v>4.3</v>
      </c>
      <c r="AP1502">
        <v>56.7</v>
      </c>
      <c r="AQ1502">
        <v>3.5</v>
      </c>
      <c r="AR1502" t="s">
        <v>3793</v>
      </c>
      <c r="AS1502">
        <f t="shared" si="136"/>
        <v>-0.75055051835223097</v>
      </c>
      <c r="AT1502">
        <f t="shared" si="137"/>
        <v>7.3267742532613341E-4</v>
      </c>
      <c r="AW1502" s="28">
        <f t="shared" si="139"/>
        <v>-16.638705909520052</v>
      </c>
      <c r="AX1502">
        <f t="shared" si="140"/>
        <v>0.93023255813953487</v>
      </c>
      <c r="AY1502" s="62">
        <f t="shared" si="141"/>
        <v>-15.477865962344234</v>
      </c>
      <c r="AZ1502" s="68" t="str">
        <f t="shared" si="142"/>
        <v>No</v>
      </c>
      <c r="BA1502" s="68" t="str">
        <f t="shared" si="143"/>
        <v>Yes</v>
      </c>
    </row>
    <row r="1503" spans="1:53" hidden="1">
      <c r="A1503" t="s">
        <v>1136</v>
      </c>
      <c r="B1503" t="s">
        <v>3735</v>
      </c>
      <c r="C1503" t="s">
        <v>1176</v>
      </c>
      <c r="F1503" t="s">
        <v>1241</v>
      </c>
      <c r="G1503" t="s">
        <v>1130</v>
      </c>
      <c r="M1503" s="25" t="s">
        <v>36</v>
      </c>
      <c r="N1503" t="s">
        <v>36</v>
      </c>
      <c r="P1503" t="s">
        <v>60</v>
      </c>
      <c r="Q1503" t="s">
        <v>900</v>
      </c>
      <c r="R1503" t="s">
        <v>827</v>
      </c>
      <c r="S1503" t="s">
        <v>1147</v>
      </c>
      <c r="V1503" t="s">
        <v>905</v>
      </c>
      <c r="X1503">
        <v>168</v>
      </c>
      <c r="Z1503">
        <v>60</v>
      </c>
      <c r="AA1503">
        <v>60</v>
      </c>
      <c r="AC1503">
        <v>376</v>
      </c>
      <c r="AD1503">
        <v>15.9</v>
      </c>
      <c r="AE1503">
        <v>1492</v>
      </c>
      <c r="AF1503">
        <v>16</v>
      </c>
      <c r="AG1503" t="str">
        <f t="shared" si="138"/>
        <v>25KRI_Cancer_pagurus_D168_CO2376.00_T15.90</v>
      </c>
      <c r="AJ1503" t="s">
        <v>40</v>
      </c>
      <c r="AK1503" t="s">
        <v>40</v>
      </c>
      <c r="AM1503"/>
      <c r="AN1503">
        <v>861.5</v>
      </c>
      <c r="AO1503">
        <v>17</v>
      </c>
      <c r="AP1503">
        <v>765.5</v>
      </c>
      <c r="AQ1503">
        <v>11.3</v>
      </c>
      <c r="AR1503" t="s">
        <v>3792</v>
      </c>
      <c r="AS1503">
        <f t="shared" si="136"/>
        <v>-0.1181458408702456</v>
      </c>
      <c r="AT1503">
        <f t="shared" si="137"/>
        <v>1.0121614625988217E-5</v>
      </c>
      <c r="AW1503" s="28">
        <f t="shared" si="139"/>
        <v>-6.6508888787829585</v>
      </c>
      <c r="AX1503">
        <f t="shared" si="140"/>
        <v>0.99363057324840764</v>
      </c>
      <c r="AY1503" s="62">
        <f t="shared" si="141"/>
        <v>-6.6085265292365705</v>
      </c>
      <c r="AZ1503" s="68" t="str">
        <f t="shared" si="142"/>
        <v>No</v>
      </c>
      <c r="BA1503" s="68" t="str">
        <f t="shared" si="143"/>
        <v>No</v>
      </c>
    </row>
    <row r="1504" spans="1:53" hidden="1">
      <c r="A1504" t="s">
        <v>1136</v>
      </c>
      <c r="B1504" t="s">
        <v>3736</v>
      </c>
      <c r="C1504" t="s">
        <v>1176</v>
      </c>
      <c r="F1504" t="s">
        <v>1241</v>
      </c>
      <c r="G1504" t="s">
        <v>1130</v>
      </c>
      <c r="M1504" s="25" t="s">
        <v>36</v>
      </c>
      <c r="N1504" t="s">
        <v>36</v>
      </c>
      <c r="P1504" t="s">
        <v>60</v>
      </c>
      <c r="Q1504" t="s">
        <v>900</v>
      </c>
      <c r="R1504" t="s">
        <v>827</v>
      </c>
      <c r="S1504" t="s">
        <v>1147</v>
      </c>
      <c r="V1504" t="s">
        <v>905</v>
      </c>
      <c r="X1504">
        <v>168</v>
      </c>
      <c r="Z1504">
        <v>5</v>
      </c>
      <c r="AA1504">
        <v>8</v>
      </c>
      <c r="AC1504">
        <v>376</v>
      </c>
      <c r="AD1504">
        <v>15.9</v>
      </c>
      <c r="AE1504">
        <v>748</v>
      </c>
      <c r="AF1504">
        <v>16.100000000000001</v>
      </c>
      <c r="AG1504" t="str">
        <f t="shared" si="138"/>
        <v>25KRI_Cancer_pagurus_D168_CO2376.00_T15.90</v>
      </c>
      <c r="AJ1504" t="s">
        <v>1151</v>
      </c>
      <c r="AK1504" t="s">
        <v>904</v>
      </c>
      <c r="AM1504"/>
      <c r="AN1504">
        <v>120.1</v>
      </c>
      <c r="AO1504">
        <v>4.3</v>
      </c>
      <c r="AP1504">
        <v>76.2</v>
      </c>
      <c r="AQ1504">
        <v>3.1</v>
      </c>
      <c r="AR1504" t="s">
        <v>3794</v>
      </c>
      <c r="AS1504">
        <f t="shared" si="136"/>
        <v>-0.45496326639333695</v>
      </c>
      <c r="AT1504">
        <f t="shared" si="137"/>
        <v>4.6326043892319256E-4</v>
      </c>
      <c r="AW1504" s="28">
        <f t="shared" si="139"/>
        <v>-12.251729037388131</v>
      </c>
      <c r="AX1504">
        <f t="shared" si="140"/>
        <v>0.93023255813953487</v>
      </c>
      <c r="AY1504" s="62">
        <f t="shared" si="141"/>
        <v>-11.396957244081982</v>
      </c>
      <c r="AZ1504" s="68" t="str">
        <f t="shared" si="142"/>
        <v>No</v>
      </c>
      <c r="BA1504" s="68" t="str">
        <f t="shared" si="143"/>
        <v>Yes</v>
      </c>
    </row>
    <row r="1505" spans="1:53" hidden="1">
      <c r="A1505" t="s">
        <v>1136</v>
      </c>
      <c r="B1505" t="s">
        <v>3737</v>
      </c>
      <c r="C1505" t="s">
        <v>1176</v>
      </c>
      <c r="F1505" t="s">
        <v>1241</v>
      </c>
      <c r="G1505" t="s">
        <v>1130</v>
      </c>
      <c r="M1505" s="25" t="s">
        <v>36</v>
      </c>
      <c r="N1505" t="s">
        <v>36</v>
      </c>
      <c r="P1505" t="s">
        <v>60</v>
      </c>
      <c r="Q1505" t="s">
        <v>900</v>
      </c>
      <c r="R1505" t="s">
        <v>827</v>
      </c>
      <c r="S1505" t="s">
        <v>1147</v>
      </c>
      <c r="V1505" t="s">
        <v>905</v>
      </c>
      <c r="X1505">
        <v>168</v>
      </c>
      <c r="Z1505">
        <v>60</v>
      </c>
      <c r="AA1505">
        <v>60</v>
      </c>
      <c r="AC1505">
        <v>376</v>
      </c>
      <c r="AD1505">
        <v>15.9</v>
      </c>
      <c r="AE1505">
        <v>748</v>
      </c>
      <c r="AF1505">
        <v>16.100000000000001</v>
      </c>
      <c r="AG1505" t="str">
        <f t="shared" si="138"/>
        <v>25KRI_Cancer_pagurus_D168_CO2376.00_T15.90</v>
      </c>
      <c r="AJ1505" t="s">
        <v>40</v>
      </c>
      <c r="AK1505" t="s">
        <v>40</v>
      </c>
      <c r="AM1505"/>
      <c r="AN1505">
        <v>861.5</v>
      </c>
      <c r="AO1505">
        <v>17</v>
      </c>
      <c r="AP1505">
        <v>808</v>
      </c>
      <c r="AQ1505">
        <v>8.3000000000000007</v>
      </c>
      <c r="AR1505" t="s">
        <v>3792</v>
      </c>
      <c r="AS1505">
        <f t="shared" si="136"/>
        <v>-6.4112997446889253E-2</v>
      </c>
      <c r="AT1505">
        <f t="shared" si="137"/>
        <v>8.2485317927509701E-6</v>
      </c>
      <c r="AW1505" s="28">
        <f t="shared" si="139"/>
        <v>-3.9993922251945206</v>
      </c>
      <c r="AX1505">
        <f t="shared" si="140"/>
        <v>0.99363057324840764</v>
      </c>
      <c r="AY1505" s="62">
        <f t="shared" si="141"/>
        <v>-3.9739183893652563</v>
      </c>
      <c r="AZ1505" s="68" t="str">
        <f t="shared" si="142"/>
        <v>No</v>
      </c>
      <c r="BA1505" s="68" t="str">
        <f t="shared" si="143"/>
        <v>No</v>
      </c>
    </row>
    <row r="1506" spans="1:53" hidden="1">
      <c r="A1506" t="s">
        <v>1136</v>
      </c>
      <c r="B1506" t="s">
        <v>3738</v>
      </c>
      <c r="C1506" t="s">
        <v>1177</v>
      </c>
      <c r="F1506" t="s">
        <v>1241</v>
      </c>
      <c r="G1506" t="s">
        <v>1131</v>
      </c>
      <c r="M1506" s="25" t="s">
        <v>36</v>
      </c>
      <c r="N1506" t="s">
        <v>36</v>
      </c>
      <c r="P1506" t="s">
        <v>60</v>
      </c>
      <c r="Q1506" t="s">
        <v>900</v>
      </c>
      <c r="R1506" t="s">
        <v>827</v>
      </c>
      <c r="S1506" t="s">
        <v>1147</v>
      </c>
      <c r="V1506" t="s">
        <v>905</v>
      </c>
      <c r="X1506">
        <v>9</v>
      </c>
      <c r="Z1506">
        <v>3</v>
      </c>
      <c r="AA1506">
        <v>3</v>
      </c>
      <c r="AC1506">
        <v>890</v>
      </c>
      <c r="AD1506">
        <v>22.08</v>
      </c>
      <c r="AE1506">
        <v>2344</v>
      </c>
      <c r="AF1506">
        <v>22.21</v>
      </c>
      <c r="AG1506" t="str">
        <f t="shared" ref="AG1506:AG1525" si="144">C1506 &amp; "_" &amp;
SUBSTITUTE(TRIM(S1506)," ","_") &amp; "_" &amp;
"D" &amp; TEXT(X1506,"0") &amp; "_" &amp;
"CO2" &amp; IF(AC1506&lt;&gt;"",TEXT(AC1506,"0.00"),"NA") &amp; "_" &amp;
"T" &amp; IF(AD1506&lt;&gt;"",TEXT(AD1506,"0.00"),"NA")</f>
        <v>26KRI_Cancer_pagurus_D9_CO2890.00_T22.08</v>
      </c>
      <c r="AJ1506" t="s">
        <v>69</v>
      </c>
      <c r="AK1506" t="s">
        <v>69</v>
      </c>
      <c r="AM1506"/>
      <c r="AN1506">
        <v>9.67</v>
      </c>
      <c r="AO1506">
        <v>0.65</v>
      </c>
      <c r="AP1506">
        <v>7.16</v>
      </c>
      <c r="AQ1506">
        <v>0.41</v>
      </c>
      <c r="AR1506" t="s">
        <v>3795</v>
      </c>
      <c r="AS1506">
        <f t="shared" si="136"/>
        <v>-0.30051832849264848</v>
      </c>
      <c r="AT1506">
        <f t="shared" si="137"/>
        <v>2.599096132821754E-3</v>
      </c>
      <c r="AW1506" s="28">
        <f t="shared" si="139"/>
        <v>-4.618936566837216</v>
      </c>
      <c r="AX1506">
        <f t="shared" si="140"/>
        <v>0.8</v>
      </c>
      <c r="AY1506" s="62">
        <f t="shared" si="141"/>
        <v>-3.695149253469773</v>
      </c>
      <c r="AZ1506" s="68" t="str">
        <f t="shared" si="142"/>
        <v>No</v>
      </c>
      <c r="BA1506" s="68" t="str">
        <f t="shared" si="143"/>
        <v>No</v>
      </c>
    </row>
    <row r="1507" spans="1:53" hidden="1">
      <c r="A1507" t="s">
        <v>1136</v>
      </c>
      <c r="B1507" t="s">
        <v>3739</v>
      </c>
      <c r="C1507" t="s">
        <v>1177</v>
      </c>
      <c r="F1507" t="s">
        <v>1241</v>
      </c>
      <c r="G1507" t="s">
        <v>1131</v>
      </c>
      <c r="M1507" s="25" t="s">
        <v>36</v>
      </c>
      <c r="N1507" t="s">
        <v>36</v>
      </c>
      <c r="P1507" t="s">
        <v>60</v>
      </c>
      <c r="Q1507" t="s">
        <v>900</v>
      </c>
      <c r="R1507" t="s">
        <v>827</v>
      </c>
      <c r="S1507" t="s">
        <v>1147</v>
      </c>
      <c r="V1507" t="s">
        <v>905</v>
      </c>
      <c r="X1507">
        <v>9</v>
      </c>
      <c r="Z1507">
        <v>1000</v>
      </c>
      <c r="AA1507">
        <v>1000</v>
      </c>
      <c r="AC1507">
        <v>890</v>
      </c>
      <c r="AD1507">
        <v>22.08</v>
      </c>
      <c r="AE1507">
        <v>2344</v>
      </c>
      <c r="AF1507">
        <v>22.21</v>
      </c>
      <c r="AG1507" t="str">
        <f t="shared" si="144"/>
        <v>26KRI_Cancer_pagurus_D9_CO2890.00_T22.08</v>
      </c>
      <c r="AJ1507" t="s">
        <v>59</v>
      </c>
      <c r="AK1507" t="s">
        <v>59</v>
      </c>
      <c r="AM1507"/>
      <c r="AN1507">
        <v>34.1</v>
      </c>
      <c r="AO1507">
        <v>11.7</v>
      </c>
      <c r="AP1507">
        <v>19.899999999999999</v>
      </c>
      <c r="AQ1507">
        <v>7.6</v>
      </c>
      <c r="AR1507" t="s">
        <v>3515</v>
      </c>
      <c r="AS1507">
        <f t="shared" si="136"/>
        <v>-0.53857765255902423</v>
      </c>
      <c r="AT1507">
        <f t="shared" si="137"/>
        <v>2.6357834844477324E-4</v>
      </c>
      <c r="AW1507" s="28">
        <f t="shared" si="139"/>
        <v>-1.4393822347000114</v>
      </c>
      <c r="AX1507">
        <f t="shared" si="140"/>
        <v>0.99962457764985613</v>
      </c>
      <c r="AY1507" s="62">
        <f t="shared" si="141"/>
        <v>-1.438841858438705</v>
      </c>
      <c r="AZ1507" s="68" t="str">
        <f t="shared" si="142"/>
        <v>No</v>
      </c>
      <c r="BA1507" s="68" t="str">
        <f t="shared" si="143"/>
        <v>No</v>
      </c>
    </row>
    <row r="1508" spans="1:53" hidden="1">
      <c r="A1508" t="s">
        <v>1136</v>
      </c>
      <c r="B1508" t="s">
        <v>3740</v>
      </c>
      <c r="C1508" t="s">
        <v>1177</v>
      </c>
      <c r="F1508" t="s">
        <v>1241</v>
      </c>
      <c r="G1508" t="s">
        <v>1131</v>
      </c>
      <c r="M1508" s="25" t="s">
        <v>36</v>
      </c>
      <c r="N1508" t="s">
        <v>36</v>
      </c>
      <c r="P1508" t="s">
        <v>60</v>
      </c>
      <c r="Q1508" t="s">
        <v>900</v>
      </c>
      <c r="R1508" t="s">
        <v>827</v>
      </c>
      <c r="S1508" t="s">
        <v>1147</v>
      </c>
      <c r="V1508" t="s">
        <v>905</v>
      </c>
      <c r="X1508">
        <v>9</v>
      </c>
      <c r="Z1508">
        <v>3</v>
      </c>
      <c r="AA1508">
        <v>3</v>
      </c>
      <c r="AC1508">
        <v>890</v>
      </c>
      <c r="AD1508">
        <v>22.08</v>
      </c>
      <c r="AE1508">
        <v>2344</v>
      </c>
      <c r="AF1508">
        <v>22.21</v>
      </c>
      <c r="AG1508" t="str">
        <f t="shared" si="144"/>
        <v>26KRI_Cancer_pagurus_D9_CO2890.00_T22.08</v>
      </c>
      <c r="AJ1508" t="s">
        <v>40</v>
      </c>
      <c r="AK1508" t="s">
        <v>40</v>
      </c>
      <c r="AM1508"/>
      <c r="AN1508">
        <v>103.8</v>
      </c>
      <c r="AO1508">
        <v>1.7</v>
      </c>
      <c r="AP1508">
        <v>106.1</v>
      </c>
      <c r="AQ1508">
        <v>0.9</v>
      </c>
      <c r="AR1508" t="s">
        <v>3796</v>
      </c>
      <c r="AS1508">
        <f t="shared" si="136"/>
        <v>2.1916074888149062E-2</v>
      </c>
      <c r="AT1508">
        <f t="shared" si="137"/>
        <v>1.1339376099580679E-4</v>
      </c>
      <c r="AW1508" s="28">
        <f t="shared" si="139"/>
        <v>1.6909936308157558</v>
      </c>
      <c r="AX1508">
        <f t="shared" si="140"/>
        <v>0.8</v>
      </c>
      <c r="AY1508" s="62">
        <f t="shared" si="141"/>
        <v>1.3527949046526047</v>
      </c>
      <c r="AZ1508" s="68" t="str">
        <f t="shared" si="142"/>
        <v>No</v>
      </c>
      <c r="BA1508" s="68" t="str">
        <f t="shared" si="143"/>
        <v>No</v>
      </c>
    </row>
    <row r="1509" spans="1:53" hidden="1">
      <c r="A1509" t="s">
        <v>1136</v>
      </c>
      <c r="B1509" t="s">
        <v>3741</v>
      </c>
      <c r="C1509" t="s">
        <v>1178</v>
      </c>
      <c r="F1509" t="s">
        <v>1241</v>
      </c>
      <c r="G1509" t="s">
        <v>1132</v>
      </c>
      <c r="M1509" s="25" t="s">
        <v>36</v>
      </c>
      <c r="N1509" t="s">
        <v>36</v>
      </c>
      <c r="P1509" t="s">
        <v>60</v>
      </c>
      <c r="Q1509" t="s">
        <v>900</v>
      </c>
      <c r="R1509" t="s">
        <v>827</v>
      </c>
      <c r="S1509" t="s">
        <v>1147</v>
      </c>
      <c r="V1509" t="s">
        <v>905</v>
      </c>
      <c r="X1509">
        <v>9</v>
      </c>
      <c r="Z1509">
        <v>3</v>
      </c>
      <c r="AA1509">
        <v>3</v>
      </c>
      <c r="AC1509" t="s">
        <v>3758</v>
      </c>
      <c r="AD1509" t="s">
        <v>3758</v>
      </c>
      <c r="AE1509" t="s">
        <v>3758</v>
      </c>
      <c r="AF1509" t="s">
        <v>3758</v>
      </c>
      <c r="AG1509" t="str">
        <f t="shared" si="144"/>
        <v>27KRI_Cancer_pagurus_D9_CO2na_Tna</v>
      </c>
      <c r="AJ1509" t="s">
        <v>40</v>
      </c>
      <c r="AK1509" t="s">
        <v>40</v>
      </c>
      <c r="AM1509"/>
      <c r="AN1509">
        <v>158.1</v>
      </c>
      <c r="AO1509">
        <v>0.5</v>
      </c>
      <c r="AP1509">
        <v>160.1</v>
      </c>
      <c r="AQ1509">
        <v>0.3</v>
      </c>
      <c r="AR1509" t="s">
        <v>3517</v>
      </c>
      <c r="AS1509">
        <f t="shared" si="136"/>
        <v>1.2570875787242031E-2</v>
      </c>
      <c r="AT1509">
        <f t="shared" si="137"/>
        <v>4.5043302978667522E-6</v>
      </c>
      <c r="AW1509" s="28">
        <f t="shared" si="139"/>
        <v>4.8507125007266598</v>
      </c>
      <c r="AX1509">
        <f t="shared" si="140"/>
        <v>0.8</v>
      </c>
      <c r="AY1509" s="62">
        <f t="shared" si="141"/>
        <v>3.8805700005813279</v>
      </c>
      <c r="AZ1509" s="68" t="str">
        <f t="shared" si="142"/>
        <v>No</v>
      </c>
      <c r="BA1509" s="68" t="str">
        <f t="shared" si="143"/>
        <v>No</v>
      </c>
    </row>
    <row r="1510" spans="1:53" hidden="1">
      <c r="A1510" t="s">
        <v>1136</v>
      </c>
      <c r="B1510" t="s">
        <v>3742</v>
      </c>
      <c r="C1510" t="s">
        <v>1179</v>
      </c>
      <c r="F1510" t="s">
        <v>1241</v>
      </c>
      <c r="G1510" t="s">
        <v>1133</v>
      </c>
      <c r="M1510" s="25" t="s">
        <v>36</v>
      </c>
      <c r="N1510" t="s">
        <v>36</v>
      </c>
      <c r="P1510" t="s">
        <v>60</v>
      </c>
      <c r="Q1510" t="s">
        <v>900</v>
      </c>
      <c r="R1510" t="s">
        <v>827</v>
      </c>
      <c r="S1510" t="s">
        <v>1147</v>
      </c>
      <c r="V1510" t="s">
        <v>905</v>
      </c>
      <c r="X1510">
        <v>0</v>
      </c>
      <c r="Z1510">
        <v>3</v>
      </c>
      <c r="AA1510">
        <v>3</v>
      </c>
      <c r="AC1510">
        <v>602</v>
      </c>
      <c r="AD1510">
        <v>15.7</v>
      </c>
      <c r="AE1510">
        <v>2128</v>
      </c>
      <c r="AF1510">
        <v>15.7</v>
      </c>
      <c r="AG1510" t="str">
        <f t="shared" si="144"/>
        <v>28KRI_Cancer_pagurus_D0_CO2602.00_T15.70</v>
      </c>
      <c r="AJ1510" t="s">
        <v>59</v>
      </c>
      <c r="AK1510" t="s">
        <v>59</v>
      </c>
      <c r="AM1510"/>
      <c r="AN1510">
        <v>55.35</v>
      </c>
      <c r="AO1510">
        <v>1.43</v>
      </c>
      <c r="AP1510">
        <v>7.5</v>
      </c>
      <c r="AQ1510">
        <v>6.78</v>
      </c>
      <c r="AR1510" t="s">
        <v>3797</v>
      </c>
      <c r="AS1510">
        <f t="shared" si="136"/>
        <v>-1.9987736386123811</v>
      </c>
      <c r="AT1510">
        <f t="shared" si="137"/>
        <v>0.27262782593264456</v>
      </c>
      <c r="AW1510" s="28">
        <f t="shared" si="139"/>
        <v>-9.7659874468805778</v>
      </c>
      <c r="AX1510">
        <f t="shared" si="140"/>
        <v>0.8</v>
      </c>
      <c r="AY1510" s="62">
        <f t="shared" si="141"/>
        <v>-7.8127899575044628</v>
      </c>
      <c r="AZ1510" s="68" t="str">
        <f t="shared" si="142"/>
        <v>No</v>
      </c>
      <c r="BA1510" s="68" t="str">
        <f t="shared" si="143"/>
        <v>No</v>
      </c>
    </row>
    <row r="1511" spans="1:53" hidden="1">
      <c r="A1511" t="s">
        <v>1136</v>
      </c>
      <c r="B1511" t="s">
        <v>3743</v>
      </c>
      <c r="C1511" t="s">
        <v>1179</v>
      </c>
      <c r="F1511" t="s">
        <v>1241</v>
      </c>
      <c r="G1511" t="s">
        <v>1133</v>
      </c>
      <c r="M1511" s="25" t="s">
        <v>36</v>
      </c>
      <c r="N1511" t="s">
        <v>36</v>
      </c>
      <c r="P1511" t="s">
        <v>60</v>
      </c>
      <c r="Q1511" t="s">
        <v>900</v>
      </c>
      <c r="R1511" t="s">
        <v>827</v>
      </c>
      <c r="S1511" t="s">
        <v>1147</v>
      </c>
      <c r="V1511" t="s">
        <v>905</v>
      </c>
      <c r="X1511">
        <v>0</v>
      </c>
      <c r="Z1511">
        <v>3</v>
      </c>
      <c r="AA1511">
        <v>3</v>
      </c>
      <c r="AC1511">
        <v>602</v>
      </c>
      <c r="AD1511">
        <v>15.7</v>
      </c>
      <c r="AE1511">
        <v>2128</v>
      </c>
      <c r="AF1511">
        <v>15.7</v>
      </c>
      <c r="AG1511" t="str">
        <f t="shared" si="144"/>
        <v>28KRI_Cancer_pagurus_D0_CO2602.00_T15.70</v>
      </c>
      <c r="AJ1511" t="s">
        <v>40</v>
      </c>
      <c r="AK1511" t="s">
        <v>40</v>
      </c>
      <c r="AM1511"/>
      <c r="AN1511">
        <v>155.41999999999999</v>
      </c>
      <c r="AO1511">
        <v>0.2</v>
      </c>
      <c r="AP1511">
        <v>138.54</v>
      </c>
      <c r="AQ1511">
        <v>2.5</v>
      </c>
      <c r="AR1511" t="s">
        <v>3798</v>
      </c>
      <c r="AS1511">
        <f t="shared" si="136"/>
        <v>-0.11497203718663673</v>
      </c>
      <c r="AT1511">
        <f t="shared" si="137"/>
        <v>1.0909662537068209E-4</v>
      </c>
      <c r="AW1511" s="28">
        <f t="shared" si="139"/>
        <v>-9.5183598004560626</v>
      </c>
      <c r="AX1511">
        <f t="shared" si="140"/>
        <v>0.8</v>
      </c>
      <c r="AY1511" s="62">
        <f t="shared" si="141"/>
        <v>-7.6146878403648506</v>
      </c>
      <c r="AZ1511" s="68" t="str">
        <f t="shared" si="142"/>
        <v>No</v>
      </c>
      <c r="BA1511" s="68" t="str">
        <f t="shared" si="143"/>
        <v>No</v>
      </c>
    </row>
    <row r="1512" spans="1:53" hidden="1">
      <c r="A1512" t="s">
        <v>1136</v>
      </c>
      <c r="B1512" t="s">
        <v>3744</v>
      </c>
      <c r="C1512" t="s">
        <v>1179</v>
      </c>
      <c r="F1512" t="s">
        <v>1241</v>
      </c>
      <c r="G1512" t="s">
        <v>1133</v>
      </c>
      <c r="M1512" s="25" t="s">
        <v>36</v>
      </c>
      <c r="N1512" t="s">
        <v>36</v>
      </c>
      <c r="P1512" t="s">
        <v>60</v>
      </c>
      <c r="Q1512" t="s">
        <v>900</v>
      </c>
      <c r="R1512" t="s">
        <v>827</v>
      </c>
      <c r="S1512" t="s">
        <v>1147</v>
      </c>
      <c r="V1512" t="s">
        <v>905</v>
      </c>
      <c r="X1512">
        <v>0</v>
      </c>
      <c r="Z1512">
        <v>3</v>
      </c>
      <c r="AA1512">
        <v>3</v>
      </c>
      <c r="AC1512">
        <v>602</v>
      </c>
      <c r="AD1512">
        <v>15.7</v>
      </c>
      <c r="AE1512">
        <v>1455</v>
      </c>
      <c r="AF1512">
        <v>15.76</v>
      </c>
      <c r="AG1512" t="str">
        <f t="shared" si="144"/>
        <v>28KRI_Cancer_pagurus_D0_CO2602.00_T15.70</v>
      </c>
      <c r="AJ1512" t="s">
        <v>59</v>
      </c>
      <c r="AK1512" t="s">
        <v>59</v>
      </c>
      <c r="AM1512"/>
      <c r="AN1512">
        <v>55.35</v>
      </c>
      <c r="AO1512">
        <v>1.43</v>
      </c>
      <c r="AP1512">
        <v>36.78</v>
      </c>
      <c r="AQ1512">
        <v>6.07</v>
      </c>
      <c r="AR1512" t="s">
        <v>3797</v>
      </c>
      <c r="AS1512">
        <f t="shared" si="136"/>
        <v>-0.40872243997847058</v>
      </c>
      <c r="AT1512">
        <f t="shared" si="137"/>
        <v>9.3013809983404482E-3</v>
      </c>
      <c r="AW1512" s="28">
        <f t="shared" si="139"/>
        <v>-4.2112308269966316</v>
      </c>
      <c r="AX1512">
        <f t="shared" si="140"/>
        <v>0.8</v>
      </c>
      <c r="AY1512" s="62">
        <f t="shared" si="141"/>
        <v>-3.3689846615973056</v>
      </c>
      <c r="AZ1512" s="68" t="str">
        <f t="shared" si="142"/>
        <v>No</v>
      </c>
      <c r="BA1512" s="68" t="str">
        <f t="shared" si="143"/>
        <v>No</v>
      </c>
    </row>
    <row r="1513" spans="1:53" hidden="1">
      <c r="A1513" t="s">
        <v>1136</v>
      </c>
      <c r="B1513" t="s">
        <v>3745</v>
      </c>
      <c r="C1513" t="s">
        <v>1179</v>
      </c>
      <c r="F1513" t="s">
        <v>1241</v>
      </c>
      <c r="G1513" t="s">
        <v>1133</v>
      </c>
      <c r="M1513" s="25" t="s">
        <v>36</v>
      </c>
      <c r="N1513" t="s">
        <v>36</v>
      </c>
      <c r="P1513" t="s">
        <v>60</v>
      </c>
      <c r="Q1513" t="s">
        <v>900</v>
      </c>
      <c r="R1513" t="s">
        <v>827</v>
      </c>
      <c r="S1513" t="s">
        <v>1147</v>
      </c>
      <c r="V1513" t="s">
        <v>905</v>
      </c>
      <c r="X1513">
        <v>0</v>
      </c>
      <c r="Z1513">
        <v>3</v>
      </c>
      <c r="AA1513">
        <v>3</v>
      </c>
      <c r="AC1513">
        <v>602</v>
      </c>
      <c r="AD1513">
        <v>15.7</v>
      </c>
      <c r="AE1513">
        <v>1455</v>
      </c>
      <c r="AF1513">
        <v>15.76</v>
      </c>
      <c r="AG1513" t="str">
        <f t="shared" si="144"/>
        <v>28KRI_Cancer_pagurus_D0_CO2602.00_T15.70</v>
      </c>
      <c r="AJ1513" t="s">
        <v>40</v>
      </c>
      <c r="AK1513" t="s">
        <v>40</v>
      </c>
      <c r="AM1513"/>
      <c r="AN1513">
        <v>155.41999999999999</v>
      </c>
      <c r="AO1513">
        <v>0.2</v>
      </c>
      <c r="AP1513">
        <v>148.33000000000001</v>
      </c>
      <c r="AQ1513">
        <v>1.05</v>
      </c>
      <c r="AR1513" t="s">
        <v>3798</v>
      </c>
      <c r="AS1513">
        <f t="shared" si="136"/>
        <v>-4.669160844557485E-2</v>
      </c>
      <c r="AT1513">
        <f t="shared" si="137"/>
        <v>1.7255169272442759E-5</v>
      </c>
      <c r="AW1513" s="28">
        <f t="shared" si="139"/>
        <v>-9.3806542394766925</v>
      </c>
      <c r="AX1513">
        <f t="shared" si="140"/>
        <v>0.8</v>
      </c>
      <c r="AY1513" s="62">
        <f t="shared" si="141"/>
        <v>-7.5045233915813547</v>
      </c>
      <c r="AZ1513" s="68" t="str">
        <f t="shared" si="142"/>
        <v>No</v>
      </c>
      <c r="BA1513" s="68" t="str">
        <f t="shared" si="143"/>
        <v>No</v>
      </c>
    </row>
    <row r="1514" spans="1:53" hidden="1">
      <c r="A1514" t="s">
        <v>1136</v>
      </c>
      <c r="B1514" t="s">
        <v>3746</v>
      </c>
      <c r="C1514" t="s">
        <v>1180</v>
      </c>
      <c r="F1514" t="s">
        <v>1241</v>
      </c>
      <c r="G1514" t="s">
        <v>1134</v>
      </c>
      <c r="M1514" s="25" t="s">
        <v>36</v>
      </c>
      <c r="N1514" t="s">
        <v>36</v>
      </c>
      <c r="P1514" t="s">
        <v>60</v>
      </c>
      <c r="Q1514" t="s">
        <v>900</v>
      </c>
      <c r="R1514" t="s">
        <v>827</v>
      </c>
      <c r="S1514" t="s">
        <v>1147</v>
      </c>
      <c r="V1514" t="s">
        <v>905</v>
      </c>
      <c r="X1514">
        <v>5</v>
      </c>
      <c r="Z1514">
        <v>3</v>
      </c>
      <c r="AA1514">
        <v>3</v>
      </c>
      <c r="AC1514">
        <v>418</v>
      </c>
      <c r="AD1514">
        <v>12</v>
      </c>
      <c r="AE1514">
        <v>1460</v>
      </c>
      <c r="AF1514">
        <v>12</v>
      </c>
      <c r="AG1514" t="str">
        <f t="shared" si="144"/>
        <v>29KRI_Cancer_pagurus_D5_CO2418.00_T12.00</v>
      </c>
      <c r="AJ1514" t="s">
        <v>69</v>
      </c>
      <c r="AK1514" t="s">
        <v>69</v>
      </c>
      <c r="AM1514"/>
      <c r="AN1514">
        <v>48.3</v>
      </c>
      <c r="AO1514">
        <v>4.3</v>
      </c>
      <c r="AP1514">
        <v>45.6</v>
      </c>
      <c r="AQ1514">
        <v>5.4</v>
      </c>
      <c r="AR1514" t="s">
        <v>3799</v>
      </c>
      <c r="AS1514">
        <f t="shared" ref="AS1514:AS1525" si="145">LN(AP1514)-LN(AN1514)</f>
        <v>-5.7523844138186231E-2</v>
      </c>
      <c r="AT1514">
        <f t="shared" ref="AT1514:AT1525" si="146">(AQ1514^2)/(AA1514*AP1514^2) + (AO1514^2)/(Z1514*AN1514^2)</f>
        <v>7.3164457736878998E-3</v>
      </c>
      <c r="AW1514" s="28">
        <f t="shared" si="139"/>
        <v>-0.55315559499748246</v>
      </c>
      <c r="AX1514">
        <f t="shared" si="140"/>
        <v>0.8</v>
      </c>
      <c r="AY1514" s="62">
        <f t="shared" si="141"/>
        <v>-0.442524475997986</v>
      </c>
      <c r="AZ1514" s="68" t="str">
        <f t="shared" si="142"/>
        <v>No</v>
      </c>
      <c r="BA1514" s="68" t="str">
        <f t="shared" si="143"/>
        <v>No</v>
      </c>
    </row>
    <row r="1515" spans="1:53" hidden="1">
      <c r="A1515" t="s">
        <v>1136</v>
      </c>
      <c r="B1515" t="s">
        <v>3747</v>
      </c>
      <c r="C1515" t="s">
        <v>1180</v>
      </c>
      <c r="F1515" t="s">
        <v>1241</v>
      </c>
      <c r="G1515" t="s">
        <v>1134</v>
      </c>
      <c r="M1515" s="25" t="s">
        <v>36</v>
      </c>
      <c r="N1515" t="s">
        <v>36</v>
      </c>
      <c r="P1515" t="s">
        <v>60</v>
      </c>
      <c r="Q1515" t="s">
        <v>900</v>
      </c>
      <c r="R1515" t="s">
        <v>827</v>
      </c>
      <c r="S1515" t="s">
        <v>1147</v>
      </c>
      <c r="V1515" t="s">
        <v>905</v>
      </c>
      <c r="X1515">
        <v>2</v>
      </c>
      <c r="Z1515">
        <v>15</v>
      </c>
      <c r="AA1515">
        <v>15</v>
      </c>
      <c r="AC1515">
        <v>418</v>
      </c>
      <c r="AD1515">
        <v>12</v>
      </c>
      <c r="AE1515">
        <v>1460</v>
      </c>
      <c r="AF1515">
        <v>12</v>
      </c>
      <c r="AG1515" t="str">
        <f t="shared" si="144"/>
        <v>29KRI_Cancer_pagurus_D2_CO2418.00_T12.00</v>
      </c>
      <c r="AJ1515" t="s">
        <v>59</v>
      </c>
      <c r="AK1515" t="s">
        <v>59</v>
      </c>
      <c r="AM1515"/>
      <c r="AN1515">
        <v>96.2</v>
      </c>
      <c r="AO1515">
        <v>1.5</v>
      </c>
      <c r="AP1515">
        <v>63.4</v>
      </c>
      <c r="AQ1515">
        <v>3.4</v>
      </c>
      <c r="AR1515" t="s">
        <v>3800</v>
      </c>
      <c r="AS1515">
        <f t="shared" si="145"/>
        <v>-0.41696549622848078</v>
      </c>
      <c r="AT1515">
        <f t="shared" si="146"/>
        <v>2.0793754747920536E-4</v>
      </c>
      <c r="AW1515" s="28">
        <f t="shared" si="139"/>
        <v>-12.482224870842749</v>
      </c>
      <c r="AX1515">
        <f t="shared" si="140"/>
        <v>0.97297297297297303</v>
      </c>
      <c r="AY1515" s="62">
        <f t="shared" si="141"/>
        <v>-12.144867441901054</v>
      </c>
      <c r="AZ1515" s="68" t="str">
        <f t="shared" si="142"/>
        <v>No</v>
      </c>
      <c r="BA1515" s="68" t="str">
        <f t="shared" si="143"/>
        <v>Yes</v>
      </c>
    </row>
    <row r="1516" spans="1:53" hidden="1">
      <c r="A1516" t="s">
        <v>1136</v>
      </c>
      <c r="B1516" t="s">
        <v>3748</v>
      </c>
      <c r="C1516" t="s">
        <v>1181</v>
      </c>
      <c r="F1516" t="s">
        <v>1241</v>
      </c>
      <c r="G1516" t="s">
        <v>1135</v>
      </c>
      <c r="M1516" s="25" t="s">
        <v>36</v>
      </c>
      <c r="N1516" t="s">
        <v>36</v>
      </c>
      <c r="P1516" t="s">
        <v>60</v>
      </c>
      <c r="Q1516" t="s">
        <v>900</v>
      </c>
      <c r="R1516" t="s">
        <v>1744</v>
      </c>
      <c r="S1516" t="s">
        <v>1149</v>
      </c>
      <c r="V1516" t="s">
        <v>905</v>
      </c>
      <c r="X1516">
        <v>0.1</v>
      </c>
      <c r="Z1516">
        <v>4</v>
      </c>
      <c r="AA1516">
        <v>4</v>
      </c>
      <c r="AC1516">
        <v>323</v>
      </c>
      <c r="AD1516">
        <v>12</v>
      </c>
      <c r="AE1516">
        <v>2409</v>
      </c>
      <c r="AF1516">
        <v>12</v>
      </c>
      <c r="AG1516" t="str">
        <f t="shared" si="144"/>
        <v>30KRI_Pomatoceros_lamrckii_D0_CO2323.00_T12.00</v>
      </c>
      <c r="AJ1516" t="s">
        <v>69</v>
      </c>
      <c r="AK1516" t="s">
        <v>69</v>
      </c>
      <c r="AM1516"/>
      <c r="AN1516">
        <v>52.9</v>
      </c>
      <c r="AO1516">
        <v>5.3</v>
      </c>
      <c r="AP1516">
        <v>52.9</v>
      </c>
      <c r="AQ1516">
        <v>5.3</v>
      </c>
      <c r="AR1516" t="s">
        <v>3801</v>
      </c>
      <c r="AS1516">
        <f t="shared" si="145"/>
        <v>0</v>
      </c>
      <c r="AT1516">
        <f t="shared" si="146"/>
        <v>5.0189214589713444E-3</v>
      </c>
      <c r="AW1516" s="28">
        <f t="shared" si="139"/>
        <v>0</v>
      </c>
      <c r="AX1516">
        <f t="shared" si="140"/>
        <v>0.86956521739130432</v>
      </c>
      <c r="AY1516" s="62">
        <f t="shared" si="141"/>
        <v>0</v>
      </c>
      <c r="AZ1516" s="68" t="str">
        <f t="shared" si="142"/>
        <v>No</v>
      </c>
      <c r="BA1516" s="68" t="str">
        <f t="shared" si="143"/>
        <v>No</v>
      </c>
    </row>
    <row r="1517" spans="1:53" hidden="1">
      <c r="A1517" t="s">
        <v>1136</v>
      </c>
      <c r="B1517" t="s">
        <v>3749</v>
      </c>
      <c r="C1517" t="s">
        <v>1181</v>
      </c>
      <c r="F1517" t="s">
        <v>1241</v>
      </c>
      <c r="G1517" t="s">
        <v>1135</v>
      </c>
      <c r="M1517" s="25" t="s">
        <v>36</v>
      </c>
      <c r="N1517" t="s">
        <v>36</v>
      </c>
      <c r="P1517" t="s">
        <v>60</v>
      </c>
      <c r="Q1517" t="s">
        <v>900</v>
      </c>
      <c r="R1517" t="s">
        <v>1744</v>
      </c>
      <c r="S1517" t="s">
        <v>1149</v>
      </c>
      <c r="V1517" t="s">
        <v>905</v>
      </c>
      <c r="X1517">
        <v>0.1</v>
      </c>
      <c r="Z1517">
        <v>4</v>
      </c>
      <c r="AA1517">
        <v>4</v>
      </c>
      <c r="AC1517">
        <v>323</v>
      </c>
      <c r="AD1517">
        <v>12</v>
      </c>
      <c r="AE1517">
        <v>1488</v>
      </c>
      <c r="AF1517">
        <v>12</v>
      </c>
      <c r="AG1517" t="str">
        <f t="shared" si="144"/>
        <v>30KRI_Pomatoceros_lamrckii_D0_CO2323.00_T12.00</v>
      </c>
      <c r="AJ1517" t="s">
        <v>69</v>
      </c>
      <c r="AK1517" t="s">
        <v>69</v>
      </c>
      <c r="AM1517"/>
      <c r="AN1517">
        <v>79.7</v>
      </c>
      <c r="AO1517">
        <v>1.3</v>
      </c>
      <c r="AP1517">
        <v>55.5</v>
      </c>
      <c r="AQ1517">
        <v>2.5</v>
      </c>
      <c r="AR1517" t="s">
        <v>3801</v>
      </c>
      <c r="AS1517">
        <f t="shared" si="145"/>
        <v>-0.36188656504378081</v>
      </c>
      <c r="AT1517">
        <f t="shared" si="146"/>
        <v>5.7377756198995417E-4</v>
      </c>
      <c r="AW1517" s="28">
        <f t="shared" si="139"/>
        <v>-12.145631840129594</v>
      </c>
      <c r="AX1517">
        <f t="shared" si="140"/>
        <v>0.86956521739130432</v>
      </c>
      <c r="AY1517" s="62">
        <f t="shared" si="141"/>
        <v>-10.561418991417039</v>
      </c>
      <c r="AZ1517" s="68" t="str">
        <f t="shared" si="142"/>
        <v>No</v>
      </c>
      <c r="BA1517" s="68" t="str">
        <f t="shared" si="143"/>
        <v>Yes</v>
      </c>
    </row>
    <row r="1518" spans="1:53" hidden="1">
      <c r="A1518" t="s">
        <v>1136</v>
      </c>
      <c r="B1518" t="s">
        <v>3750</v>
      </c>
      <c r="C1518" t="s">
        <v>1181</v>
      </c>
      <c r="F1518" t="s">
        <v>1241</v>
      </c>
      <c r="G1518" t="s">
        <v>1135</v>
      </c>
      <c r="M1518" s="25" t="s">
        <v>36</v>
      </c>
      <c r="N1518" t="s">
        <v>36</v>
      </c>
      <c r="P1518" t="s">
        <v>60</v>
      </c>
      <c r="Q1518" t="s">
        <v>900</v>
      </c>
      <c r="R1518" t="s">
        <v>1744</v>
      </c>
      <c r="S1518" t="s">
        <v>1149</v>
      </c>
      <c r="V1518" t="s">
        <v>905</v>
      </c>
      <c r="X1518">
        <v>0.5</v>
      </c>
      <c r="Z1518">
        <v>4</v>
      </c>
      <c r="AA1518">
        <v>4</v>
      </c>
      <c r="AC1518">
        <v>323</v>
      </c>
      <c r="AD1518">
        <v>12</v>
      </c>
      <c r="AE1518">
        <v>2409</v>
      </c>
      <c r="AF1518">
        <v>12</v>
      </c>
      <c r="AG1518" t="str">
        <f t="shared" si="144"/>
        <v>30KRI_Pomatoceros_lamrckii_D1_CO2323.00_T12.00</v>
      </c>
      <c r="AJ1518" t="s">
        <v>69</v>
      </c>
      <c r="AK1518" t="s">
        <v>69</v>
      </c>
      <c r="AM1518"/>
      <c r="AN1518">
        <v>98.7</v>
      </c>
      <c r="AO1518">
        <v>0.8</v>
      </c>
      <c r="AP1518">
        <v>56</v>
      </c>
      <c r="AQ1518">
        <v>6.6</v>
      </c>
      <c r="AR1518" t="s">
        <v>3802</v>
      </c>
      <c r="AS1518">
        <f t="shared" si="145"/>
        <v>-0.56673325570428634</v>
      </c>
      <c r="AT1518">
        <f t="shared" si="146"/>
        <v>3.4890007855413172E-3</v>
      </c>
      <c r="AW1518" s="28">
        <f t="shared" si="139"/>
        <v>-9.0830506964758904</v>
      </c>
      <c r="AX1518">
        <f t="shared" si="140"/>
        <v>0.86956521739130432</v>
      </c>
      <c r="AY1518" s="62">
        <f t="shared" si="141"/>
        <v>-7.8983049534572958</v>
      </c>
      <c r="AZ1518" s="68" t="str">
        <f t="shared" si="142"/>
        <v>No</v>
      </c>
      <c r="BA1518" s="68" t="str">
        <f t="shared" si="143"/>
        <v>No</v>
      </c>
    </row>
    <row r="1519" spans="1:53" hidden="1">
      <c r="A1519" t="s">
        <v>1136</v>
      </c>
      <c r="B1519" t="s">
        <v>3751</v>
      </c>
      <c r="C1519" t="s">
        <v>1181</v>
      </c>
      <c r="F1519" t="s">
        <v>1241</v>
      </c>
      <c r="G1519" t="s">
        <v>1135</v>
      </c>
      <c r="M1519" s="25" t="s">
        <v>36</v>
      </c>
      <c r="N1519" t="s">
        <v>36</v>
      </c>
      <c r="P1519" t="s">
        <v>60</v>
      </c>
      <c r="Q1519" t="s">
        <v>900</v>
      </c>
      <c r="R1519" t="s">
        <v>1744</v>
      </c>
      <c r="S1519" t="s">
        <v>1149</v>
      </c>
      <c r="V1519" t="s">
        <v>905</v>
      </c>
      <c r="X1519">
        <v>7</v>
      </c>
      <c r="Z1519">
        <v>4</v>
      </c>
      <c r="AA1519">
        <v>4</v>
      </c>
      <c r="AC1519">
        <v>323</v>
      </c>
      <c r="AD1519">
        <v>12</v>
      </c>
      <c r="AE1519">
        <v>1488</v>
      </c>
      <c r="AF1519">
        <v>12</v>
      </c>
      <c r="AG1519" t="str">
        <f t="shared" si="144"/>
        <v>30KRI_Pomatoceros_lamrckii_D7_CO2323.00_T12.00</v>
      </c>
      <c r="AJ1519" t="s">
        <v>69</v>
      </c>
      <c r="AK1519" t="s">
        <v>69</v>
      </c>
      <c r="AM1519"/>
      <c r="AN1519">
        <v>98.7</v>
      </c>
      <c r="AO1519">
        <v>0.8</v>
      </c>
      <c r="AP1519">
        <v>73.5</v>
      </c>
      <c r="AQ1519">
        <v>6.9</v>
      </c>
      <c r="AR1519" t="s">
        <v>3802</v>
      </c>
      <c r="AS1519">
        <f t="shared" si="145"/>
        <v>-0.29479954022064536</v>
      </c>
      <c r="AT1519">
        <f t="shared" si="146"/>
        <v>2.2196729013264074E-3</v>
      </c>
      <c r="AW1519" s="28">
        <f t="shared" si="139"/>
        <v>-5.1305849134776187</v>
      </c>
      <c r="AX1519">
        <f t="shared" si="140"/>
        <v>0.86956521739130432</v>
      </c>
      <c r="AY1519" s="62">
        <f t="shared" si="141"/>
        <v>-4.4613781856327117</v>
      </c>
      <c r="AZ1519" s="68" t="str">
        <f t="shared" si="142"/>
        <v>No</v>
      </c>
      <c r="BA1519" s="68" t="str">
        <f t="shared" si="143"/>
        <v>No</v>
      </c>
    </row>
    <row r="1520" spans="1:53" hidden="1">
      <c r="A1520" t="s">
        <v>1136</v>
      </c>
      <c r="B1520" t="s">
        <v>3752</v>
      </c>
      <c r="C1520" t="s">
        <v>1181</v>
      </c>
      <c r="F1520" t="s">
        <v>1241</v>
      </c>
      <c r="G1520" t="s">
        <v>1135</v>
      </c>
      <c r="M1520" s="25" t="s">
        <v>36</v>
      </c>
      <c r="N1520" t="s">
        <v>36</v>
      </c>
      <c r="P1520" t="s">
        <v>60</v>
      </c>
      <c r="Q1520" t="s">
        <v>900</v>
      </c>
      <c r="R1520" t="s">
        <v>1744</v>
      </c>
      <c r="S1520" t="s">
        <v>1149</v>
      </c>
      <c r="V1520" t="s">
        <v>905</v>
      </c>
      <c r="X1520">
        <v>0.1</v>
      </c>
      <c r="Z1520">
        <v>3</v>
      </c>
      <c r="AA1520">
        <v>3</v>
      </c>
      <c r="AC1520">
        <v>323</v>
      </c>
      <c r="AD1520">
        <v>12</v>
      </c>
      <c r="AE1520">
        <v>1488</v>
      </c>
      <c r="AF1520">
        <v>12</v>
      </c>
      <c r="AG1520" t="str">
        <f t="shared" si="144"/>
        <v>30KRI_Pomatoceros_lamrckii_D0_CO2323.00_T12.00</v>
      </c>
      <c r="AJ1520" t="s">
        <v>59</v>
      </c>
      <c r="AK1520" t="s">
        <v>59</v>
      </c>
      <c r="AM1520"/>
      <c r="AN1520">
        <v>93.2</v>
      </c>
      <c r="AO1520">
        <v>1.8</v>
      </c>
      <c r="AP1520">
        <v>76.8</v>
      </c>
      <c r="AQ1520">
        <v>1.1000000000000001</v>
      </c>
      <c r="AR1520" t="s">
        <v>3803</v>
      </c>
      <c r="AS1520">
        <f t="shared" si="145"/>
        <v>-0.19354308153791955</v>
      </c>
      <c r="AT1520">
        <f t="shared" si="146"/>
        <v>1.9271656036254641E-4</v>
      </c>
      <c r="AW1520" s="28">
        <f t="shared" si="139"/>
        <v>-10.994584979725456</v>
      </c>
      <c r="AX1520">
        <f t="shared" si="140"/>
        <v>0.8</v>
      </c>
      <c r="AY1520" s="62">
        <f t="shared" si="141"/>
        <v>-8.7956679837803655</v>
      </c>
      <c r="AZ1520" s="68" t="str">
        <f t="shared" si="142"/>
        <v>No</v>
      </c>
      <c r="BA1520" s="68" t="str">
        <f t="shared" si="143"/>
        <v>No</v>
      </c>
    </row>
    <row r="1521" spans="1:53" hidden="1">
      <c r="A1521" t="s">
        <v>1136</v>
      </c>
      <c r="B1521" t="s">
        <v>3753</v>
      </c>
      <c r="C1521" t="s">
        <v>1181</v>
      </c>
      <c r="F1521" t="s">
        <v>1241</v>
      </c>
      <c r="G1521" t="s">
        <v>1135</v>
      </c>
      <c r="M1521" s="25" t="s">
        <v>36</v>
      </c>
      <c r="N1521" t="s">
        <v>36</v>
      </c>
      <c r="P1521" t="s">
        <v>60</v>
      </c>
      <c r="Q1521" t="s">
        <v>900</v>
      </c>
      <c r="R1521" t="s">
        <v>1744</v>
      </c>
      <c r="S1521" t="s">
        <v>1149</v>
      </c>
      <c r="V1521" t="s">
        <v>905</v>
      </c>
      <c r="X1521">
        <v>0.5</v>
      </c>
      <c r="Z1521">
        <v>3</v>
      </c>
      <c r="AA1521">
        <v>3</v>
      </c>
      <c r="AC1521">
        <v>323</v>
      </c>
      <c r="AD1521">
        <v>12</v>
      </c>
      <c r="AE1521">
        <v>2409</v>
      </c>
      <c r="AF1521">
        <v>12</v>
      </c>
      <c r="AG1521" t="str">
        <f t="shared" si="144"/>
        <v>30KRI_Pomatoceros_lamrckii_D1_CO2323.00_T12.00</v>
      </c>
      <c r="AJ1521" t="s">
        <v>59</v>
      </c>
      <c r="AK1521" t="s">
        <v>59</v>
      </c>
      <c r="AM1521"/>
      <c r="AN1521">
        <v>93.2</v>
      </c>
      <c r="AO1521">
        <v>1.8</v>
      </c>
      <c r="AP1521">
        <v>80</v>
      </c>
      <c r="AQ1521">
        <v>1.8</v>
      </c>
      <c r="AR1521" t="s">
        <v>3803</v>
      </c>
      <c r="AS1521">
        <f t="shared" si="145"/>
        <v>-0.15272108701766474</v>
      </c>
      <c r="AT1521">
        <f t="shared" si="146"/>
        <v>2.9308457974912044E-4</v>
      </c>
      <c r="AW1521" s="28">
        <f t="shared" si="139"/>
        <v>-7.3333333333333348</v>
      </c>
      <c r="AX1521">
        <f t="shared" si="140"/>
        <v>0.8</v>
      </c>
      <c r="AY1521" s="62">
        <f t="shared" si="141"/>
        <v>-5.866666666666668</v>
      </c>
      <c r="AZ1521" s="68" t="str">
        <f t="shared" si="142"/>
        <v>No</v>
      </c>
      <c r="BA1521" s="68" t="str">
        <f t="shared" si="143"/>
        <v>No</v>
      </c>
    </row>
    <row r="1522" spans="1:53" hidden="1">
      <c r="A1522" t="s">
        <v>1136</v>
      </c>
      <c r="B1522" t="s">
        <v>3754</v>
      </c>
      <c r="C1522" t="s">
        <v>1181</v>
      </c>
      <c r="F1522" t="s">
        <v>1241</v>
      </c>
      <c r="G1522" t="s">
        <v>1135</v>
      </c>
      <c r="M1522" s="25" t="s">
        <v>36</v>
      </c>
      <c r="N1522" t="s">
        <v>36</v>
      </c>
      <c r="P1522" t="s">
        <v>60</v>
      </c>
      <c r="Q1522" t="s">
        <v>900</v>
      </c>
      <c r="R1522" t="s">
        <v>1744</v>
      </c>
      <c r="S1522" t="s">
        <v>1149</v>
      </c>
      <c r="V1522" t="s">
        <v>905</v>
      </c>
      <c r="X1522">
        <v>0.1</v>
      </c>
      <c r="Z1522">
        <v>3</v>
      </c>
      <c r="AA1522">
        <v>3</v>
      </c>
      <c r="AC1522">
        <v>323</v>
      </c>
      <c r="AD1522">
        <v>12</v>
      </c>
      <c r="AE1522">
        <v>2409</v>
      </c>
      <c r="AF1522">
        <v>12</v>
      </c>
      <c r="AG1522" t="str">
        <f t="shared" si="144"/>
        <v>30KRI_Pomatoceros_lamrckii_D0_CO2323.00_T12.00</v>
      </c>
      <c r="AJ1522" t="s">
        <v>59</v>
      </c>
      <c r="AK1522" t="s">
        <v>59</v>
      </c>
      <c r="AM1522"/>
      <c r="AN1522">
        <v>97.5</v>
      </c>
      <c r="AO1522">
        <v>0.7</v>
      </c>
      <c r="AP1522">
        <v>88.6</v>
      </c>
      <c r="AQ1522">
        <v>0.3</v>
      </c>
      <c r="AR1522" t="s">
        <v>3804</v>
      </c>
      <c r="AS1522">
        <f t="shared" si="145"/>
        <v>-9.572052039276624E-2</v>
      </c>
      <c r="AT1522">
        <f t="shared" si="146"/>
        <v>2.100335424460153E-5</v>
      </c>
      <c r="AW1522" s="28">
        <f t="shared" si="139"/>
        <v>-16.526885097757628</v>
      </c>
      <c r="AX1522">
        <f t="shared" si="140"/>
        <v>0.8</v>
      </c>
      <c r="AY1522" s="62">
        <f t="shared" si="141"/>
        <v>-13.221508078206103</v>
      </c>
      <c r="AZ1522" s="68" t="str">
        <f t="shared" si="142"/>
        <v>No</v>
      </c>
      <c r="BA1522" s="68" t="str">
        <f t="shared" si="143"/>
        <v>Yes</v>
      </c>
    </row>
    <row r="1523" spans="1:53" hidden="1">
      <c r="A1523" t="s">
        <v>1136</v>
      </c>
      <c r="B1523" t="s">
        <v>3755</v>
      </c>
      <c r="C1523" t="s">
        <v>1181</v>
      </c>
      <c r="F1523" t="s">
        <v>1241</v>
      </c>
      <c r="G1523" t="s">
        <v>1135</v>
      </c>
      <c r="M1523" s="25" t="s">
        <v>36</v>
      </c>
      <c r="N1523" t="s">
        <v>36</v>
      </c>
      <c r="P1523" t="s">
        <v>60</v>
      </c>
      <c r="Q1523" t="s">
        <v>900</v>
      </c>
      <c r="R1523" t="s">
        <v>1744</v>
      </c>
      <c r="S1523" t="s">
        <v>1149</v>
      </c>
      <c r="V1523" t="s">
        <v>905</v>
      </c>
      <c r="X1523">
        <v>0.5</v>
      </c>
      <c r="Z1523">
        <v>3</v>
      </c>
      <c r="AA1523">
        <v>3</v>
      </c>
      <c r="AC1523">
        <v>323</v>
      </c>
      <c r="AD1523">
        <v>12</v>
      </c>
      <c r="AE1523">
        <v>1488</v>
      </c>
      <c r="AF1523">
        <v>12</v>
      </c>
      <c r="AG1523" t="str">
        <f t="shared" si="144"/>
        <v>30KRI_Pomatoceros_lamrckii_D1_CO2323.00_T12.00</v>
      </c>
      <c r="AJ1523" t="s">
        <v>59</v>
      </c>
      <c r="AK1523" t="s">
        <v>59</v>
      </c>
      <c r="AM1523"/>
      <c r="AN1523">
        <v>97.5</v>
      </c>
      <c r="AO1523">
        <v>0.7</v>
      </c>
      <c r="AP1523">
        <v>91.1</v>
      </c>
      <c r="AQ1523">
        <v>1.4</v>
      </c>
      <c r="AR1523" t="s">
        <v>3804</v>
      </c>
      <c r="AS1523">
        <f t="shared" si="145"/>
        <v>-6.7894573737889097E-2</v>
      </c>
      <c r="AT1523">
        <f t="shared" si="146"/>
        <v>9.5904031008289762E-5</v>
      </c>
      <c r="AW1523" s="28">
        <f t="shared" si="139"/>
        <v>-5.7824505785936129</v>
      </c>
      <c r="AX1523">
        <f t="shared" si="140"/>
        <v>0.8</v>
      </c>
      <c r="AY1523" s="62">
        <f t="shared" si="141"/>
        <v>-4.6259604628748905</v>
      </c>
      <c r="AZ1523" s="68" t="str">
        <f t="shared" si="142"/>
        <v>No</v>
      </c>
      <c r="BA1523" s="68" t="str">
        <f t="shared" si="143"/>
        <v>No</v>
      </c>
    </row>
    <row r="1524" spans="1:53" hidden="1">
      <c r="A1524" t="s">
        <v>1136</v>
      </c>
      <c r="B1524" t="s">
        <v>3756</v>
      </c>
      <c r="C1524" t="s">
        <v>1181</v>
      </c>
      <c r="F1524" t="s">
        <v>1241</v>
      </c>
      <c r="G1524" t="s">
        <v>1135</v>
      </c>
      <c r="M1524" s="25" t="s">
        <v>36</v>
      </c>
      <c r="N1524" t="s">
        <v>36</v>
      </c>
      <c r="P1524" t="s">
        <v>60</v>
      </c>
      <c r="Q1524" t="s">
        <v>900</v>
      </c>
      <c r="R1524" t="s">
        <v>1744</v>
      </c>
      <c r="S1524" t="s">
        <v>1149</v>
      </c>
      <c r="V1524" t="s">
        <v>905</v>
      </c>
      <c r="X1524">
        <v>0.5</v>
      </c>
      <c r="Z1524">
        <v>10</v>
      </c>
      <c r="AA1524">
        <v>10</v>
      </c>
      <c r="AC1524">
        <v>323</v>
      </c>
      <c r="AD1524">
        <v>12</v>
      </c>
      <c r="AE1524">
        <v>1488</v>
      </c>
      <c r="AF1524">
        <v>12</v>
      </c>
      <c r="AG1524" t="str">
        <f t="shared" si="144"/>
        <v>30KRI_Pomatoceros_lamrckii_D1_CO2323.00_T12.00</v>
      </c>
      <c r="AJ1524" t="s">
        <v>40</v>
      </c>
      <c r="AK1524" t="s">
        <v>40</v>
      </c>
      <c r="AM1524"/>
      <c r="AN1524">
        <v>140.77000000000001</v>
      </c>
      <c r="AO1524">
        <v>3.89</v>
      </c>
      <c r="AP1524">
        <v>136.88</v>
      </c>
      <c r="AQ1524">
        <v>4.12</v>
      </c>
      <c r="AR1524" t="s">
        <v>3805</v>
      </c>
      <c r="AS1524">
        <f t="shared" si="145"/>
        <v>-2.8022723255936022E-2</v>
      </c>
      <c r="AT1524">
        <f t="shared" si="146"/>
        <v>1.6695942640451947E-4</v>
      </c>
      <c r="AW1524" s="28">
        <f t="shared" si="139"/>
        <v>-0.97088572747863877</v>
      </c>
      <c r="AX1524">
        <f t="shared" si="140"/>
        <v>0.95774647887323949</v>
      </c>
      <c r="AY1524" s="62">
        <f t="shared" si="141"/>
        <v>-0.92986238688094991</v>
      </c>
      <c r="AZ1524" s="68" t="str">
        <f t="shared" si="142"/>
        <v>No</v>
      </c>
      <c r="BA1524" s="68" t="str">
        <f t="shared" si="143"/>
        <v>No</v>
      </c>
    </row>
    <row r="1525" spans="1:53" hidden="1">
      <c r="A1525" t="s">
        <v>1136</v>
      </c>
      <c r="B1525" t="s">
        <v>3757</v>
      </c>
      <c r="C1525" t="s">
        <v>1181</v>
      </c>
      <c r="F1525" t="s">
        <v>1241</v>
      </c>
      <c r="G1525" t="s">
        <v>1135</v>
      </c>
      <c r="M1525" s="25" t="s">
        <v>36</v>
      </c>
      <c r="N1525" t="s">
        <v>36</v>
      </c>
      <c r="P1525" t="s">
        <v>60</v>
      </c>
      <c r="Q1525" t="s">
        <v>900</v>
      </c>
      <c r="R1525" t="s">
        <v>1744</v>
      </c>
      <c r="S1525" t="s">
        <v>1149</v>
      </c>
      <c r="V1525" t="s">
        <v>905</v>
      </c>
      <c r="X1525">
        <v>7</v>
      </c>
      <c r="Z1525">
        <v>10</v>
      </c>
      <c r="AA1525">
        <v>10</v>
      </c>
      <c r="AC1525">
        <v>323</v>
      </c>
      <c r="AD1525">
        <v>12</v>
      </c>
      <c r="AE1525">
        <v>2409</v>
      </c>
      <c r="AF1525">
        <v>12</v>
      </c>
      <c r="AG1525" t="str">
        <f t="shared" si="144"/>
        <v>30KRI_Pomatoceros_lamrckii_D7_CO2323.00_T12.00</v>
      </c>
      <c r="AJ1525" t="s">
        <v>40</v>
      </c>
      <c r="AK1525" t="s">
        <v>40</v>
      </c>
      <c r="AM1525"/>
      <c r="AN1525">
        <v>140.77000000000001</v>
      </c>
      <c r="AO1525">
        <v>3.89</v>
      </c>
      <c r="AP1525">
        <v>145.35</v>
      </c>
      <c r="AQ1525">
        <v>4.3499999999999996</v>
      </c>
      <c r="AR1525" t="s">
        <v>3805</v>
      </c>
      <c r="AS1525">
        <f t="shared" si="145"/>
        <v>3.2017274165011322E-2</v>
      </c>
      <c r="AT1525">
        <f t="shared" si="146"/>
        <v>1.6592938193540514E-4</v>
      </c>
      <c r="AW1525" s="28">
        <f t="shared" si="139"/>
        <v>1.1099223178392512</v>
      </c>
      <c r="AX1525">
        <f t="shared" si="140"/>
        <v>0.95774647887323949</v>
      </c>
      <c r="AY1525" s="62">
        <f t="shared" si="141"/>
        <v>1.0630241917333674</v>
      </c>
      <c r="AZ1525" s="68" t="str">
        <f t="shared" si="142"/>
        <v>No</v>
      </c>
      <c r="BA1525" s="68" t="str">
        <f t="shared" si="143"/>
        <v>No</v>
      </c>
    </row>
    <row r="1526" spans="1:53" hidden="1">
      <c r="A1526" t="s">
        <v>1035</v>
      </c>
      <c r="B1526" t="s">
        <v>3595</v>
      </c>
      <c r="C1526" t="s">
        <v>1006</v>
      </c>
      <c r="F1526" t="s">
        <v>914</v>
      </c>
      <c r="G1526" t="s">
        <v>997</v>
      </c>
      <c r="I1526">
        <v>2009</v>
      </c>
      <c r="K1526" t="s">
        <v>72</v>
      </c>
      <c r="M1526" s="25" t="s">
        <v>36</v>
      </c>
      <c r="N1526" t="s">
        <v>36</v>
      </c>
      <c r="P1526" t="s">
        <v>60</v>
      </c>
      <c r="Q1526" t="s">
        <v>900</v>
      </c>
      <c r="R1526" t="s">
        <v>946</v>
      </c>
      <c r="S1526" t="s">
        <v>956</v>
      </c>
      <c r="T1526">
        <v>-33.888800000000003</v>
      </c>
      <c r="U1526">
        <v>151.18780000000001</v>
      </c>
      <c r="V1526" t="s">
        <v>905</v>
      </c>
      <c r="X1526">
        <v>4</v>
      </c>
      <c r="Z1526">
        <v>5</v>
      </c>
      <c r="AA1526">
        <v>5</v>
      </c>
      <c r="AG1526" t="str">
        <f t="shared" ref="AG1526:AG1557" si="147">C1526 &amp; "_" &amp;
SUBSTITUTE(TRIM(S1526)," ","_") &amp; "_" &amp;
"D" &amp; TEXT(X1526,"0") &amp; "_" &amp;
"CO2" &amp; IF(AC1526&lt;&gt;"",TEXT(AC1526,"0.00"),"NA") &amp; "_" &amp;
"T" &amp; IF(AD1526&lt;&gt;"",TEXT(AD1526,"0.00"),"NA") &amp; "_" &amp;
"control_outcome" &amp; IF(AN1526&lt;&gt;"",TEXT(AN1526,"0.00"),"NA")</f>
        <v>1JYP_Heliocidaris_erythrogramma_D4_CO2NA_TNA_control_outcome0.96</v>
      </c>
      <c r="AJ1526" t="s">
        <v>1016</v>
      </c>
      <c r="AK1526" t="s">
        <v>59</v>
      </c>
      <c r="AM1526"/>
      <c r="AN1526">
        <v>0.95620000000000005</v>
      </c>
      <c r="AO1526">
        <v>0.96350000000000002</v>
      </c>
      <c r="AP1526">
        <v>3.2599999999999997E-2</v>
      </c>
      <c r="AQ1526">
        <v>3.2599999999999997E-2</v>
      </c>
      <c r="AR1526" t="s">
        <v>3658</v>
      </c>
      <c r="AS1526">
        <v>7.6053919999999999E-3</v>
      </c>
      <c r="AT1526">
        <v>4.6143200000000001E-4</v>
      </c>
      <c r="AU1526" t="s">
        <v>3672</v>
      </c>
      <c r="AZ1526"/>
      <c r="BA1526"/>
    </row>
    <row r="1527" spans="1:53" hidden="1">
      <c r="A1527" t="s">
        <v>1035</v>
      </c>
      <c r="B1527" t="s">
        <v>3596</v>
      </c>
      <c r="C1527" t="s">
        <v>1006</v>
      </c>
      <c r="F1527" t="s">
        <v>914</v>
      </c>
      <c r="G1527" t="s">
        <v>997</v>
      </c>
      <c r="I1527">
        <v>2009</v>
      </c>
      <c r="K1527" t="s">
        <v>72</v>
      </c>
      <c r="M1527" s="25" t="s">
        <v>36</v>
      </c>
      <c r="N1527" t="s">
        <v>36</v>
      </c>
      <c r="P1527" t="s">
        <v>60</v>
      </c>
      <c r="Q1527" t="s">
        <v>900</v>
      </c>
      <c r="R1527" t="s">
        <v>946</v>
      </c>
      <c r="S1527" t="s">
        <v>956</v>
      </c>
      <c r="T1527">
        <v>-33.888800000000003</v>
      </c>
      <c r="U1527">
        <v>151.18780000000001</v>
      </c>
      <c r="V1527" t="s">
        <v>907</v>
      </c>
      <c r="X1527">
        <v>4</v>
      </c>
      <c r="Z1527">
        <v>5</v>
      </c>
      <c r="AA1527">
        <v>5</v>
      </c>
      <c r="AG1527" t="str">
        <f t="shared" si="147"/>
        <v>1JYP_Heliocidaris_erythrogramma_D4_CO2NA_TNA_control_outcome0.96</v>
      </c>
      <c r="AJ1527" t="s">
        <v>1016</v>
      </c>
      <c r="AK1527" t="s">
        <v>59</v>
      </c>
      <c r="AM1527"/>
      <c r="AN1527">
        <v>0.95620000000000005</v>
      </c>
      <c r="AO1527">
        <v>0.94889999999999997</v>
      </c>
      <c r="AP1527">
        <v>3.2599999999999997E-2</v>
      </c>
      <c r="AQ1527">
        <v>3.2599999999999997E-2</v>
      </c>
      <c r="AR1527" t="s">
        <v>3658</v>
      </c>
      <c r="AS1527">
        <v>-7.6636769999999998E-3</v>
      </c>
      <c r="AT1527">
        <v>4.68531E-4</v>
      </c>
      <c r="AU1527" t="s">
        <v>3672</v>
      </c>
      <c r="AZ1527"/>
      <c r="BA1527"/>
    </row>
    <row r="1528" spans="1:53" hidden="1">
      <c r="A1528" t="s">
        <v>1035</v>
      </c>
      <c r="B1528" t="s">
        <v>3597</v>
      </c>
      <c r="C1528" t="s">
        <v>1006</v>
      </c>
      <c r="F1528" t="s">
        <v>914</v>
      </c>
      <c r="G1528" t="s">
        <v>997</v>
      </c>
      <c r="I1528">
        <v>2009</v>
      </c>
      <c r="K1528" t="s">
        <v>72</v>
      </c>
      <c r="M1528" s="25" t="s">
        <v>36</v>
      </c>
      <c r="N1528" t="s">
        <v>36</v>
      </c>
      <c r="P1528" t="s">
        <v>60</v>
      </c>
      <c r="Q1528" t="s">
        <v>900</v>
      </c>
      <c r="R1528" t="s">
        <v>946</v>
      </c>
      <c r="S1528" t="s">
        <v>956</v>
      </c>
      <c r="T1528">
        <v>-33.888800000000003</v>
      </c>
      <c r="U1528">
        <v>151.18780000000001</v>
      </c>
      <c r="V1528" t="s">
        <v>1015</v>
      </c>
      <c r="X1528">
        <v>4</v>
      </c>
      <c r="Z1528">
        <v>5</v>
      </c>
      <c r="AA1528">
        <v>5</v>
      </c>
      <c r="AG1528" t="str">
        <f t="shared" si="147"/>
        <v>1JYP_Heliocidaris_erythrogramma_D4_CO2NA_TNA_control_outcome0.96</v>
      </c>
      <c r="AJ1528" t="s">
        <v>1016</v>
      </c>
      <c r="AK1528" t="s">
        <v>59</v>
      </c>
      <c r="AM1528"/>
      <c r="AN1528">
        <v>0.95620000000000005</v>
      </c>
      <c r="AO1528">
        <v>0.88319999999999999</v>
      </c>
      <c r="AP1528">
        <v>3.2599999999999997E-2</v>
      </c>
      <c r="AQ1528">
        <v>4.9000000000000002E-2</v>
      </c>
      <c r="AR1528" t="s">
        <v>3658</v>
      </c>
      <c r="AS1528">
        <v>-7.9357134999999995E-2</v>
      </c>
      <c r="AT1528">
        <v>1.3131E-3</v>
      </c>
      <c r="AU1528" t="s">
        <v>3672</v>
      </c>
      <c r="AZ1528"/>
      <c r="BA1528"/>
    </row>
    <row r="1529" spans="1:53" hidden="1">
      <c r="A1529" t="s">
        <v>1035</v>
      </c>
      <c r="B1529" t="s">
        <v>3598</v>
      </c>
      <c r="C1529" t="s">
        <v>1006</v>
      </c>
      <c r="F1529" t="s">
        <v>914</v>
      </c>
      <c r="G1529" t="s">
        <v>997</v>
      </c>
      <c r="I1529">
        <v>2009</v>
      </c>
      <c r="K1529" t="s">
        <v>72</v>
      </c>
      <c r="M1529" s="25" t="s">
        <v>36</v>
      </c>
      <c r="N1529" t="s">
        <v>36</v>
      </c>
      <c r="P1529" t="s">
        <v>60</v>
      </c>
      <c r="Q1529" t="s">
        <v>900</v>
      </c>
      <c r="R1529" t="s">
        <v>946</v>
      </c>
      <c r="S1529" t="s">
        <v>956</v>
      </c>
      <c r="T1529">
        <v>-33.888800000000003</v>
      </c>
      <c r="U1529">
        <v>151.18780000000001</v>
      </c>
      <c r="V1529" t="s">
        <v>905</v>
      </c>
      <c r="X1529">
        <v>4</v>
      </c>
      <c r="Z1529">
        <v>5</v>
      </c>
      <c r="AA1529">
        <v>5</v>
      </c>
      <c r="AG1529" t="str">
        <f t="shared" si="147"/>
        <v>1JYP_Heliocidaris_erythrogramma_D4_CO2NA_TNA_control_outcome0.83</v>
      </c>
      <c r="AJ1529" t="s">
        <v>1017</v>
      </c>
      <c r="AK1529" t="s">
        <v>770</v>
      </c>
      <c r="AM1529"/>
      <c r="AN1529">
        <v>0.83009999999999995</v>
      </c>
      <c r="AO1529">
        <v>0.81699999999999995</v>
      </c>
      <c r="AP1529">
        <v>4.3799999999999999E-2</v>
      </c>
      <c r="AQ1529">
        <v>5.8400000000000001E-2</v>
      </c>
      <c r="AR1529" t="s">
        <v>3659</v>
      </c>
      <c r="AS1529">
        <v>-1.5907081E-2</v>
      </c>
      <c r="AT1529">
        <v>1.5787310000000001E-3</v>
      </c>
      <c r="AU1529" t="s">
        <v>3672</v>
      </c>
      <c r="AZ1529"/>
      <c r="BA1529"/>
    </row>
    <row r="1530" spans="1:53" hidden="1">
      <c r="A1530" t="s">
        <v>1035</v>
      </c>
      <c r="B1530" t="s">
        <v>3599</v>
      </c>
      <c r="C1530" t="s">
        <v>1006</v>
      </c>
      <c r="F1530" t="s">
        <v>914</v>
      </c>
      <c r="G1530" t="s">
        <v>997</v>
      </c>
      <c r="I1530">
        <v>2009</v>
      </c>
      <c r="K1530" t="s">
        <v>72</v>
      </c>
      <c r="M1530" s="25" t="s">
        <v>36</v>
      </c>
      <c r="N1530" t="s">
        <v>36</v>
      </c>
      <c r="P1530" t="s">
        <v>60</v>
      </c>
      <c r="Q1530" t="s">
        <v>900</v>
      </c>
      <c r="R1530" t="s">
        <v>946</v>
      </c>
      <c r="S1530" t="s">
        <v>956</v>
      </c>
      <c r="T1530">
        <v>-33.888800000000003</v>
      </c>
      <c r="U1530">
        <v>151.18780000000001</v>
      </c>
      <c r="V1530" t="s">
        <v>907</v>
      </c>
      <c r="X1530">
        <v>4</v>
      </c>
      <c r="Z1530">
        <v>5</v>
      </c>
      <c r="AA1530">
        <v>5</v>
      </c>
      <c r="AG1530" t="str">
        <f t="shared" si="147"/>
        <v>1JYP_Heliocidaris_erythrogramma_D4_CO2NA_TNA_control_outcome0.83</v>
      </c>
      <c r="AJ1530" t="s">
        <v>1017</v>
      </c>
      <c r="AK1530" t="s">
        <v>770</v>
      </c>
      <c r="AM1530"/>
      <c r="AN1530">
        <v>0.83009999999999995</v>
      </c>
      <c r="AO1530">
        <v>3.27E-2</v>
      </c>
      <c r="AP1530">
        <v>4.3799999999999999E-2</v>
      </c>
      <c r="AQ1530">
        <v>4.3799999999999999E-2</v>
      </c>
      <c r="AR1530" t="s">
        <v>3659</v>
      </c>
      <c r="AS1530">
        <v>-3.234171098</v>
      </c>
      <c r="AT1530">
        <v>0.35938183800000001</v>
      </c>
      <c r="AU1530" t="s">
        <v>3672</v>
      </c>
      <c r="AZ1530"/>
      <c r="BA1530"/>
    </row>
    <row r="1531" spans="1:53" hidden="1">
      <c r="A1531" t="s">
        <v>1035</v>
      </c>
      <c r="B1531" t="s">
        <v>3600</v>
      </c>
      <c r="C1531" t="s">
        <v>1006</v>
      </c>
      <c r="F1531" t="s">
        <v>914</v>
      </c>
      <c r="G1531" t="s">
        <v>997</v>
      </c>
      <c r="I1531">
        <v>2009</v>
      </c>
      <c r="K1531" t="s">
        <v>72</v>
      </c>
      <c r="M1531" s="25" t="s">
        <v>36</v>
      </c>
      <c r="N1531" t="s">
        <v>36</v>
      </c>
      <c r="P1531" t="s">
        <v>60</v>
      </c>
      <c r="Q1531" t="s">
        <v>900</v>
      </c>
      <c r="R1531" t="s">
        <v>946</v>
      </c>
      <c r="S1531" t="s">
        <v>956</v>
      </c>
      <c r="T1531">
        <v>-33.888800000000003</v>
      </c>
      <c r="U1531">
        <v>151.18780000000001</v>
      </c>
      <c r="V1531" t="s">
        <v>1015</v>
      </c>
      <c r="X1531">
        <v>4</v>
      </c>
      <c r="Z1531">
        <v>5</v>
      </c>
      <c r="AA1531">
        <v>5</v>
      </c>
      <c r="AG1531" t="str">
        <f t="shared" si="147"/>
        <v>1JYP_Heliocidaris_erythrogramma_D4_CO2NA_TNA_control_outcome0.83</v>
      </c>
      <c r="AJ1531" t="s">
        <v>1017</v>
      </c>
      <c r="AK1531" t="s">
        <v>770</v>
      </c>
      <c r="AM1531"/>
      <c r="AN1531">
        <v>0.83009999999999995</v>
      </c>
      <c r="AO1531">
        <v>6.4999999999999997E-3</v>
      </c>
      <c r="AP1531">
        <v>4.3799999999999999E-2</v>
      </c>
      <c r="AQ1531">
        <v>1E-3</v>
      </c>
      <c r="AR1531" t="s">
        <v>3659</v>
      </c>
      <c r="AS1531">
        <v>-1.59966582</v>
      </c>
      <c r="AT1531">
        <v>0.36513747299999999</v>
      </c>
      <c r="AU1531" t="s">
        <v>3672</v>
      </c>
      <c r="AZ1531"/>
      <c r="BA1531"/>
    </row>
    <row r="1532" spans="1:53" hidden="1">
      <c r="A1532" t="s">
        <v>1035</v>
      </c>
      <c r="B1532" t="s">
        <v>3601</v>
      </c>
      <c r="C1532" t="s">
        <v>1186</v>
      </c>
      <c r="F1532" t="s">
        <v>1241</v>
      </c>
      <c r="G1532" t="s">
        <v>998</v>
      </c>
      <c r="I1532">
        <v>2012</v>
      </c>
      <c r="K1532" t="s">
        <v>72</v>
      </c>
      <c r="M1532" s="25" t="s">
        <v>36</v>
      </c>
      <c r="N1532" t="s">
        <v>36</v>
      </c>
      <c r="P1532" t="s">
        <v>60</v>
      </c>
      <c r="Q1532" t="s">
        <v>900</v>
      </c>
      <c r="R1532" t="s">
        <v>946</v>
      </c>
      <c r="S1532" t="s">
        <v>949</v>
      </c>
      <c r="T1532">
        <v>-33.58</v>
      </c>
      <c r="U1532">
        <v>151.15</v>
      </c>
      <c r="V1532" t="s">
        <v>905</v>
      </c>
      <c r="X1532">
        <v>3</v>
      </c>
      <c r="Z1532">
        <v>10</v>
      </c>
      <c r="AA1532">
        <v>10</v>
      </c>
      <c r="AG1532" t="str">
        <f t="shared" si="147"/>
        <v>2JYP_Meridiastra_calcar_D3_CO2NA_TNA_control_outcome89.93</v>
      </c>
      <c r="AJ1532" t="s">
        <v>1018</v>
      </c>
      <c r="AK1532" t="s">
        <v>59</v>
      </c>
      <c r="AM1532"/>
      <c r="AN1532">
        <v>89.932000000000002</v>
      </c>
      <c r="AO1532">
        <v>78.754999999999995</v>
      </c>
      <c r="AP1532">
        <v>7.4882999999999997</v>
      </c>
      <c r="AQ1532">
        <v>14.198600000000001</v>
      </c>
      <c r="AR1532" t="s">
        <v>3500</v>
      </c>
      <c r="AS1532">
        <v>-0.13271206099999999</v>
      </c>
      <c r="AT1532">
        <v>3.9437120000000003E-3</v>
      </c>
      <c r="AU1532" t="s">
        <v>3672</v>
      </c>
      <c r="AW1532" s="28">
        <f t="shared" ref="AW1532:AW1595" si="148">(AP1532-$AN1532)/SQRT(((AA1532-1)*AQ1532*AQ1532+($Z1532-1)*$AO1532*$AO1532)/(AA1532+$Z1532-2))</f>
        <v>-1.4569629127284389</v>
      </c>
      <c r="AX1532">
        <f t="shared" ref="AX1532:AX1595" si="149">1-(3/(4*(AA1532+$Z1532-2)-1))</f>
        <v>0.95774647887323949</v>
      </c>
      <c r="AY1532" s="62">
        <f t="shared" ref="AY1532:AY1595" si="150">AX1532*AW1532</f>
        <v>-1.3954010995145614</v>
      </c>
      <c r="AZ1532" s="68" t="str">
        <f t="shared" ref="AZ1532:AZ1563" si="151">IF(AY1532&gt;10,"Yes","No")</f>
        <v>No</v>
      </c>
      <c r="BA1532" s="68" t="str">
        <f t="shared" ref="BA1532:BA1563" si="152">IF(AY1532&lt;-10,"Yes","No")</f>
        <v>No</v>
      </c>
    </row>
    <row r="1533" spans="1:53" hidden="1">
      <c r="A1533" t="s">
        <v>1035</v>
      </c>
      <c r="B1533" t="s">
        <v>3602</v>
      </c>
      <c r="C1533" t="s">
        <v>1186</v>
      </c>
      <c r="F1533" t="s">
        <v>1241</v>
      </c>
      <c r="G1533" t="s">
        <v>998</v>
      </c>
      <c r="I1533">
        <v>2012</v>
      </c>
      <c r="K1533" t="s">
        <v>72</v>
      </c>
      <c r="M1533" s="25" t="s">
        <v>36</v>
      </c>
      <c r="N1533" t="s">
        <v>36</v>
      </c>
      <c r="P1533" t="s">
        <v>60</v>
      </c>
      <c r="Q1533" t="s">
        <v>900</v>
      </c>
      <c r="R1533" t="s">
        <v>946</v>
      </c>
      <c r="S1533" t="s">
        <v>949</v>
      </c>
      <c r="T1533">
        <v>-33.58</v>
      </c>
      <c r="U1533">
        <v>151.15</v>
      </c>
      <c r="V1533" t="s">
        <v>907</v>
      </c>
      <c r="X1533">
        <v>3</v>
      </c>
      <c r="Z1533">
        <v>10</v>
      </c>
      <c r="AA1533">
        <v>10</v>
      </c>
      <c r="AG1533" t="str">
        <f t="shared" si="147"/>
        <v>2JYP_Meridiastra_calcar_D3_CO2NA_TNA_control_outcome89.93</v>
      </c>
      <c r="AJ1533" t="s">
        <v>1018</v>
      </c>
      <c r="AK1533" t="s">
        <v>59</v>
      </c>
      <c r="AM1533"/>
      <c r="AN1533">
        <v>89.932000000000002</v>
      </c>
      <c r="AO1533">
        <v>42.47</v>
      </c>
      <c r="AP1533">
        <v>7.4882999999999997</v>
      </c>
      <c r="AQ1533">
        <v>19.757899999999999</v>
      </c>
      <c r="AR1533" t="s">
        <v>3500</v>
      </c>
      <c r="AS1533">
        <v>-0.75025588499999996</v>
      </c>
      <c r="AT1533">
        <v>2.2336306E-2</v>
      </c>
      <c r="AU1533" t="s">
        <v>3672</v>
      </c>
      <c r="AW1533" s="28">
        <f t="shared" si="148"/>
        <v>-2.4891248863914637</v>
      </c>
      <c r="AX1533">
        <f t="shared" si="149"/>
        <v>0.95774647887323949</v>
      </c>
      <c r="AY1533" s="62">
        <f t="shared" si="150"/>
        <v>-2.3839505954171765</v>
      </c>
      <c r="AZ1533" s="68" t="str">
        <f t="shared" si="151"/>
        <v>No</v>
      </c>
      <c r="BA1533" s="68" t="str">
        <f t="shared" si="152"/>
        <v>No</v>
      </c>
    </row>
    <row r="1534" spans="1:53" hidden="1">
      <c r="A1534" t="s">
        <v>1035</v>
      </c>
      <c r="B1534" t="s">
        <v>3603</v>
      </c>
      <c r="C1534" t="s">
        <v>1186</v>
      </c>
      <c r="F1534" t="s">
        <v>1241</v>
      </c>
      <c r="G1534" t="s">
        <v>998</v>
      </c>
      <c r="I1534">
        <v>2012</v>
      </c>
      <c r="K1534" t="s">
        <v>72</v>
      </c>
      <c r="M1534" s="25" t="s">
        <v>36</v>
      </c>
      <c r="N1534" t="s">
        <v>36</v>
      </c>
      <c r="P1534" t="s">
        <v>60</v>
      </c>
      <c r="Q1534" t="s">
        <v>900</v>
      </c>
      <c r="R1534" t="s">
        <v>946</v>
      </c>
      <c r="S1534" t="s">
        <v>949</v>
      </c>
      <c r="T1534">
        <v>-33.58</v>
      </c>
      <c r="U1534">
        <v>151.15</v>
      </c>
      <c r="V1534" t="s">
        <v>1015</v>
      </c>
      <c r="X1534">
        <v>3</v>
      </c>
      <c r="Z1534">
        <v>10</v>
      </c>
      <c r="AA1534">
        <v>10</v>
      </c>
      <c r="AG1534" t="str">
        <f t="shared" si="147"/>
        <v>2JYP_Meridiastra_calcar_D3_CO2NA_TNA_control_outcome89.93</v>
      </c>
      <c r="AJ1534" t="s">
        <v>1018</v>
      </c>
      <c r="AK1534" t="s">
        <v>59</v>
      </c>
      <c r="AM1534"/>
      <c r="AN1534">
        <v>89.932000000000002</v>
      </c>
      <c r="AO1534">
        <v>30.638999999999999</v>
      </c>
      <c r="AP1534">
        <v>7.4882999999999997</v>
      </c>
      <c r="AQ1534">
        <v>24.618300000000001</v>
      </c>
      <c r="AR1534" t="s">
        <v>3500</v>
      </c>
      <c r="AS1534">
        <v>-0.193812176</v>
      </c>
      <c r="AT1534">
        <v>9.0147199999999997E-2</v>
      </c>
      <c r="AU1534" t="s">
        <v>3672</v>
      </c>
      <c r="AW1534" s="28">
        <f t="shared" si="148"/>
        <v>-2.9664366244127063</v>
      </c>
      <c r="AX1534">
        <f t="shared" si="149"/>
        <v>0.95774647887323949</v>
      </c>
      <c r="AY1534" s="62">
        <f t="shared" si="150"/>
        <v>-2.8410942318318879</v>
      </c>
      <c r="AZ1534" s="68" t="str">
        <f t="shared" si="151"/>
        <v>No</v>
      </c>
      <c r="BA1534" s="68" t="str">
        <f t="shared" si="152"/>
        <v>No</v>
      </c>
    </row>
    <row r="1535" spans="1:53" hidden="1">
      <c r="A1535" t="s">
        <v>1035</v>
      </c>
      <c r="B1535" t="s">
        <v>3604</v>
      </c>
      <c r="C1535" t="s">
        <v>1186</v>
      </c>
      <c r="F1535" t="s">
        <v>1241</v>
      </c>
      <c r="G1535" t="s">
        <v>998</v>
      </c>
      <c r="I1535">
        <v>2012</v>
      </c>
      <c r="K1535" t="s">
        <v>72</v>
      </c>
      <c r="M1535" s="25" t="s">
        <v>36</v>
      </c>
      <c r="N1535" t="s">
        <v>36</v>
      </c>
      <c r="P1535" t="s">
        <v>60</v>
      </c>
      <c r="Q1535" t="s">
        <v>900</v>
      </c>
      <c r="R1535" t="s">
        <v>946</v>
      </c>
      <c r="S1535" t="s">
        <v>949</v>
      </c>
      <c r="T1535">
        <v>-33.58</v>
      </c>
      <c r="U1535">
        <v>151.15</v>
      </c>
      <c r="V1535" t="s">
        <v>905</v>
      </c>
      <c r="X1535">
        <v>5</v>
      </c>
      <c r="Z1535">
        <v>12</v>
      </c>
      <c r="AA1535">
        <v>12</v>
      </c>
      <c r="AG1535" t="str">
        <f t="shared" si="147"/>
        <v>2JYP_Meridiastra_calcar_D5_CO2NA_TNA_control_outcome73.71</v>
      </c>
      <c r="AJ1535" t="s">
        <v>1019</v>
      </c>
      <c r="AK1535" t="s">
        <v>69</v>
      </c>
      <c r="AM1535"/>
      <c r="AN1535">
        <v>73.713999999999999</v>
      </c>
      <c r="AO1535">
        <v>63.253</v>
      </c>
      <c r="AP1535">
        <v>5.4179000000000004</v>
      </c>
      <c r="AQ1535">
        <v>18.0168</v>
      </c>
      <c r="AR1535" t="s">
        <v>3660</v>
      </c>
      <c r="AS1535">
        <v>-0.15305018300000001</v>
      </c>
      <c r="AT1535">
        <v>7.2111880000000003E-3</v>
      </c>
      <c r="AU1535" t="s">
        <v>3672</v>
      </c>
      <c r="AW1535" s="28">
        <f t="shared" si="148"/>
        <v>-1.4685555534067338</v>
      </c>
      <c r="AX1535">
        <f t="shared" si="149"/>
        <v>0.96551724137931039</v>
      </c>
      <c r="AY1535" s="62">
        <f t="shared" si="150"/>
        <v>-1.4179157067375361</v>
      </c>
      <c r="AZ1535" s="68" t="str">
        <f t="shared" si="151"/>
        <v>No</v>
      </c>
      <c r="BA1535" s="68" t="str">
        <f t="shared" si="152"/>
        <v>No</v>
      </c>
    </row>
    <row r="1536" spans="1:53" hidden="1">
      <c r="A1536" t="s">
        <v>1035</v>
      </c>
      <c r="B1536" t="s">
        <v>3605</v>
      </c>
      <c r="C1536" t="s">
        <v>1186</v>
      </c>
      <c r="F1536" t="s">
        <v>1241</v>
      </c>
      <c r="G1536" t="s">
        <v>998</v>
      </c>
      <c r="I1536">
        <v>2012</v>
      </c>
      <c r="K1536" t="s">
        <v>72</v>
      </c>
      <c r="M1536" s="25" t="s">
        <v>36</v>
      </c>
      <c r="N1536" t="s">
        <v>36</v>
      </c>
      <c r="P1536" t="s">
        <v>60</v>
      </c>
      <c r="Q1536" t="s">
        <v>900</v>
      </c>
      <c r="R1536" t="s">
        <v>946</v>
      </c>
      <c r="S1536" t="s">
        <v>949</v>
      </c>
      <c r="T1536">
        <v>-33.58</v>
      </c>
      <c r="U1536">
        <v>151.15</v>
      </c>
      <c r="V1536" t="s">
        <v>907</v>
      </c>
      <c r="X1536">
        <v>5</v>
      </c>
      <c r="Z1536">
        <v>12</v>
      </c>
      <c r="AA1536">
        <v>12</v>
      </c>
      <c r="AG1536" t="str">
        <f t="shared" si="147"/>
        <v>2JYP_Meridiastra_calcar_D5_CO2NA_TNA_control_outcome73.71</v>
      </c>
      <c r="AJ1536" t="s">
        <v>1019</v>
      </c>
      <c r="AK1536" t="s">
        <v>69</v>
      </c>
      <c r="AM1536"/>
      <c r="AN1536">
        <v>73.713999999999999</v>
      </c>
      <c r="AO1536">
        <v>31.983000000000001</v>
      </c>
      <c r="AP1536">
        <v>5.4179000000000004</v>
      </c>
      <c r="AQ1536">
        <v>19.970500000000001</v>
      </c>
      <c r="AR1536" t="s">
        <v>3660</v>
      </c>
      <c r="AS1536">
        <v>-0.83498822900000003</v>
      </c>
      <c r="AT1536">
        <v>3.2940812E-2</v>
      </c>
      <c r="AU1536" t="s">
        <v>3672</v>
      </c>
      <c r="AW1536" s="28">
        <f t="shared" si="148"/>
        <v>-2.5615442100493793</v>
      </c>
      <c r="AX1536">
        <f t="shared" si="149"/>
        <v>0.96551724137931039</v>
      </c>
      <c r="AY1536" s="62">
        <f t="shared" si="150"/>
        <v>-2.4732150993580215</v>
      </c>
      <c r="AZ1536" s="68" t="str">
        <f t="shared" si="151"/>
        <v>No</v>
      </c>
      <c r="BA1536" s="68" t="str">
        <f t="shared" si="152"/>
        <v>No</v>
      </c>
    </row>
    <row r="1537" spans="1:53" hidden="1">
      <c r="A1537" t="s">
        <v>1035</v>
      </c>
      <c r="B1537" t="s">
        <v>3606</v>
      </c>
      <c r="C1537" t="s">
        <v>1186</v>
      </c>
      <c r="F1537" t="s">
        <v>1241</v>
      </c>
      <c r="G1537" t="s">
        <v>998</v>
      </c>
      <c r="I1537">
        <v>2012</v>
      </c>
      <c r="K1537" t="s">
        <v>72</v>
      </c>
      <c r="M1537" s="25" t="s">
        <v>36</v>
      </c>
      <c r="N1537" t="s">
        <v>36</v>
      </c>
      <c r="P1537" t="s">
        <v>60</v>
      </c>
      <c r="Q1537" t="s">
        <v>900</v>
      </c>
      <c r="R1537" t="s">
        <v>946</v>
      </c>
      <c r="S1537" t="s">
        <v>949</v>
      </c>
      <c r="T1537">
        <v>-33.58</v>
      </c>
      <c r="U1537">
        <v>151.15</v>
      </c>
      <c r="V1537" t="s">
        <v>1015</v>
      </c>
      <c r="X1537">
        <v>5</v>
      </c>
      <c r="Z1537">
        <v>12</v>
      </c>
      <c r="AA1537">
        <v>12</v>
      </c>
      <c r="AG1537" t="str">
        <f t="shared" si="147"/>
        <v>2JYP_Meridiastra_calcar_D5_CO2NA_TNA_control_outcome73.71</v>
      </c>
      <c r="AJ1537" t="s">
        <v>1019</v>
      </c>
      <c r="AK1537" t="s">
        <v>69</v>
      </c>
      <c r="AM1537"/>
      <c r="AN1537">
        <v>73.713999999999999</v>
      </c>
      <c r="AO1537">
        <v>37.515999999999998</v>
      </c>
      <c r="AP1537">
        <v>5.4179000000000004</v>
      </c>
      <c r="AQ1537">
        <v>14.365600000000001</v>
      </c>
      <c r="AR1537" t="s">
        <v>3660</v>
      </c>
      <c r="AS1537">
        <v>0.31261317999999999</v>
      </c>
      <c r="AT1537">
        <v>5.1920756999999998E-2</v>
      </c>
      <c r="AU1537" t="s">
        <v>3672</v>
      </c>
      <c r="AW1537" s="28">
        <f t="shared" si="148"/>
        <v>-2.4042701176283878</v>
      </c>
      <c r="AX1537">
        <f t="shared" si="149"/>
        <v>0.96551724137931039</v>
      </c>
      <c r="AY1537" s="62">
        <f t="shared" si="150"/>
        <v>-2.3213642515032711</v>
      </c>
      <c r="AZ1537" s="68" t="str">
        <f t="shared" si="151"/>
        <v>No</v>
      </c>
      <c r="BA1537" s="68" t="str">
        <f t="shared" si="152"/>
        <v>No</v>
      </c>
    </row>
    <row r="1538" spans="1:53" hidden="1">
      <c r="A1538" t="s">
        <v>1035</v>
      </c>
      <c r="B1538" t="s">
        <v>3607</v>
      </c>
      <c r="C1538" t="s">
        <v>1186</v>
      </c>
      <c r="F1538" t="s">
        <v>1241</v>
      </c>
      <c r="G1538" t="s">
        <v>998</v>
      </c>
      <c r="I1538">
        <v>2012</v>
      </c>
      <c r="K1538" t="s">
        <v>72</v>
      </c>
      <c r="M1538" s="25" t="s">
        <v>36</v>
      </c>
      <c r="N1538" t="s">
        <v>36</v>
      </c>
      <c r="P1538" t="s">
        <v>60</v>
      </c>
      <c r="Q1538" t="s">
        <v>900</v>
      </c>
      <c r="R1538" t="s">
        <v>946</v>
      </c>
      <c r="S1538" t="s">
        <v>949</v>
      </c>
      <c r="T1538">
        <v>-33.58</v>
      </c>
      <c r="U1538">
        <v>151.15</v>
      </c>
      <c r="V1538" t="s">
        <v>905</v>
      </c>
      <c r="X1538">
        <v>5</v>
      </c>
      <c r="Z1538">
        <v>12</v>
      </c>
      <c r="AA1538">
        <v>12</v>
      </c>
      <c r="AG1538" t="str">
        <f t="shared" si="147"/>
        <v>2JYP_Meridiastra_calcar_D5_CO2NA_TNA_control_outcome38.62</v>
      </c>
      <c r="AJ1538" t="s">
        <v>1020</v>
      </c>
      <c r="AK1538" t="s">
        <v>770</v>
      </c>
      <c r="AM1538"/>
      <c r="AN1538">
        <v>38.619</v>
      </c>
      <c r="AO1538">
        <v>38.023000000000003</v>
      </c>
      <c r="AP1538">
        <v>8.0159000000000002</v>
      </c>
      <c r="AQ1538">
        <v>3.5992000000000002</v>
      </c>
      <c r="AR1538" t="s">
        <v>3661</v>
      </c>
      <c r="AS1538">
        <v>-1.5553144E-2</v>
      </c>
      <c r="AT1538">
        <v>4.3369080000000004E-3</v>
      </c>
      <c r="AU1538" t="s">
        <v>3672</v>
      </c>
      <c r="AW1538" s="28">
        <f t="shared" si="148"/>
        <v>-1.133175080554468</v>
      </c>
      <c r="AX1538">
        <f t="shared" si="149"/>
        <v>0.96551724137931039</v>
      </c>
      <c r="AY1538" s="62">
        <f t="shared" si="150"/>
        <v>-1.0941000777767278</v>
      </c>
      <c r="AZ1538" s="68" t="str">
        <f t="shared" si="151"/>
        <v>No</v>
      </c>
      <c r="BA1538" s="68" t="str">
        <f t="shared" si="152"/>
        <v>No</v>
      </c>
    </row>
    <row r="1539" spans="1:53" hidden="1">
      <c r="A1539" t="s">
        <v>1035</v>
      </c>
      <c r="B1539" t="s">
        <v>3608</v>
      </c>
      <c r="C1539" t="s">
        <v>1186</v>
      </c>
      <c r="F1539" t="s">
        <v>1241</v>
      </c>
      <c r="G1539" t="s">
        <v>998</v>
      </c>
      <c r="I1539">
        <v>2012</v>
      </c>
      <c r="K1539" t="s">
        <v>72</v>
      </c>
      <c r="M1539" s="25" t="s">
        <v>36</v>
      </c>
      <c r="N1539" t="s">
        <v>36</v>
      </c>
      <c r="P1539" t="s">
        <v>60</v>
      </c>
      <c r="Q1539" t="s">
        <v>900</v>
      </c>
      <c r="R1539" t="s">
        <v>946</v>
      </c>
      <c r="S1539" t="s">
        <v>949</v>
      </c>
      <c r="T1539">
        <v>-33.58</v>
      </c>
      <c r="U1539">
        <v>151.15</v>
      </c>
      <c r="V1539" t="s">
        <v>907</v>
      </c>
      <c r="X1539">
        <v>5</v>
      </c>
      <c r="Z1539">
        <v>12</v>
      </c>
      <c r="AA1539">
        <v>12</v>
      </c>
      <c r="AG1539" t="str">
        <f t="shared" si="147"/>
        <v>2JYP_Meridiastra_calcar_D5_CO2NA_TNA_control_outcome38.62</v>
      </c>
      <c r="AJ1539" t="s">
        <v>1020</v>
      </c>
      <c r="AK1539" t="s">
        <v>770</v>
      </c>
      <c r="AM1539"/>
      <c r="AN1539">
        <v>38.619</v>
      </c>
      <c r="AO1539">
        <v>50.765000000000001</v>
      </c>
      <c r="AP1539">
        <v>8.0159000000000002</v>
      </c>
      <c r="AQ1539">
        <v>12.837999999999999</v>
      </c>
      <c r="AR1539" t="s">
        <v>3661</v>
      </c>
      <c r="AS1539">
        <v>0.273462757</v>
      </c>
      <c r="AT1539">
        <v>8.9196999999999992E-3</v>
      </c>
      <c r="AU1539" t="s">
        <v>3672</v>
      </c>
      <c r="AW1539" s="28">
        <f t="shared" si="148"/>
        <v>-0.8265224521648975</v>
      </c>
      <c r="AX1539">
        <f t="shared" si="149"/>
        <v>0.96551724137931039</v>
      </c>
      <c r="AY1539" s="62">
        <f t="shared" si="150"/>
        <v>-0.79802167795231482</v>
      </c>
      <c r="AZ1539" s="68" t="str">
        <f t="shared" si="151"/>
        <v>No</v>
      </c>
      <c r="BA1539" s="68" t="str">
        <f t="shared" si="152"/>
        <v>No</v>
      </c>
    </row>
    <row r="1540" spans="1:53" hidden="1">
      <c r="A1540" t="s">
        <v>1035</v>
      </c>
      <c r="B1540" t="s">
        <v>3609</v>
      </c>
      <c r="C1540" t="s">
        <v>1186</v>
      </c>
      <c r="F1540" t="s">
        <v>1241</v>
      </c>
      <c r="G1540" t="s">
        <v>998</v>
      </c>
      <c r="I1540">
        <v>2012</v>
      </c>
      <c r="K1540" t="s">
        <v>72</v>
      </c>
      <c r="M1540" s="25" t="s">
        <v>36</v>
      </c>
      <c r="N1540" t="s">
        <v>36</v>
      </c>
      <c r="P1540" t="s">
        <v>60</v>
      </c>
      <c r="Q1540" t="s">
        <v>900</v>
      </c>
      <c r="R1540" t="s">
        <v>946</v>
      </c>
      <c r="S1540" t="s">
        <v>949</v>
      </c>
      <c r="T1540">
        <v>-33.58</v>
      </c>
      <c r="U1540">
        <v>151.15</v>
      </c>
      <c r="V1540" t="s">
        <v>1015</v>
      </c>
      <c r="X1540">
        <v>5</v>
      </c>
      <c r="Z1540">
        <v>12</v>
      </c>
      <c r="AA1540">
        <v>12</v>
      </c>
      <c r="AG1540" t="str">
        <f t="shared" si="147"/>
        <v>2JYP_Meridiastra_calcar_D5_CO2NA_TNA_control_outcome38.62</v>
      </c>
      <c r="AJ1540" t="s">
        <v>1020</v>
      </c>
      <c r="AK1540" t="s">
        <v>770</v>
      </c>
      <c r="AM1540"/>
      <c r="AN1540">
        <v>38.619</v>
      </c>
      <c r="AO1540">
        <v>49.25</v>
      </c>
      <c r="AP1540">
        <v>8.0159000000000002</v>
      </c>
      <c r="AQ1540">
        <v>7.4824999999999999</v>
      </c>
      <c r="AR1540" t="s">
        <v>3661</v>
      </c>
      <c r="AS1540">
        <v>-1.474463E-2</v>
      </c>
      <c r="AT1540">
        <v>1.158992E-2</v>
      </c>
      <c r="AU1540" t="s">
        <v>3672</v>
      </c>
      <c r="AW1540" s="28">
        <f t="shared" si="148"/>
        <v>-0.86879812984899918</v>
      </c>
      <c r="AX1540">
        <f t="shared" si="149"/>
        <v>0.96551724137931039</v>
      </c>
      <c r="AY1540" s="62">
        <f t="shared" si="150"/>
        <v>-0.83883957364730954</v>
      </c>
      <c r="AZ1540" s="68" t="str">
        <f t="shared" si="151"/>
        <v>No</v>
      </c>
      <c r="BA1540" s="68" t="str">
        <f t="shared" si="152"/>
        <v>No</v>
      </c>
    </row>
    <row r="1541" spans="1:53" hidden="1">
      <c r="A1541" t="s">
        <v>1035</v>
      </c>
      <c r="B1541" t="s">
        <v>3610</v>
      </c>
      <c r="C1541" t="s">
        <v>1186</v>
      </c>
      <c r="F1541" t="s">
        <v>1241</v>
      </c>
      <c r="G1541" t="s">
        <v>998</v>
      </c>
      <c r="I1541">
        <v>2012</v>
      </c>
      <c r="K1541" t="s">
        <v>72</v>
      </c>
      <c r="M1541" s="25" t="s">
        <v>36</v>
      </c>
      <c r="N1541" t="s">
        <v>36</v>
      </c>
      <c r="P1541" t="s">
        <v>60</v>
      </c>
      <c r="Q1541" t="s">
        <v>900</v>
      </c>
      <c r="R1541" t="s">
        <v>946</v>
      </c>
      <c r="S1541" t="s">
        <v>949</v>
      </c>
      <c r="T1541">
        <v>-33.58</v>
      </c>
      <c r="U1541">
        <v>151.15</v>
      </c>
      <c r="V1541" t="s">
        <v>905</v>
      </c>
      <c r="X1541">
        <v>5</v>
      </c>
      <c r="Z1541">
        <v>12</v>
      </c>
      <c r="AA1541">
        <v>12</v>
      </c>
      <c r="AG1541" t="str">
        <f t="shared" si="147"/>
        <v>2JYP_Meridiastra_calcar_D5_CO2NA_TNA_control_outcome579.82</v>
      </c>
      <c r="AJ1541" t="s">
        <v>1021</v>
      </c>
      <c r="AK1541" t="s">
        <v>40</v>
      </c>
      <c r="AM1541"/>
      <c r="AN1541">
        <v>579.81500000000005</v>
      </c>
      <c r="AO1541">
        <v>584.49699999999996</v>
      </c>
      <c r="AP1541">
        <v>44.600299999999997</v>
      </c>
      <c r="AQ1541">
        <v>102.0698</v>
      </c>
      <c r="AR1541" t="s">
        <v>3662</v>
      </c>
      <c r="AS1541">
        <v>8.0425610000000002E-3</v>
      </c>
      <c r="AT1541">
        <v>3.034335E-3</v>
      </c>
      <c r="AU1541" t="s">
        <v>3672</v>
      </c>
      <c r="AW1541" s="28">
        <f t="shared" si="148"/>
        <v>-1.2756683498713512</v>
      </c>
      <c r="AX1541">
        <f t="shared" si="149"/>
        <v>0.96551724137931039</v>
      </c>
      <c r="AY1541" s="62">
        <f t="shared" si="150"/>
        <v>-1.231679786082684</v>
      </c>
      <c r="AZ1541" s="68" t="str">
        <f t="shared" si="151"/>
        <v>No</v>
      </c>
      <c r="BA1541" s="68" t="str">
        <f t="shared" si="152"/>
        <v>No</v>
      </c>
    </row>
    <row r="1542" spans="1:53" hidden="1">
      <c r="A1542" t="s">
        <v>1035</v>
      </c>
      <c r="B1542" t="s">
        <v>3611</v>
      </c>
      <c r="C1542" t="s">
        <v>1186</v>
      </c>
      <c r="F1542" t="s">
        <v>1241</v>
      </c>
      <c r="G1542" t="s">
        <v>998</v>
      </c>
      <c r="I1542">
        <v>2012</v>
      </c>
      <c r="K1542" t="s">
        <v>72</v>
      </c>
      <c r="M1542" s="25" t="s">
        <v>36</v>
      </c>
      <c r="N1542" t="s">
        <v>36</v>
      </c>
      <c r="P1542" t="s">
        <v>60</v>
      </c>
      <c r="Q1542" t="s">
        <v>900</v>
      </c>
      <c r="R1542" t="s">
        <v>946</v>
      </c>
      <c r="S1542" t="s">
        <v>949</v>
      </c>
      <c r="T1542">
        <v>-33.58</v>
      </c>
      <c r="U1542">
        <v>151.15</v>
      </c>
      <c r="V1542" t="s">
        <v>907</v>
      </c>
      <c r="X1542">
        <v>5</v>
      </c>
      <c r="Z1542">
        <v>12</v>
      </c>
      <c r="AA1542">
        <v>12</v>
      </c>
      <c r="AG1542" t="str">
        <f t="shared" si="147"/>
        <v>2JYP_Meridiastra_calcar_D5_CO2NA_TNA_control_outcome579.82</v>
      </c>
      <c r="AJ1542" t="s">
        <v>1021</v>
      </c>
      <c r="AK1542" t="s">
        <v>40</v>
      </c>
      <c r="AM1542"/>
      <c r="AN1542">
        <v>579.81500000000005</v>
      </c>
      <c r="AO1542">
        <v>524.26199999999994</v>
      </c>
      <c r="AP1542">
        <v>44.600299999999997</v>
      </c>
      <c r="AQ1542">
        <v>33.764600000000002</v>
      </c>
      <c r="AR1542" t="s">
        <v>3662</v>
      </c>
      <c r="AS1542">
        <v>-0.100717528</v>
      </c>
      <c r="AT1542">
        <v>8.3873499999999996E-4</v>
      </c>
      <c r="AU1542" t="s">
        <v>3672</v>
      </c>
      <c r="AW1542" s="28">
        <f t="shared" si="148"/>
        <v>-1.440773833732742</v>
      </c>
      <c r="AX1542">
        <f t="shared" si="149"/>
        <v>0.96551724137931039</v>
      </c>
      <c r="AY1542" s="62">
        <f t="shared" si="150"/>
        <v>-1.3910919773971302</v>
      </c>
      <c r="AZ1542" s="68" t="str">
        <f t="shared" si="151"/>
        <v>No</v>
      </c>
      <c r="BA1542" s="68" t="str">
        <f t="shared" si="152"/>
        <v>No</v>
      </c>
    </row>
    <row r="1543" spans="1:53" hidden="1">
      <c r="A1543" t="s">
        <v>1035</v>
      </c>
      <c r="B1543" t="s">
        <v>3612</v>
      </c>
      <c r="C1543" t="s">
        <v>1186</v>
      </c>
      <c r="F1543" t="s">
        <v>1241</v>
      </c>
      <c r="G1543" t="s">
        <v>998</v>
      </c>
      <c r="I1543">
        <v>2012</v>
      </c>
      <c r="K1543" t="s">
        <v>72</v>
      </c>
      <c r="M1543" s="25" t="s">
        <v>36</v>
      </c>
      <c r="N1543" t="s">
        <v>36</v>
      </c>
      <c r="P1543" t="s">
        <v>60</v>
      </c>
      <c r="Q1543" t="s">
        <v>900</v>
      </c>
      <c r="R1543" t="s">
        <v>946</v>
      </c>
      <c r="S1543" t="s">
        <v>949</v>
      </c>
      <c r="T1543">
        <v>-33.58</v>
      </c>
      <c r="U1543">
        <v>151.15</v>
      </c>
      <c r="V1543" t="s">
        <v>1015</v>
      </c>
      <c r="X1543">
        <v>5</v>
      </c>
      <c r="Z1543">
        <v>12</v>
      </c>
      <c r="AA1543">
        <v>12</v>
      </c>
      <c r="AG1543" t="str">
        <f t="shared" si="147"/>
        <v>2JYP_Meridiastra_calcar_D5_CO2NA_TNA_control_outcome579.82</v>
      </c>
      <c r="AJ1543" t="s">
        <v>1021</v>
      </c>
      <c r="AK1543" t="s">
        <v>40</v>
      </c>
      <c r="AM1543"/>
      <c r="AN1543">
        <v>579.81500000000005</v>
      </c>
      <c r="AO1543">
        <v>470.62299999999999</v>
      </c>
      <c r="AP1543">
        <v>44.600299999999997</v>
      </c>
      <c r="AQ1543">
        <v>33.764600000000002</v>
      </c>
      <c r="AR1543" t="s">
        <v>3662</v>
      </c>
      <c r="AS1543">
        <v>-0.11597677200000001</v>
      </c>
      <c r="AT1543">
        <v>3.8089310000000002E-3</v>
      </c>
      <c r="AU1543" t="s">
        <v>3672</v>
      </c>
      <c r="AW1543" s="28">
        <f t="shared" si="148"/>
        <v>-1.6041871542173416</v>
      </c>
      <c r="AX1543">
        <f t="shared" si="149"/>
        <v>0.96551724137931039</v>
      </c>
      <c r="AY1543" s="62">
        <f t="shared" si="150"/>
        <v>-1.5488703557960539</v>
      </c>
      <c r="AZ1543" s="68" t="str">
        <f t="shared" si="151"/>
        <v>No</v>
      </c>
      <c r="BA1543" s="68" t="str">
        <f t="shared" si="152"/>
        <v>No</v>
      </c>
    </row>
    <row r="1544" spans="1:53" hidden="1">
      <c r="A1544" t="s">
        <v>1035</v>
      </c>
      <c r="B1544" t="s">
        <v>3613</v>
      </c>
      <c r="C1544" t="s">
        <v>1187</v>
      </c>
      <c r="F1544" t="s">
        <v>1241</v>
      </c>
      <c r="G1544" t="s">
        <v>999</v>
      </c>
      <c r="I1544">
        <v>2009</v>
      </c>
      <c r="K1544" t="s">
        <v>72</v>
      </c>
      <c r="M1544" s="25" t="s">
        <v>36</v>
      </c>
      <c r="N1544" t="s">
        <v>36</v>
      </c>
      <c r="P1544" t="s">
        <v>60</v>
      </c>
      <c r="Q1544" t="s">
        <v>900</v>
      </c>
      <c r="R1544" t="s">
        <v>1741</v>
      </c>
      <c r="S1544" t="s">
        <v>1007</v>
      </c>
      <c r="T1544">
        <v>-32.1</v>
      </c>
      <c r="U1544">
        <v>152.29</v>
      </c>
      <c r="V1544" t="s">
        <v>905</v>
      </c>
      <c r="X1544">
        <v>2</v>
      </c>
      <c r="Z1544">
        <v>4</v>
      </c>
      <c r="AA1544">
        <v>4</v>
      </c>
      <c r="AG1544" t="str">
        <f t="shared" si="147"/>
        <v>3JYP_Saccostrea_glomerata_D2_CO2NA_TNA_control_outcome88.83</v>
      </c>
      <c r="AJ1544" t="s">
        <v>1022</v>
      </c>
      <c r="AK1544" t="s">
        <v>59</v>
      </c>
      <c r="AM1544"/>
      <c r="AN1544">
        <v>88.828999999999994</v>
      </c>
      <c r="AO1544">
        <v>60.563000000000002</v>
      </c>
      <c r="AP1544">
        <v>2.6840000000000002</v>
      </c>
      <c r="AQ1544">
        <v>3.6</v>
      </c>
      <c r="AR1544" t="s">
        <v>3663</v>
      </c>
      <c r="AS1544">
        <v>-0.38302902799999999</v>
      </c>
      <c r="AT1544">
        <v>1.111587E-3</v>
      </c>
      <c r="AU1544" t="s">
        <v>3672</v>
      </c>
      <c r="AW1544" s="28">
        <f t="shared" si="148"/>
        <v>-2.0080373294067395</v>
      </c>
      <c r="AX1544">
        <f t="shared" si="149"/>
        <v>0.86956521739130432</v>
      </c>
      <c r="AY1544" s="62">
        <f t="shared" si="150"/>
        <v>-1.7461194168754257</v>
      </c>
      <c r="AZ1544" s="68" t="str">
        <f t="shared" si="151"/>
        <v>No</v>
      </c>
      <c r="BA1544" s="68" t="str">
        <f t="shared" si="152"/>
        <v>No</v>
      </c>
    </row>
    <row r="1545" spans="1:53" hidden="1">
      <c r="A1545" t="s">
        <v>1035</v>
      </c>
      <c r="B1545" t="s">
        <v>3614</v>
      </c>
      <c r="C1545" t="s">
        <v>1187</v>
      </c>
      <c r="F1545" t="s">
        <v>1241</v>
      </c>
      <c r="G1545" t="s">
        <v>999</v>
      </c>
      <c r="I1545">
        <v>2009</v>
      </c>
      <c r="K1545" t="s">
        <v>72</v>
      </c>
      <c r="M1545" s="25" t="s">
        <v>36</v>
      </c>
      <c r="N1545" t="s">
        <v>36</v>
      </c>
      <c r="P1545" t="s">
        <v>60</v>
      </c>
      <c r="Q1545" t="s">
        <v>900</v>
      </c>
      <c r="R1545" t="s">
        <v>1741</v>
      </c>
      <c r="S1545" t="s">
        <v>1007</v>
      </c>
      <c r="T1545">
        <v>-32.1</v>
      </c>
      <c r="U1545">
        <v>152.29</v>
      </c>
      <c r="V1545" t="s">
        <v>907</v>
      </c>
      <c r="X1545">
        <v>2</v>
      </c>
      <c r="Z1545">
        <v>4</v>
      </c>
      <c r="AA1545">
        <v>4</v>
      </c>
      <c r="AG1545" t="str">
        <f t="shared" si="147"/>
        <v>3JYP_Saccostrea_glomerata_D2_CO2NA_TNA_control_outcome88.83</v>
      </c>
      <c r="AJ1545" t="s">
        <v>1022</v>
      </c>
      <c r="AK1545" t="s">
        <v>59</v>
      </c>
      <c r="AM1545"/>
      <c r="AN1545">
        <v>88.828999999999994</v>
      </c>
      <c r="AO1545">
        <v>74.632999999999996</v>
      </c>
      <c r="AP1545">
        <v>2.6840000000000002</v>
      </c>
      <c r="AQ1545">
        <v>3.1259999999999999</v>
      </c>
      <c r="AR1545" t="s">
        <v>3663</v>
      </c>
      <c r="AS1545">
        <v>-0.17413040499999999</v>
      </c>
      <c r="AT1545">
        <v>6.6682899999999997E-4</v>
      </c>
      <c r="AU1545" t="s">
        <v>3672</v>
      </c>
      <c r="AW1545" s="28">
        <f t="shared" si="148"/>
        <v>-1.6309233687785054</v>
      </c>
      <c r="AX1545">
        <f t="shared" si="149"/>
        <v>0.86956521739130432</v>
      </c>
      <c r="AY1545" s="62">
        <f t="shared" si="150"/>
        <v>-1.4181942337204394</v>
      </c>
      <c r="AZ1545" s="68" t="str">
        <f t="shared" si="151"/>
        <v>No</v>
      </c>
      <c r="BA1545" s="68" t="str">
        <f t="shared" si="152"/>
        <v>No</v>
      </c>
    </row>
    <row r="1546" spans="1:53" hidden="1">
      <c r="A1546" t="s">
        <v>1035</v>
      </c>
      <c r="B1546" t="s">
        <v>3615</v>
      </c>
      <c r="C1546" t="s">
        <v>1187</v>
      </c>
      <c r="F1546" t="s">
        <v>1241</v>
      </c>
      <c r="G1546" t="s">
        <v>999</v>
      </c>
      <c r="I1546">
        <v>2009</v>
      </c>
      <c r="K1546" t="s">
        <v>72</v>
      </c>
      <c r="M1546" s="25" t="s">
        <v>36</v>
      </c>
      <c r="N1546" t="s">
        <v>36</v>
      </c>
      <c r="P1546" t="s">
        <v>60</v>
      </c>
      <c r="Q1546" t="s">
        <v>900</v>
      </c>
      <c r="R1546" t="s">
        <v>1741</v>
      </c>
      <c r="S1546" t="s">
        <v>1007</v>
      </c>
      <c r="T1546">
        <v>-32.1</v>
      </c>
      <c r="U1546">
        <v>152.29</v>
      </c>
      <c r="V1546" t="s">
        <v>1015</v>
      </c>
      <c r="X1546">
        <v>2</v>
      </c>
      <c r="Z1546">
        <v>4</v>
      </c>
      <c r="AA1546">
        <v>4</v>
      </c>
      <c r="AG1546" t="str">
        <f t="shared" si="147"/>
        <v>3JYP_Saccostrea_glomerata_D2_CO2NA_TNA_control_outcome88.83</v>
      </c>
      <c r="AJ1546" t="s">
        <v>1022</v>
      </c>
      <c r="AK1546" t="s">
        <v>59</v>
      </c>
      <c r="AM1546"/>
      <c r="AN1546">
        <v>88.828999999999994</v>
      </c>
      <c r="AO1546">
        <v>50.843000000000004</v>
      </c>
      <c r="AP1546">
        <v>2.6840000000000002</v>
      </c>
      <c r="AQ1546">
        <v>1.5880000000000001</v>
      </c>
      <c r="AR1546" t="s">
        <v>3663</v>
      </c>
      <c r="AS1546">
        <v>-8.1128799999999996E-4</v>
      </c>
      <c r="AT1546">
        <v>1.794056E-3</v>
      </c>
      <c r="AU1546" t="s">
        <v>3672</v>
      </c>
      <c r="AW1546" s="28">
        <f t="shared" si="148"/>
        <v>-2.3949815684788569</v>
      </c>
      <c r="AX1546">
        <f t="shared" si="149"/>
        <v>0.86956521739130432</v>
      </c>
      <c r="AY1546" s="62">
        <f t="shared" si="150"/>
        <v>-2.082592668242484</v>
      </c>
      <c r="AZ1546" s="68" t="str">
        <f t="shared" si="151"/>
        <v>No</v>
      </c>
      <c r="BA1546" s="68" t="str">
        <f t="shared" si="152"/>
        <v>No</v>
      </c>
    </row>
    <row r="1547" spans="1:53" hidden="1">
      <c r="A1547" t="s">
        <v>1035</v>
      </c>
      <c r="B1547" t="s">
        <v>3616</v>
      </c>
      <c r="C1547" t="s">
        <v>1187</v>
      </c>
      <c r="F1547" t="s">
        <v>1241</v>
      </c>
      <c r="G1547" t="s">
        <v>999</v>
      </c>
      <c r="I1547">
        <v>2009</v>
      </c>
      <c r="K1547" t="s">
        <v>72</v>
      </c>
      <c r="M1547" s="25" t="s">
        <v>36</v>
      </c>
      <c r="N1547" t="s">
        <v>36</v>
      </c>
      <c r="P1547" t="s">
        <v>60</v>
      </c>
      <c r="Q1547" t="s">
        <v>900</v>
      </c>
      <c r="R1547" t="s">
        <v>1741</v>
      </c>
      <c r="S1547" t="s">
        <v>1007</v>
      </c>
      <c r="T1547">
        <v>-32.1</v>
      </c>
      <c r="U1547">
        <v>152.29</v>
      </c>
      <c r="V1547" t="s">
        <v>905</v>
      </c>
      <c r="X1547">
        <v>2</v>
      </c>
      <c r="Z1547">
        <v>5</v>
      </c>
      <c r="AA1547">
        <v>5</v>
      </c>
      <c r="AG1547" t="str">
        <f t="shared" si="147"/>
        <v>3JYP_Saccostrea_glomerata_D2_CO2NA_TNA_control_outcome95.69</v>
      </c>
      <c r="AJ1547" t="s">
        <v>1023</v>
      </c>
      <c r="AK1547" t="s">
        <v>770</v>
      </c>
      <c r="AM1547"/>
      <c r="AN1547">
        <v>95.688000000000002</v>
      </c>
      <c r="AO1547">
        <v>74.772999999999996</v>
      </c>
      <c r="AP1547">
        <v>2.0571999999999999</v>
      </c>
      <c r="AQ1547">
        <v>1.5720000000000001</v>
      </c>
      <c r="AR1547" t="s">
        <v>3664</v>
      </c>
      <c r="AS1547">
        <v>-0.246636041</v>
      </c>
      <c r="AT1547">
        <v>1.8084000000000001E-4</v>
      </c>
      <c r="AU1547" t="s">
        <v>3672</v>
      </c>
      <c r="AW1547" s="28">
        <f t="shared" si="148"/>
        <v>-1.7704879286435582</v>
      </c>
      <c r="AX1547">
        <f t="shared" si="149"/>
        <v>0.90322580645161288</v>
      </c>
      <c r="AY1547" s="62">
        <f t="shared" si="150"/>
        <v>-1.5991503871619235</v>
      </c>
      <c r="AZ1547" s="68" t="str">
        <f t="shared" si="151"/>
        <v>No</v>
      </c>
      <c r="BA1547" s="68" t="str">
        <f t="shared" si="152"/>
        <v>No</v>
      </c>
    </row>
    <row r="1548" spans="1:53" hidden="1">
      <c r="A1548" t="s">
        <v>1035</v>
      </c>
      <c r="B1548" t="s">
        <v>3617</v>
      </c>
      <c r="C1548" t="s">
        <v>1187</v>
      </c>
      <c r="F1548" t="s">
        <v>1241</v>
      </c>
      <c r="G1548" t="s">
        <v>999</v>
      </c>
      <c r="I1548">
        <v>2009</v>
      </c>
      <c r="K1548" t="s">
        <v>72</v>
      </c>
      <c r="M1548" s="25" t="s">
        <v>36</v>
      </c>
      <c r="N1548" t="s">
        <v>36</v>
      </c>
      <c r="P1548" t="s">
        <v>60</v>
      </c>
      <c r="Q1548" t="s">
        <v>900</v>
      </c>
      <c r="R1548" t="s">
        <v>1741</v>
      </c>
      <c r="S1548" t="s">
        <v>1007</v>
      </c>
      <c r="T1548">
        <v>-32.1</v>
      </c>
      <c r="U1548">
        <v>152.29</v>
      </c>
      <c r="V1548" t="s">
        <v>907</v>
      </c>
      <c r="X1548">
        <v>2</v>
      </c>
      <c r="Z1548">
        <v>5</v>
      </c>
      <c r="AA1548">
        <v>5</v>
      </c>
      <c r="AG1548" t="str">
        <f t="shared" si="147"/>
        <v>3JYP_Saccostrea_glomerata_D2_CO2NA_TNA_control_outcome95.69</v>
      </c>
      <c r="AJ1548" t="s">
        <v>1023</v>
      </c>
      <c r="AK1548" t="s">
        <v>770</v>
      </c>
      <c r="AM1548"/>
      <c r="AN1548">
        <v>95.688000000000002</v>
      </c>
      <c r="AO1548">
        <v>60.326000000000001</v>
      </c>
      <c r="AP1548">
        <v>2.0571999999999999</v>
      </c>
      <c r="AQ1548">
        <v>8.4859000000000009</v>
      </c>
      <c r="AR1548" t="s">
        <v>3664</v>
      </c>
      <c r="AS1548">
        <v>-0.46132971</v>
      </c>
      <c r="AT1548">
        <v>4.049904E-3</v>
      </c>
      <c r="AU1548" t="s">
        <v>3672</v>
      </c>
      <c r="AW1548" s="28">
        <f t="shared" si="148"/>
        <v>-2.1735738497251398</v>
      </c>
      <c r="AX1548">
        <f t="shared" si="149"/>
        <v>0.90322580645161288</v>
      </c>
      <c r="AY1548" s="62">
        <f t="shared" si="150"/>
        <v>-1.9632279933001262</v>
      </c>
      <c r="AZ1548" s="68" t="str">
        <f t="shared" si="151"/>
        <v>No</v>
      </c>
      <c r="BA1548" s="68" t="str">
        <f t="shared" si="152"/>
        <v>No</v>
      </c>
    </row>
    <row r="1549" spans="1:53" hidden="1">
      <c r="A1549" t="s">
        <v>1035</v>
      </c>
      <c r="B1549" t="s">
        <v>3618</v>
      </c>
      <c r="C1549" t="s">
        <v>1187</v>
      </c>
      <c r="F1549" t="s">
        <v>1241</v>
      </c>
      <c r="G1549" t="s">
        <v>999</v>
      </c>
      <c r="I1549">
        <v>2009</v>
      </c>
      <c r="K1549" t="s">
        <v>72</v>
      </c>
      <c r="M1549" s="25" t="s">
        <v>36</v>
      </c>
      <c r="N1549" t="s">
        <v>36</v>
      </c>
      <c r="P1549" t="s">
        <v>60</v>
      </c>
      <c r="Q1549" t="s">
        <v>900</v>
      </c>
      <c r="R1549" t="s">
        <v>1741</v>
      </c>
      <c r="S1549" t="s">
        <v>1007</v>
      </c>
      <c r="T1549">
        <v>-32.1</v>
      </c>
      <c r="U1549">
        <v>152.29</v>
      </c>
      <c r="V1549" t="s">
        <v>1015</v>
      </c>
      <c r="X1549">
        <v>2</v>
      </c>
      <c r="Z1549">
        <v>5</v>
      </c>
      <c r="AA1549">
        <v>5</v>
      </c>
      <c r="AG1549" t="str">
        <f t="shared" si="147"/>
        <v>3JYP_Saccostrea_glomerata_D2_CO2NA_TNA_control_outcome95.69</v>
      </c>
      <c r="AJ1549" t="s">
        <v>1023</v>
      </c>
      <c r="AK1549" t="s">
        <v>770</v>
      </c>
      <c r="AM1549"/>
      <c r="AN1549">
        <v>95.688000000000002</v>
      </c>
      <c r="AO1549">
        <v>31.279</v>
      </c>
      <c r="AP1549">
        <v>2.0571999999999999</v>
      </c>
      <c r="AQ1549">
        <v>9.0716999999999999</v>
      </c>
      <c r="AR1549" t="s">
        <v>3664</v>
      </c>
      <c r="AS1549">
        <v>-0.41018020100000002</v>
      </c>
      <c r="AT1549">
        <v>2.0961232E-2</v>
      </c>
      <c r="AU1549" t="s">
        <v>3672</v>
      </c>
      <c r="AW1549" s="28">
        <f t="shared" si="148"/>
        <v>-4.0657742908312633</v>
      </c>
      <c r="AX1549">
        <f t="shared" si="149"/>
        <v>0.90322580645161288</v>
      </c>
      <c r="AY1549" s="62">
        <f t="shared" si="150"/>
        <v>-3.6723122626863023</v>
      </c>
      <c r="AZ1549" s="68" t="str">
        <f t="shared" si="151"/>
        <v>No</v>
      </c>
      <c r="BA1549" s="68" t="str">
        <f t="shared" si="152"/>
        <v>No</v>
      </c>
    </row>
    <row r="1550" spans="1:53" hidden="1">
      <c r="A1550" t="s">
        <v>1035</v>
      </c>
      <c r="B1550" t="s">
        <v>3619</v>
      </c>
      <c r="C1550" t="s">
        <v>1187</v>
      </c>
      <c r="F1550" t="s">
        <v>1241</v>
      </c>
      <c r="G1550" t="s">
        <v>999</v>
      </c>
      <c r="I1550">
        <v>2009</v>
      </c>
      <c r="K1550" t="s">
        <v>72</v>
      </c>
      <c r="M1550" s="25" t="s">
        <v>36</v>
      </c>
      <c r="N1550" t="s">
        <v>36</v>
      </c>
      <c r="P1550" t="s">
        <v>60</v>
      </c>
      <c r="Q1550" t="s">
        <v>900</v>
      </c>
      <c r="R1550" t="s">
        <v>1741</v>
      </c>
      <c r="S1550" t="s">
        <v>1007</v>
      </c>
      <c r="T1550">
        <v>-32.1</v>
      </c>
      <c r="U1550">
        <v>152.29</v>
      </c>
      <c r="V1550" t="s">
        <v>905</v>
      </c>
      <c r="X1550">
        <v>2</v>
      </c>
      <c r="Z1550">
        <v>5</v>
      </c>
      <c r="AA1550">
        <v>5</v>
      </c>
      <c r="AG1550" t="str">
        <f t="shared" si="147"/>
        <v>3JYP_Saccostrea_glomerata_D2_CO2NA_TNA_control_outcome76.72</v>
      </c>
      <c r="AJ1550" t="s">
        <v>1024</v>
      </c>
      <c r="AK1550" t="s">
        <v>40</v>
      </c>
      <c r="AM1550"/>
      <c r="AN1550">
        <v>76.721999999999994</v>
      </c>
      <c r="AO1550">
        <v>71.896000000000001</v>
      </c>
      <c r="AP1550">
        <v>2.2875000000000001</v>
      </c>
      <c r="AQ1550">
        <v>2.6341000000000001</v>
      </c>
      <c r="AR1550" t="s">
        <v>3660</v>
      </c>
      <c r="AS1550">
        <v>-6.4967868999999998E-2</v>
      </c>
      <c r="AT1550">
        <v>4.46255E-4</v>
      </c>
      <c r="AU1550" t="s">
        <v>3672</v>
      </c>
      <c r="AW1550" s="28">
        <f t="shared" si="148"/>
        <v>-1.4631648506486805</v>
      </c>
      <c r="AX1550">
        <f t="shared" si="149"/>
        <v>0.90322580645161288</v>
      </c>
      <c r="AY1550" s="62">
        <f t="shared" si="150"/>
        <v>-1.3215682521988081</v>
      </c>
      <c r="AZ1550" s="68" t="str">
        <f t="shared" si="151"/>
        <v>No</v>
      </c>
      <c r="BA1550" s="68" t="str">
        <f t="shared" si="152"/>
        <v>No</v>
      </c>
    </row>
    <row r="1551" spans="1:53" hidden="1">
      <c r="A1551" t="s">
        <v>1035</v>
      </c>
      <c r="B1551" t="s">
        <v>3620</v>
      </c>
      <c r="C1551" t="s">
        <v>1187</v>
      </c>
      <c r="F1551" t="s">
        <v>1241</v>
      </c>
      <c r="G1551" t="s">
        <v>999</v>
      </c>
      <c r="I1551">
        <v>2009</v>
      </c>
      <c r="K1551" t="s">
        <v>72</v>
      </c>
      <c r="M1551" s="25" t="s">
        <v>36</v>
      </c>
      <c r="N1551" t="s">
        <v>36</v>
      </c>
      <c r="P1551" t="s">
        <v>60</v>
      </c>
      <c r="Q1551" t="s">
        <v>900</v>
      </c>
      <c r="R1551" t="s">
        <v>1741</v>
      </c>
      <c r="S1551" t="s">
        <v>1007</v>
      </c>
      <c r="T1551">
        <v>-32.1</v>
      </c>
      <c r="U1551">
        <v>152.29</v>
      </c>
      <c r="V1551" t="s">
        <v>907</v>
      </c>
      <c r="X1551">
        <v>2</v>
      </c>
      <c r="Z1551">
        <v>5</v>
      </c>
      <c r="AA1551">
        <v>5</v>
      </c>
      <c r="AG1551" t="str">
        <f t="shared" si="147"/>
        <v>3JYP_Saccostrea_glomerata_D2_CO2NA_TNA_control_outcome76.72</v>
      </c>
      <c r="AJ1551" t="s">
        <v>1024</v>
      </c>
      <c r="AK1551" t="s">
        <v>40</v>
      </c>
      <c r="AM1551"/>
      <c r="AN1551">
        <v>76.721999999999994</v>
      </c>
      <c r="AO1551">
        <v>71.585999999999999</v>
      </c>
      <c r="AP1551">
        <v>2.2875000000000001</v>
      </c>
      <c r="AQ1551">
        <v>2.6162000000000001</v>
      </c>
      <c r="AR1551" t="s">
        <v>3660</v>
      </c>
      <c r="AS1551">
        <v>-6.9288975000000003E-2</v>
      </c>
      <c r="AT1551">
        <v>4.4491799999999998E-4</v>
      </c>
      <c r="AU1551" t="s">
        <v>3672</v>
      </c>
      <c r="AW1551" s="28">
        <f t="shared" si="148"/>
        <v>-1.4695059288965358</v>
      </c>
      <c r="AX1551">
        <f t="shared" si="149"/>
        <v>0.90322580645161288</v>
      </c>
      <c r="AY1551" s="62">
        <f t="shared" si="150"/>
        <v>-1.3272956777130001</v>
      </c>
      <c r="AZ1551" s="68" t="str">
        <f t="shared" si="151"/>
        <v>No</v>
      </c>
      <c r="BA1551" s="68" t="str">
        <f t="shared" si="152"/>
        <v>No</v>
      </c>
    </row>
    <row r="1552" spans="1:53" hidden="1">
      <c r="A1552" t="s">
        <v>1035</v>
      </c>
      <c r="B1552" t="s">
        <v>3621</v>
      </c>
      <c r="C1552" t="s">
        <v>1187</v>
      </c>
      <c r="F1552" t="s">
        <v>1241</v>
      </c>
      <c r="G1552" t="s">
        <v>999</v>
      </c>
      <c r="I1552">
        <v>2009</v>
      </c>
      <c r="K1552" t="s">
        <v>72</v>
      </c>
      <c r="M1552" s="25" t="s">
        <v>36</v>
      </c>
      <c r="N1552" t="s">
        <v>36</v>
      </c>
      <c r="P1552" t="s">
        <v>60</v>
      </c>
      <c r="Q1552" t="s">
        <v>900</v>
      </c>
      <c r="R1552" t="s">
        <v>1741</v>
      </c>
      <c r="S1552" t="s">
        <v>1007</v>
      </c>
      <c r="T1552">
        <v>-32.1</v>
      </c>
      <c r="U1552">
        <v>152.29</v>
      </c>
      <c r="V1552" t="s">
        <v>1015</v>
      </c>
      <c r="X1552">
        <v>2</v>
      </c>
      <c r="Z1552">
        <v>5</v>
      </c>
      <c r="AA1552">
        <v>5</v>
      </c>
      <c r="AG1552" t="str">
        <f t="shared" si="147"/>
        <v>3JYP_Saccostrea_glomerata_D2_CO2NA_TNA_control_outcome76.72</v>
      </c>
      <c r="AJ1552" t="s">
        <v>1024</v>
      </c>
      <c r="AK1552" t="s">
        <v>40</v>
      </c>
      <c r="AM1552"/>
      <c r="AN1552">
        <v>76.721999999999994</v>
      </c>
      <c r="AO1552">
        <v>66.072000000000003</v>
      </c>
      <c r="AP1552">
        <v>2.2875000000000001</v>
      </c>
      <c r="AQ1552">
        <v>3.3048999999999999</v>
      </c>
      <c r="AR1552" t="s">
        <v>3660</v>
      </c>
      <c r="AS1552">
        <v>-1.5186599E-2</v>
      </c>
      <c r="AT1552">
        <v>1.2137750000000001E-3</v>
      </c>
      <c r="AU1552" t="s">
        <v>3672</v>
      </c>
      <c r="AW1552" s="28">
        <f t="shared" si="148"/>
        <v>-1.5912162424747476</v>
      </c>
      <c r="AX1552">
        <f t="shared" si="149"/>
        <v>0.90322580645161288</v>
      </c>
      <c r="AY1552" s="62">
        <f t="shared" si="150"/>
        <v>-1.437227573848159</v>
      </c>
      <c r="AZ1552" s="68" t="str">
        <f t="shared" si="151"/>
        <v>No</v>
      </c>
      <c r="BA1552" s="68" t="str">
        <f t="shared" si="152"/>
        <v>No</v>
      </c>
    </row>
    <row r="1553" spans="1:53" hidden="1">
      <c r="A1553" t="s">
        <v>1035</v>
      </c>
      <c r="B1553" t="s">
        <v>3622</v>
      </c>
      <c r="C1553" t="s">
        <v>1188</v>
      </c>
      <c r="F1553" t="s">
        <v>1241</v>
      </c>
      <c r="G1553" t="s">
        <v>1000</v>
      </c>
      <c r="I1553">
        <v>2010</v>
      </c>
      <c r="K1553" t="s">
        <v>72</v>
      </c>
      <c r="M1553" s="25" t="s">
        <v>36</v>
      </c>
      <c r="N1553" t="s">
        <v>36</v>
      </c>
      <c r="P1553" t="s">
        <v>60</v>
      </c>
      <c r="Q1553" t="s">
        <v>899</v>
      </c>
      <c r="R1553" t="s">
        <v>822</v>
      </c>
      <c r="S1553" t="s">
        <v>1008</v>
      </c>
      <c r="T1553">
        <v>-32.1</v>
      </c>
      <c r="U1553">
        <v>152.29</v>
      </c>
      <c r="V1553" t="s">
        <v>905</v>
      </c>
      <c r="X1553">
        <v>1</v>
      </c>
      <c r="Z1553">
        <v>20</v>
      </c>
      <c r="AA1553">
        <v>20</v>
      </c>
      <c r="AG1553" t="str">
        <f t="shared" si="147"/>
        <v>4JYP_Limacina_helicina_D1_CO2NA_TNA_control_outcome0.51</v>
      </c>
      <c r="AJ1553" t="s">
        <v>1025</v>
      </c>
      <c r="AK1553" t="s">
        <v>904</v>
      </c>
      <c r="AM1553"/>
      <c r="AN1553">
        <v>0.51</v>
      </c>
      <c r="AO1553">
        <v>0.05</v>
      </c>
      <c r="AP1553">
        <v>0.04</v>
      </c>
      <c r="AQ1553">
        <v>0.02</v>
      </c>
      <c r="AR1553" t="s">
        <v>3665</v>
      </c>
      <c r="AS1553">
        <v>-2.32238772</v>
      </c>
      <c r="AT1553">
        <v>8.3075739999999999E-3</v>
      </c>
      <c r="AU1553" t="s">
        <v>3672</v>
      </c>
      <c r="AW1553" s="28">
        <f t="shared" si="148"/>
        <v>-12.342804688813921</v>
      </c>
      <c r="AX1553">
        <f t="shared" si="149"/>
        <v>0.98013245033112584</v>
      </c>
      <c r="AY1553" s="62">
        <f t="shared" si="150"/>
        <v>-12.097583403605697</v>
      </c>
      <c r="AZ1553" s="68" t="str">
        <f t="shared" si="151"/>
        <v>No</v>
      </c>
      <c r="BA1553" s="68" t="str">
        <f t="shared" si="152"/>
        <v>Yes</v>
      </c>
    </row>
    <row r="1554" spans="1:53" hidden="1">
      <c r="A1554" t="s">
        <v>1035</v>
      </c>
      <c r="B1554" t="s">
        <v>3623</v>
      </c>
      <c r="C1554" t="s">
        <v>1188</v>
      </c>
      <c r="F1554" t="s">
        <v>1241</v>
      </c>
      <c r="G1554" t="s">
        <v>1000</v>
      </c>
      <c r="I1554">
        <v>2010</v>
      </c>
      <c r="K1554" t="s">
        <v>72</v>
      </c>
      <c r="M1554" s="25" t="s">
        <v>36</v>
      </c>
      <c r="N1554" t="s">
        <v>36</v>
      </c>
      <c r="P1554" t="s">
        <v>60</v>
      </c>
      <c r="Q1554" t="s">
        <v>899</v>
      </c>
      <c r="R1554" t="s">
        <v>822</v>
      </c>
      <c r="S1554" t="s">
        <v>1008</v>
      </c>
      <c r="T1554">
        <v>-32.1</v>
      </c>
      <c r="U1554">
        <v>152.29</v>
      </c>
      <c r="V1554" t="s">
        <v>907</v>
      </c>
      <c r="X1554">
        <v>1</v>
      </c>
      <c r="Z1554">
        <v>20</v>
      </c>
      <c r="AA1554">
        <v>20</v>
      </c>
      <c r="AG1554" t="str">
        <f t="shared" si="147"/>
        <v>4JYP_Limacina_helicina_D1_CO2NA_TNA_control_outcome0.51</v>
      </c>
      <c r="AJ1554" t="s">
        <v>1025</v>
      </c>
      <c r="AK1554" t="s">
        <v>904</v>
      </c>
      <c r="AM1554"/>
      <c r="AN1554">
        <v>0.51</v>
      </c>
      <c r="AO1554">
        <v>0.56000000000000005</v>
      </c>
      <c r="AP1554">
        <v>0.04</v>
      </c>
      <c r="AQ1554">
        <v>0.05</v>
      </c>
      <c r="AR1554" t="s">
        <v>3665</v>
      </c>
      <c r="AS1554">
        <v>9.3526057999999995E-2</v>
      </c>
      <c r="AT1554">
        <v>7.0617100000000001E-4</v>
      </c>
      <c r="AU1554" t="s">
        <v>3672</v>
      </c>
      <c r="AW1554" s="28">
        <f t="shared" si="148"/>
        <v>-1.1822262764296847</v>
      </c>
      <c r="AX1554">
        <f t="shared" si="149"/>
        <v>0.98013245033112584</v>
      </c>
      <c r="AY1554" s="62">
        <f t="shared" si="150"/>
        <v>-1.1587383371628699</v>
      </c>
      <c r="AZ1554" s="68" t="str">
        <f t="shared" si="151"/>
        <v>No</v>
      </c>
      <c r="BA1554" s="68" t="str">
        <f t="shared" si="152"/>
        <v>No</v>
      </c>
    </row>
    <row r="1555" spans="1:53" hidden="1">
      <c r="A1555" t="s">
        <v>1035</v>
      </c>
      <c r="B1555" t="s">
        <v>3624</v>
      </c>
      <c r="C1555" t="s">
        <v>1188</v>
      </c>
      <c r="F1555" t="s">
        <v>1241</v>
      </c>
      <c r="G1555" t="s">
        <v>1000</v>
      </c>
      <c r="I1555">
        <v>2010</v>
      </c>
      <c r="K1555" t="s">
        <v>72</v>
      </c>
      <c r="M1555" s="25" t="s">
        <v>36</v>
      </c>
      <c r="N1555" t="s">
        <v>36</v>
      </c>
      <c r="P1555" t="s">
        <v>60</v>
      </c>
      <c r="Q1555" t="s">
        <v>899</v>
      </c>
      <c r="R1555" t="s">
        <v>822</v>
      </c>
      <c r="S1555" t="s">
        <v>1008</v>
      </c>
      <c r="T1555">
        <v>-32.1</v>
      </c>
      <c r="U1555">
        <v>152.29</v>
      </c>
      <c r="V1555" t="s">
        <v>1015</v>
      </c>
      <c r="X1555">
        <v>1</v>
      </c>
      <c r="Z1555">
        <v>20</v>
      </c>
      <c r="AA1555">
        <v>20</v>
      </c>
      <c r="AG1555" t="str">
        <f t="shared" si="147"/>
        <v>4JYP_Limacina_helicina_D1_CO2NA_TNA_control_outcome0.51</v>
      </c>
      <c r="AJ1555" t="s">
        <v>1025</v>
      </c>
      <c r="AK1555" t="s">
        <v>904</v>
      </c>
      <c r="AM1555"/>
      <c r="AN1555">
        <v>0.51</v>
      </c>
      <c r="AO1555">
        <v>0.12</v>
      </c>
      <c r="AP1555">
        <v>0.04</v>
      </c>
      <c r="AQ1555">
        <v>0.04</v>
      </c>
      <c r="AR1555" t="s">
        <v>3665</v>
      </c>
      <c r="AS1555">
        <v>0.78194267900000003</v>
      </c>
      <c r="AT1555">
        <v>1.4261727E-2</v>
      </c>
      <c r="AU1555" t="s">
        <v>3672</v>
      </c>
      <c r="AW1555" s="28">
        <f t="shared" si="148"/>
        <v>-5.2547597471245071</v>
      </c>
      <c r="AX1555">
        <f t="shared" si="149"/>
        <v>0.98013245033112584</v>
      </c>
      <c r="AY1555" s="62">
        <f t="shared" si="150"/>
        <v>-5.1503605468505107</v>
      </c>
      <c r="AZ1555" s="68" t="str">
        <f t="shared" si="151"/>
        <v>No</v>
      </c>
      <c r="BA1555" s="68" t="str">
        <f t="shared" si="152"/>
        <v>No</v>
      </c>
    </row>
    <row r="1556" spans="1:53" hidden="1">
      <c r="A1556" t="s">
        <v>1035</v>
      </c>
      <c r="B1556" t="s">
        <v>3625</v>
      </c>
      <c r="C1556" t="s">
        <v>1189</v>
      </c>
      <c r="F1556" t="s">
        <v>1241</v>
      </c>
      <c r="G1556" t="s">
        <v>1001</v>
      </c>
      <c r="I1556">
        <v>2013</v>
      </c>
      <c r="K1556" t="s">
        <v>72</v>
      </c>
      <c r="M1556" s="25" t="s">
        <v>36</v>
      </c>
      <c r="N1556" t="s">
        <v>36</v>
      </c>
      <c r="P1556" t="s">
        <v>60</v>
      </c>
      <c r="Q1556" t="s">
        <v>900</v>
      </c>
      <c r="R1556" t="s">
        <v>1741</v>
      </c>
      <c r="S1556" t="s">
        <v>1009</v>
      </c>
      <c r="T1556">
        <v>-34.35</v>
      </c>
      <c r="U1556">
        <v>150.53</v>
      </c>
      <c r="V1556" t="s">
        <v>905</v>
      </c>
      <c r="X1556">
        <v>3</v>
      </c>
      <c r="Z1556">
        <v>8</v>
      </c>
      <c r="AA1556">
        <v>8</v>
      </c>
      <c r="AG1556" t="str">
        <f t="shared" si="147"/>
        <v>5JYP_Bembicium_nanum_D3_CO2NA_TNA_control_outcome76.85</v>
      </c>
      <c r="AJ1556" t="s">
        <v>1026</v>
      </c>
      <c r="AK1556" t="s">
        <v>69</v>
      </c>
      <c r="AM1556"/>
      <c r="AN1556">
        <v>76.844999999999999</v>
      </c>
      <c r="AO1556">
        <v>0.71899999999999997</v>
      </c>
      <c r="AP1556">
        <v>22.95</v>
      </c>
      <c r="AQ1556">
        <v>1.841</v>
      </c>
      <c r="AR1556" t="s">
        <v>3658</v>
      </c>
      <c r="AS1556">
        <v>-4.6716843270000004</v>
      </c>
      <c r="AT1556">
        <v>0.83066968799999996</v>
      </c>
      <c r="AU1556" t="s">
        <v>3672</v>
      </c>
      <c r="AW1556" s="28">
        <f t="shared" si="148"/>
        <v>-38.564162256874745</v>
      </c>
      <c r="AX1556">
        <f t="shared" si="149"/>
        <v>0.94545454545454544</v>
      </c>
      <c r="AY1556" s="62">
        <f t="shared" si="150"/>
        <v>-36.460662497408848</v>
      </c>
      <c r="AZ1556" s="68" t="str">
        <f t="shared" si="151"/>
        <v>No</v>
      </c>
      <c r="BA1556" s="68" t="str">
        <f t="shared" si="152"/>
        <v>Yes</v>
      </c>
    </row>
    <row r="1557" spans="1:53" hidden="1">
      <c r="A1557" t="s">
        <v>1035</v>
      </c>
      <c r="B1557" t="s">
        <v>3626</v>
      </c>
      <c r="C1557" t="s">
        <v>1189</v>
      </c>
      <c r="F1557" t="s">
        <v>1241</v>
      </c>
      <c r="G1557" t="s">
        <v>1001</v>
      </c>
      <c r="I1557">
        <v>2013</v>
      </c>
      <c r="K1557" t="s">
        <v>72</v>
      </c>
      <c r="M1557" s="25" t="s">
        <v>36</v>
      </c>
      <c r="N1557" t="s">
        <v>36</v>
      </c>
      <c r="P1557" t="s">
        <v>60</v>
      </c>
      <c r="Q1557" t="s">
        <v>900</v>
      </c>
      <c r="R1557" t="s">
        <v>1741</v>
      </c>
      <c r="S1557" t="s">
        <v>1009</v>
      </c>
      <c r="T1557">
        <v>-34.35</v>
      </c>
      <c r="U1557">
        <v>150.53</v>
      </c>
      <c r="V1557" t="s">
        <v>907</v>
      </c>
      <c r="X1557">
        <v>3</v>
      </c>
      <c r="Z1557">
        <v>8</v>
      </c>
      <c r="AA1557">
        <v>8</v>
      </c>
      <c r="AG1557" t="str">
        <f t="shared" si="147"/>
        <v>5JYP_Bembicium_nanum_D3_CO2NA_TNA_control_outcome76.85</v>
      </c>
      <c r="AJ1557" t="s">
        <v>1026</v>
      </c>
      <c r="AK1557" t="s">
        <v>69</v>
      </c>
      <c r="AM1557"/>
      <c r="AN1557">
        <v>76.844999999999999</v>
      </c>
      <c r="AO1557">
        <v>92.186999999999998</v>
      </c>
      <c r="AP1557">
        <v>22.95</v>
      </c>
      <c r="AQ1557">
        <v>4.1239999999999997</v>
      </c>
      <c r="AR1557" t="s">
        <v>3658</v>
      </c>
      <c r="AS1557">
        <v>0.18202871700000001</v>
      </c>
      <c r="AT1557">
        <v>1.1399365999999999E-2</v>
      </c>
      <c r="AU1557" t="s">
        <v>3672</v>
      </c>
      <c r="AW1557" s="28">
        <f t="shared" si="148"/>
        <v>-0.82596123252504117</v>
      </c>
      <c r="AX1557">
        <f t="shared" si="149"/>
        <v>0.94545454545454544</v>
      </c>
      <c r="AY1557" s="62">
        <f t="shared" si="150"/>
        <v>-0.78090880166003895</v>
      </c>
      <c r="AZ1557" s="68" t="str">
        <f t="shared" si="151"/>
        <v>No</v>
      </c>
      <c r="BA1557" s="68" t="str">
        <f t="shared" si="152"/>
        <v>No</v>
      </c>
    </row>
    <row r="1558" spans="1:53" hidden="1">
      <c r="A1558" t="s">
        <v>1035</v>
      </c>
      <c r="B1558" t="s">
        <v>3627</v>
      </c>
      <c r="C1558" t="s">
        <v>1189</v>
      </c>
      <c r="F1558" t="s">
        <v>1241</v>
      </c>
      <c r="G1558" t="s">
        <v>1001</v>
      </c>
      <c r="I1558">
        <v>2013</v>
      </c>
      <c r="K1558" t="s">
        <v>72</v>
      </c>
      <c r="M1558" s="25" t="s">
        <v>36</v>
      </c>
      <c r="N1558" t="s">
        <v>36</v>
      </c>
      <c r="P1558" t="s">
        <v>60</v>
      </c>
      <c r="Q1558" t="s">
        <v>900</v>
      </c>
      <c r="R1558" t="s">
        <v>1741</v>
      </c>
      <c r="S1558" t="s">
        <v>1009</v>
      </c>
      <c r="T1558">
        <v>-34.35</v>
      </c>
      <c r="U1558">
        <v>150.53</v>
      </c>
      <c r="V1558" t="s">
        <v>1015</v>
      </c>
      <c r="X1558">
        <v>3</v>
      </c>
      <c r="Z1558">
        <v>8</v>
      </c>
      <c r="AA1558">
        <v>8</v>
      </c>
      <c r="AG1558" t="str">
        <f t="shared" ref="AG1558:AG1588" si="153">C1558 &amp; "_" &amp;
SUBSTITUTE(TRIM(S1558)," ","_") &amp; "_" &amp;
"D" &amp; TEXT(X1558,"0") &amp; "_" &amp;
"CO2" &amp; IF(AC1558&lt;&gt;"",TEXT(AC1558,"0.00"),"NA") &amp; "_" &amp;
"T" &amp; IF(AD1558&lt;&gt;"",TEXT(AD1558,"0.00"),"NA") &amp; "_" &amp;
"control_outcome" &amp; IF(AN1558&lt;&gt;"",TEXT(AN1558,"0.00"),"NA")</f>
        <v>5JYP_Bembicium_nanum_D3_CO2NA_TNA_control_outcome76.85</v>
      </c>
      <c r="AJ1558" t="s">
        <v>1026</v>
      </c>
      <c r="AK1558" t="s">
        <v>69</v>
      </c>
      <c r="AM1558"/>
      <c r="AN1558">
        <v>76.844999999999999</v>
      </c>
      <c r="AO1558">
        <v>66.275999999999996</v>
      </c>
      <c r="AP1558">
        <v>22.95</v>
      </c>
      <c r="AQ1558">
        <v>42.96</v>
      </c>
      <c r="AR1558" t="s">
        <v>3658</v>
      </c>
      <c r="AS1558">
        <v>4.3416930450000004</v>
      </c>
      <c r="AT1558">
        <v>0.88343999500000003</v>
      </c>
      <c r="AU1558" t="s">
        <v>3672</v>
      </c>
      <c r="AW1558" s="28">
        <f t="shared" si="148"/>
        <v>-0.96502454584557285</v>
      </c>
      <c r="AX1558">
        <f t="shared" si="149"/>
        <v>0.94545454545454544</v>
      </c>
      <c r="AY1558" s="62">
        <f t="shared" si="150"/>
        <v>-0.91238684334490516</v>
      </c>
      <c r="AZ1558" s="68" t="str">
        <f t="shared" si="151"/>
        <v>No</v>
      </c>
      <c r="BA1558" s="68" t="str">
        <f t="shared" si="152"/>
        <v>No</v>
      </c>
    </row>
    <row r="1559" spans="1:53" hidden="1">
      <c r="A1559" t="s">
        <v>1035</v>
      </c>
      <c r="B1559" t="s">
        <v>3628</v>
      </c>
      <c r="C1559" t="s">
        <v>1189</v>
      </c>
      <c r="F1559" t="s">
        <v>1241</v>
      </c>
      <c r="G1559" t="s">
        <v>1001</v>
      </c>
      <c r="I1559">
        <v>2013</v>
      </c>
      <c r="K1559" t="s">
        <v>72</v>
      </c>
      <c r="M1559" s="25" t="s">
        <v>36</v>
      </c>
      <c r="N1559" t="s">
        <v>36</v>
      </c>
      <c r="P1559" t="s">
        <v>60</v>
      </c>
      <c r="Q1559" t="s">
        <v>900</v>
      </c>
      <c r="R1559" t="s">
        <v>1741</v>
      </c>
      <c r="S1559" t="s">
        <v>1010</v>
      </c>
      <c r="T1559">
        <v>-34.35</v>
      </c>
      <c r="U1559">
        <v>150.53</v>
      </c>
      <c r="V1559" t="s">
        <v>905</v>
      </c>
      <c r="X1559">
        <v>3</v>
      </c>
      <c r="Z1559">
        <v>6</v>
      </c>
      <c r="AA1559">
        <v>6</v>
      </c>
      <c r="AG1559" t="str">
        <f t="shared" si="153"/>
        <v>5JYP_Dolabrifera_brazieri_D3_CO2NA_TNA_control_outcome47.34</v>
      </c>
      <c r="AJ1559" t="s">
        <v>1026</v>
      </c>
      <c r="AK1559" t="s">
        <v>69</v>
      </c>
      <c r="AM1559"/>
      <c r="AN1559">
        <v>47.341999999999999</v>
      </c>
      <c r="AO1559">
        <v>12.19</v>
      </c>
      <c r="AP1559">
        <v>43.02</v>
      </c>
      <c r="AQ1559">
        <v>27.75</v>
      </c>
      <c r="AR1559" t="s">
        <v>3666</v>
      </c>
      <c r="AS1559">
        <v>-1.356781907</v>
      </c>
      <c r="AT1559">
        <v>1.0013334300000001</v>
      </c>
      <c r="AU1559" t="s">
        <v>3672</v>
      </c>
      <c r="AW1559" s="28">
        <f t="shared" si="148"/>
        <v>-0.20166135820265979</v>
      </c>
      <c r="AX1559">
        <f t="shared" si="149"/>
        <v>0.92307692307692313</v>
      </c>
      <c r="AY1559" s="62">
        <f t="shared" si="150"/>
        <v>-0.18614894603322443</v>
      </c>
      <c r="AZ1559" s="68" t="str">
        <f t="shared" si="151"/>
        <v>No</v>
      </c>
      <c r="BA1559" s="68" t="str">
        <f t="shared" si="152"/>
        <v>No</v>
      </c>
    </row>
    <row r="1560" spans="1:53" hidden="1">
      <c r="A1560" t="s">
        <v>1035</v>
      </c>
      <c r="B1560" t="s">
        <v>3629</v>
      </c>
      <c r="C1560" t="s">
        <v>1189</v>
      </c>
      <c r="F1560" t="s">
        <v>1241</v>
      </c>
      <c r="G1560" t="s">
        <v>1001</v>
      </c>
      <c r="I1560">
        <v>2013</v>
      </c>
      <c r="K1560" t="s">
        <v>72</v>
      </c>
      <c r="M1560" s="25" t="s">
        <v>36</v>
      </c>
      <c r="N1560" t="s">
        <v>36</v>
      </c>
      <c r="P1560" t="s">
        <v>60</v>
      </c>
      <c r="Q1560" t="s">
        <v>900</v>
      </c>
      <c r="R1560" t="s">
        <v>1741</v>
      </c>
      <c r="S1560" t="s">
        <v>1010</v>
      </c>
      <c r="T1560">
        <v>-34.35</v>
      </c>
      <c r="U1560">
        <v>150.53</v>
      </c>
      <c r="V1560" t="s">
        <v>907</v>
      </c>
      <c r="X1560">
        <v>3</v>
      </c>
      <c r="Z1560">
        <v>6</v>
      </c>
      <c r="AA1560">
        <v>6</v>
      </c>
      <c r="AG1560" t="str">
        <f t="shared" si="153"/>
        <v>5JYP_Dolabrifera_brazieri_D3_CO2NA_TNA_control_outcome47.34</v>
      </c>
      <c r="AJ1560" t="s">
        <v>1026</v>
      </c>
      <c r="AK1560" t="s">
        <v>69</v>
      </c>
      <c r="AM1560"/>
      <c r="AN1560">
        <v>47.341999999999999</v>
      </c>
      <c r="AO1560">
        <v>81.831999999999994</v>
      </c>
      <c r="AP1560">
        <v>43.02</v>
      </c>
      <c r="AQ1560">
        <v>32.14</v>
      </c>
      <c r="AR1560" t="s">
        <v>3666</v>
      </c>
      <c r="AS1560">
        <v>0.54727051400000004</v>
      </c>
      <c r="AT1560">
        <v>0.163334223</v>
      </c>
      <c r="AU1560" t="s">
        <v>3672</v>
      </c>
      <c r="AW1560" s="28">
        <f t="shared" si="148"/>
        <v>-6.9522487178316703E-2</v>
      </c>
      <c r="AX1560">
        <f t="shared" si="149"/>
        <v>0.92307692307692313</v>
      </c>
      <c r="AY1560" s="62">
        <f t="shared" si="150"/>
        <v>-6.417460354921542E-2</v>
      </c>
      <c r="AZ1560" s="68" t="str">
        <f t="shared" si="151"/>
        <v>No</v>
      </c>
      <c r="BA1560" s="68" t="str">
        <f t="shared" si="152"/>
        <v>No</v>
      </c>
    </row>
    <row r="1561" spans="1:53" hidden="1">
      <c r="A1561" t="s">
        <v>1035</v>
      </c>
      <c r="B1561" t="s">
        <v>3630</v>
      </c>
      <c r="C1561" t="s">
        <v>1189</v>
      </c>
      <c r="F1561" t="s">
        <v>1241</v>
      </c>
      <c r="G1561" t="s">
        <v>1001</v>
      </c>
      <c r="I1561">
        <v>2013</v>
      </c>
      <c r="K1561" t="s">
        <v>72</v>
      </c>
      <c r="M1561" s="25" t="s">
        <v>36</v>
      </c>
      <c r="N1561" t="s">
        <v>36</v>
      </c>
      <c r="P1561" t="s">
        <v>60</v>
      </c>
      <c r="Q1561" t="s">
        <v>900</v>
      </c>
      <c r="R1561" t="s">
        <v>1741</v>
      </c>
      <c r="S1561" t="s">
        <v>1010</v>
      </c>
      <c r="T1561">
        <v>-34.35</v>
      </c>
      <c r="U1561">
        <v>150.53</v>
      </c>
      <c r="V1561" t="s">
        <v>1015</v>
      </c>
      <c r="X1561">
        <v>3</v>
      </c>
      <c r="Z1561">
        <v>6</v>
      </c>
      <c r="AA1561">
        <v>6</v>
      </c>
      <c r="AG1561" t="str">
        <f t="shared" si="153"/>
        <v>5JYP_Dolabrifera_brazieri_D3_CO2NA_TNA_control_outcome47.34</v>
      </c>
      <c r="AJ1561" t="s">
        <v>1026</v>
      </c>
      <c r="AK1561" t="s">
        <v>69</v>
      </c>
      <c r="AM1561"/>
      <c r="AN1561">
        <v>47.341999999999999</v>
      </c>
      <c r="AO1561">
        <v>69.004999999999995</v>
      </c>
      <c r="AP1561">
        <v>43.02</v>
      </c>
      <c r="AQ1561">
        <v>37.68</v>
      </c>
      <c r="AR1561" t="s">
        <v>3666</v>
      </c>
      <c r="AS1561">
        <v>1.186292508</v>
      </c>
      <c r="AT1561">
        <v>1.0767375859999999</v>
      </c>
      <c r="AU1561" t="s">
        <v>3672</v>
      </c>
      <c r="AW1561" s="28">
        <f t="shared" si="148"/>
        <v>-7.7741656863058825E-2</v>
      </c>
      <c r="AX1561">
        <f t="shared" si="149"/>
        <v>0.92307692307692313</v>
      </c>
      <c r="AY1561" s="62">
        <f t="shared" si="150"/>
        <v>-7.1761529412054298E-2</v>
      </c>
      <c r="AZ1561" s="68" t="str">
        <f t="shared" si="151"/>
        <v>No</v>
      </c>
      <c r="BA1561" s="68" t="str">
        <f t="shared" si="152"/>
        <v>No</v>
      </c>
    </row>
    <row r="1562" spans="1:53" hidden="1">
      <c r="A1562" t="s">
        <v>1035</v>
      </c>
      <c r="B1562" t="s">
        <v>3631</v>
      </c>
      <c r="C1562" t="s">
        <v>1189</v>
      </c>
      <c r="F1562" t="s">
        <v>1241</v>
      </c>
      <c r="G1562" t="s">
        <v>1001</v>
      </c>
      <c r="I1562">
        <v>2013</v>
      </c>
      <c r="K1562" t="s">
        <v>72</v>
      </c>
      <c r="M1562" s="25" t="s">
        <v>36</v>
      </c>
      <c r="N1562" t="s">
        <v>36</v>
      </c>
      <c r="P1562" t="s">
        <v>60</v>
      </c>
      <c r="Q1562" t="s">
        <v>900</v>
      </c>
      <c r="R1562" t="s">
        <v>1741</v>
      </c>
      <c r="S1562" t="s">
        <v>1009</v>
      </c>
      <c r="T1562">
        <v>-34.35</v>
      </c>
      <c r="U1562">
        <v>150.53</v>
      </c>
      <c r="V1562" t="s">
        <v>905</v>
      </c>
      <c r="X1562">
        <v>3</v>
      </c>
      <c r="Z1562">
        <v>8</v>
      </c>
      <c r="AA1562">
        <v>8</v>
      </c>
      <c r="AG1562" t="str">
        <f t="shared" si="153"/>
        <v>5JYP_Bembicium_nanum_D3_CO2NA_TNA_control_outcome1.95</v>
      </c>
      <c r="AJ1562" t="s">
        <v>1027</v>
      </c>
      <c r="AK1562" t="s">
        <v>770</v>
      </c>
      <c r="AM1562"/>
      <c r="AN1562">
        <v>1.95</v>
      </c>
      <c r="AO1562">
        <v>0.75600000000000001</v>
      </c>
      <c r="AP1562">
        <v>1.98</v>
      </c>
      <c r="AQ1562">
        <v>0.91600000000000004</v>
      </c>
      <c r="AR1562" t="s">
        <v>3667</v>
      </c>
      <c r="AS1562">
        <v>-0.94754327500000002</v>
      </c>
      <c r="AT1562">
        <v>0.31238473999999999</v>
      </c>
      <c r="AU1562" t="s">
        <v>3672</v>
      </c>
      <c r="AW1562" s="28">
        <f t="shared" si="148"/>
        <v>3.5721981754802783E-2</v>
      </c>
      <c r="AX1562">
        <f t="shared" si="149"/>
        <v>0.94545454545454544</v>
      </c>
      <c r="AY1562" s="62">
        <f t="shared" si="150"/>
        <v>3.3773510022722629E-2</v>
      </c>
      <c r="AZ1562" s="68" t="str">
        <f t="shared" si="151"/>
        <v>No</v>
      </c>
      <c r="BA1562" s="68" t="str">
        <f t="shared" si="152"/>
        <v>No</v>
      </c>
    </row>
    <row r="1563" spans="1:53" hidden="1">
      <c r="A1563" t="s">
        <v>1035</v>
      </c>
      <c r="B1563" t="s">
        <v>3632</v>
      </c>
      <c r="C1563" t="s">
        <v>1189</v>
      </c>
      <c r="F1563" t="s">
        <v>1241</v>
      </c>
      <c r="G1563" t="s">
        <v>1001</v>
      </c>
      <c r="I1563">
        <v>2013</v>
      </c>
      <c r="K1563" t="s">
        <v>72</v>
      </c>
      <c r="M1563" s="25" t="s">
        <v>36</v>
      </c>
      <c r="N1563" t="s">
        <v>36</v>
      </c>
      <c r="P1563" t="s">
        <v>60</v>
      </c>
      <c r="Q1563" t="s">
        <v>900</v>
      </c>
      <c r="R1563" t="s">
        <v>1741</v>
      </c>
      <c r="S1563" t="s">
        <v>1009</v>
      </c>
      <c r="T1563">
        <v>-34.35</v>
      </c>
      <c r="U1563">
        <v>150.53</v>
      </c>
      <c r="V1563" t="s">
        <v>907</v>
      </c>
      <c r="X1563">
        <v>3</v>
      </c>
      <c r="Z1563">
        <v>8</v>
      </c>
      <c r="AA1563">
        <v>8</v>
      </c>
      <c r="AG1563" t="str">
        <f t="shared" si="153"/>
        <v>5JYP_Bembicium_nanum_D3_CO2NA_TNA_control_outcome1.95</v>
      </c>
      <c r="AJ1563" t="s">
        <v>1027</v>
      </c>
      <c r="AK1563" t="s">
        <v>770</v>
      </c>
      <c r="AM1563"/>
      <c r="AN1563">
        <v>1.95</v>
      </c>
      <c r="AO1563">
        <v>2.6320000000000001</v>
      </c>
      <c r="AP1563">
        <v>1.98</v>
      </c>
      <c r="AQ1563">
        <v>0.53100000000000003</v>
      </c>
      <c r="AR1563" t="s">
        <v>3667</v>
      </c>
      <c r="AS1563">
        <v>0.29991464099999998</v>
      </c>
      <c r="AT1563">
        <v>0.13396350700000001</v>
      </c>
      <c r="AU1563" t="s">
        <v>3672</v>
      </c>
      <c r="AW1563" s="28">
        <f t="shared" si="148"/>
        <v>1.5801093511256154E-2</v>
      </c>
      <c r="AX1563">
        <f t="shared" si="149"/>
        <v>0.94545454545454544</v>
      </c>
      <c r="AY1563" s="62">
        <f t="shared" si="150"/>
        <v>1.4939215683369455E-2</v>
      </c>
      <c r="AZ1563" s="68" t="str">
        <f t="shared" si="151"/>
        <v>No</v>
      </c>
      <c r="BA1563" s="68" t="str">
        <f t="shared" si="152"/>
        <v>No</v>
      </c>
    </row>
    <row r="1564" spans="1:53" hidden="1">
      <c r="A1564" t="s">
        <v>1035</v>
      </c>
      <c r="B1564" t="s">
        <v>3633</v>
      </c>
      <c r="C1564" t="s">
        <v>1189</v>
      </c>
      <c r="F1564" t="s">
        <v>1241</v>
      </c>
      <c r="G1564" t="s">
        <v>1001</v>
      </c>
      <c r="I1564">
        <v>2013</v>
      </c>
      <c r="K1564" t="s">
        <v>72</v>
      </c>
      <c r="M1564" s="25" t="s">
        <v>36</v>
      </c>
      <c r="N1564" t="s">
        <v>36</v>
      </c>
      <c r="P1564" t="s">
        <v>60</v>
      </c>
      <c r="Q1564" t="s">
        <v>900</v>
      </c>
      <c r="R1564" t="s">
        <v>1741</v>
      </c>
      <c r="S1564" t="s">
        <v>1009</v>
      </c>
      <c r="T1564">
        <v>-34.35</v>
      </c>
      <c r="U1564">
        <v>150.53</v>
      </c>
      <c r="V1564" t="s">
        <v>1015</v>
      </c>
      <c r="X1564">
        <v>3</v>
      </c>
      <c r="Z1564">
        <v>8</v>
      </c>
      <c r="AA1564">
        <v>8</v>
      </c>
      <c r="AG1564" t="str">
        <f t="shared" si="153"/>
        <v>5JYP_Bembicium_nanum_D3_CO2NA_TNA_control_outcome1.95</v>
      </c>
      <c r="AJ1564" t="s">
        <v>1027</v>
      </c>
      <c r="AK1564" t="s">
        <v>770</v>
      </c>
      <c r="AM1564"/>
      <c r="AN1564">
        <v>1.95</v>
      </c>
      <c r="AO1564">
        <v>3.0070000000000001</v>
      </c>
      <c r="AP1564">
        <v>1.98</v>
      </c>
      <c r="AQ1564">
        <v>0.77500000000000002</v>
      </c>
      <c r="AR1564" t="s">
        <v>3667</v>
      </c>
      <c r="AS1564">
        <v>1.0807421660000001</v>
      </c>
      <c r="AT1564">
        <v>0.32577572799999999</v>
      </c>
      <c r="AU1564" t="s">
        <v>3672</v>
      </c>
      <c r="AW1564" s="28">
        <f t="shared" si="148"/>
        <v>1.3662730767235115E-2</v>
      </c>
      <c r="AX1564">
        <f t="shared" si="149"/>
        <v>0.94545454545454544</v>
      </c>
      <c r="AY1564" s="62">
        <f t="shared" si="150"/>
        <v>1.2917490907204109E-2</v>
      </c>
      <c r="AZ1564" s="68" t="str">
        <f t="shared" ref="AZ1564:AZ1595" si="154">IF(AY1564&gt;10,"Yes","No")</f>
        <v>No</v>
      </c>
      <c r="BA1564" s="68" t="str">
        <f t="shared" ref="BA1564:BA1588" si="155">IF(AY1564&lt;-10,"Yes","No")</f>
        <v>No</v>
      </c>
    </row>
    <row r="1565" spans="1:53" hidden="1">
      <c r="A1565" t="s">
        <v>1035</v>
      </c>
      <c r="B1565" t="s">
        <v>3634</v>
      </c>
      <c r="C1565" t="s">
        <v>1189</v>
      </c>
      <c r="F1565" t="s">
        <v>1241</v>
      </c>
      <c r="G1565" t="s">
        <v>1001</v>
      </c>
      <c r="I1565">
        <v>2013</v>
      </c>
      <c r="K1565" t="s">
        <v>72</v>
      </c>
      <c r="M1565" s="25" t="s">
        <v>36</v>
      </c>
      <c r="N1565" t="s">
        <v>36</v>
      </c>
      <c r="P1565" t="s">
        <v>60</v>
      </c>
      <c r="Q1565" t="s">
        <v>900</v>
      </c>
      <c r="R1565" t="s">
        <v>1741</v>
      </c>
      <c r="S1565" t="s">
        <v>1010</v>
      </c>
      <c r="T1565">
        <v>-34.35</v>
      </c>
      <c r="U1565">
        <v>150.53</v>
      </c>
      <c r="V1565" t="s">
        <v>905</v>
      </c>
      <c r="X1565">
        <v>3</v>
      </c>
      <c r="Z1565">
        <v>6</v>
      </c>
      <c r="AA1565">
        <v>6</v>
      </c>
      <c r="AG1565" t="str">
        <f t="shared" si="153"/>
        <v>5JYP_Dolabrifera_brazieri_D3_CO2NA_TNA_control_outcome2.91</v>
      </c>
      <c r="AJ1565" t="s">
        <v>1027</v>
      </c>
      <c r="AK1565" t="s">
        <v>770</v>
      </c>
      <c r="AM1565"/>
      <c r="AN1565">
        <v>2.91</v>
      </c>
      <c r="AO1565">
        <v>2.3279999999999998</v>
      </c>
      <c r="AP1565">
        <v>0.73499999999999999</v>
      </c>
      <c r="AQ1565">
        <v>0.622</v>
      </c>
      <c r="AR1565" t="s">
        <v>3664</v>
      </c>
      <c r="AS1565">
        <v>-0.223143551</v>
      </c>
      <c r="AT1565">
        <v>2.2530266E-2</v>
      </c>
      <c r="AU1565" t="s">
        <v>3672</v>
      </c>
      <c r="AW1565" s="28">
        <f t="shared" si="148"/>
        <v>-1.2764924211989104</v>
      </c>
      <c r="AX1565">
        <f t="shared" si="149"/>
        <v>0.92307692307692313</v>
      </c>
      <c r="AY1565" s="62">
        <f t="shared" si="150"/>
        <v>-1.1783006964913019</v>
      </c>
      <c r="AZ1565" s="68" t="str">
        <f t="shared" si="154"/>
        <v>No</v>
      </c>
      <c r="BA1565" s="68" t="str">
        <f t="shared" si="155"/>
        <v>No</v>
      </c>
    </row>
    <row r="1566" spans="1:53" hidden="1">
      <c r="A1566" t="s">
        <v>1035</v>
      </c>
      <c r="B1566" t="s">
        <v>3635</v>
      </c>
      <c r="C1566" t="s">
        <v>1189</v>
      </c>
      <c r="F1566" t="s">
        <v>1241</v>
      </c>
      <c r="G1566" t="s">
        <v>1001</v>
      </c>
      <c r="I1566">
        <v>2013</v>
      </c>
      <c r="K1566" t="s">
        <v>72</v>
      </c>
      <c r="M1566" s="25" t="s">
        <v>36</v>
      </c>
      <c r="N1566" t="s">
        <v>36</v>
      </c>
      <c r="P1566" t="s">
        <v>60</v>
      </c>
      <c r="Q1566" t="s">
        <v>900</v>
      </c>
      <c r="R1566" t="s">
        <v>1741</v>
      </c>
      <c r="S1566" t="s">
        <v>1010</v>
      </c>
      <c r="T1566">
        <v>-34.35</v>
      </c>
      <c r="U1566">
        <v>150.53</v>
      </c>
      <c r="V1566" t="s">
        <v>907</v>
      </c>
      <c r="X1566">
        <v>3</v>
      </c>
      <c r="Z1566">
        <v>6</v>
      </c>
      <c r="AA1566">
        <v>6</v>
      </c>
      <c r="AG1566" t="str">
        <f t="shared" si="153"/>
        <v>5JYP_Dolabrifera_brazieri_D3_CO2NA_TNA_control_outcome2.91</v>
      </c>
      <c r="AJ1566" t="s">
        <v>1027</v>
      </c>
      <c r="AK1566" t="s">
        <v>770</v>
      </c>
      <c r="AM1566"/>
      <c r="AN1566">
        <v>2.91</v>
      </c>
      <c r="AO1566">
        <v>3.7360000000000002</v>
      </c>
      <c r="AP1566">
        <v>0.73499999999999999</v>
      </c>
      <c r="AQ1566">
        <v>0.41199999999999998</v>
      </c>
      <c r="AR1566" t="s">
        <v>3664</v>
      </c>
      <c r="AS1566">
        <v>0.24986243899999999</v>
      </c>
      <c r="AT1566">
        <v>1.2659437000000001E-2</v>
      </c>
      <c r="AU1566" t="s">
        <v>3672</v>
      </c>
      <c r="AW1566" s="28">
        <f t="shared" si="148"/>
        <v>-0.81835647572115766</v>
      </c>
      <c r="AX1566">
        <f t="shared" si="149"/>
        <v>0.92307692307692313</v>
      </c>
      <c r="AY1566" s="62">
        <f t="shared" si="150"/>
        <v>-0.75540597758876094</v>
      </c>
      <c r="AZ1566" s="68" t="str">
        <f t="shared" si="154"/>
        <v>No</v>
      </c>
      <c r="BA1566" s="68" t="str">
        <f t="shared" si="155"/>
        <v>No</v>
      </c>
    </row>
    <row r="1567" spans="1:53" hidden="1">
      <c r="A1567" t="s">
        <v>1035</v>
      </c>
      <c r="B1567" t="s">
        <v>3636</v>
      </c>
      <c r="C1567" t="s">
        <v>1189</v>
      </c>
      <c r="F1567" t="s">
        <v>1241</v>
      </c>
      <c r="G1567" t="s">
        <v>1001</v>
      </c>
      <c r="I1567">
        <v>2013</v>
      </c>
      <c r="K1567" t="s">
        <v>72</v>
      </c>
      <c r="M1567" s="25" t="s">
        <v>36</v>
      </c>
      <c r="N1567" t="s">
        <v>36</v>
      </c>
      <c r="P1567" t="s">
        <v>60</v>
      </c>
      <c r="Q1567" t="s">
        <v>900</v>
      </c>
      <c r="R1567" t="s">
        <v>1741</v>
      </c>
      <c r="S1567" t="s">
        <v>1010</v>
      </c>
      <c r="T1567">
        <v>-34.35</v>
      </c>
      <c r="U1567">
        <v>150.53</v>
      </c>
      <c r="V1567" t="s">
        <v>1015</v>
      </c>
      <c r="X1567">
        <v>3</v>
      </c>
      <c r="Z1567">
        <v>6</v>
      </c>
      <c r="AA1567">
        <v>6</v>
      </c>
      <c r="AG1567" t="str">
        <f t="shared" si="153"/>
        <v>5JYP_Dolabrifera_brazieri_D3_CO2NA_TNA_control_outcome2.91</v>
      </c>
      <c r="AJ1567" t="s">
        <v>1027</v>
      </c>
      <c r="AK1567" t="s">
        <v>770</v>
      </c>
      <c r="AM1567"/>
      <c r="AN1567">
        <v>2.91</v>
      </c>
      <c r="AO1567">
        <v>4</v>
      </c>
      <c r="AP1567">
        <v>0.73499999999999999</v>
      </c>
      <c r="AQ1567">
        <v>0</v>
      </c>
      <c r="AR1567" t="s">
        <v>3664</v>
      </c>
      <c r="AS1567">
        <v>0.29142239199999997</v>
      </c>
      <c r="AT1567">
        <v>2.4557151999999999E-2</v>
      </c>
      <c r="AU1567" t="s">
        <v>3672</v>
      </c>
      <c r="AW1567" s="28">
        <f t="shared" si="148"/>
        <v>-0.76897862454037047</v>
      </c>
      <c r="AX1567">
        <f t="shared" si="149"/>
        <v>0.92307692307692313</v>
      </c>
      <c r="AY1567" s="62">
        <f t="shared" si="150"/>
        <v>-0.70982642265264972</v>
      </c>
      <c r="AZ1567" s="68" t="str">
        <f t="shared" si="154"/>
        <v>No</v>
      </c>
      <c r="BA1567" s="68" t="str">
        <f t="shared" si="155"/>
        <v>No</v>
      </c>
    </row>
    <row r="1568" spans="1:53" hidden="1">
      <c r="A1568" t="s">
        <v>1035</v>
      </c>
      <c r="B1568" t="s">
        <v>3637</v>
      </c>
      <c r="C1568" t="s">
        <v>1190</v>
      </c>
      <c r="F1568" t="s">
        <v>1241</v>
      </c>
      <c r="G1568" t="s">
        <v>1002</v>
      </c>
      <c r="I1568">
        <v>2012</v>
      </c>
      <c r="K1568" t="s">
        <v>46</v>
      </c>
      <c r="M1568" s="25" t="s">
        <v>36</v>
      </c>
      <c r="N1568" t="s">
        <v>36</v>
      </c>
      <c r="P1568" t="s">
        <v>60</v>
      </c>
      <c r="Q1568" t="s">
        <v>899</v>
      </c>
      <c r="R1568" t="s">
        <v>834</v>
      </c>
      <c r="S1568" t="s">
        <v>1011</v>
      </c>
      <c r="T1568">
        <v>77.97</v>
      </c>
      <c r="U1568">
        <v>-0.56999999999999995</v>
      </c>
      <c r="V1568" t="s">
        <v>905</v>
      </c>
      <c r="X1568">
        <v>6</v>
      </c>
      <c r="Z1568">
        <v>4</v>
      </c>
      <c r="AA1568">
        <v>4</v>
      </c>
      <c r="AG1568" t="str">
        <f t="shared" si="153"/>
        <v>6JYP_Neogloboquadrina_pachyderma_D6_CO2NA_TNA_control_outcome1.15</v>
      </c>
      <c r="AJ1568" t="s">
        <v>1028</v>
      </c>
      <c r="AK1568" t="s">
        <v>904</v>
      </c>
      <c r="AM1568"/>
      <c r="AN1568">
        <v>1.149</v>
      </c>
      <c r="AO1568">
        <v>0.78900000000000003</v>
      </c>
      <c r="AP1568">
        <v>6.3500000000000001E-2</v>
      </c>
      <c r="AQ1568">
        <v>4.7899999999999998E-2</v>
      </c>
      <c r="AR1568" t="s">
        <v>3668</v>
      </c>
      <c r="AS1568">
        <v>-0.37588095700000002</v>
      </c>
      <c r="AT1568">
        <v>1.6849860000000001E-3</v>
      </c>
      <c r="AU1568" t="s">
        <v>3672</v>
      </c>
      <c r="AW1568" s="28">
        <f t="shared" si="148"/>
        <v>-1.9420882448948238</v>
      </c>
      <c r="AX1568">
        <f t="shared" si="149"/>
        <v>0.86956521739130432</v>
      </c>
      <c r="AY1568" s="62">
        <f t="shared" si="150"/>
        <v>-1.6887723868650641</v>
      </c>
      <c r="AZ1568" s="68" t="str">
        <f t="shared" si="154"/>
        <v>No</v>
      </c>
      <c r="BA1568" s="68" t="str">
        <f t="shared" si="155"/>
        <v>No</v>
      </c>
    </row>
    <row r="1569" spans="1:53" hidden="1">
      <c r="A1569" t="s">
        <v>1035</v>
      </c>
      <c r="B1569" t="s">
        <v>3638</v>
      </c>
      <c r="C1569" t="s">
        <v>1190</v>
      </c>
      <c r="F1569" t="s">
        <v>1241</v>
      </c>
      <c r="G1569" t="s">
        <v>1002</v>
      </c>
      <c r="I1569">
        <v>2012</v>
      </c>
      <c r="K1569" t="s">
        <v>46</v>
      </c>
      <c r="M1569" s="25" t="s">
        <v>36</v>
      </c>
      <c r="N1569" t="s">
        <v>36</v>
      </c>
      <c r="P1569" t="s">
        <v>60</v>
      </c>
      <c r="Q1569" t="s">
        <v>899</v>
      </c>
      <c r="R1569" t="s">
        <v>834</v>
      </c>
      <c r="S1569" t="s">
        <v>1011</v>
      </c>
      <c r="T1569">
        <v>77.97</v>
      </c>
      <c r="U1569">
        <v>-0.56999999999999995</v>
      </c>
      <c r="V1569" t="s">
        <v>907</v>
      </c>
      <c r="X1569">
        <v>6</v>
      </c>
      <c r="Z1569">
        <v>4</v>
      </c>
      <c r="AA1569">
        <v>4</v>
      </c>
      <c r="AG1569" t="str">
        <f t="shared" si="153"/>
        <v>6JYP_Neogloboquadrina_pachyderma_D6_CO2NA_TNA_control_outcome1.15</v>
      </c>
      <c r="AJ1569" t="s">
        <v>1028</v>
      </c>
      <c r="AK1569" t="s">
        <v>904</v>
      </c>
      <c r="AM1569"/>
      <c r="AN1569">
        <v>1.149</v>
      </c>
      <c r="AO1569">
        <v>1.161</v>
      </c>
      <c r="AP1569">
        <v>6.3500000000000001E-2</v>
      </c>
      <c r="AQ1569">
        <v>6.3500000000000001E-2</v>
      </c>
      <c r="AR1569" t="s">
        <v>3668</v>
      </c>
      <c r="AS1569">
        <v>1.0389704E-2</v>
      </c>
      <c r="AT1569">
        <v>1.5114320000000001E-3</v>
      </c>
      <c r="AU1569" t="s">
        <v>3672</v>
      </c>
      <c r="AW1569" s="28">
        <f t="shared" si="148"/>
        <v>-1.320273749796105</v>
      </c>
      <c r="AX1569">
        <f t="shared" si="149"/>
        <v>0.86956521739130432</v>
      </c>
      <c r="AY1569" s="62">
        <f t="shared" si="150"/>
        <v>-1.1480641302574826</v>
      </c>
      <c r="AZ1569" s="68" t="str">
        <f t="shared" si="154"/>
        <v>No</v>
      </c>
      <c r="BA1569" s="68" t="str">
        <f t="shared" si="155"/>
        <v>No</v>
      </c>
    </row>
    <row r="1570" spans="1:53" hidden="1">
      <c r="A1570" t="s">
        <v>1035</v>
      </c>
      <c r="B1570" t="s">
        <v>3639</v>
      </c>
      <c r="C1570" t="s">
        <v>1190</v>
      </c>
      <c r="F1570" t="s">
        <v>1241</v>
      </c>
      <c r="G1570" t="s">
        <v>1002</v>
      </c>
      <c r="I1570">
        <v>2012</v>
      </c>
      <c r="K1570" t="s">
        <v>46</v>
      </c>
      <c r="M1570" s="25" t="s">
        <v>36</v>
      </c>
      <c r="N1570" t="s">
        <v>36</v>
      </c>
      <c r="P1570" t="s">
        <v>60</v>
      </c>
      <c r="Q1570" t="s">
        <v>899</v>
      </c>
      <c r="R1570" t="s">
        <v>834</v>
      </c>
      <c r="S1570" t="s">
        <v>1011</v>
      </c>
      <c r="T1570">
        <v>77.97</v>
      </c>
      <c r="U1570">
        <v>-0.56999999999999995</v>
      </c>
      <c r="V1570" t="s">
        <v>1015</v>
      </c>
      <c r="X1570">
        <v>6</v>
      </c>
      <c r="Z1570">
        <v>4</v>
      </c>
      <c r="AA1570">
        <v>4</v>
      </c>
      <c r="AG1570" t="str">
        <f t="shared" si="153"/>
        <v>6JYP_Neogloboquadrina_pachyderma_D6_CO2NA_TNA_control_outcome1.15</v>
      </c>
      <c r="AJ1570" t="s">
        <v>1028</v>
      </c>
      <c r="AK1570" t="s">
        <v>904</v>
      </c>
      <c r="AM1570"/>
      <c r="AN1570">
        <v>1.149</v>
      </c>
      <c r="AO1570">
        <v>0.93899999999999995</v>
      </c>
      <c r="AP1570">
        <v>6.3500000000000001E-2</v>
      </c>
      <c r="AQ1570">
        <v>5.21E-2</v>
      </c>
      <c r="AR1570" t="s">
        <v>3668</v>
      </c>
      <c r="AS1570">
        <v>0.16365945500000001</v>
      </c>
      <c r="AT1570">
        <v>3.2024850000000001E-3</v>
      </c>
      <c r="AU1570" t="s">
        <v>3672</v>
      </c>
      <c r="AW1570" s="28">
        <f t="shared" si="148"/>
        <v>-1.632344290802997</v>
      </c>
      <c r="AX1570">
        <f t="shared" si="149"/>
        <v>0.86956521739130432</v>
      </c>
      <c r="AY1570" s="62">
        <f t="shared" si="150"/>
        <v>-1.4194298180895626</v>
      </c>
      <c r="AZ1570" s="68" t="str">
        <f t="shared" si="154"/>
        <v>No</v>
      </c>
      <c r="BA1570" s="68" t="str">
        <f t="shared" si="155"/>
        <v>No</v>
      </c>
    </row>
    <row r="1571" spans="1:53" hidden="1">
      <c r="A1571" t="s">
        <v>1035</v>
      </c>
      <c r="B1571" t="s">
        <v>3640</v>
      </c>
      <c r="C1571" t="s">
        <v>1191</v>
      </c>
      <c r="F1571" t="s">
        <v>1241</v>
      </c>
      <c r="G1571" t="s">
        <v>1003</v>
      </c>
      <c r="I1571">
        <v>2019</v>
      </c>
      <c r="K1571" t="s">
        <v>72</v>
      </c>
      <c r="M1571" s="25" t="s">
        <v>36</v>
      </c>
      <c r="N1571" t="s">
        <v>36</v>
      </c>
      <c r="P1571" t="s">
        <v>60</v>
      </c>
      <c r="Q1571" t="s">
        <v>899</v>
      </c>
      <c r="R1571" t="s">
        <v>834</v>
      </c>
      <c r="S1571" t="s">
        <v>1012</v>
      </c>
      <c r="T1571">
        <v>-14.4</v>
      </c>
      <c r="U1571">
        <v>145.27000000000001</v>
      </c>
      <c r="V1571" t="s">
        <v>905</v>
      </c>
      <c r="X1571">
        <v>15</v>
      </c>
      <c r="Z1571">
        <v>10</v>
      </c>
      <c r="AA1571">
        <v>10</v>
      </c>
      <c r="AG1571" t="str">
        <f t="shared" si="153"/>
        <v>7JYP_Marginopora_vertebralis_D15_CO2NA_TNA_control_outcome0.52</v>
      </c>
      <c r="AJ1571" t="s">
        <v>1029</v>
      </c>
      <c r="AK1571" t="s">
        <v>40</v>
      </c>
      <c r="AM1571"/>
      <c r="AN1571">
        <v>0.52200000000000002</v>
      </c>
      <c r="AO1571">
        <v>0.27700000000000002</v>
      </c>
      <c r="AP1571">
        <v>0.12330000000000001</v>
      </c>
      <c r="AQ1571">
        <v>0.12330000000000001</v>
      </c>
      <c r="AR1571" t="s">
        <v>3658</v>
      </c>
      <c r="AS1571">
        <v>-0.63365008199999995</v>
      </c>
      <c r="AT1571">
        <v>2.5393117E-2</v>
      </c>
      <c r="AU1571" t="s">
        <v>3672</v>
      </c>
      <c r="AW1571" s="28">
        <f t="shared" si="148"/>
        <v>-1.859636831507913</v>
      </c>
      <c r="AX1571">
        <f t="shared" si="149"/>
        <v>0.95774647887323949</v>
      </c>
      <c r="AY1571" s="62">
        <f t="shared" si="150"/>
        <v>-1.7810606273596914</v>
      </c>
      <c r="AZ1571" s="68" t="str">
        <f t="shared" si="154"/>
        <v>No</v>
      </c>
      <c r="BA1571" s="68" t="str">
        <f t="shared" si="155"/>
        <v>No</v>
      </c>
    </row>
    <row r="1572" spans="1:53" hidden="1">
      <c r="A1572" t="s">
        <v>1035</v>
      </c>
      <c r="B1572" t="s">
        <v>3641</v>
      </c>
      <c r="C1572" t="s">
        <v>1191</v>
      </c>
      <c r="F1572" t="s">
        <v>1241</v>
      </c>
      <c r="G1572" t="s">
        <v>1003</v>
      </c>
      <c r="I1572">
        <v>2019</v>
      </c>
      <c r="K1572" t="s">
        <v>72</v>
      </c>
      <c r="M1572" s="25" t="s">
        <v>36</v>
      </c>
      <c r="N1572" t="s">
        <v>36</v>
      </c>
      <c r="P1572" t="s">
        <v>60</v>
      </c>
      <c r="Q1572" t="s">
        <v>899</v>
      </c>
      <c r="R1572" t="s">
        <v>834</v>
      </c>
      <c r="S1572" t="s">
        <v>1012</v>
      </c>
      <c r="T1572">
        <v>-14.4</v>
      </c>
      <c r="U1572">
        <v>145.27000000000001</v>
      </c>
      <c r="V1572" t="s">
        <v>907</v>
      </c>
      <c r="X1572">
        <v>15</v>
      </c>
      <c r="Z1572">
        <v>10</v>
      </c>
      <c r="AA1572">
        <v>10</v>
      </c>
      <c r="AG1572" t="str">
        <f t="shared" si="153"/>
        <v>7JYP_Marginopora_vertebralis_D15_CO2NA_TNA_control_outcome0.52</v>
      </c>
      <c r="AJ1572" t="s">
        <v>1029</v>
      </c>
      <c r="AK1572" t="s">
        <v>40</v>
      </c>
      <c r="AM1572"/>
      <c r="AN1572">
        <v>0.52200000000000002</v>
      </c>
      <c r="AO1572">
        <v>0.56100000000000005</v>
      </c>
      <c r="AP1572">
        <v>0.12330000000000001</v>
      </c>
      <c r="AQ1572">
        <v>0.1075</v>
      </c>
      <c r="AR1572" t="s">
        <v>3658</v>
      </c>
      <c r="AS1572">
        <v>7.2053318000000005E-2</v>
      </c>
      <c r="AT1572">
        <v>9.2512730000000008E-3</v>
      </c>
      <c r="AU1572" t="s">
        <v>3672</v>
      </c>
      <c r="AW1572" s="28">
        <f t="shared" si="148"/>
        <v>-0.9871151942589621</v>
      </c>
      <c r="AX1572">
        <f t="shared" si="149"/>
        <v>0.95774647887323949</v>
      </c>
      <c r="AY1572" s="62">
        <f t="shared" si="150"/>
        <v>-0.94540610154379479</v>
      </c>
      <c r="AZ1572" s="68" t="str">
        <f t="shared" si="154"/>
        <v>No</v>
      </c>
      <c r="BA1572" s="68" t="str">
        <f t="shared" si="155"/>
        <v>No</v>
      </c>
    </row>
    <row r="1573" spans="1:53" hidden="1">
      <c r="A1573" t="s">
        <v>1035</v>
      </c>
      <c r="B1573" t="s">
        <v>3642</v>
      </c>
      <c r="C1573" t="s">
        <v>1191</v>
      </c>
      <c r="F1573" t="s">
        <v>1241</v>
      </c>
      <c r="G1573" t="s">
        <v>1003</v>
      </c>
      <c r="I1573">
        <v>2019</v>
      </c>
      <c r="K1573" t="s">
        <v>72</v>
      </c>
      <c r="M1573" s="25" t="s">
        <v>36</v>
      </c>
      <c r="N1573" t="s">
        <v>36</v>
      </c>
      <c r="P1573" t="s">
        <v>60</v>
      </c>
      <c r="Q1573" t="s">
        <v>899</v>
      </c>
      <c r="R1573" t="s">
        <v>834</v>
      </c>
      <c r="S1573" t="s">
        <v>1012</v>
      </c>
      <c r="T1573">
        <v>-14.4</v>
      </c>
      <c r="U1573">
        <v>145.27000000000001</v>
      </c>
      <c r="V1573" t="s">
        <v>1015</v>
      </c>
      <c r="X1573">
        <v>15</v>
      </c>
      <c r="Z1573">
        <v>10</v>
      </c>
      <c r="AA1573">
        <v>10</v>
      </c>
      <c r="AG1573" t="str">
        <f t="shared" si="153"/>
        <v>7JYP_Marginopora_vertebralis_D15_CO2NA_TNA_control_outcome0.52</v>
      </c>
      <c r="AJ1573" t="s">
        <v>1029</v>
      </c>
      <c r="AK1573" t="s">
        <v>40</v>
      </c>
      <c r="AM1573"/>
      <c r="AN1573">
        <v>0.52200000000000002</v>
      </c>
      <c r="AO1573">
        <v>0.29899999999999999</v>
      </c>
      <c r="AP1573">
        <v>0.12330000000000001</v>
      </c>
      <c r="AQ1573">
        <v>0.22450000000000001</v>
      </c>
      <c r="AR1573" t="s">
        <v>3658</v>
      </c>
      <c r="AS1573">
        <v>4.3727499999999999E-3</v>
      </c>
      <c r="AT1573">
        <v>8.5440507999999998E-2</v>
      </c>
      <c r="AU1573" t="s">
        <v>3672</v>
      </c>
      <c r="AW1573" s="28">
        <f t="shared" si="148"/>
        <v>-1.50801515553375</v>
      </c>
      <c r="AX1573">
        <f t="shared" si="149"/>
        <v>0.95774647887323949</v>
      </c>
      <c r="AY1573" s="62">
        <f t="shared" si="150"/>
        <v>-1.4442962052999297</v>
      </c>
      <c r="AZ1573" s="68" t="str">
        <f t="shared" si="154"/>
        <v>No</v>
      </c>
      <c r="BA1573" s="68" t="str">
        <f t="shared" si="155"/>
        <v>No</v>
      </c>
    </row>
    <row r="1574" spans="1:53" hidden="1">
      <c r="A1574" t="s">
        <v>1035</v>
      </c>
      <c r="B1574" t="s">
        <v>3643</v>
      </c>
      <c r="C1574" t="s">
        <v>1191</v>
      </c>
      <c r="F1574" t="s">
        <v>1241</v>
      </c>
      <c r="G1574" t="s">
        <v>1003</v>
      </c>
      <c r="I1574">
        <v>2019</v>
      </c>
      <c r="K1574" t="s">
        <v>72</v>
      </c>
      <c r="M1574" s="25" t="s">
        <v>36</v>
      </c>
      <c r="N1574" t="s">
        <v>36</v>
      </c>
      <c r="P1574" t="s">
        <v>60</v>
      </c>
      <c r="Q1574" t="s">
        <v>899</v>
      </c>
      <c r="R1574" t="s">
        <v>834</v>
      </c>
      <c r="S1574" t="s">
        <v>1012</v>
      </c>
      <c r="T1574">
        <v>-14.4</v>
      </c>
      <c r="U1574">
        <v>145.27000000000001</v>
      </c>
      <c r="V1574" t="s">
        <v>905</v>
      </c>
      <c r="X1574">
        <v>15</v>
      </c>
      <c r="Z1574">
        <v>10</v>
      </c>
      <c r="AA1574">
        <v>10</v>
      </c>
      <c r="AG1574" t="str">
        <f t="shared" si="153"/>
        <v>7JYP_Marginopora_vertebralis_D15_CO2NA_TNA_control_outcome0.87</v>
      </c>
      <c r="AJ1574" t="s">
        <v>1030</v>
      </c>
      <c r="AK1574" t="s">
        <v>904</v>
      </c>
      <c r="AM1574"/>
      <c r="AN1574">
        <v>0.87</v>
      </c>
      <c r="AO1574">
        <v>0.76200000000000001</v>
      </c>
      <c r="AP1574">
        <v>0.40160000000000001</v>
      </c>
      <c r="AQ1574">
        <v>0.155</v>
      </c>
      <c r="AR1574" t="s">
        <v>3658</v>
      </c>
      <c r="AS1574">
        <v>-0.13254665600000001</v>
      </c>
      <c r="AT1574">
        <v>2.5445952000000001E-2</v>
      </c>
      <c r="AU1574" t="s">
        <v>3672</v>
      </c>
      <c r="AW1574" s="28">
        <f t="shared" si="148"/>
        <v>-0.85186942756849848</v>
      </c>
      <c r="AX1574">
        <f t="shared" si="149"/>
        <v>0.95774647887323949</v>
      </c>
      <c r="AY1574" s="62">
        <f t="shared" si="150"/>
        <v>-0.81587494471349153</v>
      </c>
      <c r="AZ1574" s="68" t="str">
        <f t="shared" si="154"/>
        <v>No</v>
      </c>
      <c r="BA1574" s="68" t="str">
        <f t="shared" si="155"/>
        <v>No</v>
      </c>
    </row>
    <row r="1575" spans="1:53" hidden="1">
      <c r="A1575" t="s">
        <v>1035</v>
      </c>
      <c r="B1575" t="s">
        <v>3644</v>
      </c>
      <c r="C1575" t="s">
        <v>1191</v>
      </c>
      <c r="F1575" t="s">
        <v>1241</v>
      </c>
      <c r="G1575" t="s">
        <v>1003</v>
      </c>
      <c r="I1575">
        <v>2019</v>
      </c>
      <c r="K1575" t="s">
        <v>72</v>
      </c>
      <c r="M1575" s="25" t="s">
        <v>36</v>
      </c>
      <c r="N1575" t="s">
        <v>36</v>
      </c>
      <c r="P1575" t="s">
        <v>60</v>
      </c>
      <c r="Q1575" t="s">
        <v>899</v>
      </c>
      <c r="R1575" t="s">
        <v>834</v>
      </c>
      <c r="S1575" t="s">
        <v>1012</v>
      </c>
      <c r="T1575">
        <v>-14.4</v>
      </c>
      <c r="U1575">
        <v>145.27000000000001</v>
      </c>
      <c r="V1575" t="s">
        <v>907</v>
      </c>
      <c r="X1575">
        <v>15</v>
      </c>
      <c r="Z1575">
        <v>10</v>
      </c>
      <c r="AA1575">
        <v>10</v>
      </c>
      <c r="AG1575" t="str">
        <f t="shared" si="153"/>
        <v>7JYP_Marginopora_vertebralis_D15_CO2NA_TNA_control_outcome0.87</v>
      </c>
      <c r="AJ1575" t="s">
        <v>1030</v>
      </c>
      <c r="AK1575" t="s">
        <v>904</v>
      </c>
      <c r="AM1575"/>
      <c r="AN1575">
        <v>0.87</v>
      </c>
      <c r="AO1575">
        <v>0.28699999999999998</v>
      </c>
      <c r="AP1575">
        <v>0.40160000000000001</v>
      </c>
      <c r="AQ1575">
        <v>0.29730000000000001</v>
      </c>
      <c r="AR1575" t="s">
        <v>3658</v>
      </c>
      <c r="AS1575">
        <v>-1.1090109960000001</v>
      </c>
      <c r="AT1575">
        <v>0.128614804</v>
      </c>
      <c r="AU1575" t="s">
        <v>3672</v>
      </c>
      <c r="AW1575" s="28">
        <f t="shared" si="148"/>
        <v>-1.6030369355620824</v>
      </c>
      <c r="AX1575">
        <f t="shared" si="149"/>
        <v>0.95774647887323949</v>
      </c>
      <c r="AY1575" s="62">
        <f t="shared" si="150"/>
        <v>-1.5353029805383325</v>
      </c>
      <c r="AZ1575" s="68" t="str">
        <f t="shared" si="154"/>
        <v>No</v>
      </c>
      <c r="BA1575" s="68" t="str">
        <f t="shared" si="155"/>
        <v>No</v>
      </c>
    </row>
    <row r="1576" spans="1:53" hidden="1">
      <c r="A1576" t="s">
        <v>1035</v>
      </c>
      <c r="B1576" t="s">
        <v>3645</v>
      </c>
      <c r="C1576" t="s">
        <v>1191</v>
      </c>
      <c r="F1576" t="s">
        <v>1241</v>
      </c>
      <c r="G1576" t="s">
        <v>1003</v>
      </c>
      <c r="I1576">
        <v>2019</v>
      </c>
      <c r="K1576" t="s">
        <v>72</v>
      </c>
      <c r="M1576" s="25" t="s">
        <v>36</v>
      </c>
      <c r="N1576" t="s">
        <v>36</v>
      </c>
      <c r="P1576" t="s">
        <v>60</v>
      </c>
      <c r="Q1576" t="s">
        <v>899</v>
      </c>
      <c r="R1576" t="s">
        <v>834</v>
      </c>
      <c r="S1576" t="s">
        <v>1012</v>
      </c>
      <c r="T1576">
        <v>-14.4</v>
      </c>
      <c r="U1576">
        <v>145.27000000000001</v>
      </c>
      <c r="V1576" t="s">
        <v>1015</v>
      </c>
      <c r="X1576">
        <v>15</v>
      </c>
      <c r="Z1576">
        <v>10</v>
      </c>
      <c r="AA1576">
        <v>10</v>
      </c>
      <c r="AG1576" t="str">
        <f t="shared" si="153"/>
        <v>7JYP_Marginopora_vertebralis_D15_CO2NA_TNA_control_outcome0.87</v>
      </c>
      <c r="AJ1576" t="s">
        <v>1030</v>
      </c>
      <c r="AK1576" t="s">
        <v>904</v>
      </c>
      <c r="AM1576"/>
      <c r="AN1576">
        <v>0.87</v>
      </c>
      <c r="AO1576">
        <v>0.21099999999999999</v>
      </c>
      <c r="AP1576">
        <v>0.40160000000000001</v>
      </c>
      <c r="AQ1576">
        <v>0.2656</v>
      </c>
      <c r="AR1576" t="s">
        <v>3658</v>
      </c>
      <c r="AS1576">
        <v>-0.17507742600000001</v>
      </c>
      <c r="AT1576">
        <v>0.291202081</v>
      </c>
      <c r="AU1576" t="s">
        <v>3672</v>
      </c>
      <c r="AW1576" s="28">
        <f t="shared" si="148"/>
        <v>-1.9528166582766093</v>
      </c>
      <c r="AX1576">
        <f t="shared" si="149"/>
        <v>0.95774647887323949</v>
      </c>
      <c r="AY1576" s="62">
        <f t="shared" si="150"/>
        <v>-1.8703032783494287</v>
      </c>
      <c r="AZ1576" s="68" t="str">
        <f t="shared" si="154"/>
        <v>No</v>
      </c>
      <c r="BA1576" s="68" t="str">
        <f t="shared" si="155"/>
        <v>No</v>
      </c>
    </row>
    <row r="1577" spans="1:53" hidden="1">
      <c r="A1577" t="s">
        <v>1035</v>
      </c>
      <c r="B1577" t="s">
        <v>3646</v>
      </c>
      <c r="C1577" t="s">
        <v>1192</v>
      </c>
      <c r="F1577" t="s">
        <v>1241</v>
      </c>
      <c r="G1577" t="s">
        <v>1004</v>
      </c>
      <c r="I1577">
        <v>2020</v>
      </c>
      <c r="K1577" t="s">
        <v>49</v>
      </c>
      <c r="M1577" s="25" t="s">
        <v>36</v>
      </c>
      <c r="N1577" t="s">
        <v>36</v>
      </c>
      <c r="P1577" t="s">
        <v>60</v>
      </c>
      <c r="Q1577" t="s">
        <v>900</v>
      </c>
      <c r="R1577" t="s">
        <v>946</v>
      </c>
      <c r="S1577" t="s">
        <v>1013</v>
      </c>
      <c r="T1577">
        <v>34.25</v>
      </c>
      <c r="U1577">
        <v>119.54</v>
      </c>
      <c r="V1577" t="s">
        <v>905</v>
      </c>
      <c r="X1577">
        <v>1</v>
      </c>
      <c r="Z1577">
        <v>3</v>
      </c>
      <c r="AA1577">
        <v>3</v>
      </c>
      <c r="AG1577" t="str">
        <f t="shared" si="153"/>
        <v>8JYP_Mesocentrotus_franciscanus_D1_CO2NA_TNA_control_outcome0.15</v>
      </c>
      <c r="AJ1577" t="s">
        <v>1031</v>
      </c>
      <c r="AK1577" t="s">
        <v>40</v>
      </c>
      <c r="AM1577"/>
      <c r="AN1577">
        <v>0.15479999999999999</v>
      </c>
      <c r="AO1577">
        <v>0.1459</v>
      </c>
      <c r="AP1577">
        <v>6.0000000000000001E-3</v>
      </c>
      <c r="AQ1577">
        <v>5.0000000000000001E-3</v>
      </c>
      <c r="AR1577" t="s">
        <v>3669</v>
      </c>
      <c r="AS1577">
        <v>-5.9212505999999998E-2</v>
      </c>
      <c r="AT1577">
        <v>8.9225000000000003E-4</v>
      </c>
      <c r="AU1577" t="s">
        <v>3672</v>
      </c>
      <c r="AW1577" s="28">
        <f t="shared" si="148"/>
        <v>-1.4414771459410991</v>
      </c>
      <c r="AX1577">
        <f t="shared" si="149"/>
        <v>0.8</v>
      </c>
      <c r="AY1577" s="62">
        <f t="shared" si="150"/>
        <v>-1.1531817167528793</v>
      </c>
      <c r="AZ1577" s="68" t="str">
        <f t="shared" si="154"/>
        <v>No</v>
      </c>
      <c r="BA1577" s="68" t="str">
        <f t="shared" si="155"/>
        <v>No</v>
      </c>
    </row>
    <row r="1578" spans="1:53" hidden="1">
      <c r="A1578" t="s">
        <v>1035</v>
      </c>
      <c r="B1578" t="s">
        <v>3647</v>
      </c>
      <c r="C1578" t="s">
        <v>1192</v>
      </c>
      <c r="F1578" t="s">
        <v>1241</v>
      </c>
      <c r="G1578" t="s">
        <v>1004</v>
      </c>
      <c r="I1578">
        <v>2020</v>
      </c>
      <c r="K1578" t="s">
        <v>49</v>
      </c>
      <c r="M1578" s="25" t="s">
        <v>36</v>
      </c>
      <c r="N1578" t="s">
        <v>36</v>
      </c>
      <c r="P1578" t="s">
        <v>60</v>
      </c>
      <c r="Q1578" t="s">
        <v>900</v>
      </c>
      <c r="R1578" t="s">
        <v>946</v>
      </c>
      <c r="S1578" t="s">
        <v>1013</v>
      </c>
      <c r="T1578">
        <v>34.25</v>
      </c>
      <c r="U1578">
        <v>119.54</v>
      </c>
      <c r="V1578" t="s">
        <v>907</v>
      </c>
      <c r="X1578">
        <v>1</v>
      </c>
      <c r="Z1578">
        <v>3</v>
      </c>
      <c r="AA1578">
        <v>3</v>
      </c>
      <c r="AG1578" t="str">
        <f t="shared" si="153"/>
        <v>8JYP_Mesocentrotus_franciscanus_D1_CO2NA_TNA_control_outcome0.15</v>
      </c>
      <c r="AJ1578" t="s">
        <v>1031</v>
      </c>
      <c r="AK1578" t="s">
        <v>40</v>
      </c>
      <c r="AM1578"/>
      <c r="AN1578">
        <v>0.15479999999999999</v>
      </c>
      <c r="AO1578">
        <v>0.15540000000000001</v>
      </c>
      <c r="AP1578">
        <v>6.0000000000000001E-3</v>
      </c>
      <c r="AQ1578">
        <v>7.0000000000000001E-3</v>
      </c>
      <c r="AR1578" t="s">
        <v>3669</v>
      </c>
      <c r="AS1578">
        <v>3.8684769999999999E-3</v>
      </c>
      <c r="AT1578">
        <v>1.177123E-3</v>
      </c>
      <c r="AU1578" t="s">
        <v>3672</v>
      </c>
      <c r="AW1578" s="28">
        <f t="shared" si="148"/>
        <v>-1.3527787016555073</v>
      </c>
      <c r="AX1578">
        <f t="shared" si="149"/>
        <v>0.8</v>
      </c>
      <c r="AY1578" s="62">
        <f t="shared" si="150"/>
        <v>-1.0822229613244059</v>
      </c>
      <c r="AZ1578" s="68" t="str">
        <f t="shared" si="154"/>
        <v>No</v>
      </c>
      <c r="BA1578" s="68" t="str">
        <f t="shared" si="155"/>
        <v>No</v>
      </c>
    </row>
    <row r="1579" spans="1:53" hidden="1">
      <c r="A1579" t="s">
        <v>1035</v>
      </c>
      <c r="B1579" t="s">
        <v>3648</v>
      </c>
      <c r="C1579" t="s">
        <v>1192</v>
      </c>
      <c r="F1579" t="s">
        <v>1241</v>
      </c>
      <c r="G1579" t="s">
        <v>1004</v>
      </c>
      <c r="I1579">
        <v>2020</v>
      </c>
      <c r="K1579" t="s">
        <v>49</v>
      </c>
      <c r="M1579" s="25" t="s">
        <v>36</v>
      </c>
      <c r="N1579" t="s">
        <v>36</v>
      </c>
      <c r="P1579" t="s">
        <v>60</v>
      </c>
      <c r="Q1579" t="s">
        <v>900</v>
      </c>
      <c r="R1579" t="s">
        <v>946</v>
      </c>
      <c r="S1579" t="s">
        <v>1013</v>
      </c>
      <c r="T1579">
        <v>34.25</v>
      </c>
      <c r="U1579">
        <v>119.54</v>
      </c>
      <c r="V1579" t="s">
        <v>1015</v>
      </c>
      <c r="X1579">
        <v>1</v>
      </c>
      <c r="Z1579">
        <v>3</v>
      </c>
      <c r="AA1579">
        <v>3</v>
      </c>
      <c r="AG1579" t="str">
        <f t="shared" si="153"/>
        <v>8JYP_Mesocentrotus_franciscanus_D1_CO2NA_TNA_control_outcome0.15</v>
      </c>
      <c r="AJ1579" t="s">
        <v>1031</v>
      </c>
      <c r="AK1579" t="s">
        <v>40</v>
      </c>
      <c r="AM1579"/>
      <c r="AN1579">
        <v>0.15479999999999999</v>
      </c>
      <c r="AO1579">
        <v>0.15</v>
      </c>
      <c r="AP1579">
        <v>6.0000000000000001E-3</v>
      </c>
      <c r="AQ1579">
        <v>7.0000000000000001E-3</v>
      </c>
      <c r="AR1579" t="s">
        <v>3669</v>
      </c>
      <c r="AS1579">
        <v>2.3845361999999998E-2</v>
      </c>
      <c r="AT1579">
        <v>2.2945280000000001E-3</v>
      </c>
      <c r="AU1579" t="s">
        <v>3672</v>
      </c>
      <c r="AW1579" s="28">
        <f t="shared" si="148"/>
        <v>-1.4013747423748699</v>
      </c>
      <c r="AX1579">
        <f t="shared" si="149"/>
        <v>0.8</v>
      </c>
      <c r="AY1579" s="62">
        <f t="shared" si="150"/>
        <v>-1.1210997938998959</v>
      </c>
      <c r="AZ1579" s="68" t="str">
        <f t="shared" si="154"/>
        <v>No</v>
      </c>
      <c r="BA1579" s="68" t="str">
        <f t="shared" si="155"/>
        <v>No</v>
      </c>
    </row>
    <row r="1580" spans="1:53" hidden="1">
      <c r="A1580" t="s">
        <v>1035</v>
      </c>
      <c r="B1580" t="s">
        <v>3649</v>
      </c>
      <c r="C1580" t="s">
        <v>1193</v>
      </c>
      <c r="F1580" t="s">
        <v>1241</v>
      </c>
      <c r="G1580" t="s">
        <v>1005</v>
      </c>
      <c r="I1580">
        <v>2019</v>
      </c>
      <c r="K1580" t="s">
        <v>3671</v>
      </c>
      <c r="M1580" s="25" t="s">
        <v>36</v>
      </c>
      <c r="N1580" t="s">
        <v>36</v>
      </c>
      <c r="P1580" t="s">
        <v>60</v>
      </c>
      <c r="Q1580" t="s">
        <v>900</v>
      </c>
      <c r="R1580" t="s">
        <v>1741</v>
      </c>
      <c r="S1580" t="s">
        <v>1014</v>
      </c>
      <c r="T1580">
        <v>38.119999999999997</v>
      </c>
      <c r="U1580">
        <v>13.17</v>
      </c>
      <c r="V1580" t="s">
        <v>905</v>
      </c>
      <c r="X1580">
        <v>57</v>
      </c>
      <c r="Z1580">
        <v>3</v>
      </c>
      <c r="AA1580">
        <v>3</v>
      </c>
      <c r="AG1580" t="str">
        <f t="shared" si="153"/>
        <v>9JYP_Dendropoma_cristatum_D57_CO2NA_TNA_control_outcome0.72</v>
      </c>
      <c r="AJ1580" t="s">
        <v>1032</v>
      </c>
      <c r="AK1580" t="s">
        <v>40</v>
      </c>
      <c r="AM1580"/>
      <c r="AN1580">
        <v>0.72299999999999998</v>
      </c>
      <c r="AO1580">
        <v>0.73599999999999999</v>
      </c>
      <c r="AP1580">
        <v>6.8999999999999999E-3</v>
      </c>
      <c r="AQ1580">
        <v>5.1999999999999998E-3</v>
      </c>
      <c r="AR1580" t="s">
        <v>3664</v>
      </c>
      <c r="AS1580">
        <v>1.7820896999999999E-2</v>
      </c>
      <c r="AT1580" s="29">
        <v>4.6999999999999997E-5</v>
      </c>
      <c r="AU1580" t="s">
        <v>3672</v>
      </c>
      <c r="AW1580" s="28">
        <f t="shared" si="148"/>
        <v>-1.3759416533707189</v>
      </c>
      <c r="AX1580">
        <f t="shared" si="149"/>
        <v>0.8</v>
      </c>
      <c r="AY1580" s="62">
        <f t="shared" si="150"/>
        <v>-1.1007533226965751</v>
      </c>
      <c r="AZ1580" s="68" t="str">
        <f t="shared" si="154"/>
        <v>No</v>
      </c>
      <c r="BA1580" s="68" t="str">
        <f t="shared" si="155"/>
        <v>No</v>
      </c>
    </row>
    <row r="1581" spans="1:53" hidden="1">
      <c r="A1581" t="s">
        <v>1035</v>
      </c>
      <c r="B1581" t="s">
        <v>3650</v>
      </c>
      <c r="C1581" t="s">
        <v>1193</v>
      </c>
      <c r="F1581" t="s">
        <v>1241</v>
      </c>
      <c r="G1581" t="s">
        <v>1005</v>
      </c>
      <c r="I1581">
        <v>2019</v>
      </c>
      <c r="K1581" t="s">
        <v>3671</v>
      </c>
      <c r="M1581" s="25" t="s">
        <v>36</v>
      </c>
      <c r="N1581" t="s">
        <v>36</v>
      </c>
      <c r="P1581" t="s">
        <v>60</v>
      </c>
      <c r="Q1581" t="s">
        <v>900</v>
      </c>
      <c r="R1581" t="s">
        <v>1741</v>
      </c>
      <c r="S1581" t="s">
        <v>1014</v>
      </c>
      <c r="T1581">
        <v>38.119999999999997</v>
      </c>
      <c r="U1581">
        <v>13.17</v>
      </c>
      <c r="V1581" t="s">
        <v>907</v>
      </c>
      <c r="X1581">
        <v>57</v>
      </c>
      <c r="Z1581">
        <v>3</v>
      </c>
      <c r="AA1581">
        <v>3</v>
      </c>
      <c r="AG1581" t="str">
        <f t="shared" si="153"/>
        <v>9JYP_Dendropoma_cristatum_D57_CO2NA_TNA_control_outcome0.72</v>
      </c>
      <c r="AJ1581" t="s">
        <v>1032</v>
      </c>
      <c r="AK1581" t="s">
        <v>40</v>
      </c>
      <c r="AM1581"/>
      <c r="AN1581">
        <v>0.72299999999999998</v>
      </c>
      <c r="AO1581">
        <v>0.72499999999999998</v>
      </c>
      <c r="AP1581">
        <v>6.8999999999999999E-3</v>
      </c>
      <c r="AQ1581">
        <v>6.8999999999999999E-3</v>
      </c>
      <c r="AR1581" t="s">
        <v>3664</v>
      </c>
      <c r="AS1581">
        <v>2.7624329999999999E-3</v>
      </c>
      <c r="AT1581" s="29">
        <v>6.0600000000000003E-5</v>
      </c>
      <c r="AU1581" t="s">
        <v>3672</v>
      </c>
      <c r="AW1581" s="28">
        <f t="shared" si="148"/>
        <v>-1.3967896140542986</v>
      </c>
      <c r="AX1581">
        <f t="shared" si="149"/>
        <v>0.8</v>
      </c>
      <c r="AY1581" s="62">
        <f t="shared" si="150"/>
        <v>-1.117431691243439</v>
      </c>
      <c r="AZ1581" s="68" t="str">
        <f t="shared" si="154"/>
        <v>No</v>
      </c>
      <c r="BA1581" s="68" t="str">
        <f t="shared" si="155"/>
        <v>No</v>
      </c>
    </row>
    <row r="1582" spans="1:53" hidden="1">
      <c r="A1582" t="s">
        <v>1035</v>
      </c>
      <c r="B1582" t="s">
        <v>3651</v>
      </c>
      <c r="C1582" t="s">
        <v>1193</v>
      </c>
      <c r="F1582" t="s">
        <v>1241</v>
      </c>
      <c r="G1582" t="s">
        <v>1005</v>
      </c>
      <c r="I1582">
        <v>2019</v>
      </c>
      <c r="K1582" t="s">
        <v>3671</v>
      </c>
      <c r="M1582" s="25" t="s">
        <v>36</v>
      </c>
      <c r="N1582" t="s">
        <v>36</v>
      </c>
      <c r="P1582" t="s">
        <v>60</v>
      </c>
      <c r="Q1582" t="s">
        <v>900</v>
      </c>
      <c r="R1582" t="s">
        <v>1741</v>
      </c>
      <c r="S1582" t="s">
        <v>1014</v>
      </c>
      <c r="T1582">
        <v>38.119999999999997</v>
      </c>
      <c r="U1582">
        <v>13.17</v>
      </c>
      <c r="V1582" t="s">
        <v>1015</v>
      </c>
      <c r="X1582">
        <v>57</v>
      </c>
      <c r="Z1582">
        <v>3</v>
      </c>
      <c r="AA1582">
        <v>3</v>
      </c>
      <c r="AG1582" t="str">
        <f t="shared" si="153"/>
        <v>9JYP_Dendropoma_cristatum_D57_CO2NA_TNA_control_outcome0.72</v>
      </c>
      <c r="AJ1582" t="s">
        <v>1032</v>
      </c>
      <c r="AK1582" t="s">
        <v>40</v>
      </c>
      <c r="AM1582"/>
      <c r="AN1582">
        <v>0.72299999999999998</v>
      </c>
      <c r="AO1582">
        <v>0.77200000000000002</v>
      </c>
      <c r="AP1582">
        <v>6.8999999999999999E-3</v>
      </c>
      <c r="AQ1582">
        <v>1.21E-2</v>
      </c>
      <c r="AR1582" t="s">
        <v>3664</v>
      </c>
      <c r="AS1582">
        <v>4.4991998999999998E-2</v>
      </c>
      <c r="AT1582">
        <v>1.5907900000000001E-4</v>
      </c>
      <c r="AU1582" t="s">
        <v>3672</v>
      </c>
      <c r="AW1582" s="28">
        <f t="shared" si="148"/>
        <v>-1.311650210171011</v>
      </c>
      <c r="AX1582">
        <f t="shared" si="149"/>
        <v>0.8</v>
      </c>
      <c r="AY1582" s="62">
        <f t="shared" si="150"/>
        <v>-1.049320168136809</v>
      </c>
      <c r="AZ1582" s="68" t="str">
        <f t="shared" si="154"/>
        <v>No</v>
      </c>
      <c r="BA1582" s="68" t="str">
        <f t="shared" si="155"/>
        <v>No</v>
      </c>
    </row>
    <row r="1583" spans="1:53" hidden="1">
      <c r="A1583" t="s">
        <v>1035</v>
      </c>
      <c r="B1583" t="s">
        <v>3652</v>
      </c>
      <c r="C1583" t="s">
        <v>1193</v>
      </c>
      <c r="F1583" t="s">
        <v>1241</v>
      </c>
      <c r="G1583" t="s">
        <v>1005</v>
      </c>
      <c r="I1583">
        <v>2019</v>
      </c>
      <c r="K1583" t="s">
        <v>3671</v>
      </c>
      <c r="M1583" s="25" t="s">
        <v>36</v>
      </c>
      <c r="N1583" t="s">
        <v>36</v>
      </c>
      <c r="P1583" t="s">
        <v>60</v>
      </c>
      <c r="Q1583" t="s">
        <v>900</v>
      </c>
      <c r="R1583" t="s">
        <v>1741</v>
      </c>
      <c r="S1583" t="s">
        <v>1014</v>
      </c>
      <c r="T1583">
        <v>38.119999999999997</v>
      </c>
      <c r="U1583">
        <v>13.17</v>
      </c>
      <c r="V1583" t="s">
        <v>905</v>
      </c>
      <c r="X1583">
        <v>57</v>
      </c>
      <c r="Z1583">
        <v>3</v>
      </c>
      <c r="AA1583">
        <v>3</v>
      </c>
      <c r="AG1583" t="str">
        <f t="shared" si="153"/>
        <v>9JYP_Dendropoma_cristatum_D57_CO2NA_TNA_control_outcome95.00</v>
      </c>
      <c r="AJ1583" t="s">
        <v>1033</v>
      </c>
      <c r="AK1583" t="s">
        <v>904</v>
      </c>
      <c r="AM1583"/>
      <c r="AN1583">
        <v>95</v>
      </c>
      <c r="AO1583">
        <v>93.15</v>
      </c>
      <c r="AP1583">
        <v>1.3042</v>
      </c>
      <c r="AQ1583">
        <v>2.5981000000000001</v>
      </c>
      <c r="AR1583" t="s">
        <v>3670</v>
      </c>
      <c r="AS1583">
        <v>-1.9665795E-2</v>
      </c>
      <c r="AT1583">
        <v>3.2213599999999999E-4</v>
      </c>
      <c r="AU1583" t="s">
        <v>3672</v>
      </c>
      <c r="AW1583" s="28">
        <f t="shared" si="148"/>
        <v>-1.4219469710387742</v>
      </c>
      <c r="AX1583">
        <f t="shared" si="149"/>
        <v>0.8</v>
      </c>
      <c r="AY1583" s="62">
        <f t="shared" si="150"/>
        <v>-1.1375575768310193</v>
      </c>
      <c r="AZ1583" s="68" t="str">
        <f t="shared" si="154"/>
        <v>No</v>
      </c>
      <c r="BA1583" s="68" t="str">
        <f t="shared" si="155"/>
        <v>No</v>
      </c>
    </row>
    <row r="1584" spans="1:53" hidden="1">
      <c r="A1584" t="s">
        <v>1035</v>
      </c>
      <c r="B1584" t="s">
        <v>3653</v>
      </c>
      <c r="C1584" t="s">
        <v>1193</v>
      </c>
      <c r="F1584" t="s">
        <v>1241</v>
      </c>
      <c r="G1584" t="s">
        <v>1005</v>
      </c>
      <c r="I1584">
        <v>2019</v>
      </c>
      <c r="K1584" t="s">
        <v>3671</v>
      </c>
      <c r="M1584" s="25" t="s">
        <v>36</v>
      </c>
      <c r="N1584" t="s">
        <v>36</v>
      </c>
      <c r="P1584" t="s">
        <v>60</v>
      </c>
      <c r="Q1584" t="s">
        <v>900</v>
      </c>
      <c r="R1584" t="s">
        <v>1741</v>
      </c>
      <c r="S1584" t="s">
        <v>1014</v>
      </c>
      <c r="T1584">
        <v>38.119999999999997</v>
      </c>
      <c r="U1584">
        <v>13.17</v>
      </c>
      <c r="V1584" t="s">
        <v>907</v>
      </c>
      <c r="X1584">
        <v>57</v>
      </c>
      <c r="Z1584">
        <v>3</v>
      </c>
      <c r="AA1584">
        <v>3</v>
      </c>
      <c r="AG1584" t="str">
        <f t="shared" si="153"/>
        <v>9JYP_Dendropoma_cristatum_D57_CO2NA_TNA_control_outcome95.00</v>
      </c>
      <c r="AJ1584" t="s">
        <v>1033</v>
      </c>
      <c r="AK1584" t="s">
        <v>904</v>
      </c>
      <c r="AM1584"/>
      <c r="AN1584">
        <v>95</v>
      </c>
      <c r="AO1584">
        <v>95.75</v>
      </c>
      <c r="AP1584">
        <v>1.3042</v>
      </c>
      <c r="AQ1584">
        <v>1.1778</v>
      </c>
      <c r="AR1584" t="s">
        <v>3670</v>
      </c>
      <c r="AS1584">
        <v>7.8637359999999996E-3</v>
      </c>
      <c r="AT1584">
        <v>1.1326E-4</v>
      </c>
      <c r="AU1584" t="s">
        <v>3672</v>
      </c>
      <c r="AW1584" s="28">
        <f t="shared" si="148"/>
        <v>-1.3837686428364626</v>
      </c>
      <c r="AX1584">
        <f t="shared" si="149"/>
        <v>0.8</v>
      </c>
      <c r="AY1584" s="62">
        <f t="shared" si="150"/>
        <v>-1.1070149142691701</v>
      </c>
      <c r="AZ1584" s="68" t="str">
        <f t="shared" si="154"/>
        <v>No</v>
      </c>
      <c r="BA1584" s="68" t="str">
        <f t="shared" si="155"/>
        <v>No</v>
      </c>
    </row>
    <row r="1585" spans="1:53" hidden="1">
      <c r="A1585" t="s">
        <v>1035</v>
      </c>
      <c r="B1585" t="s">
        <v>3654</v>
      </c>
      <c r="C1585" t="s">
        <v>1193</v>
      </c>
      <c r="F1585" t="s">
        <v>1241</v>
      </c>
      <c r="G1585" t="s">
        <v>1005</v>
      </c>
      <c r="I1585">
        <v>2019</v>
      </c>
      <c r="K1585" t="s">
        <v>3671</v>
      </c>
      <c r="M1585" s="25" t="s">
        <v>36</v>
      </c>
      <c r="N1585" t="s">
        <v>36</v>
      </c>
      <c r="P1585" t="s">
        <v>60</v>
      </c>
      <c r="Q1585" t="s">
        <v>900</v>
      </c>
      <c r="R1585" t="s">
        <v>1741</v>
      </c>
      <c r="S1585" t="s">
        <v>1014</v>
      </c>
      <c r="T1585">
        <v>38.119999999999997</v>
      </c>
      <c r="U1585">
        <v>13.17</v>
      </c>
      <c r="V1585" t="s">
        <v>1015</v>
      </c>
      <c r="X1585">
        <v>57</v>
      </c>
      <c r="Z1585">
        <v>3</v>
      </c>
      <c r="AA1585">
        <v>3</v>
      </c>
      <c r="AG1585" t="str">
        <f t="shared" si="153"/>
        <v>9JYP_Dendropoma_cristatum_D57_CO2NA_TNA_control_outcome95.00</v>
      </c>
      <c r="AJ1585" t="s">
        <v>1033</v>
      </c>
      <c r="AK1585" t="s">
        <v>904</v>
      </c>
      <c r="AM1585"/>
      <c r="AN1585">
        <v>95</v>
      </c>
      <c r="AO1585">
        <v>92.06</v>
      </c>
      <c r="AP1585">
        <v>1.3042</v>
      </c>
      <c r="AQ1585">
        <v>1.8878999999999999</v>
      </c>
      <c r="AR1585" t="s">
        <v>3670</v>
      </c>
      <c r="AS1585">
        <v>-1.9634295E-2</v>
      </c>
      <c r="AT1585">
        <v>5.1275599999999995E-4</v>
      </c>
      <c r="AU1585" t="s">
        <v>3672</v>
      </c>
      <c r="AW1585" s="28">
        <f t="shared" si="148"/>
        <v>-1.439039944747398</v>
      </c>
      <c r="AX1585">
        <f t="shared" si="149"/>
        <v>0.8</v>
      </c>
      <c r="AY1585" s="62">
        <f t="shared" si="150"/>
        <v>-1.1512319557979185</v>
      </c>
      <c r="AZ1585" s="68" t="str">
        <f t="shared" si="154"/>
        <v>No</v>
      </c>
      <c r="BA1585" s="68" t="str">
        <f t="shared" si="155"/>
        <v>No</v>
      </c>
    </row>
    <row r="1586" spans="1:53" hidden="1">
      <c r="A1586" t="s">
        <v>1035</v>
      </c>
      <c r="B1586" t="s">
        <v>3655</v>
      </c>
      <c r="C1586" t="s">
        <v>1193</v>
      </c>
      <c r="F1586" t="s">
        <v>1241</v>
      </c>
      <c r="G1586" t="s">
        <v>1005</v>
      </c>
      <c r="I1586">
        <v>2019</v>
      </c>
      <c r="K1586" t="s">
        <v>3671</v>
      </c>
      <c r="M1586" s="25" t="s">
        <v>36</v>
      </c>
      <c r="N1586" t="s">
        <v>36</v>
      </c>
      <c r="P1586" t="s">
        <v>60</v>
      </c>
      <c r="Q1586" t="s">
        <v>900</v>
      </c>
      <c r="R1586" t="s">
        <v>1741</v>
      </c>
      <c r="S1586" t="s">
        <v>1014</v>
      </c>
      <c r="T1586">
        <v>38.119999999999997</v>
      </c>
      <c r="U1586">
        <v>13.17</v>
      </c>
      <c r="V1586" t="s">
        <v>905</v>
      </c>
      <c r="X1586">
        <v>57</v>
      </c>
      <c r="Z1586">
        <v>3</v>
      </c>
      <c r="AA1586">
        <v>3</v>
      </c>
      <c r="AG1586" t="str">
        <f t="shared" si="153"/>
        <v>9JYP_Dendropoma_cristatum_D57_CO2NA_TNA_control_outcome15.58</v>
      </c>
      <c r="AJ1586" t="s">
        <v>1034</v>
      </c>
      <c r="AK1586" t="s">
        <v>904</v>
      </c>
      <c r="AM1586"/>
      <c r="AN1586">
        <v>15.58</v>
      </c>
      <c r="AO1586">
        <v>13.29</v>
      </c>
      <c r="AP1586">
        <v>2.3035999999999999</v>
      </c>
      <c r="AQ1586">
        <v>2.8752</v>
      </c>
      <c r="AR1586" t="s">
        <v>3661</v>
      </c>
      <c r="AS1586">
        <v>-0.158976168</v>
      </c>
      <c r="AT1586">
        <v>2.2888602000000001E-2</v>
      </c>
      <c r="AU1586" t="s">
        <v>3672</v>
      </c>
      <c r="AW1586" s="28">
        <f t="shared" si="148"/>
        <v>-1.3808216493163885</v>
      </c>
      <c r="AX1586">
        <f t="shared" si="149"/>
        <v>0.8</v>
      </c>
      <c r="AY1586" s="62">
        <f t="shared" si="150"/>
        <v>-1.1046573194531109</v>
      </c>
      <c r="AZ1586" s="68" t="str">
        <f t="shared" si="154"/>
        <v>No</v>
      </c>
      <c r="BA1586" s="68" t="str">
        <f t="shared" si="155"/>
        <v>No</v>
      </c>
    </row>
    <row r="1587" spans="1:53" hidden="1">
      <c r="A1587" t="s">
        <v>1035</v>
      </c>
      <c r="B1587" t="s">
        <v>3656</v>
      </c>
      <c r="C1587" t="s">
        <v>1193</v>
      </c>
      <c r="F1587" t="s">
        <v>1241</v>
      </c>
      <c r="G1587" t="s">
        <v>1005</v>
      </c>
      <c r="I1587">
        <v>2019</v>
      </c>
      <c r="K1587" t="s">
        <v>3671</v>
      </c>
      <c r="M1587" s="25" t="s">
        <v>36</v>
      </c>
      <c r="N1587" t="s">
        <v>36</v>
      </c>
      <c r="P1587" t="s">
        <v>60</v>
      </c>
      <c r="Q1587" t="s">
        <v>900</v>
      </c>
      <c r="R1587" t="s">
        <v>1741</v>
      </c>
      <c r="S1587" t="s">
        <v>1014</v>
      </c>
      <c r="T1587">
        <v>38.119999999999997</v>
      </c>
      <c r="U1587">
        <v>13.17</v>
      </c>
      <c r="V1587" t="s">
        <v>907</v>
      </c>
      <c r="X1587">
        <v>57</v>
      </c>
      <c r="Z1587">
        <v>3</v>
      </c>
      <c r="AA1587">
        <v>3</v>
      </c>
      <c r="AG1587" t="str">
        <f t="shared" si="153"/>
        <v>9JYP_Dendropoma_cristatum_D57_CO2NA_TNA_control_outcome15.58</v>
      </c>
      <c r="AJ1587" t="s">
        <v>1034</v>
      </c>
      <c r="AK1587" t="s">
        <v>904</v>
      </c>
      <c r="AM1587"/>
      <c r="AN1587">
        <v>15.58</v>
      </c>
      <c r="AO1587">
        <v>52.82</v>
      </c>
      <c r="AP1587">
        <v>2.3035999999999999</v>
      </c>
      <c r="AQ1587">
        <v>4.9189999999999996</v>
      </c>
      <c r="AR1587" t="s">
        <v>3661</v>
      </c>
      <c r="AS1587">
        <v>1.2209018659999999</v>
      </c>
      <c r="AT1587">
        <v>1.0178071E-2</v>
      </c>
      <c r="AU1587" t="s">
        <v>3672</v>
      </c>
      <c r="AW1587" s="28">
        <f t="shared" si="148"/>
        <v>-0.35393359339145486</v>
      </c>
      <c r="AX1587">
        <f t="shared" si="149"/>
        <v>0.8</v>
      </c>
      <c r="AY1587" s="62">
        <f t="shared" si="150"/>
        <v>-0.28314687471316391</v>
      </c>
      <c r="AZ1587" s="68" t="str">
        <f t="shared" si="154"/>
        <v>No</v>
      </c>
      <c r="BA1587" s="68" t="str">
        <f t="shared" si="155"/>
        <v>No</v>
      </c>
    </row>
    <row r="1588" spans="1:53" hidden="1">
      <c r="A1588" t="s">
        <v>1035</v>
      </c>
      <c r="B1588" t="s">
        <v>3657</v>
      </c>
      <c r="C1588" t="s">
        <v>1193</v>
      </c>
      <c r="F1588" t="s">
        <v>1241</v>
      </c>
      <c r="G1588" t="s">
        <v>1005</v>
      </c>
      <c r="I1588">
        <v>2019</v>
      </c>
      <c r="K1588" t="s">
        <v>3671</v>
      </c>
      <c r="M1588" s="25" t="s">
        <v>36</v>
      </c>
      <c r="N1588" t="s">
        <v>36</v>
      </c>
      <c r="P1588" t="s">
        <v>60</v>
      </c>
      <c r="Q1588" t="s">
        <v>900</v>
      </c>
      <c r="R1588" t="s">
        <v>1741</v>
      </c>
      <c r="S1588" t="s">
        <v>1014</v>
      </c>
      <c r="T1588">
        <v>38.119999999999997</v>
      </c>
      <c r="U1588">
        <v>13.17</v>
      </c>
      <c r="V1588" t="s">
        <v>1015</v>
      </c>
      <c r="X1588">
        <v>57</v>
      </c>
      <c r="Z1588">
        <v>3</v>
      </c>
      <c r="AA1588">
        <v>3</v>
      </c>
      <c r="AG1588" t="str">
        <f t="shared" si="153"/>
        <v>9JYP_Dendropoma_cristatum_D57_CO2NA_TNA_control_outcome15.58</v>
      </c>
      <c r="AJ1588" t="s">
        <v>1034</v>
      </c>
      <c r="AK1588" t="s">
        <v>904</v>
      </c>
      <c r="AM1588"/>
      <c r="AN1588">
        <v>15.58</v>
      </c>
      <c r="AO1588">
        <v>33.35</v>
      </c>
      <c r="AP1588">
        <v>2.3035999999999999</v>
      </c>
      <c r="AQ1588">
        <v>3.4641000000000002</v>
      </c>
      <c r="AR1588" t="s">
        <v>3661</v>
      </c>
      <c r="AS1588">
        <v>-0.300855967</v>
      </c>
      <c r="AT1588">
        <v>2.9375919E-2</v>
      </c>
      <c r="AU1588" t="s">
        <v>3672</v>
      </c>
      <c r="AW1588" s="28">
        <f t="shared" si="148"/>
        <v>-0.55997571398217205</v>
      </c>
      <c r="AX1588">
        <f t="shared" si="149"/>
        <v>0.8</v>
      </c>
      <c r="AY1588" s="62">
        <f t="shared" si="150"/>
        <v>-0.44798057118573764</v>
      </c>
      <c r="AZ1588" s="68" t="str">
        <f t="shared" si="154"/>
        <v>No</v>
      </c>
      <c r="BA1588" s="68" t="str">
        <f t="shared" si="155"/>
        <v>No</v>
      </c>
    </row>
    <row r="1589" spans="1:53" hidden="1">
      <c r="A1589" t="s">
        <v>908</v>
      </c>
      <c r="B1589" t="s">
        <v>586</v>
      </c>
      <c r="C1589" t="s">
        <v>558</v>
      </c>
      <c r="D1589" s="25">
        <v>44</v>
      </c>
      <c r="E1589" s="25">
        <v>441</v>
      </c>
      <c r="F1589" t="s">
        <v>1241</v>
      </c>
      <c r="G1589" t="s">
        <v>559</v>
      </c>
      <c r="H1589" s="3" t="s">
        <v>889</v>
      </c>
      <c r="I1589">
        <v>2003</v>
      </c>
      <c r="J1589" t="s">
        <v>560</v>
      </c>
      <c r="K1589" t="s">
        <v>162</v>
      </c>
      <c r="L1589" t="s">
        <v>561</v>
      </c>
      <c r="M1589" s="25" t="s">
        <v>35</v>
      </c>
      <c r="N1589" t="s">
        <v>36</v>
      </c>
      <c r="O1589" t="s">
        <v>37</v>
      </c>
      <c r="P1589" t="s">
        <v>60</v>
      </c>
      <c r="Q1589" t="s">
        <v>900</v>
      </c>
      <c r="R1589" t="s">
        <v>888</v>
      </c>
      <c r="S1589" t="s">
        <v>893</v>
      </c>
      <c r="T1589">
        <v>35.188951199999998</v>
      </c>
      <c r="U1589">
        <v>140.37141260000001</v>
      </c>
      <c r="V1589" t="s">
        <v>905</v>
      </c>
      <c r="W1589" s="25" t="s">
        <v>38</v>
      </c>
      <c r="X1589">
        <v>0.06</v>
      </c>
      <c r="Y1589" t="s">
        <v>39</v>
      </c>
      <c r="Z1589">
        <v>2</v>
      </c>
      <c r="AA1589">
        <v>2</v>
      </c>
      <c r="AC1589">
        <v>320</v>
      </c>
      <c r="AE1589">
        <v>50000</v>
      </c>
      <c r="AG1589">
        <v>2213</v>
      </c>
      <c r="AH1589">
        <v>4.6989700040000004</v>
      </c>
      <c r="AI1589">
        <v>26</v>
      </c>
      <c r="AJ1589" t="s">
        <v>578</v>
      </c>
      <c r="AK1589" t="s">
        <v>69</v>
      </c>
      <c r="AL1589" s="25" t="s">
        <v>353</v>
      </c>
      <c r="AM1589" t="s">
        <v>61</v>
      </c>
      <c r="AN1589">
        <v>100</v>
      </c>
      <c r="AO1589">
        <v>3.3068783069999999</v>
      </c>
      <c r="AP1589" s="26">
        <v>46.192889999999998</v>
      </c>
      <c r="AQ1589">
        <v>17.636684299999999</v>
      </c>
      <c r="AR1589" t="s">
        <v>48</v>
      </c>
      <c r="AS1589">
        <f t="shared" ref="AS1589:AS1652" si="156">LN(AP1589)-LN(AN1589)</f>
        <v>-0.77234429584751529</v>
      </c>
      <c r="AT1589">
        <f t="shared" ref="AT1589:AT1652" si="157">(AQ1589^2)/(AA1589*AP1589^2) + (AO1589^2)/(Z1589*AN1589^2)</f>
        <v>7.3434366793737063E-2</v>
      </c>
      <c r="AW1589" s="28">
        <f t="shared" si="148"/>
        <v>-4.2406728429550267</v>
      </c>
      <c r="AX1589">
        <f t="shared" si="149"/>
        <v>0.5714285714285714</v>
      </c>
      <c r="AY1589" s="62">
        <f t="shared" si="150"/>
        <v>-2.4232416245457293</v>
      </c>
    </row>
    <row r="1590" spans="1:53" hidden="1">
      <c r="A1590" t="s">
        <v>908</v>
      </c>
      <c r="B1590" t="s">
        <v>587</v>
      </c>
      <c r="C1590" t="s">
        <v>558</v>
      </c>
      <c r="D1590" s="25">
        <v>44</v>
      </c>
      <c r="E1590" s="25">
        <v>442</v>
      </c>
      <c r="F1590" t="s">
        <v>1241</v>
      </c>
      <c r="G1590" t="s">
        <v>559</v>
      </c>
      <c r="H1590" s="3" t="s">
        <v>889</v>
      </c>
      <c r="I1590">
        <v>2003</v>
      </c>
      <c r="J1590" t="s">
        <v>560</v>
      </c>
      <c r="K1590" t="s">
        <v>162</v>
      </c>
      <c r="L1590" t="s">
        <v>561</v>
      </c>
      <c r="M1590" s="25" t="s">
        <v>35</v>
      </c>
      <c r="N1590" t="s">
        <v>36</v>
      </c>
      <c r="O1590" t="s">
        <v>37</v>
      </c>
      <c r="P1590" t="s">
        <v>60</v>
      </c>
      <c r="Q1590" t="s">
        <v>900</v>
      </c>
      <c r="R1590" t="s">
        <v>888</v>
      </c>
      <c r="S1590" t="s">
        <v>893</v>
      </c>
      <c r="T1590">
        <v>35.188951199999998</v>
      </c>
      <c r="U1590">
        <v>140.37141260000001</v>
      </c>
      <c r="V1590" t="s">
        <v>905</v>
      </c>
      <c r="W1590" s="25" t="s">
        <v>38</v>
      </c>
      <c r="X1590">
        <v>0.06</v>
      </c>
      <c r="Y1590" t="s">
        <v>39</v>
      </c>
      <c r="Z1590">
        <v>2</v>
      </c>
      <c r="AA1590">
        <v>2</v>
      </c>
      <c r="AC1590">
        <v>320</v>
      </c>
      <c r="AE1590">
        <v>70000</v>
      </c>
      <c r="AG1590">
        <v>2213</v>
      </c>
      <c r="AH1590">
        <v>4.8450980399999999</v>
      </c>
      <c r="AI1590">
        <v>26</v>
      </c>
      <c r="AJ1590" t="s">
        <v>578</v>
      </c>
      <c r="AK1590" t="s">
        <v>69</v>
      </c>
      <c r="AL1590" s="25" t="s">
        <v>353</v>
      </c>
      <c r="AM1590" t="s">
        <v>61</v>
      </c>
      <c r="AN1590">
        <v>100</v>
      </c>
      <c r="AO1590">
        <v>3.3068783069999999</v>
      </c>
      <c r="AP1590" s="26">
        <v>173.58491000000001</v>
      </c>
      <c r="AQ1590">
        <v>15.98324515</v>
      </c>
      <c r="AR1590" t="s">
        <v>48</v>
      </c>
      <c r="AS1590">
        <f t="shared" si="156"/>
        <v>0.55149668849691746</v>
      </c>
      <c r="AT1590">
        <f t="shared" si="157"/>
        <v>4.7858949190569102E-3</v>
      </c>
      <c r="AW1590" s="28">
        <f t="shared" si="148"/>
        <v>6.3758340010271404</v>
      </c>
      <c r="AX1590">
        <f t="shared" si="149"/>
        <v>0.5714285714285714</v>
      </c>
      <c r="AY1590" s="62">
        <f t="shared" si="150"/>
        <v>3.6433337148726515</v>
      </c>
    </row>
    <row r="1591" spans="1:53" hidden="1">
      <c r="A1591" t="s">
        <v>908</v>
      </c>
      <c r="B1591" t="s">
        <v>588</v>
      </c>
      <c r="C1591" t="s">
        <v>558</v>
      </c>
      <c r="D1591" s="25">
        <v>44</v>
      </c>
      <c r="E1591" s="25">
        <v>443</v>
      </c>
      <c r="F1591" t="s">
        <v>1241</v>
      </c>
      <c r="G1591" t="s">
        <v>559</v>
      </c>
      <c r="H1591" s="3" t="s">
        <v>889</v>
      </c>
      <c r="I1591">
        <v>2003</v>
      </c>
      <c r="J1591" t="s">
        <v>560</v>
      </c>
      <c r="K1591" t="s">
        <v>162</v>
      </c>
      <c r="L1591" t="s">
        <v>561</v>
      </c>
      <c r="M1591" s="25" t="s">
        <v>35</v>
      </c>
      <c r="N1591" t="s">
        <v>36</v>
      </c>
      <c r="O1591" t="s">
        <v>37</v>
      </c>
      <c r="P1591" t="s">
        <v>60</v>
      </c>
      <c r="Q1591" t="s">
        <v>900</v>
      </c>
      <c r="R1591" t="s">
        <v>888</v>
      </c>
      <c r="S1591" t="s">
        <v>893</v>
      </c>
      <c r="T1591">
        <v>35.188951199999998</v>
      </c>
      <c r="U1591">
        <v>140.37141260000001</v>
      </c>
      <c r="V1591" t="s">
        <v>905</v>
      </c>
      <c r="W1591" s="25" t="s">
        <v>38</v>
      </c>
      <c r="X1591">
        <v>0.25</v>
      </c>
      <c r="Y1591" t="s">
        <v>39</v>
      </c>
      <c r="Z1591">
        <v>2</v>
      </c>
      <c r="AA1591">
        <v>2</v>
      </c>
      <c r="AC1591">
        <v>320</v>
      </c>
      <c r="AE1591">
        <v>10000</v>
      </c>
      <c r="AG1591">
        <v>2214</v>
      </c>
      <c r="AH1591">
        <v>4</v>
      </c>
      <c r="AI1591">
        <v>26</v>
      </c>
      <c r="AJ1591" t="s">
        <v>578</v>
      </c>
      <c r="AK1591" t="s">
        <v>69</v>
      </c>
      <c r="AL1591" s="25" t="s">
        <v>353</v>
      </c>
      <c r="AM1591" t="s">
        <v>61</v>
      </c>
      <c r="AN1591">
        <v>100</v>
      </c>
      <c r="AO1591">
        <v>3.7639265279999998</v>
      </c>
      <c r="AP1591" s="26">
        <v>66.442949999999996</v>
      </c>
      <c r="AQ1591">
        <v>2.8229448960000001</v>
      </c>
      <c r="AR1591" t="s">
        <v>48</v>
      </c>
      <c r="AS1591">
        <f t="shared" si="156"/>
        <v>-0.4088265012654162</v>
      </c>
      <c r="AT1591">
        <f t="shared" si="157"/>
        <v>1.6109190379071316E-3</v>
      </c>
      <c r="AW1591" s="28">
        <f t="shared" si="148"/>
        <v>-10.086665586099787</v>
      </c>
      <c r="AX1591">
        <f t="shared" si="149"/>
        <v>0.5714285714285714</v>
      </c>
      <c r="AY1591" s="62">
        <f t="shared" si="150"/>
        <v>-5.7638089063427351</v>
      </c>
    </row>
    <row r="1592" spans="1:53" hidden="1">
      <c r="A1592" t="s">
        <v>908</v>
      </c>
      <c r="B1592" t="s">
        <v>589</v>
      </c>
      <c r="C1592" t="s">
        <v>558</v>
      </c>
      <c r="D1592" s="25">
        <v>44</v>
      </c>
      <c r="E1592" s="25">
        <v>444</v>
      </c>
      <c r="F1592" t="s">
        <v>1241</v>
      </c>
      <c r="G1592" t="s">
        <v>559</v>
      </c>
      <c r="H1592" s="3" t="s">
        <v>889</v>
      </c>
      <c r="I1592">
        <v>2003</v>
      </c>
      <c r="J1592" t="s">
        <v>560</v>
      </c>
      <c r="K1592" t="s">
        <v>162</v>
      </c>
      <c r="L1592" t="s">
        <v>561</v>
      </c>
      <c r="M1592" s="25" t="s">
        <v>35</v>
      </c>
      <c r="N1592" t="s">
        <v>36</v>
      </c>
      <c r="O1592" t="s">
        <v>37</v>
      </c>
      <c r="P1592" t="s">
        <v>60</v>
      </c>
      <c r="Q1592" t="s">
        <v>900</v>
      </c>
      <c r="R1592" t="s">
        <v>888</v>
      </c>
      <c r="S1592" t="s">
        <v>893</v>
      </c>
      <c r="T1592">
        <v>35.188951199999998</v>
      </c>
      <c r="U1592">
        <v>140.37141260000001</v>
      </c>
      <c r="V1592" t="s">
        <v>905</v>
      </c>
      <c r="W1592" s="25" t="s">
        <v>38</v>
      </c>
      <c r="X1592">
        <v>0.25</v>
      </c>
      <c r="Y1592" t="s">
        <v>39</v>
      </c>
      <c r="Z1592">
        <v>2</v>
      </c>
      <c r="AA1592">
        <v>2</v>
      </c>
      <c r="AC1592">
        <v>320</v>
      </c>
      <c r="AE1592">
        <v>20000</v>
      </c>
      <c r="AG1592">
        <v>2214</v>
      </c>
      <c r="AH1592">
        <v>4.3010299959999996</v>
      </c>
      <c r="AI1592">
        <v>26</v>
      </c>
      <c r="AJ1592" t="s">
        <v>578</v>
      </c>
      <c r="AK1592" t="s">
        <v>69</v>
      </c>
      <c r="AL1592" s="25" t="s">
        <v>353</v>
      </c>
      <c r="AM1592" t="s">
        <v>61</v>
      </c>
      <c r="AN1592">
        <v>100</v>
      </c>
      <c r="AO1592">
        <v>3.7639265279999998</v>
      </c>
      <c r="AP1592" s="26">
        <v>41.61074</v>
      </c>
      <c r="AQ1592">
        <v>31.52288467</v>
      </c>
      <c r="AR1592" t="s">
        <v>48</v>
      </c>
      <c r="AS1592">
        <f t="shared" si="156"/>
        <v>-0.87681187896488488</v>
      </c>
      <c r="AT1592">
        <f t="shared" si="157"/>
        <v>0.28766153050344895</v>
      </c>
      <c r="AW1592" s="28">
        <f t="shared" si="148"/>
        <v>-2.6010457645500527</v>
      </c>
      <c r="AX1592">
        <f t="shared" si="149"/>
        <v>0.5714285714285714</v>
      </c>
      <c r="AY1592" s="62">
        <f t="shared" si="150"/>
        <v>-1.4863118654571728</v>
      </c>
    </row>
    <row r="1593" spans="1:53" hidden="1">
      <c r="A1593" t="s">
        <v>908</v>
      </c>
      <c r="B1593" t="s">
        <v>590</v>
      </c>
      <c r="C1593" t="s">
        <v>558</v>
      </c>
      <c r="D1593" s="25">
        <v>44</v>
      </c>
      <c r="E1593" s="25">
        <v>445</v>
      </c>
      <c r="F1593" t="s">
        <v>1241</v>
      </c>
      <c r="G1593" t="s">
        <v>559</v>
      </c>
      <c r="H1593" s="3" t="s">
        <v>889</v>
      </c>
      <c r="I1593">
        <v>2003</v>
      </c>
      <c r="J1593" t="s">
        <v>560</v>
      </c>
      <c r="K1593" t="s">
        <v>162</v>
      </c>
      <c r="L1593" t="s">
        <v>561</v>
      </c>
      <c r="M1593" s="25" t="s">
        <v>35</v>
      </c>
      <c r="N1593" t="s">
        <v>36</v>
      </c>
      <c r="O1593" t="s">
        <v>37</v>
      </c>
      <c r="P1593" t="s">
        <v>60</v>
      </c>
      <c r="Q1593" t="s">
        <v>900</v>
      </c>
      <c r="R1593" t="s">
        <v>888</v>
      </c>
      <c r="S1593" t="s">
        <v>893</v>
      </c>
      <c r="T1593">
        <v>35.188951199999998</v>
      </c>
      <c r="U1593">
        <v>140.37141260000001</v>
      </c>
      <c r="V1593" t="s">
        <v>905</v>
      </c>
      <c r="W1593" s="25" t="s">
        <v>38</v>
      </c>
      <c r="X1593">
        <v>0.25</v>
      </c>
      <c r="Y1593" t="s">
        <v>39</v>
      </c>
      <c r="Z1593">
        <v>2</v>
      </c>
      <c r="AA1593">
        <v>2</v>
      </c>
      <c r="AC1593">
        <v>320</v>
      </c>
      <c r="AE1593">
        <v>30000</v>
      </c>
      <c r="AG1593">
        <v>2214</v>
      </c>
      <c r="AH1593">
        <v>4.4771212550000001</v>
      </c>
      <c r="AI1593">
        <v>26</v>
      </c>
      <c r="AJ1593" t="s">
        <v>578</v>
      </c>
      <c r="AK1593" t="s">
        <v>69</v>
      </c>
      <c r="AL1593" s="25" t="s">
        <v>353</v>
      </c>
      <c r="AM1593" t="s">
        <v>61</v>
      </c>
      <c r="AN1593">
        <v>100</v>
      </c>
      <c r="AO1593">
        <v>3.7639265279999998</v>
      </c>
      <c r="AP1593" s="26">
        <v>63.596490000000003</v>
      </c>
      <c r="AQ1593">
        <v>2.8229448960000001</v>
      </c>
      <c r="AR1593" t="s">
        <v>48</v>
      </c>
      <c r="AS1593">
        <f t="shared" si="156"/>
        <v>-0.45261190584421218</v>
      </c>
      <c r="AT1593">
        <f t="shared" si="157"/>
        <v>1.6935210973168741E-3</v>
      </c>
      <c r="AW1593" s="28">
        <f t="shared" si="148"/>
        <v>-10.942261954797559</v>
      </c>
      <c r="AX1593">
        <f t="shared" si="149"/>
        <v>0.5714285714285714</v>
      </c>
      <c r="AY1593" s="62">
        <f t="shared" si="150"/>
        <v>-6.2527211170271757</v>
      </c>
    </row>
    <row r="1594" spans="1:53" hidden="1">
      <c r="A1594" t="s">
        <v>908</v>
      </c>
      <c r="B1594" t="s">
        <v>591</v>
      </c>
      <c r="C1594" t="s">
        <v>558</v>
      </c>
      <c r="D1594" s="25">
        <v>44</v>
      </c>
      <c r="E1594" s="25">
        <v>446</v>
      </c>
      <c r="F1594" t="s">
        <v>1241</v>
      </c>
      <c r="G1594" t="s">
        <v>559</v>
      </c>
      <c r="H1594" s="3" t="s">
        <v>889</v>
      </c>
      <c r="I1594">
        <v>2003</v>
      </c>
      <c r="J1594" t="s">
        <v>560</v>
      </c>
      <c r="K1594" t="s">
        <v>162</v>
      </c>
      <c r="L1594" t="s">
        <v>561</v>
      </c>
      <c r="M1594" s="25" t="s">
        <v>35</v>
      </c>
      <c r="N1594" t="s">
        <v>36</v>
      </c>
      <c r="O1594" t="s">
        <v>37</v>
      </c>
      <c r="P1594" t="s">
        <v>60</v>
      </c>
      <c r="Q1594" t="s">
        <v>900</v>
      </c>
      <c r="R1594" t="s">
        <v>888</v>
      </c>
      <c r="S1594" t="s">
        <v>893</v>
      </c>
      <c r="T1594">
        <v>35.188951199999998</v>
      </c>
      <c r="U1594">
        <v>140.37141260000001</v>
      </c>
      <c r="V1594" t="s">
        <v>905</v>
      </c>
      <c r="W1594" s="25" t="s">
        <v>38</v>
      </c>
      <c r="X1594">
        <v>0.25</v>
      </c>
      <c r="Y1594" t="s">
        <v>39</v>
      </c>
      <c r="Z1594">
        <v>2</v>
      </c>
      <c r="AA1594">
        <v>2</v>
      </c>
      <c r="AC1594">
        <v>320</v>
      </c>
      <c r="AE1594">
        <v>10000</v>
      </c>
      <c r="AG1594">
        <v>2214</v>
      </c>
      <c r="AH1594">
        <v>4</v>
      </c>
      <c r="AI1594">
        <v>26</v>
      </c>
      <c r="AJ1594" t="s">
        <v>578</v>
      </c>
      <c r="AK1594" t="s">
        <v>69</v>
      </c>
      <c r="AL1594" s="25" t="s">
        <v>353</v>
      </c>
      <c r="AM1594" t="s">
        <v>61</v>
      </c>
      <c r="AN1594">
        <v>100</v>
      </c>
      <c r="AO1594">
        <v>3.7639265279999998</v>
      </c>
      <c r="AP1594" s="26">
        <v>21.052630000000001</v>
      </c>
      <c r="AQ1594">
        <v>5.1753989760000003</v>
      </c>
      <c r="AR1594" t="s">
        <v>48</v>
      </c>
      <c r="AS1594">
        <f t="shared" si="156"/>
        <v>-1.558144693046553</v>
      </c>
      <c r="AT1594">
        <f t="shared" si="157"/>
        <v>3.0924912916774329E-2</v>
      </c>
      <c r="AW1594" s="28">
        <f t="shared" si="148"/>
        <v>-17.446794673991366</v>
      </c>
      <c r="AX1594">
        <f t="shared" si="149"/>
        <v>0.5714285714285714</v>
      </c>
      <c r="AY1594" s="62">
        <f t="shared" si="150"/>
        <v>-9.9695969565664946</v>
      </c>
    </row>
    <row r="1595" spans="1:53" hidden="1">
      <c r="A1595" t="s">
        <v>908</v>
      </c>
      <c r="B1595" t="s">
        <v>592</v>
      </c>
      <c r="C1595" t="s">
        <v>558</v>
      </c>
      <c r="D1595" s="25">
        <v>44</v>
      </c>
      <c r="E1595" s="25">
        <v>447</v>
      </c>
      <c r="F1595" t="s">
        <v>1241</v>
      </c>
      <c r="G1595" t="s">
        <v>559</v>
      </c>
      <c r="H1595" s="3" t="s">
        <v>889</v>
      </c>
      <c r="I1595">
        <v>2003</v>
      </c>
      <c r="J1595" t="s">
        <v>560</v>
      </c>
      <c r="K1595" t="s">
        <v>162</v>
      </c>
      <c r="L1595" t="s">
        <v>561</v>
      </c>
      <c r="M1595" s="25" t="s">
        <v>35</v>
      </c>
      <c r="N1595" t="s">
        <v>36</v>
      </c>
      <c r="O1595" t="s">
        <v>37</v>
      </c>
      <c r="P1595" t="s">
        <v>60</v>
      </c>
      <c r="Q1595" t="s">
        <v>900</v>
      </c>
      <c r="R1595" t="s">
        <v>888</v>
      </c>
      <c r="S1595" t="s">
        <v>893</v>
      </c>
      <c r="T1595">
        <v>35.188951199999998</v>
      </c>
      <c r="U1595">
        <v>140.37141260000001</v>
      </c>
      <c r="V1595" t="s">
        <v>905</v>
      </c>
      <c r="W1595" s="25" t="s">
        <v>38</v>
      </c>
      <c r="X1595">
        <v>0.25</v>
      </c>
      <c r="Y1595" t="s">
        <v>39</v>
      </c>
      <c r="Z1595">
        <v>2</v>
      </c>
      <c r="AA1595">
        <v>2</v>
      </c>
      <c r="AC1595">
        <v>320</v>
      </c>
      <c r="AE1595">
        <v>20000</v>
      </c>
      <c r="AG1595">
        <v>2215</v>
      </c>
      <c r="AH1595">
        <v>4.3010299959999996</v>
      </c>
      <c r="AI1595">
        <v>26</v>
      </c>
      <c r="AJ1595" t="s">
        <v>578</v>
      </c>
      <c r="AK1595" t="s">
        <v>69</v>
      </c>
      <c r="AL1595" s="25" t="s">
        <v>353</v>
      </c>
      <c r="AM1595" t="s">
        <v>61</v>
      </c>
      <c r="AN1595">
        <v>100</v>
      </c>
      <c r="AO1595">
        <v>3.7639265279999998</v>
      </c>
      <c r="AP1595" s="26">
        <v>0.54298999999999997</v>
      </c>
      <c r="AQ1595">
        <v>8.4688346879999994</v>
      </c>
      <c r="AR1595" t="s">
        <v>48</v>
      </c>
      <c r="AS1595">
        <f t="shared" si="156"/>
        <v>-5.2158345614121355</v>
      </c>
      <c r="AT1595">
        <f t="shared" si="157"/>
        <v>121.62873271713231</v>
      </c>
      <c r="AW1595" s="28">
        <f t="shared" si="148"/>
        <v>-15.176910862639659</v>
      </c>
      <c r="AX1595">
        <f t="shared" si="149"/>
        <v>0.5714285714285714</v>
      </c>
      <c r="AY1595" s="62">
        <f t="shared" si="150"/>
        <v>-8.6725204929369468</v>
      </c>
    </row>
    <row r="1596" spans="1:53" hidden="1">
      <c r="A1596" t="s">
        <v>908</v>
      </c>
      <c r="B1596" t="s">
        <v>593</v>
      </c>
      <c r="C1596" t="s">
        <v>558</v>
      </c>
      <c r="D1596" s="25">
        <v>44</v>
      </c>
      <c r="E1596" s="25">
        <v>448</v>
      </c>
      <c r="F1596" t="s">
        <v>1241</v>
      </c>
      <c r="G1596" t="s">
        <v>559</v>
      </c>
      <c r="H1596" s="3" t="s">
        <v>889</v>
      </c>
      <c r="I1596">
        <v>2003</v>
      </c>
      <c r="J1596" t="s">
        <v>560</v>
      </c>
      <c r="K1596" t="s">
        <v>162</v>
      </c>
      <c r="L1596" t="s">
        <v>561</v>
      </c>
      <c r="M1596" s="25" t="s">
        <v>35</v>
      </c>
      <c r="N1596" t="s">
        <v>36</v>
      </c>
      <c r="O1596" t="s">
        <v>37</v>
      </c>
      <c r="P1596" t="s">
        <v>60</v>
      </c>
      <c r="Q1596" t="s">
        <v>900</v>
      </c>
      <c r="R1596" t="s">
        <v>888</v>
      </c>
      <c r="S1596" t="s">
        <v>893</v>
      </c>
      <c r="T1596">
        <v>35.188951199999998</v>
      </c>
      <c r="U1596">
        <v>140.37141260000001</v>
      </c>
      <c r="V1596" t="s">
        <v>905</v>
      </c>
      <c r="W1596" s="25" t="s">
        <v>38</v>
      </c>
      <c r="X1596">
        <v>0.25</v>
      </c>
      <c r="Y1596" t="s">
        <v>39</v>
      </c>
      <c r="Z1596">
        <v>2</v>
      </c>
      <c r="AA1596">
        <v>2</v>
      </c>
      <c r="AC1596">
        <v>320</v>
      </c>
      <c r="AE1596">
        <v>30000</v>
      </c>
      <c r="AG1596">
        <v>2215</v>
      </c>
      <c r="AH1596">
        <v>4.4771212550000001</v>
      </c>
      <c r="AI1596">
        <v>26</v>
      </c>
      <c r="AJ1596" t="s">
        <v>578</v>
      </c>
      <c r="AK1596" t="s">
        <v>69</v>
      </c>
      <c r="AL1596" s="25" t="s">
        <v>353</v>
      </c>
      <c r="AM1596" t="s">
        <v>61</v>
      </c>
      <c r="AN1596">
        <v>100</v>
      </c>
      <c r="AO1596">
        <v>3.7639265279999998</v>
      </c>
      <c r="AP1596" s="26">
        <v>85</v>
      </c>
      <c r="AQ1596">
        <v>17.40816019</v>
      </c>
      <c r="AR1596" t="s">
        <v>48</v>
      </c>
      <c r="AS1596">
        <f t="shared" si="156"/>
        <v>-0.16251892949777513</v>
      </c>
      <c r="AT1596">
        <f t="shared" si="157"/>
        <v>2.1680263110855535E-2</v>
      </c>
      <c r="AW1596" s="28">
        <f t="shared" ref="AW1596:AW1659" si="158">(AP1596-$AN1596)/SQRT(((AA1596-1)*AQ1596*AQ1596+($Z1596-1)*$AO1596*$AO1596)/(AA1596+$Z1596-2))</f>
        <v>-1.1910555340657867</v>
      </c>
      <c r="AX1596">
        <f t="shared" ref="AX1596:AX1659" si="159">1-(3/(4*(AA1596+$Z1596-2)-1))</f>
        <v>0.5714285714285714</v>
      </c>
      <c r="AY1596" s="62">
        <f t="shared" ref="AY1596:AY1659" si="160">AX1596*AW1596</f>
        <v>-0.68060316232330664</v>
      </c>
    </row>
    <row r="1597" spans="1:53" hidden="1">
      <c r="A1597" t="s">
        <v>908</v>
      </c>
      <c r="B1597" t="s">
        <v>594</v>
      </c>
      <c r="C1597" t="s">
        <v>558</v>
      </c>
      <c r="D1597" s="25">
        <v>44</v>
      </c>
      <c r="E1597" s="25">
        <v>449</v>
      </c>
      <c r="F1597" t="s">
        <v>1241</v>
      </c>
      <c r="G1597" t="s">
        <v>559</v>
      </c>
      <c r="H1597" s="3" t="s">
        <v>889</v>
      </c>
      <c r="I1597">
        <v>2003</v>
      </c>
      <c r="J1597" t="s">
        <v>560</v>
      </c>
      <c r="K1597" t="s">
        <v>162</v>
      </c>
      <c r="L1597" t="s">
        <v>561</v>
      </c>
      <c r="M1597" s="25" t="s">
        <v>35</v>
      </c>
      <c r="N1597" t="s">
        <v>36</v>
      </c>
      <c r="O1597" t="s">
        <v>37</v>
      </c>
      <c r="P1597" t="s">
        <v>60</v>
      </c>
      <c r="Q1597" t="s">
        <v>900</v>
      </c>
      <c r="R1597" t="s">
        <v>888</v>
      </c>
      <c r="S1597" t="s">
        <v>893</v>
      </c>
      <c r="T1597">
        <v>35.188951199999998</v>
      </c>
      <c r="U1597">
        <v>140.37141260000001</v>
      </c>
      <c r="V1597" t="s">
        <v>905</v>
      </c>
      <c r="W1597" s="25" t="s">
        <v>38</v>
      </c>
      <c r="X1597">
        <v>0.25</v>
      </c>
      <c r="Y1597" t="s">
        <v>39</v>
      </c>
      <c r="Z1597">
        <v>2</v>
      </c>
      <c r="AA1597">
        <v>2</v>
      </c>
      <c r="AC1597">
        <v>320</v>
      </c>
      <c r="AE1597">
        <v>50000</v>
      </c>
      <c r="AG1597">
        <v>2215</v>
      </c>
      <c r="AH1597">
        <v>4.6989700040000004</v>
      </c>
      <c r="AI1597">
        <v>26</v>
      </c>
      <c r="AJ1597" t="s">
        <v>578</v>
      </c>
      <c r="AK1597" t="s">
        <v>69</v>
      </c>
      <c r="AL1597" s="25" t="s">
        <v>353</v>
      </c>
      <c r="AM1597" t="s">
        <v>61</v>
      </c>
      <c r="AN1597">
        <v>100</v>
      </c>
      <c r="AO1597">
        <v>3.7639265279999998</v>
      </c>
      <c r="AP1597" s="26">
        <v>269.23077000000001</v>
      </c>
      <c r="AQ1597">
        <v>7.5278530559999997</v>
      </c>
      <c r="AR1597" t="s">
        <v>48</v>
      </c>
      <c r="AS1597">
        <f t="shared" si="156"/>
        <v>0.99039870688501974</v>
      </c>
      <c r="AT1597">
        <f t="shared" si="157"/>
        <v>1.0992546372950445E-3</v>
      </c>
      <c r="AW1597" s="28">
        <f t="shared" si="158"/>
        <v>28.435979257461913</v>
      </c>
      <c r="AX1597">
        <f t="shared" si="159"/>
        <v>0.5714285714285714</v>
      </c>
      <c r="AY1597" s="62">
        <f t="shared" si="160"/>
        <v>16.249131004263948</v>
      </c>
    </row>
    <row r="1598" spans="1:53" hidden="1">
      <c r="A1598" t="s">
        <v>908</v>
      </c>
      <c r="B1598" t="s">
        <v>595</v>
      </c>
      <c r="C1598" t="s">
        <v>558</v>
      </c>
      <c r="D1598" s="25">
        <v>44</v>
      </c>
      <c r="E1598" s="25">
        <v>450</v>
      </c>
      <c r="F1598" t="s">
        <v>1241</v>
      </c>
      <c r="G1598" t="s">
        <v>559</v>
      </c>
      <c r="H1598" s="3" t="s">
        <v>889</v>
      </c>
      <c r="I1598">
        <v>2003</v>
      </c>
      <c r="J1598" t="s">
        <v>560</v>
      </c>
      <c r="K1598" t="s">
        <v>162</v>
      </c>
      <c r="L1598" t="s">
        <v>561</v>
      </c>
      <c r="M1598" s="25" t="s">
        <v>35</v>
      </c>
      <c r="N1598" t="s">
        <v>36</v>
      </c>
      <c r="O1598" t="s">
        <v>37</v>
      </c>
      <c r="P1598" t="s">
        <v>60</v>
      </c>
      <c r="Q1598" t="s">
        <v>900</v>
      </c>
      <c r="R1598" t="s">
        <v>888</v>
      </c>
      <c r="S1598" t="s">
        <v>893</v>
      </c>
      <c r="T1598">
        <v>35.188951199999998</v>
      </c>
      <c r="U1598">
        <v>140.37141260000001</v>
      </c>
      <c r="V1598" t="s">
        <v>905</v>
      </c>
      <c r="W1598" s="25" t="s">
        <v>38</v>
      </c>
      <c r="X1598">
        <v>0.25</v>
      </c>
      <c r="Y1598" t="s">
        <v>39</v>
      </c>
      <c r="Z1598">
        <v>2</v>
      </c>
      <c r="AA1598">
        <v>2</v>
      </c>
      <c r="AC1598">
        <v>320</v>
      </c>
      <c r="AE1598">
        <v>10000</v>
      </c>
      <c r="AG1598">
        <v>2215</v>
      </c>
      <c r="AH1598">
        <v>4</v>
      </c>
      <c r="AI1598">
        <v>26</v>
      </c>
      <c r="AJ1598" t="s">
        <v>578</v>
      </c>
      <c r="AK1598" t="s">
        <v>69</v>
      </c>
      <c r="AL1598" s="25" t="s">
        <v>353</v>
      </c>
      <c r="AM1598" t="s">
        <v>61</v>
      </c>
      <c r="AN1598">
        <v>100</v>
      </c>
      <c r="AO1598">
        <v>4.2344173439999997</v>
      </c>
      <c r="AP1598" s="26">
        <v>70.992369999999994</v>
      </c>
      <c r="AQ1598">
        <v>5.6458897920000002</v>
      </c>
      <c r="AR1598" t="s">
        <v>48</v>
      </c>
      <c r="AS1598">
        <f t="shared" si="156"/>
        <v>-0.34259777951026305</v>
      </c>
      <c r="AT1598">
        <f t="shared" si="157"/>
        <v>4.058875527684672E-3</v>
      </c>
      <c r="AW1598" s="28">
        <f t="shared" si="158"/>
        <v>-5.812792706854264</v>
      </c>
      <c r="AX1598">
        <f t="shared" si="159"/>
        <v>0.5714285714285714</v>
      </c>
      <c r="AY1598" s="62">
        <f t="shared" si="160"/>
        <v>-3.3215958324881507</v>
      </c>
    </row>
    <row r="1599" spans="1:53" hidden="1">
      <c r="A1599" t="s">
        <v>908</v>
      </c>
      <c r="B1599" t="s">
        <v>772</v>
      </c>
      <c r="C1599" t="s">
        <v>773</v>
      </c>
      <c r="D1599" s="25">
        <v>56</v>
      </c>
      <c r="E1599" s="25">
        <v>575</v>
      </c>
      <c r="F1599" t="s">
        <v>1241</v>
      </c>
      <c r="G1599" t="s">
        <v>774</v>
      </c>
      <c r="H1599" s="3" t="s">
        <v>796</v>
      </c>
      <c r="I1599">
        <v>2024</v>
      </c>
      <c r="J1599" t="s">
        <v>775</v>
      </c>
      <c r="K1599" t="s">
        <v>34</v>
      </c>
      <c r="L1599" t="s">
        <v>776</v>
      </c>
      <c r="M1599" s="25" t="s">
        <v>36</v>
      </c>
      <c r="N1599" t="s">
        <v>36</v>
      </c>
      <c r="O1599" t="s">
        <v>47</v>
      </c>
      <c r="P1599" t="s">
        <v>60</v>
      </c>
      <c r="Q1599" t="s">
        <v>899</v>
      </c>
      <c r="R1599" t="s">
        <v>828</v>
      </c>
      <c r="S1599" t="s">
        <v>799</v>
      </c>
      <c r="T1599">
        <v>24.466699999999999</v>
      </c>
      <c r="U1599">
        <v>118.0667</v>
      </c>
      <c r="V1599" t="s">
        <v>905</v>
      </c>
      <c r="W1599" s="25" t="s">
        <v>38</v>
      </c>
      <c r="X1599" t="s">
        <v>777</v>
      </c>
      <c r="Y1599" t="s">
        <v>39</v>
      </c>
      <c r="Z1599">
        <v>3</v>
      </c>
      <c r="AA1599">
        <v>3</v>
      </c>
      <c r="AB1599" t="s">
        <v>778</v>
      </c>
      <c r="AC1599">
        <v>400</v>
      </c>
      <c r="AE1599">
        <v>1000</v>
      </c>
      <c r="AG1599">
        <v>2602</v>
      </c>
      <c r="AH1599">
        <v>3</v>
      </c>
      <c r="AI1599">
        <v>28</v>
      </c>
      <c r="AJ1599" t="s">
        <v>108</v>
      </c>
      <c r="AK1599" t="s">
        <v>904</v>
      </c>
      <c r="AL1599" s="25" t="s">
        <v>60</v>
      </c>
      <c r="AM1599" t="s">
        <v>61</v>
      </c>
      <c r="AN1599">
        <v>0.770186335</v>
      </c>
      <c r="AO1599">
        <v>7.4534161000000002E-2</v>
      </c>
      <c r="AP1599" s="71">
        <v>68</v>
      </c>
      <c r="AQ1599">
        <v>0.55486542400000005</v>
      </c>
      <c r="AR1599" t="s">
        <v>41</v>
      </c>
      <c r="AS1599">
        <f t="shared" si="156"/>
        <v>4.480630505079727</v>
      </c>
      <c r="AT1599">
        <f t="shared" si="157"/>
        <v>3.143942175085328E-3</v>
      </c>
      <c r="AW1599" s="28">
        <f t="shared" si="158"/>
        <v>169.82669002909353</v>
      </c>
      <c r="AX1599">
        <f t="shared" si="159"/>
        <v>0.8</v>
      </c>
      <c r="AY1599" s="62">
        <f t="shared" si="160"/>
        <v>135.86135202327483</v>
      </c>
    </row>
    <row r="1600" spans="1:53" hidden="1">
      <c r="A1600" t="s">
        <v>908</v>
      </c>
      <c r="B1600" t="s">
        <v>779</v>
      </c>
      <c r="C1600" t="s">
        <v>773</v>
      </c>
      <c r="D1600" s="25">
        <v>56</v>
      </c>
      <c r="E1600" s="25">
        <v>576</v>
      </c>
      <c r="F1600" t="s">
        <v>1241</v>
      </c>
      <c r="G1600" t="s">
        <v>774</v>
      </c>
      <c r="H1600" s="3" t="s">
        <v>796</v>
      </c>
      <c r="I1600">
        <v>2024</v>
      </c>
      <c r="J1600" t="s">
        <v>775</v>
      </c>
      <c r="K1600" t="s">
        <v>34</v>
      </c>
      <c r="L1600" t="s">
        <v>776</v>
      </c>
      <c r="M1600" s="25" t="s">
        <v>36</v>
      </c>
      <c r="N1600" t="s">
        <v>36</v>
      </c>
      <c r="O1600" t="s">
        <v>47</v>
      </c>
      <c r="P1600" t="s">
        <v>60</v>
      </c>
      <c r="Q1600" t="s">
        <v>899</v>
      </c>
      <c r="R1600" t="s">
        <v>828</v>
      </c>
      <c r="S1600" t="s">
        <v>799</v>
      </c>
      <c r="T1600">
        <v>24.466699999999999</v>
      </c>
      <c r="U1600">
        <v>118.0667</v>
      </c>
      <c r="V1600" t="s">
        <v>905</v>
      </c>
      <c r="W1600" s="25" t="s">
        <v>38</v>
      </c>
      <c r="X1600" t="s">
        <v>777</v>
      </c>
      <c r="Y1600" t="s">
        <v>39</v>
      </c>
      <c r="Z1600">
        <v>3</v>
      </c>
      <c r="AA1600">
        <v>3</v>
      </c>
      <c r="AB1600" t="s">
        <v>780</v>
      </c>
      <c r="AC1600">
        <v>400</v>
      </c>
      <c r="AE1600">
        <v>1000</v>
      </c>
      <c r="AG1600">
        <v>2603</v>
      </c>
      <c r="AH1600">
        <v>3</v>
      </c>
      <c r="AI1600">
        <v>28</v>
      </c>
      <c r="AJ1600" t="s">
        <v>108</v>
      </c>
      <c r="AK1600" t="s">
        <v>904</v>
      </c>
      <c r="AL1600" s="25" t="s">
        <v>60</v>
      </c>
      <c r="AM1600" t="s">
        <v>61</v>
      </c>
      <c r="AN1600">
        <v>0.64596273299999996</v>
      </c>
      <c r="AO1600">
        <v>4.1407867000000001E-2</v>
      </c>
      <c r="AP1600" s="71">
        <v>23.36842</v>
      </c>
      <c r="AQ1600">
        <v>8.2815735000000001E-2</v>
      </c>
      <c r="AR1600" t="s">
        <v>41</v>
      </c>
      <c r="AS1600">
        <f t="shared" si="156"/>
        <v>3.5883990039388287</v>
      </c>
      <c r="AT1600">
        <f t="shared" si="157"/>
        <v>1.3738993237335554E-3</v>
      </c>
      <c r="AW1600" s="28">
        <f t="shared" si="158"/>
        <v>347.05829356266116</v>
      </c>
      <c r="AX1600">
        <f t="shared" si="159"/>
        <v>0.8</v>
      </c>
      <c r="AY1600" s="62">
        <f t="shared" si="160"/>
        <v>277.64663485012892</v>
      </c>
    </row>
    <row r="1601" spans="1:53" hidden="1">
      <c r="A1601" t="s">
        <v>908</v>
      </c>
      <c r="B1601" t="s">
        <v>781</v>
      </c>
      <c r="C1601" t="s">
        <v>773</v>
      </c>
      <c r="D1601" s="25">
        <v>56</v>
      </c>
      <c r="E1601" s="25">
        <v>577</v>
      </c>
      <c r="F1601" t="s">
        <v>1241</v>
      </c>
      <c r="G1601" t="s">
        <v>774</v>
      </c>
      <c r="H1601" s="3" t="s">
        <v>796</v>
      </c>
      <c r="I1601">
        <v>2024</v>
      </c>
      <c r="J1601" t="s">
        <v>775</v>
      </c>
      <c r="K1601" t="s">
        <v>34</v>
      </c>
      <c r="L1601" t="s">
        <v>776</v>
      </c>
      <c r="M1601" s="25" t="s">
        <v>36</v>
      </c>
      <c r="N1601" t="s">
        <v>36</v>
      </c>
      <c r="O1601" t="s">
        <v>47</v>
      </c>
      <c r="P1601" t="s">
        <v>60</v>
      </c>
      <c r="Q1601" t="s">
        <v>899</v>
      </c>
      <c r="R1601" t="s">
        <v>828</v>
      </c>
      <c r="S1601" t="s">
        <v>799</v>
      </c>
      <c r="T1601">
        <v>24.466699999999999</v>
      </c>
      <c r="U1601">
        <v>118.0667</v>
      </c>
      <c r="V1601" t="s">
        <v>905</v>
      </c>
      <c r="W1601" s="25" t="s">
        <v>38</v>
      </c>
      <c r="X1601" t="s">
        <v>777</v>
      </c>
      <c r="Y1601" t="s">
        <v>39</v>
      </c>
      <c r="Z1601">
        <v>3</v>
      </c>
      <c r="AA1601">
        <v>3</v>
      </c>
      <c r="AB1601" t="s">
        <v>782</v>
      </c>
      <c r="AC1601">
        <v>400</v>
      </c>
      <c r="AE1601">
        <v>1000</v>
      </c>
      <c r="AG1601">
        <v>2604</v>
      </c>
      <c r="AH1601">
        <v>3</v>
      </c>
      <c r="AI1601">
        <v>28</v>
      </c>
      <c r="AJ1601" t="s">
        <v>108</v>
      </c>
      <c r="AK1601" t="s">
        <v>904</v>
      </c>
      <c r="AL1601" s="25" t="s">
        <v>60</v>
      </c>
      <c r="AM1601" t="s">
        <v>61</v>
      </c>
      <c r="AN1601">
        <v>0.46376811600000001</v>
      </c>
      <c r="AO1601">
        <v>0.248447205</v>
      </c>
      <c r="AP1601">
        <v>0.58799171800000005</v>
      </c>
      <c r="AQ1601">
        <v>9.9378882000000002E-2</v>
      </c>
      <c r="AR1601" t="s">
        <v>41</v>
      </c>
      <c r="AS1601">
        <f t="shared" si="156"/>
        <v>0.23732818545581413</v>
      </c>
      <c r="AT1601">
        <f t="shared" si="157"/>
        <v>0.1051851855762343</v>
      </c>
      <c r="AW1601" s="28">
        <f t="shared" si="158"/>
        <v>0.65653216165607109</v>
      </c>
      <c r="AX1601">
        <f t="shared" si="159"/>
        <v>0.8</v>
      </c>
      <c r="AY1601" s="62">
        <f t="shared" si="160"/>
        <v>0.52522572932485689</v>
      </c>
    </row>
    <row r="1602" spans="1:53" hidden="1">
      <c r="A1602" t="s">
        <v>908</v>
      </c>
      <c r="B1602" t="s">
        <v>783</v>
      </c>
      <c r="C1602" t="s">
        <v>773</v>
      </c>
      <c r="D1602" s="25">
        <v>56</v>
      </c>
      <c r="E1602" s="25">
        <v>578</v>
      </c>
      <c r="F1602" t="s">
        <v>1241</v>
      </c>
      <c r="G1602" t="s">
        <v>774</v>
      </c>
      <c r="H1602" s="3" t="s">
        <v>796</v>
      </c>
      <c r="I1602">
        <v>2024</v>
      </c>
      <c r="J1602" t="s">
        <v>775</v>
      </c>
      <c r="K1602" t="s">
        <v>34</v>
      </c>
      <c r="L1602" t="s">
        <v>776</v>
      </c>
      <c r="M1602" s="25" t="s">
        <v>36</v>
      </c>
      <c r="N1602" t="s">
        <v>36</v>
      </c>
      <c r="O1602" t="s">
        <v>47</v>
      </c>
      <c r="P1602" t="s">
        <v>60</v>
      </c>
      <c r="Q1602" t="s">
        <v>899</v>
      </c>
      <c r="R1602" t="s">
        <v>828</v>
      </c>
      <c r="S1602" t="s">
        <v>799</v>
      </c>
      <c r="T1602">
        <v>24.466699999999999</v>
      </c>
      <c r="U1602">
        <v>118.0667</v>
      </c>
      <c r="V1602" t="s">
        <v>905</v>
      </c>
      <c r="W1602" s="25" t="s">
        <v>38</v>
      </c>
      <c r="X1602" t="s">
        <v>777</v>
      </c>
      <c r="Y1602" t="s">
        <v>39</v>
      </c>
      <c r="Z1602">
        <v>3</v>
      </c>
      <c r="AA1602">
        <v>3</v>
      </c>
      <c r="AB1602" t="s">
        <v>778</v>
      </c>
      <c r="AC1602">
        <v>400</v>
      </c>
      <c r="AE1602">
        <v>1000</v>
      </c>
      <c r="AG1602">
        <v>2605</v>
      </c>
      <c r="AH1602">
        <v>3</v>
      </c>
      <c r="AI1602">
        <v>28</v>
      </c>
      <c r="AJ1602" t="s">
        <v>108</v>
      </c>
      <c r="AK1602" t="s">
        <v>904</v>
      </c>
      <c r="AL1602" s="25" t="s">
        <v>60</v>
      </c>
      <c r="AM1602" t="s">
        <v>61</v>
      </c>
      <c r="AN1602">
        <v>0.80165289299999998</v>
      </c>
      <c r="AO1602">
        <v>0.51239669399999999</v>
      </c>
      <c r="AP1602">
        <v>1.107438017</v>
      </c>
      <c r="AQ1602">
        <v>0.49586776900000001</v>
      </c>
      <c r="AR1602" t="s">
        <v>41</v>
      </c>
      <c r="AS1602">
        <f t="shared" si="156"/>
        <v>0.32312882132650994</v>
      </c>
      <c r="AT1602">
        <f t="shared" si="157"/>
        <v>0.20301169878118419</v>
      </c>
      <c r="AW1602" s="28">
        <f t="shared" si="158"/>
        <v>0.60647588881151004</v>
      </c>
      <c r="AX1602">
        <f t="shared" si="159"/>
        <v>0.8</v>
      </c>
      <c r="AY1602" s="62">
        <f t="shared" si="160"/>
        <v>0.48518071104920807</v>
      </c>
    </row>
    <row r="1603" spans="1:53" hidden="1">
      <c r="A1603" t="s">
        <v>908</v>
      </c>
      <c r="B1603" t="s">
        <v>784</v>
      </c>
      <c r="C1603" t="s">
        <v>773</v>
      </c>
      <c r="D1603" s="25">
        <v>56</v>
      </c>
      <c r="E1603" s="25">
        <v>579</v>
      </c>
      <c r="F1603" t="s">
        <v>1241</v>
      </c>
      <c r="G1603" t="s">
        <v>774</v>
      </c>
      <c r="H1603" s="3" t="s">
        <v>796</v>
      </c>
      <c r="I1603">
        <v>2024</v>
      </c>
      <c r="J1603" t="s">
        <v>775</v>
      </c>
      <c r="K1603" t="s">
        <v>34</v>
      </c>
      <c r="L1603" t="s">
        <v>776</v>
      </c>
      <c r="M1603" s="25" t="s">
        <v>36</v>
      </c>
      <c r="N1603" t="s">
        <v>36</v>
      </c>
      <c r="O1603" t="s">
        <v>47</v>
      </c>
      <c r="P1603" t="s">
        <v>60</v>
      </c>
      <c r="Q1603" t="s">
        <v>899</v>
      </c>
      <c r="R1603" t="s">
        <v>828</v>
      </c>
      <c r="S1603" t="s">
        <v>799</v>
      </c>
      <c r="T1603">
        <v>24.466699999999999</v>
      </c>
      <c r="U1603">
        <v>118.0667</v>
      </c>
      <c r="V1603" t="s">
        <v>905</v>
      </c>
      <c r="W1603" s="25" t="s">
        <v>38</v>
      </c>
      <c r="X1603" t="s">
        <v>777</v>
      </c>
      <c r="Y1603" t="s">
        <v>39</v>
      </c>
      <c r="Z1603">
        <v>3</v>
      </c>
      <c r="AA1603">
        <v>3</v>
      </c>
      <c r="AB1603" t="s">
        <v>780</v>
      </c>
      <c r="AC1603">
        <v>400</v>
      </c>
      <c r="AE1603">
        <v>1000</v>
      </c>
      <c r="AG1603">
        <v>2606</v>
      </c>
      <c r="AH1603">
        <v>3</v>
      </c>
      <c r="AI1603">
        <v>28</v>
      </c>
      <c r="AJ1603" t="s">
        <v>108</v>
      </c>
      <c r="AK1603" t="s">
        <v>904</v>
      </c>
      <c r="AL1603" s="25" t="s">
        <v>60</v>
      </c>
      <c r="AM1603" t="s">
        <v>61</v>
      </c>
      <c r="AN1603">
        <v>0.70247933900000004</v>
      </c>
      <c r="AO1603">
        <v>0.173553719</v>
      </c>
      <c r="AP1603">
        <v>0.892561983</v>
      </c>
      <c r="AQ1603">
        <v>0.28925619800000002</v>
      </c>
      <c r="AR1603" t="s">
        <v>41</v>
      </c>
      <c r="AS1603">
        <f t="shared" si="156"/>
        <v>0.23947996988259601</v>
      </c>
      <c r="AT1603">
        <f t="shared" si="157"/>
        <v>5.5354022532135262E-2</v>
      </c>
      <c r="AW1603" s="28">
        <f t="shared" si="158"/>
        <v>0.79690276605647303</v>
      </c>
      <c r="AX1603">
        <f t="shared" si="159"/>
        <v>0.8</v>
      </c>
      <c r="AY1603" s="62">
        <f t="shared" si="160"/>
        <v>0.63752221284517852</v>
      </c>
    </row>
    <row r="1604" spans="1:53" hidden="1">
      <c r="A1604" t="s">
        <v>908</v>
      </c>
      <c r="B1604" t="s">
        <v>747</v>
      </c>
      <c r="C1604" t="s">
        <v>748</v>
      </c>
      <c r="D1604" s="25">
        <v>54</v>
      </c>
      <c r="E1604" s="25">
        <v>559</v>
      </c>
      <c r="F1604" t="s">
        <v>1241</v>
      </c>
      <c r="G1604" t="s">
        <v>749</v>
      </c>
      <c r="H1604" s="3" t="s">
        <v>802</v>
      </c>
      <c r="I1604">
        <v>2023</v>
      </c>
      <c r="J1604" t="s">
        <v>750</v>
      </c>
      <c r="K1604" t="s">
        <v>751</v>
      </c>
      <c r="L1604" t="s">
        <v>752</v>
      </c>
      <c r="M1604" s="25" t="s">
        <v>36</v>
      </c>
      <c r="N1604" t="s">
        <v>36</v>
      </c>
      <c r="O1604" t="s">
        <v>37</v>
      </c>
      <c r="P1604" t="s">
        <v>60</v>
      </c>
      <c r="Q1604" t="s">
        <v>899</v>
      </c>
      <c r="R1604" t="s">
        <v>801</v>
      </c>
      <c r="S1604" t="s">
        <v>800</v>
      </c>
      <c r="T1604">
        <v>50.550600000000003</v>
      </c>
      <c r="U1604">
        <v>2.4327999999999999</v>
      </c>
      <c r="V1604" t="s">
        <v>905</v>
      </c>
      <c r="W1604" s="25" t="s">
        <v>38</v>
      </c>
      <c r="X1604">
        <v>22</v>
      </c>
      <c r="Y1604" t="s">
        <v>39</v>
      </c>
      <c r="Z1604">
        <v>4</v>
      </c>
      <c r="AA1604">
        <v>4</v>
      </c>
      <c r="AC1604">
        <v>700</v>
      </c>
      <c r="AE1604">
        <v>27000</v>
      </c>
      <c r="AG1604">
        <v>2583</v>
      </c>
      <c r="AH1604">
        <v>4.4313637640000003</v>
      </c>
      <c r="AI1604">
        <v>20</v>
      </c>
      <c r="AJ1604" t="s">
        <v>753</v>
      </c>
      <c r="AK1604" t="s">
        <v>904</v>
      </c>
      <c r="AL1604" s="25" t="s">
        <v>60</v>
      </c>
      <c r="AM1604" t="s">
        <v>61</v>
      </c>
      <c r="AN1604">
        <v>9.7555555559999991</v>
      </c>
      <c r="AO1604">
        <v>1.333333334</v>
      </c>
      <c r="AP1604">
        <v>6.8666666669999996</v>
      </c>
      <c r="AQ1604">
        <v>0.97777777799999999</v>
      </c>
      <c r="AR1604" t="s">
        <v>44</v>
      </c>
      <c r="AS1604">
        <f t="shared" si="156"/>
        <v>-0.35115813617444025</v>
      </c>
      <c r="AT1604">
        <f t="shared" si="157"/>
        <v>9.7390346544639194E-3</v>
      </c>
      <c r="AW1604" s="28">
        <f t="shared" si="158"/>
        <v>-2.4709292432217804</v>
      </c>
      <c r="AX1604">
        <f t="shared" si="159"/>
        <v>0.86956521739130432</v>
      </c>
      <c r="AY1604" s="62">
        <f t="shared" si="160"/>
        <v>-2.1486341245406786</v>
      </c>
    </row>
    <row r="1605" spans="1:53" hidden="1">
      <c r="A1605" t="s">
        <v>908</v>
      </c>
      <c r="B1605" t="s">
        <v>754</v>
      </c>
      <c r="C1605" t="s">
        <v>748</v>
      </c>
      <c r="D1605" s="25">
        <v>54</v>
      </c>
      <c r="E1605" s="25">
        <v>560</v>
      </c>
      <c r="F1605" t="s">
        <v>1241</v>
      </c>
      <c r="G1605" t="s">
        <v>749</v>
      </c>
      <c r="H1605" s="3" t="s">
        <v>802</v>
      </c>
      <c r="I1605">
        <v>2023</v>
      </c>
      <c r="J1605" t="s">
        <v>750</v>
      </c>
      <c r="K1605" t="s">
        <v>751</v>
      </c>
      <c r="L1605" t="s">
        <v>752</v>
      </c>
      <c r="M1605" s="25" t="s">
        <v>36</v>
      </c>
      <c r="N1605" t="s">
        <v>36</v>
      </c>
      <c r="O1605" t="s">
        <v>37</v>
      </c>
      <c r="P1605" t="s">
        <v>60</v>
      </c>
      <c r="Q1605" t="s">
        <v>899</v>
      </c>
      <c r="R1605" t="s">
        <v>801</v>
      </c>
      <c r="S1605" t="s">
        <v>800</v>
      </c>
      <c r="T1605">
        <v>50.550600000000003</v>
      </c>
      <c r="U1605">
        <v>2.4327999999999999</v>
      </c>
      <c r="V1605" t="s">
        <v>905</v>
      </c>
      <c r="W1605" s="25" t="s">
        <v>38</v>
      </c>
      <c r="X1605">
        <v>22</v>
      </c>
      <c r="Y1605" t="s">
        <v>39</v>
      </c>
      <c r="Z1605">
        <v>4</v>
      </c>
      <c r="AA1605">
        <v>4</v>
      </c>
      <c r="AC1605">
        <v>700</v>
      </c>
      <c r="AE1605">
        <v>27000</v>
      </c>
      <c r="AG1605">
        <v>2584</v>
      </c>
      <c r="AH1605">
        <v>4.4313637640000003</v>
      </c>
      <c r="AI1605">
        <v>20</v>
      </c>
      <c r="AJ1605" t="s">
        <v>755</v>
      </c>
      <c r="AK1605" t="s">
        <v>40</v>
      </c>
      <c r="AL1605" s="25" t="s">
        <v>60</v>
      </c>
      <c r="AM1605" t="s">
        <v>61</v>
      </c>
      <c r="AN1605">
        <v>0.14369747899999999</v>
      </c>
      <c r="AO1605">
        <v>1.0084034E-2</v>
      </c>
      <c r="AP1605">
        <v>0.112184874</v>
      </c>
      <c r="AQ1605">
        <v>1.0084034E-2</v>
      </c>
      <c r="AR1605" t="s">
        <v>44</v>
      </c>
      <c r="AS1605">
        <f t="shared" si="156"/>
        <v>-0.24756207827139676</v>
      </c>
      <c r="AT1605">
        <f t="shared" si="157"/>
        <v>3.2510952692352945E-3</v>
      </c>
      <c r="AW1605" s="28">
        <f t="shared" si="158"/>
        <v>-3.1249998760416697</v>
      </c>
      <c r="AX1605">
        <f t="shared" si="159"/>
        <v>0.86956521739130432</v>
      </c>
      <c r="AY1605" s="62">
        <f t="shared" si="160"/>
        <v>-2.7173911965579736</v>
      </c>
    </row>
    <row r="1606" spans="1:53" hidden="1">
      <c r="A1606" t="s">
        <v>908</v>
      </c>
      <c r="B1606" t="s">
        <v>756</v>
      </c>
      <c r="C1606" t="s">
        <v>748</v>
      </c>
      <c r="D1606" s="25">
        <v>54</v>
      </c>
      <c r="E1606" s="25">
        <v>561</v>
      </c>
      <c r="F1606" t="s">
        <v>1241</v>
      </c>
      <c r="G1606" t="s">
        <v>749</v>
      </c>
      <c r="H1606" s="3" t="s">
        <v>802</v>
      </c>
      <c r="I1606">
        <v>2023</v>
      </c>
      <c r="J1606" t="s">
        <v>750</v>
      </c>
      <c r="K1606" t="s">
        <v>751</v>
      </c>
      <c r="L1606" t="s">
        <v>752</v>
      </c>
      <c r="M1606" s="25" t="s">
        <v>36</v>
      </c>
      <c r="N1606" t="s">
        <v>36</v>
      </c>
      <c r="O1606" t="s">
        <v>37</v>
      </c>
      <c r="P1606" t="s">
        <v>60</v>
      </c>
      <c r="Q1606" t="s">
        <v>899</v>
      </c>
      <c r="R1606" t="s">
        <v>801</v>
      </c>
      <c r="S1606" t="s">
        <v>800</v>
      </c>
      <c r="T1606">
        <v>50.550600000000003</v>
      </c>
      <c r="U1606">
        <v>2.4327999999999999</v>
      </c>
      <c r="V1606" t="s">
        <v>905</v>
      </c>
      <c r="W1606" s="25" t="s">
        <v>38</v>
      </c>
      <c r="X1606">
        <v>22</v>
      </c>
      <c r="Y1606" t="s">
        <v>39</v>
      </c>
      <c r="Z1606">
        <v>4</v>
      </c>
      <c r="AA1606">
        <v>4</v>
      </c>
      <c r="AC1606">
        <v>700</v>
      </c>
      <c r="AE1606">
        <v>27000</v>
      </c>
      <c r="AG1606">
        <v>2585</v>
      </c>
      <c r="AH1606">
        <v>4.4313637640000003</v>
      </c>
      <c r="AI1606">
        <v>20</v>
      </c>
      <c r="AJ1606" t="s">
        <v>757</v>
      </c>
      <c r="AK1606" t="s">
        <v>40</v>
      </c>
      <c r="AL1606" s="25" t="s">
        <v>60</v>
      </c>
      <c r="AM1606" t="s">
        <v>61</v>
      </c>
      <c r="AN1606">
        <v>1.6386555000000001E-2</v>
      </c>
      <c r="AO1606">
        <v>5.0420159999999999E-3</v>
      </c>
      <c r="AP1606">
        <v>1.3865545999999999E-2</v>
      </c>
      <c r="AQ1606">
        <v>1.512605E-2</v>
      </c>
      <c r="AR1606" t="s">
        <v>44</v>
      </c>
      <c r="AS1606">
        <f t="shared" si="156"/>
        <v>-0.1670541234976648</v>
      </c>
      <c r="AT1606">
        <f t="shared" si="157"/>
        <v>0.3211892843914001</v>
      </c>
      <c r="AW1606" s="28">
        <f t="shared" si="158"/>
        <v>-0.22360685983813564</v>
      </c>
      <c r="AX1606">
        <f t="shared" si="159"/>
        <v>0.86956521739130432</v>
      </c>
      <c r="AY1606" s="62">
        <f t="shared" si="160"/>
        <v>-0.19444074768533534</v>
      </c>
    </row>
    <row r="1607" spans="1:53" hidden="1">
      <c r="A1607" t="s">
        <v>908</v>
      </c>
      <c r="B1607" t="s">
        <v>758</v>
      </c>
      <c r="C1607" t="s">
        <v>748</v>
      </c>
      <c r="D1607" s="25">
        <v>54</v>
      </c>
      <c r="E1607" s="25">
        <v>562</v>
      </c>
      <c r="F1607" t="s">
        <v>1241</v>
      </c>
      <c r="G1607" t="s">
        <v>749</v>
      </c>
      <c r="H1607" s="3" t="s">
        <v>802</v>
      </c>
      <c r="I1607">
        <v>2023</v>
      </c>
      <c r="J1607" t="s">
        <v>750</v>
      </c>
      <c r="K1607" t="s">
        <v>751</v>
      </c>
      <c r="L1607" t="s">
        <v>752</v>
      </c>
      <c r="M1607" s="25" t="s">
        <v>36</v>
      </c>
      <c r="N1607" t="s">
        <v>36</v>
      </c>
      <c r="O1607" t="s">
        <v>37</v>
      </c>
      <c r="P1607" t="s">
        <v>60</v>
      </c>
      <c r="Q1607" t="s">
        <v>899</v>
      </c>
      <c r="R1607" t="s">
        <v>801</v>
      </c>
      <c r="S1607" t="s">
        <v>800</v>
      </c>
      <c r="T1607">
        <v>50.550600000000003</v>
      </c>
      <c r="U1607">
        <v>2.4327999999999999</v>
      </c>
      <c r="V1607" t="s">
        <v>905</v>
      </c>
      <c r="W1607" s="25" t="s">
        <v>38</v>
      </c>
      <c r="X1607">
        <v>22</v>
      </c>
      <c r="Y1607" t="s">
        <v>39</v>
      </c>
      <c r="Z1607">
        <v>4</v>
      </c>
      <c r="AA1607">
        <v>4</v>
      </c>
      <c r="AC1607">
        <v>700</v>
      </c>
      <c r="AE1607">
        <v>27000</v>
      </c>
      <c r="AG1607">
        <v>2586</v>
      </c>
      <c r="AH1607">
        <v>4.4313637640000003</v>
      </c>
      <c r="AI1607">
        <v>20</v>
      </c>
      <c r="AJ1607" t="s">
        <v>759</v>
      </c>
      <c r="AK1607" t="s">
        <v>40</v>
      </c>
      <c r="AL1607" s="25" t="s">
        <v>60</v>
      </c>
      <c r="AM1607" t="s">
        <v>61</v>
      </c>
      <c r="AN1607">
        <v>765.64705879999997</v>
      </c>
      <c r="AO1607">
        <v>14.70588235</v>
      </c>
      <c r="AP1607">
        <v>694.35294120000003</v>
      </c>
      <c r="AQ1607">
        <v>16.117647059999999</v>
      </c>
      <c r="AR1607" t="s">
        <v>44</v>
      </c>
      <c r="AS1607">
        <f t="shared" si="156"/>
        <v>-9.7740912771425492E-2</v>
      </c>
      <c r="AT1607">
        <f t="shared" si="157"/>
        <v>2.2693315260439908E-4</v>
      </c>
      <c r="AW1607" s="28">
        <f t="shared" si="158"/>
        <v>-4.6211096995909653</v>
      </c>
      <c r="AX1607">
        <f t="shared" si="159"/>
        <v>0.86956521739130432</v>
      </c>
      <c r="AY1607" s="62">
        <f t="shared" si="160"/>
        <v>-4.0183562605138832</v>
      </c>
    </row>
    <row r="1608" spans="1:53" hidden="1">
      <c r="A1608" t="s">
        <v>908</v>
      </c>
      <c r="B1608" t="s">
        <v>760</v>
      </c>
      <c r="C1608" t="s">
        <v>761</v>
      </c>
      <c r="D1608" s="25">
        <v>55</v>
      </c>
      <c r="E1608" s="25">
        <v>563</v>
      </c>
      <c r="F1608" t="s">
        <v>1241</v>
      </c>
      <c r="G1608" t="s">
        <v>762</v>
      </c>
      <c r="H1608" s="3" t="s">
        <v>803</v>
      </c>
      <c r="I1608">
        <v>2023</v>
      </c>
      <c r="J1608" t="s">
        <v>763</v>
      </c>
      <c r="K1608" t="s">
        <v>49</v>
      </c>
      <c r="L1608" t="s">
        <v>764</v>
      </c>
      <c r="M1608" s="25" t="s">
        <v>36</v>
      </c>
      <c r="N1608" t="s">
        <v>36</v>
      </c>
      <c r="O1608" t="s">
        <v>47</v>
      </c>
      <c r="P1608" t="s">
        <v>60</v>
      </c>
      <c r="Q1608" t="s">
        <v>899</v>
      </c>
      <c r="R1608" t="s">
        <v>828</v>
      </c>
      <c r="S1608" t="s">
        <v>804</v>
      </c>
      <c r="T1608">
        <v>41.3</v>
      </c>
      <c r="U1608">
        <v>-72</v>
      </c>
      <c r="V1608" t="s">
        <v>905</v>
      </c>
      <c r="W1608" s="25" t="s">
        <v>38</v>
      </c>
      <c r="X1608" t="s">
        <v>411</v>
      </c>
      <c r="Y1608" t="s">
        <v>39</v>
      </c>
      <c r="Z1608">
        <v>3</v>
      </c>
      <c r="AA1608">
        <v>3</v>
      </c>
      <c r="AC1608">
        <v>400</v>
      </c>
      <c r="AE1608">
        <v>1000</v>
      </c>
      <c r="AG1608">
        <v>2590</v>
      </c>
      <c r="AH1608">
        <v>3</v>
      </c>
      <c r="AI1608">
        <v>13</v>
      </c>
      <c r="AJ1608" t="s">
        <v>69</v>
      </c>
      <c r="AK1608" t="s">
        <v>69</v>
      </c>
      <c r="AL1608" s="25" t="s">
        <v>60</v>
      </c>
      <c r="AM1608" t="s">
        <v>61</v>
      </c>
      <c r="AN1608">
        <v>0.60666666700000005</v>
      </c>
      <c r="AO1608">
        <v>0.17</v>
      </c>
      <c r="AP1608">
        <v>0.48333333299999998</v>
      </c>
      <c r="AQ1608">
        <v>9.3333333000000004E-2</v>
      </c>
      <c r="AR1608" t="s">
        <v>48</v>
      </c>
      <c r="AS1608">
        <f t="shared" si="156"/>
        <v>-0.22727294589532676</v>
      </c>
      <c r="AT1608">
        <f t="shared" si="157"/>
        <v>3.8604022220414924E-2</v>
      </c>
      <c r="AW1608" s="28">
        <f t="shared" si="158"/>
        <v>-0.89936791099598734</v>
      </c>
      <c r="AX1608">
        <f t="shared" si="159"/>
        <v>0.8</v>
      </c>
      <c r="AY1608" s="62">
        <f t="shared" si="160"/>
        <v>-0.71949432879678987</v>
      </c>
    </row>
    <row r="1609" spans="1:53" hidden="1">
      <c r="A1609" t="s">
        <v>908</v>
      </c>
      <c r="B1609" t="s">
        <v>765</v>
      </c>
      <c r="C1609" t="s">
        <v>761</v>
      </c>
      <c r="D1609" s="25">
        <v>55</v>
      </c>
      <c r="E1609" s="25">
        <v>564</v>
      </c>
      <c r="F1609" t="s">
        <v>1241</v>
      </c>
      <c r="G1609" t="s">
        <v>762</v>
      </c>
      <c r="H1609" s="3" t="s">
        <v>803</v>
      </c>
      <c r="I1609">
        <v>2023</v>
      </c>
      <c r="J1609" t="s">
        <v>763</v>
      </c>
      <c r="K1609" t="s">
        <v>49</v>
      </c>
      <c r="L1609" t="s">
        <v>764</v>
      </c>
      <c r="M1609" s="25" t="s">
        <v>36</v>
      </c>
      <c r="N1609" t="s">
        <v>36</v>
      </c>
      <c r="O1609" t="s">
        <v>47</v>
      </c>
      <c r="P1609" t="s">
        <v>60</v>
      </c>
      <c r="Q1609" t="s">
        <v>899</v>
      </c>
      <c r="R1609" t="s">
        <v>828</v>
      </c>
      <c r="S1609" t="s">
        <v>804</v>
      </c>
      <c r="T1609">
        <v>41.3</v>
      </c>
      <c r="U1609">
        <v>-72</v>
      </c>
      <c r="V1609" t="s">
        <v>905</v>
      </c>
      <c r="W1609" s="25" t="s">
        <v>38</v>
      </c>
      <c r="X1609" t="s">
        <v>766</v>
      </c>
      <c r="Y1609" t="s">
        <v>39</v>
      </c>
      <c r="Z1609">
        <v>3</v>
      </c>
      <c r="AA1609">
        <v>3</v>
      </c>
      <c r="AC1609">
        <v>400</v>
      </c>
      <c r="AE1609">
        <v>1000</v>
      </c>
      <c r="AG1609">
        <v>2591</v>
      </c>
      <c r="AH1609">
        <v>3</v>
      </c>
      <c r="AI1609">
        <v>13</v>
      </c>
      <c r="AJ1609" t="s">
        <v>69</v>
      </c>
      <c r="AK1609" t="s">
        <v>69</v>
      </c>
      <c r="AL1609" s="25" t="s">
        <v>60</v>
      </c>
      <c r="AM1609" t="s">
        <v>61</v>
      </c>
      <c r="AN1609">
        <v>0.83666666700000003</v>
      </c>
      <c r="AO1609">
        <v>0.14000000000000001</v>
      </c>
      <c r="AP1609">
        <v>0.65666666699999998</v>
      </c>
      <c r="AQ1609">
        <v>0.15333333299999999</v>
      </c>
      <c r="AR1609" t="s">
        <v>48</v>
      </c>
      <c r="AS1609">
        <f t="shared" si="156"/>
        <v>-0.2422492102845876</v>
      </c>
      <c r="AT1609">
        <f t="shared" si="157"/>
        <v>2.7507663511172391E-2</v>
      </c>
      <c r="AW1609" s="28">
        <f t="shared" si="158"/>
        <v>-1.2260068462570632</v>
      </c>
      <c r="AX1609">
        <f t="shared" si="159"/>
        <v>0.8</v>
      </c>
      <c r="AY1609" s="62">
        <f t="shared" si="160"/>
        <v>-0.98080547700565068</v>
      </c>
    </row>
    <row r="1610" spans="1:53" hidden="1">
      <c r="A1610" t="s">
        <v>908</v>
      </c>
      <c r="B1610" t="s">
        <v>767</v>
      </c>
      <c r="C1610" t="s">
        <v>761</v>
      </c>
      <c r="D1610" s="25">
        <v>55</v>
      </c>
      <c r="E1610" s="25">
        <v>565</v>
      </c>
      <c r="F1610" t="s">
        <v>1241</v>
      </c>
      <c r="G1610" t="s">
        <v>762</v>
      </c>
      <c r="H1610" s="3" t="s">
        <v>803</v>
      </c>
      <c r="I1610">
        <v>2023</v>
      </c>
      <c r="J1610" t="s">
        <v>763</v>
      </c>
      <c r="K1610" t="s">
        <v>49</v>
      </c>
      <c r="L1610" t="s">
        <v>764</v>
      </c>
      <c r="M1610" s="25" t="s">
        <v>36</v>
      </c>
      <c r="N1610" t="s">
        <v>36</v>
      </c>
      <c r="O1610" t="s">
        <v>47</v>
      </c>
      <c r="P1610" t="s">
        <v>60</v>
      </c>
      <c r="Q1610" t="s">
        <v>899</v>
      </c>
      <c r="R1610" t="s">
        <v>828</v>
      </c>
      <c r="S1610" t="s">
        <v>804</v>
      </c>
      <c r="T1610">
        <v>41.3</v>
      </c>
      <c r="U1610">
        <v>-72</v>
      </c>
      <c r="V1610" t="s">
        <v>905</v>
      </c>
      <c r="W1610" s="25" t="s">
        <v>38</v>
      </c>
      <c r="X1610" t="s">
        <v>411</v>
      </c>
      <c r="Y1610" t="s">
        <v>39</v>
      </c>
      <c r="Z1610">
        <v>3</v>
      </c>
      <c r="AA1610">
        <v>3</v>
      </c>
      <c r="AC1610">
        <v>400</v>
      </c>
      <c r="AE1610">
        <v>1000</v>
      </c>
      <c r="AG1610">
        <v>2592</v>
      </c>
      <c r="AH1610">
        <v>3</v>
      </c>
      <c r="AI1610">
        <v>13</v>
      </c>
      <c r="AJ1610" t="s">
        <v>622</v>
      </c>
      <c r="AK1610" t="s">
        <v>59</v>
      </c>
      <c r="AL1610" s="25" t="s">
        <v>60</v>
      </c>
      <c r="AM1610" t="s">
        <v>61</v>
      </c>
      <c r="AN1610">
        <v>19.03474903</v>
      </c>
      <c r="AO1610">
        <v>4.0154440149999999</v>
      </c>
      <c r="AP1610">
        <v>20.42471042</v>
      </c>
      <c r="AQ1610">
        <v>4.324324324</v>
      </c>
      <c r="AR1610" t="s">
        <v>48</v>
      </c>
      <c r="AS1610">
        <f t="shared" si="156"/>
        <v>7.0479257834478393E-2</v>
      </c>
      <c r="AT1610">
        <f t="shared" si="157"/>
        <v>2.9775589676850164E-2</v>
      </c>
      <c r="AW1610" s="28">
        <f t="shared" si="158"/>
        <v>0.33310494462864521</v>
      </c>
      <c r="AX1610">
        <f t="shared" si="159"/>
        <v>0.8</v>
      </c>
      <c r="AY1610" s="62">
        <f t="shared" si="160"/>
        <v>0.26648395570291616</v>
      </c>
    </row>
    <row r="1611" spans="1:53" hidden="1">
      <c r="A1611" t="s">
        <v>908</v>
      </c>
      <c r="B1611" t="s">
        <v>768</v>
      </c>
      <c r="C1611" t="s">
        <v>761</v>
      </c>
      <c r="D1611" s="25">
        <v>55</v>
      </c>
      <c r="E1611" s="25">
        <v>566</v>
      </c>
      <c r="F1611" t="s">
        <v>1241</v>
      </c>
      <c r="G1611" t="s">
        <v>762</v>
      </c>
      <c r="H1611" s="3" t="s">
        <v>803</v>
      </c>
      <c r="I1611">
        <v>2023</v>
      </c>
      <c r="J1611" t="s">
        <v>763</v>
      </c>
      <c r="K1611" t="s">
        <v>49</v>
      </c>
      <c r="L1611" t="s">
        <v>764</v>
      </c>
      <c r="M1611" s="25" t="s">
        <v>36</v>
      </c>
      <c r="N1611" t="s">
        <v>36</v>
      </c>
      <c r="O1611" t="s">
        <v>47</v>
      </c>
      <c r="P1611" t="s">
        <v>60</v>
      </c>
      <c r="Q1611" t="s">
        <v>899</v>
      </c>
      <c r="R1611" t="s">
        <v>828</v>
      </c>
      <c r="S1611" t="s">
        <v>804</v>
      </c>
      <c r="T1611">
        <v>41.3</v>
      </c>
      <c r="U1611">
        <v>-72</v>
      </c>
      <c r="V1611" t="s">
        <v>905</v>
      </c>
      <c r="W1611" s="25" t="s">
        <v>38</v>
      </c>
      <c r="X1611" t="s">
        <v>766</v>
      </c>
      <c r="Y1611" t="s">
        <v>39</v>
      </c>
      <c r="Z1611">
        <v>3</v>
      </c>
      <c r="AA1611">
        <v>3</v>
      </c>
      <c r="AC1611">
        <v>400</v>
      </c>
      <c r="AE1611">
        <v>1000</v>
      </c>
      <c r="AG1611">
        <v>2593</v>
      </c>
      <c r="AH1611">
        <v>3</v>
      </c>
      <c r="AI1611">
        <v>13</v>
      </c>
      <c r="AJ1611" t="s">
        <v>622</v>
      </c>
      <c r="AK1611" t="s">
        <v>59</v>
      </c>
      <c r="AL1611" s="25" t="s">
        <v>60</v>
      </c>
      <c r="AM1611" t="s">
        <v>61</v>
      </c>
      <c r="AN1611">
        <v>20.73359073</v>
      </c>
      <c r="AO1611">
        <v>3.7065637069999999</v>
      </c>
      <c r="AP1611">
        <v>16.56370656</v>
      </c>
      <c r="AQ1611">
        <v>4.6332046330000001</v>
      </c>
      <c r="AR1611" t="s">
        <v>48</v>
      </c>
      <c r="AS1611">
        <f t="shared" si="156"/>
        <v>-0.22454117563143994</v>
      </c>
      <c r="AT1611">
        <f t="shared" si="157"/>
        <v>3.6734162465840617E-2</v>
      </c>
      <c r="AW1611" s="28">
        <f t="shared" si="158"/>
        <v>-0.99388373468233882</v>
      </c>
      <c r="AX1611">
        <f t="shared" si="159"/>
        <v>0.8</v>
      </c>
      <c r="AY1611" s="62">
        <f t="shared" si="160"/>
        <v>-0.79510698774587107</v>
      </c>
    </row>
    <row r="1612" spans="1:53" hidden="1">
      <c r="A1612" t="s">
        <v>908</v>
      </c>
      <c r="B1612" t="s">
        <v>769</v>
      </c>
      <c r="C1612" t="s">
        <v>761</v>
      </c>
      <c r="D1612" s="25">
        <v>55</v>
      </c>
      <c r="E1612" s="25">
        <v>567</v>
      </c>
      <c r="F1612" t="s">
        <v>1241</v>
      </c>
      <c r="G1612" t="s">
        <v>762</v>
      </c>
      <c r="H1612" s="3" t="s">
        <v>803</v>
      </c>
      <c r="I1612">
        <v>2023</v>
      </c>
      <c r="J1612" t="s">
        <v>763</v>
      </c>
      <c r="K1612" t="s">
        <v>49</v>
      </c>
      <c r="L1612" t="s">
        <v>764</v>
      </c>
      <c r="M1612" s="25" t="s">
        <v>36</v>
      </c>
      <c r="N1612" t="s">
        <v>36</v>
      </c>
      <c r="O1612" t="s">
        <v>47</v>
      </c>
      <c r="P1612" t="s">
        <v>60</v>
      </c>
      <c r="Q1612" t="s">
        <v>899</v>
      </c>
      <c r="R1612" t="s">
        <v>828</v>
      </c>
      <c r="S1612" t="s">
        <v>804</v>
      </c>
      <c r="T1612">
        <v>41.3</v>
      </c>
      <c r="U1612">
        <v>-72</v>
      </c>
      <c r="V1612" t="s">
        <v>905</v>
      </c>
      <c r="W1612" s="25" t="s">
        <v>38</v>
      </c>
      <c r="X1612" t="s">
        <v>411</v>
      </c>
      <c r="Y1612" t="s">
        <v>39</v>
      </c>
      <c r="Z1612">
        <v>3</v>
      </c>
      <c r="AA1612">
        <v>3</v>
      </c>
      <c r="AC1612">
        <v>400</v>
      </c>
      <c r="AE1612">
        <v>1000</v>
      </c>
      <c r="AG1612">
        <v>2594</v>
      </c>
      <c r="AH1612">
        <v>3</v>
      </c>
      <c r="AI1612">
        <v>13</v>
      </c>
      <c r="AJ1612" t="s">
        <v>770</v>
      </c>
      <c r="AK1612" t="s">
        <v>59</v>
      </c>
      <c r="AL1612" s="25" t="s">
        <v>60</v>
      </c>
      <c r="AM1612" t="s">
        <v>61</v>
      </c>
      <c r="AN1612">
        <v>21.85714286</v>
      </c>
      <c r="AO1612">
        <v>0.79300291499999997</v>
      </c>
      <c r="AP1612">
        <v>20.31778426</v>
      </c>
      <c r="AQ1612">
        <v>0.69970845500000001</v>
      </c>
      <c r="AR1612" t="s">
        <v>48</v>
      </c>
      <c r="AS1612">
        <f t="shared" si="156"/>
        <v>-7.3031198025941269E-2</v>
      </c>
      <c r="AT1612">
        <f t="shared" si="157"/>
        <v>8.3410513259986612E-4</v>
      </c>
      <c r="AW1612" s="28">
        <f t="shared" si="158"/>
        <v>-2.0584834427567302</v>
      </c>
      <c r="AX1612">
        <f t="shared" si="159"/>
        <v>0.8</v>
      </c>
      <c r="AY1612" s="62">
        <f t="shared" si="160"/>
        <v>-1.6467867542053842</v>
      </c>
    </row>
    <row r="1613" spans="1:53" hidden="1">
      <c r="A1613" t="s">
        <v>908</v>
      </c>
      <c r="B1613" t="s">
        <v>771</v>
      </c>
      <c r="C1613" t="s">
        <v>761</v>
      </c>
      <c r="D1613" s="25">
        <v>55</v>
      </c>
      <c r="E1613" s="25">
        <v>568</v>
      </c>
      <c r="F1613" t="s">
        <v>1241</v>
      </c>
      <c r="G1613" t="s">
        <v>762</v>
      </c>
      <c r="H1613" s="3" t="s">
        <v>803</v>
      </c>
      <c r="I1613">
        <v>2023</v>
      </c>
      <c r="J1613" t="s">
        <v>763</v>
      </c>
      <c r="K1613" t="s">
        <v>49</v>
      </c>
      <c r="L1613" t="s">
        <v>764</v>
      </c>
      <c r="M1613" s="25" t="s">
        <v>36</v>
      </c>
      <c r="N1613" t="s">
        <v>36</v>
      </c>
      <c r="O1613" t="s">
        <v>47</v>
      </c>
      <c r="P1613" t="s">
        <v>60</v>
      </c>
      <c r="Q1613" t="s">
        <v>899</v>
      </c>
      <c r="R1613" t="s">
        <v>828</v>
      </c>
      <c r="S1613" t="s">
        <v>804</v>
      </c>
      <c r="T1613">
        <v>41.3</v>
      </c>
      <c r="U1613">
        <v>-72</v>
      </c>
      <c r="V1613" t="s">
        <v>905</v>
      </c>
      <c r="W1613" s="25" t="s">
        <v>38</v>
      </c>
      <c r="X1613" t="s">
        <v>766</v>
      </c>
      <c r="Y1613" t="s">
        <v>39</v>
      </c>
      <c r="Z1613">
        <v>3</v>
      </c>
      <c r="AA1613">
        <v>3</v>
      </c>
      <c r="AC1613">
        <v>400</v>
      </c>
      <c r="AE1613">
        <v>1000</v>
      </c>
      <c r="AG1613">
        <v>2595</v>
      </c>
      <c r="AH1613">
        <v>3</v>
      </c>
      <c r="AI1613">
        <v>13</v>
      </c>
      <c r="AJ1613" t="s">
        <v>770</v>
      </c>
      <c r="AK1613" t="s">
        <v>59</v>
      </c>
      <c r="AL1613" s="25" t="s">
        <v>60</v>
      </c>
      <c r="AM1613" t="s">
        <v>61</v>
      </c>
      <c r="AN1613">
        <v>20.224489800000001</v>
      </c>
      <c r="AO1613">
        <v>1.0262390669999999</v>
      </c>
      <c r="AP1613">
        <v>19.664723030000001</v>
      </c>
      <c r="AQ1613">
        <v>0.37317784300000001</v>
      </c>
      <c r="AR1613" t="s">
        <v>48</v>
      </c>
      <c r="AS1613">
        <f t="shared" si="156"/>
        <v>-2.8067915050524306E-2</v>
      </c>
      <c r="AT1613">
        <f t="shared" si="157"/>
        <v>9.7830600822356503E-4</v>
      </c>
      <c r="AW1613" s="28">
        <f t="shared" si="158"/>
        <v>-0.72494651989907688</v>
      </c>
      <c r="AX1613">
        <f t="shared" si="159"/>
        <v>0.8</v>
      </c>
      <c r="AY1613" s="62">
        <f t="shared" si="160"/>
        <v>-0.57995721591926153</v>
      </c>
    </row>
    <row r="1614" spans="1:53" hidden="1">
      <c r="A1614" t="s">
        <v>908</v>
      </c>
      <c r="B1614" t="s">
        <v>785</v>
      </c>
      <c r="C1614" t="s">
        <v>773</v>
      </c>
      <c r="D1614" s="25">
        <v>56</v>
      </c>
      <c r="E1614" s="25">
        <v>580</v>
      </c>
      <c r="F1614" t="s">
        <v>1241</v>
      </c>
      <c r="G1614" t="s">
        <v>786</v>
      </c>
      <c r="H1614" s="3" t="s">
        <v>796</v>
      </c>
      <c r="I1614">
        <v>2022</v>
      </c>
      <c r="J1614" t="s">
        <v>775</v>
      </c>
      <c r="K1614" t="s">
        <v>34</v>
      </c>
      <c r="L1614" t="s">
        <v>776</v>
      </c>
      <c r="M1614" s="25" t="s">
        <v>36</v>
      </c>
      <c r="N1614" t="s">
        <v>36</v>
      </c>
      <c r="O1614" t="s">
        <v>47</v>
      </c>
      <c r="P1614" t="s">
        <v>60</v>
      </c>
      <c r="Q1614" t="s">
        <v>899</v>
      </c>
      <c r="R1614" t="s">
        <v>828</v>
      </c>
      <c r="S1614" t="s">
        <v>799</v>
      </c>
      <c r="T1614">
        <v>24.466699999999999</v>
      </c>
      <c r="U1614">
        <v>118.0667</v>
      </c>
      <c r="V1614" t="s">
        <v>905</v>
      </c>
      <c r="W1614" s="25" t="s">
        <v>38</v>
      </c>
      <c r="X1614" t="s">
        <v>777</v>
      </c>
      <c r="Y1614" t="s">
        <v>39</v>
      </c>
      <c r="Z1614">
        <v>3</v>
      </c>
      <c r="AA1614">
        <v>3</v>
      </c>
      <c r="AB1614" t="s">
        <v>782</v>
      </c>
      <c r="AC1614">
        <v>400</v>
      </c>
      <c r="AE1614">
        <v>1000</v>
      </c>
      <c r="AG1614">
        <v>2607</v>
      </c>
      <c r="AH1614">
        <v>3</v>
      </c>
      <c r="AI1614">
        <v>28</v>
      </c>
      <c r="AJ1614" t="s">
        <v>108</v>
      </c>
      <c r="AK1614" t="s">
        <v>904</v>
      </c>
      <c r="AL1614" s="25" t="s">
        <v>60</v>
      </c>
      <c r="AM1614" t="s">
        <v>61</v>
      </c>
      <c r="AN1614">
        <v>0.66115702499999995</v>
      </c>
      <c r="AO1614">
        <v>0.38842975200000002</v>
      </c>
      <c r="AP1614">
        <v>0.67768594999999998</v>
      </c>
      <c r="AQ1614">
        <v>0.22314049599999999</v>
      </c>
      <c r="AR1614" t="s">
        <v>41</v>
      </c>
      <c r="AS1614">
        <f t="shared" si="156"/>
        <v>2.4692611668115427E-2</v>
      </c>
      <c r="AT1614">
        <f t="shared" si="157"/>
        <v>0.15119128616460617</v>
      </c>
      <c r="AW1614" s="28">
        <f t="shared" si="158"/>
        <v>5.2181803070742716E-2</v>
      </c>
      <c r="AX1614">
        <f t="shared" si="159"/>
        <v>0.8</v>
      </c>
      <c r="AY1614" s="62">
        <f t="shared" si="160"/>
        <v>4.1745442456594173E-2</v>
      </c>
      <c r="AZ1614" s="68" t="str">
        <f t="shared" ref="AZ1614:AZ1645" si="161">IF(AY1614&gt;10,"Yes","No")</f>
        <v>No</v>
      </c>
      <c r="BA1614" s="68" t="str">
        <f t="shared" ref="BA1614:BA1645" si="162">IF(AY1614&lt;-10,"Yes","No")</f>
        <v>No</v>
      </c>
    </row>
    <row r="1615" spans="1:53" hidden="1">
      <c r="A1615" t="s">
        <v>908</v>
      </c>
      <c r="B1615" t="s">
        <v>788</v>
      </c>
      <c r="C1615" t="s">
        <v>789</v>
      </c>
      <c r="D1615" s="25">
        <v>38</v>
      </c>
      <c r="E1615" s="25">
        <v>598</v>
      </c>
      <c r="F1615" t="s">
        <v>1241</v>
      </c>
      <c r="G1615" t="s">
        <v>790</v>
      </c>
      <c r="H1615" s="3" t="s">
        <v>805</v>
      </c>
      <c r="I1615">
        <v>2022</v>
      </c>
      <c r="J1615" t="s">
        <v>791</v>
      </c>
      <c r="K1615" t="s">
        <v>307</v>
      </c>
      <c r="L1615" t="s">
        <v>792</v>
      </c>
      <c r="M1615" s="25" t="s">
        <v>36</v>
      </c>
      <c r="N1615" t="s">
        <v>36</v>
      </c>
      <c r="O1615" t="s">
        <v>47</v>
      </c>
      <c r="P1615" t="s">
        <v>60</v>
      </c>
      <c r="Q1615" t="s">
        <v>899</v>
      </c>
      <c r="R1615" t="s">
        <v>868</v>
      </c>
      <c r="S1615" t="s">
        <v>806</v>
      </c>
      <c r="T1615">
        <v>35.179600000000001</v>
      </c>
      <c r="U1615">
        <v>129.07560000000001</v>
      </c>
      <c r="V1615" t="s">
        <v>905</v>
      </c>
      <c r="W1615" s="25" t="s">
        <v>38</v>
      </c>
      <c r="X1615">
        <v>5</v>
      </c>
      <c r="Y1615" t="s">
        <v>39</v>
      </c>
      <c r="Z1615">
        <v>6</v>
      </c>
      <c r="AA1615">
        <v>6</v>
      </c>
      <c r="AC1615">
        <v>400</v>
      </c>
      <c r="AE1615">
        <v>1000</v>
      </c>
      <c r="AG1615">
        <v>2621</v>
      </c>
      <c r="AH1615">
        <v>3</v>
      </c>
      <c r="AI1615">
        <v>20</v>
      </c>
      <c r="AJ1615" t="s">
        <v>787</v>
      </c>
      <c r="AK1615" t="s">
        <v>69</v>
      </c>
      <c r="AL1615" s="25" t="s">
        <v>60</v>
      </c>
      <c r="AM1615" t="s">
        <v>61</v>
      </c>
      <c r="AN1615">
        <v>49.368863959999999</v>
      </c>
      <c r="AO1615">
        <v>11.22019635</v>
      </c>
      <c r="AP1615">
        <v>44.600280499999997</v>
      </c>
      <c r="AQ1615">
        <v>14.866760169999999</v>
      </c>
      <c r="AR1615" t="s">
        <v>43</v>
      </c>
      <c r="AS1615">
        <f t="shared" si="156"/>
        <v>-0.10157979302684694</v>
      </c>
      <c r="AT1615">
        <f t="shared" si="157"/>
        <v>2.7127333946844887E-2</v>
      </c>
      <c r="AW1615" s="28">
        <f t="shared" si="158"/>
        <v>-0.3620711077305257</v>
      </c>
      <c r="AX1615">
        <f t="shared" si="159"/>
        <v>0.92307692307692313</v>
      </c>
      <c r="AY1615" s="62">
        <f t="shared" si="160"/>
        <v>-0.3342194840589468</v>
      </c>
      <c r="AZ1615" s="68" t="str">
        <f t="shared" si="161"/>
        <v>No</v>
      </c>
      <c r="BA1615" s="68" t="str">
        <f t="shared" si="162"/>
        <v>No</v>
      </c>
    </row>
    <row r="1616" spans="1:53" hidden="1">
      <c r="A1616" t="s">
        <v>908</v>
      </c>
      <c r="B1616" t="s">
        <v>793</v>
      </c>
      <c r="C1616" t="s">
        <v>789</v>
      </c>
      <c r="D1616" s="25">
        <v>38</v>
      </c>
      <c r="E1616" s="25">
        <v>601</v>
      </c>
      <c r="F1616" t="s">
        <v>1241</v>
      </c>
      <c r="G1616" t="s">
        <v>790</v>
      </c>
      <c r="H1616" s="3" t="s">
        <v>805</v>
      </c>
      <c r="I1616">
        <v>2022</v>
      </c>
      <c r="J1616" t="s">
        <v>794</v>
      </c>
      <c r="K1616" t="s">
        <v>307</v>
      </c>
      <c r="L1616" t="s">
        <v>792</v>
      </c>
      <c r="M1616" s="25" t="s">
        <v>36</v>
      </c>
      <c r="N1616" t="s">
        <v>36</v>
      </c>
      <c r="O1616" t="s">
        <v>47</v>
      </c>
      <c r="P1616" t="s">
        <v>60</v>
      </c>
      <c r="Q1616" t="s">
        <v>899</v>
      </c>
      <c r="R1616" t="s">
        <v>868</v>
      </c>
      <c r="S1616" t="s">
        <v>806</v>
      </c>
      <c r="T1616">
        <v>35.179600000000001</v>
      </c>
      <c r="U1616">
        <v>129.07560000000001</v>
      </c>
      <c r="V1616" t="s">
        <v>905</v>
      </c>
      <c r="W1616" s="25" t="s">
        <v>38</v>
      </c>
      <c r="X1616">
        <v>5</v>
      </c>
      <c r="Y1616" t="s">
        <v>39</v>
      </c>
      <c r="Z1616">
        <v>6</v>
      </c>
      <c r="AA1616">
        <v>6</v>
      </c>
      <c r="AC1616">
        <v>400</v>
      </c>
      <c r="AE1616">
        <v>1000</v>
      </c>
      <c r="AG1616">
        <v>2624</v>
      </c>
      <c r="AH1616">
        <v>3</v>
      </c>
      <c r="AI1616">
        <v>20</v>
      </c>
      <c r="AJ1616" t="s">
        <v>91</v>
      </c>
      <c r="AK1616" t="s">
        <v>40</v>
      </c>
      <c r="AL1616" s="25" t="s">
        <v>60</v>
      </c>
      <c r="AM1616" t="s">
        <v>61</v>
      </c>
      <c r="AN1616">
        <v>83.273164859999994</v>
      </c>
      <c r="AO1616">
        <v>24.067388690000001</v>
      </c>
      <c r="AP1616">
        <v>26.474127559999999</v>
      </c>
      <c r="AQ1616">
        <v>15.40312876</v>
      </c>
      <c r="AR1616" t="s">
        <v>41</v>
      </c>
      <c r="AS1616">
        <f t="shared" si="156"/>
        <v>-1.1459584091386712</v>
      </c>
      <c r="AT1616">
        <f t="shared" si="157"/>
        <v>7.0340570005876776E-2</v>
      </c>
      <c r="AW1616" s="28">
        <f t="shared" si="158"/>
        <v>-2.8111178653833164</v>
      </c>
      <c r="AX1616">
        <f t="shared" si="159"/>
        <v>0.92307692307692313</v>
      </c>
      <c r="AY1616" s="62">
        <f t="shared" si="160"/>
        <v>-2.5948780295846001</v>
      </c>
      <c r="AZ1616" s="68" t="str">
        <f t="shared" si="161"/>
        <v>No</v>
      </c>
      <c r="BA1616" s="68" t="str">
        <f t="shared" si="162"/>
        <v>No</v>
      </c>
    </row>
    <row r="1617" spans="1:53" hidden="1">
      <c r="A1617" t="s">
        <v>908</v>
      </c>
      <c r="B1617" t="s">
        <v>616</v>
      </c>
      <c r="C1617" t="s">
        <v>617</v>
      </c>
      <c r="D1617" s="25">
        <v>45</v>
      </c>
      <c r="E1617" s="25">
        <v>476</v>
      </c>
      <c r="F1617" t="s">
        <v>1241</v>
      </c>
      <c r="G1617" t="s">
        <v>618</v>
      </c>
      <c r="H1617" s="3" t="s">
        <v>808</v>
      </c>
      <c r="I1617">
        <v>2021</v>
      </c>
      <c r="J1617" t="s">
        <v>619</v>
      </c>
      <c r="K1617" t="s">
        <v>49</v>
      </c>
      <c r="L1617" t="s">
        <v>620</v>
      </c>
      <c r="M1617" s="25" t="s">
        <v>36</v>
      </c>
      <c r="N1617" t="s">
        <v>36</v>
      </c>
      <c r="O1617" t="s">
        <v>37</v>
      </c>
      <c r="P1617" t="s">
        <v>60</v>
      </c>
      <c r="Q1617" t="s">
        <v>899</v>
      </c>
      <c r="R1617" t="s">
        <v>828</v>
      </c>
      <c r="S1617" t="s">
        <v>807</v>
      </c>
      <c r="T1617">
        <v>41.320725000000003</v>
      </c>
      <c r="U1617">
        <v>-72.001643000000001</v>
      </c>
      <c r="V1617" t="s">
        <v>905</v>
      </c>
      <c r="W1617" s="25" t="s">
        <v>38</v>
      </c>
      <c r="X1617" t="s">
        <v>621</v>
      </c>
      <c r="Y1617" t="s">
        <v>39</v>
      </c>
      <c r="Z1617">
        <v>4</v>
      </c>
      <c r="AA1617">
        <v>4</v>
      </c>
      <c r="AB1617" t="s">
        <v>621</v>
      </c>
      <c r="AC1617">
        <v>400</v>
      </c>
      <c r="AE1617">
        <v>2000</v>
      </c>
      <c r="AG1617">
        <v>2255</v>
      </c>
      <c r="AH1617">
        <v>3.301029996</v>
      </c>
      <c r="AI1617">
        <v>18</v>
      </c>
      <c r="AJ1617" t="s">
        <v>622</v>
      </c>
      <c r="AK1617" t="s">
        <v>59</v>
      </c>
      <c r="AL1617" s="25" t="s">
        <v>60</v>
      </c>
      <c r="AM1617" t="s">
        <v>61</v>
      </c>
      <c r="AN1617">
        <v>41.248699999999999</v>
      </c>
      <c r="AO1617">
        <v>4.8662999999999998</v>
      </c>
      <c r="AP1617">
        <v>25.878699999999998</v>
      </c>
      <c r="AQ1617">
        <v>4.5735999999999999</v>
      </c>
      <c r="AR1617" t="s">
        <v>44</v>
      </c>
      <c r="AS1617">
        <f t="shared" si="156"/>
        <v>-0.46619936060078127</v>
      </c>
      <c r="AT1617">
        <f t="shared" si="157"/>
        <v>1.1288072207833233E-2</v>
      </c>
      <c r="AW1617" s="28">
        <f t="shared" si="158"/>
        <v>-3.2548261852383922</v>
      </c>
      <c r="AX1617">
        <f t="shared" si="159"/>
        <v>0.86956521739130432</v>
      </c>
      <c r="AY1617" s="62">
        <f t="shared" si="160"/>
        <v>-2.8302836393377322</v>
      </c>
      <c r="AZ1617" s="68" t="str">
        <f t="shared" si="161"/>
        <v>No</v>
      </c>
      <c r="BA1617" s="68" t="str">
        <f t="shared" si="162"/>
        <v>No</v>
      </c>
    </row>
    <row r="1618" spans="1:53" hidden="1">
      <c r="A1618" t="s">
        <v>908</v>
      </c>
      <c r="B1618" t="s">
        <v>623</v>
      </c>
      <c r="C1618" t="s">
        <v>617</v>
      </c>
      <c r="D1618" s="25">
        <v>45</v>
      </c>
      <c r="E1618" s="25">
        <v>477</v>
      </c>
      <c r="F1618" t="s">
        <v>1241</v>
      </c>
      <c r="G1618" t="s">
        <v>618</v>
      </c>
      <c r="H1618" s="3" t="s">
        <v>808</v>
      </c>
      <c r="I1618">
        <v>2021</v>
      </c>
      <c r="J1618" t="s">
        <v>619</v>
      </c>
      <c r="K1618" t="s">
        <v>49</v>
      </c>
      <c r="L1618" t="s">
        <v>620</v>
      </c>
      <c r="M1618" s="25" t="s">
        <v>36</v>
      </c>
      <c r="N1618" t="s">
        <v>36</v>
      </c>
      <c r="O1618" t="s">
        <v>37</v>
      </c>
      <c r="P1618" t="s">
        <v>60</v>
      </c>
      <c r="Q1618" t="s">
        <v>899</v>
      </c>
      <c r="R1618" t="s">
        <v>828</v>
      </c>
      <c r="S1618" t="s">
        <v>807</v>
      </c>
      <c r="T1618">
        <v>41.320725000000003</v>
      </c>
      <c r="U1618">
        <v>-72.001643000000001</v>
      </c>
      <c r="V1618" t="s">
        <v>905</v>
      </c>
      <c r="W1618" s="25" t="s">
        <v>38</v>
      </c>
      <c r="X1618" t="s">
        <v>624</v>
      </c>
      <c r="Y1618" t="s">
        <v>39</v>
      </c>
      <c r="Z1618">
        <v>4</v>
      </c>
      <c r="AA1618">
        <v>4</v>
      </c>
      <c r="AB1618" t="s">
        <v>624</v>
      </c>
      <c r="AC1618">
        <v>400</v>
      </c>
      <c r="AE1618">
        <v>2000</v>
      </c>
      <c r="AG1618">
        <v>2256</v>
      </c>
      <c r="AH1618">
        <v>3.301029996</v>
      </c>
      <c r="AI1618">
        <v>18</v>
      </c>
      <c r="AJ1618" t="s">
        <v>622</v>
      </c>
      <c r="AK1618" t="s">
        <v>59</v>
      </c>
      <c r="AL1618" s="25" t="s">
        <v>60</v>
      </c>
      <c r="AM1618" t="s">
        <v>61</v>
      </c>
      <c r="AN1618">
        <v>13.585800000000001</v>
      </c>
      <c r="AO1618">
        <v>2.8228</v>
      </c>
      <c r="AP1618">
        <v>19.722300000000001</v>
      </c>
      <c r="AQ1618">
        <v>3.2145000000000001</v>
      </c>
      <c r="AR1618" t="s">
        <v>44</v>
      </c>
      <c r="AS1618">
        <f t="shared" si="156"/>
        <v>0.37272484560905284</v>
      </c>
      <c r="AT1618">
        <f t="shared" si="157"/>
        <v>1.7433971560903518E-2</v>
      </c>
      <c r="AW1618" s="28">
        <f t="shared" si="158"/>
        <v>2.0285972532302581</v>
      </c>
      <c r="AX1618">
        <f t="shared" si="159"/>
        <v>0.86956521739130432</v>
      </c>
      <c r="AY1618" s="62">
        <f t="shared" si="160"/>
        <v>1.7639976115045721</v>
      </c>
      <c r="AZ1618" s="68" t="str">
        <f t="shared" si="161"/>
        <v>No</v>
      </c>
      <c r="BA1618" s="68" t="str">
        <f t="shared" si="162"/>
        <v>No</v>
      </c>
    </row>
    <row r="1619" spans="1:53" hidden="1">
      <c r="A1619" t="s">
        <v>908</v>
      </c>
      <c r="B1619" t="s">
        <v>625</v>
      </c>
      <c r="C1619" t="s">
        <v>617</v>
      </c>
      <c r="D1619" s="25">
        <v>45</v>
      </c>
      <c r="E1619" s="25">
        <v>478</v>
      </c>
      <c r="F1619" t="s">
        <v>1241</v>
      </c>
      <c r="G1619" t="s">
        <v>618</v>
      </c>
      <c r="H1619" s="3" t="s">
        <v>808</v>
      </c>
      <c r="I1619">
        <v>2021</v>
      </c>
      <c r="J1619" t="s">
        <v>619</v>
      </c>
      <c r="K1619" t="s">
        <v>49</v>
      </c>
      <c r="L1619" t="s">
        <v>620</v>
      </c>
      <c r="M1619" s="25" t="s">
        <v>36</v>
      </c>
      <c r="N1619" t="s">
        <v>36</v>
      </c>
      <c r="O1619" t="s">
        <v>37</v>
      </c>
      <c r="P1619" t="s">
        <v>60</v>
      </c>
      <c r="Q1619" t="s">
        <v>899</v>
      </c>
      <c r="R1619" t="s">
        <v>828</v>
      </c>
      <c r="S1619" t="s">
        <v>807</v>
      </c>
      <c r="T1619">
        <v>41.320725000000003</v>
      </c>
      <c r="U1619">
        <v>-72.001643000000001</v>
      </c>
      <c r="V1619" t="s">
        <v>905</v>
      </c>
      <c r="W1619" s="25" t="s">
        <v>38</v>
      </c>
      <c r="X1619" t="s">
        <v>626</v>
      </c>
      <c r="Y1619" t="s">
        <v>39</v>
      </c>
      <c r="Z1619">
        <v>4</v>
      </c>
      <c r="AA1619">
        <v>4</v>
      </c>
      <c r="AB1619" t="s">
        <v>626</v>
      </c>
      <c r="AC1619">
        <v>400</v>
      </c>
      <c r="AE1619">
        <v>2000</v>
      </c>
      <c r="AG1619">
        <v>2257</v>
      </c>
      <c r="AH1619">
        <v>3.301029996</v>
      </c>
      <c r="AI1619">
        <v>18</v>
      </c>
      <c r="AJ1619" t="s">
        <v>622</v>
      </c>
      <c r="AK1619" t="s">
        <v>59</v>
      </c>
      <c r="AL1619" s="25" t="s">
        <v>60</v>
      </c>
      <c r="AM1619" t="s">
        <v>61</v>
      </c>
      <c r="AN1619">
        <v>11.908799999999999</v>
      </c>
      <c r="AO1619">
        <v>3.0175000000000001</v>
      </c>
      <c r="AP1619">
        <v>17.366800000000001</v>
      </c>
      <c r="AQ1619">
        <v>3.3090000000000002</v>
      </c>
      <c r="AR1619" t="s">
        <v>44</v>
      </c>
      <c r="AS1619">
        <f t="shared" si="156"/>
        <v>0.37728271498141641</v>
      </c>
      <c r="AT1619">
        <f t="shared" si="157"/>
        <v>2.5126857974679208E-2</v>
      </c>
      <c r="AW1619" s="28">
        <f t="shared" si="158"/>
        <v>1.7236119624929767</v>
      </c>
      <c r="AX1619">
        <f t="shared" si="159"/>
        <v>0.86956521739130432</v>
      </c>
      <c r="AY1619" s="62">
        <f t="shared" si="160"/>
        <v>1.498793010863458</v>
      </c>
      <c r="AZ1619" s="68" t="str">
        <f t="shared" si="161"/>
        <v>No</v>
      </c>
      <c r="BA1619" s="68" t="str">
        <f t="shared" si="162"/>
        <v>No</v>
      </c>
    </row>
    <row r="1620" spans="1:53" hidden="1">
      <c r="A1620" t="s">
        <v>908</v>
      </c>
      <c r="B1620" t="s">
        <v>627</v>
      </c>
      <c r="C1620" t="s">
        <v>617</v>
      </c>
      <c r="D1620" s="25">
        <v>45</v>
      </c>
      <c r="E1620" s="25">
        <v>479</v>
      </c>
      <c r="F1620" t="s">
        <v>1241</v>
      </c>
      <c r="G1620" t="s">
        <v>618</v>
      </c>
      <c r="H1620" s="3" t="s">
        <v>808</v>
      </c>
      <c r="I1620">
        <v>2021</v>
      </c>
      <c r="J1620" t="s">
        <v>619</v>
      </c>
      <c r="K1620" t="s">
        <v>49</v>
      </c>
      <c r="L1620" t="s">
        <v>620</v>
      </c>
      <c r="M1620" s="25" t="s">
        <v>36</v>
      </c>
      <c r="N1620" t="s">
        <v>36</v>
      </c>
      <c r="O1620" t="s">
        <v>37</v>
      </c>
      <c r="P1620" t="s">
        <v>60</v>
      </c>
      <c r="Q1620" t="s">
        <v>899</v>
      </c>
      <c r="R1620" t="s">
        <v>828</v>
      </c>
      <c r="S1620" t="s">
        <v>807</v>
      </c>
      <c r="T1620">
        <v>41.320725000000003</v>
      </c>
      <c r="U1620">
        <v>-72.001643000000001</v>
      </c>
      <c r="V1620" t="s">
        <v>905</v>
      </c>
      <c r="W1620" s="25" t="s">
        <v>38</v>
      </c>
      <c r="X1620" t="s">
        <v>628</v>
      </c>
      <c r="Y1620" t="s">
        <v>39</v>
      </c>
      <c r="Z1620">
        <v>4</v>
      </c>
      <c r="AA1620">
        <v>4</v>
      </c>
      <c r="AB1620" t="s">
        <v>628</v>
      </c>
      <c r="AC1620">
        <v>400</v>
      </c>
      <c r="AE1620">
        <v>2000</v>
      </c>
      <c r="AG1620">
        <v>2258</v>
      </c>
      <c r="AH1620">
        <v>3.301029996</v>
      </c>
      <c r="AI1620">
        <v>18</v>
      </c>
      <c r="AJ1620" t="s">
        <v>622</v>
      </c>
      <c r="AK1620" t="s">
        <v>59</v>
      </c>
      <c r="AL1620" s="25" t="s">
        <v>60</v>
      </c>
      <c r="AM1620" t="s">
        <v>61</v>
      </c>
      <c r="AN1620">
        <v>10.517099999999999</v>
      </c>
      <c r="AO1620">
        <v>1.3619000000000001</v>
      </c>
      <c r="AP1620">
        <v>11.6927</v>
      </c>
      <c r="AQ1620">
        <v>2.4348999999999998</v>
      </c>
      <c r="AR1620" t="s">
        <v>44</v>
      </c>
      <c r="AS1620">
        <f t="shared" si="156"/>
        <v>0.10596221154580787</v>
      </c>
      <c r="AT1620">
        <f t="shared" si="157"/>
        <v>1.5033248324130824E-2</v>
      </c>
      <c r="AW1620" s="28">
        <f t="shared" si="158"/>
        <v>0.59591846415899163</v>
      </c>
      <c r="AX1620">
        <f t="shared" si="159"/>
        <v>0.86956521739130432</v>
      </c>
      <c r="AY1620" s="62">
        <f t="shared" si="160"/>
        <v>0.51818996883390578</v>
      </c>
      <c r="AZ1620" s="68" t="str">
        <f t="shared" si="161"/>
        <v>No</v>
      </c>
      <c r="BA1620" s="68" t="str">
        <f t="shared" si="162"/>
        <v>No</v>
      </c>
    </row>
    <row r="1621" spans="1:53" hidden="1">
      <c r="A1621" t="s">
        <v>908</v>
      </c>
      <c r="B1621" t="s">
        <v>629</v>
      </c>
      <c r="C1621" t="s">
        <v>617</v>
      </c>
      <c r="D1621" s="25">
        <v>45</v>
      </c>
      <c r="E1621" s="25">
        <v>480</v>
      </c>
      <c r="F1621" t="s">
        <v>1241</v>
      </c>
      <c r="G1621" t="s">
        <v>618</v>
      </c>
      <c r="H1621" s="3" t="s">
        <v>808</v>
      </c>
      <c r="I1621">
        <v>2021</v>
      </c>
      <c r="J1621" t="s">
        <v>619</v>
      </c>
      <c r="K1621" t="s">
        <v>49</v>
      </c>
      <c r="L1621" t="s">
        <v>620</v>
      </c>
      <c r="M1621" s="25" t="s">
        <v>36</v>
      </c>
      <c r="N1621" t="s">
        <v>36</v>
      </c>
      <c r="O1621" t="s">
        <v>37</v>
      </c>
      <c r="P1621" t="s">
        <v>60</v>
      </c>
      <c r="Q1621" t="s">
        <v>899</v>
      </c>
      <c r="R1621" t="s">
        <v>828</v>
      </c>
      <c r="S1621" t="s">
        <v>807</v>
      </c>
      <c r="T1621">
        <v>41.320725000000003</v>
      </c>
      <c r="U1621">
        <v>-72.001643000000001</v>
      </c>
      <c r="V1621" t="s">
        <v>905</v>
      </c>
      <c r="W1621" s="25" t="s">
        <v>38</v>
      </c>
      <c r="X1621" t="s">
        <v>630</v>
      </c>
      <c r="Y1621" t="s">
        <v>39</v>
      </c>
      <c r="Z1621">
        <v>4</v>
      </c>
      <c r="AA1621">
        <v>4</v>
      </c>
      <c r="AB1621" t="s">
        <v>630</v>
      </c>
      <c r="AC1621">
        <v>400</v>
      </c>
      <c r="AE1621">
        <v>2000</v>
      </c>
      <c r="AG1621">
        <v>2259</v>
      </c>
      <c r="AH1621">
        <v>3.301029996</v>
      </c>
      <c r="AI1621">
        <v>18</v>
      </c>
      <c r="AJ1621" t="s">
        <v>622</v>
      </c>
      <c r="AK1621" t="s">
        <v>59</v>
      </c>
      <c r="AL1621" s="25" t="s">
        <v>60</v>
      </c>
      <c r="AM1621" t="s">
        <v>61</v>
      </c>
      <c r="AN1621">
        <v>11.862399999999999</v>
      </c>
      <c r="AO1621">
        <v>1.9497</v>
      </c>
      <c r="AP1621">
        <v>16.5474</v>
      </c>
      <c r="AQ1621">
        <v>2.4300000000000002</v>
      </c>
      <c r="AR1621" t="s">
        <v>44</v>
      </c>
      <c r="AS1621">
        <f t="shared" si="156"/>
        <v>0.33285525580946063</v>
      </c>
      <c r="AT1621">
        <f t="shared" si="157"/>
        <v>1.214481836784196E-2</v>
      </c>
      <c r="AW1621" s="28">
        <f t="shared" si="158"/>
        <v>2.1266660689739072</v>
      </c>
      <c r="AX1621">
        <f t="shared" si="159"/>
        <v>0.86956521739130432</v>
      </c>
      <c r="AY1621" s="62">
        <f t="shared" si="160"/>
        <v>1.8492748425860062</v>
      </c>
      <c r="AZ1621" s="68" t="str">
        <f t="shared" si="161"/>
        <v>No</v>
      </c>
      <c r="BA1621" s="68" t="str">
        <f t="shared" si="162"/>
        <v>No</v>
      </c>
    </row>
    <row r="1622" spans="1:53" hidden="1">
      <c r="A1622" t="s">
        <v>908</v>
      </c>
      <c r="B1622" t="s">
        <v>631</v>
      </c>
      <c r="C1622" t="s">
        <v>617</v>
      </c>
      <c r="D1622" s="25">
        <v>45</v>
      </c>
      <c r="E1622" s="25">
        <v>481</v>
      </c>
      <c r="F1622" t="s">
        <v>1241</v>
      </c>
      <c r="G1622" t="s">
        <v>618</v>
      </c>
      <c r="H1622" s="3" t="s">
        <v>808</v>
      </c>
      <c r="I1622">
        <v>2021</v>
      </c>
      <c r="J1622" t="s">
        <v>619</v>
      </c>
      <c r="K1622" t="s">
        <v>49</v>
      </c>
      <c r="L1622" t="s">
        <v>620</v>
      </c>
      <c r="M1622" s="25" t="s">
        <v>36</v>
      </c>
      <c r="N1622" t="s">
        <v>36</v>
      </c>
      <c r="O1622" t="s">
        <v>37</v>
      </c>
      <c r="P1622" t="s">
        <v>60</v>
      </c>
      <c r="Q1622" t="s">
        <v>899</v>
      </c>
      <c r="R1622" t="s">
        <v>828</v>
      </c>
      <c r="S1622" t="s">
        <v>807</v>
      </c>
      <c r="T1622">
        <v>41.320725000000003</v>
      </c>
      <c r="U1622">
        <v>-72.001643000000001</v>
      </c>
      <c r="V1622" t="s">
        <v>905</v>
      </c>
      <c r="W1622" s="25" t="s">
        <v>38</v>
      </c>
      <c r="X1622" t="s">
        <v>632</v>
      </c>
      <c r="Y1622" t="s">
        <v>39</v>
      </c>
      <c r="Z1622">
        <v>4</v>
      </c>
      <c r="AA1622">
        <v>4</v>
      </c>
      <c r="AB1622" t="s">
        <v>632</v>
      </c>
      <c r="AC1622">
        <v>400</v>
      </c>
      <c r="AE1622">
        <v>2000</v>
      </c>
      <c r="AG1622">
        <v>2260</v>
      </c>
      <c r="AH1622">
        <v>3.301029996</v>
      </c>
      <c r="AI1622">
        <v>18</v>
      </c>
      <c r="AJ1622" t="s">
        <v>622</v>
      </c>
      <c r="AK1622" t="s">
        <v>59</v>
      </c>
      <c r="AL1622" s="25" t="s">
        <v>60</v>
      </c>
      <c r="AM1622" t="s">
        <v>61</v>
      </c>
      <c r="AN1622">
        <v>11.258100000000001</v>
      </c>
      <c r="AO1622">
        <v>2.2385000000000002</v>
      </c>
      <c r="AP1622">
        <v>11.947800000000001</v>
      </c>
      <c r="AQ1622">
        <v>2.8231999999999999</v>
      </c>
      <c r="AR1622" t="s">
        <v>44</v>
      </c>
      <c r="AS1622">
        <f t="shared" si="156"/>
        <v>5.9459291435769668E-2</v>
      </c>
      <c r="AT1622">
        <f t="shared" si="157"/>
        <v>2.3842579562587042E-2</v>
      </c>
      <c r="AW1622" s="28">
        <f t="shared" si="158"/>
        <v>0.27071695294949738</v>
      </c>
      <c r="AX1622">
        <f t="shared" si="159"/>
        <v>0.86956521739130432</v>
      </c>
      <c r="AY1622" s="62">
        <f t="shared" si="160"/>
        <v>0.23540604604304119</v>
      </c>
      <c r="AZ1622" s="68" t="str">
        <f t="shared" si="161"/>
        <v>No</v>
      </c>
      <c r="BA1622" s="68" t="str">
        <f t="shared" si="162"/>
        <v>No</v>
      </c>
    </row>
    <row r="1623" spans="1:53" hidden="1">
      <c r="A1623" t="s">
        <v>908</v>
      </c>
      <c r="B1623" t="s">
        <v>633</v>
      </c>
      <c r="C1623" t="s">
        <v>617</v>
      </c>
      <c r="D1623" s="25">
        <v>45</v>
      </c>
      <c r="E1623" s="25">
        <v>482</v>
      </c>
      <c r="F1623" t="s">
        <v>1241</v>
      </c>
      <c r="G1623" t="s">
        <v>618</v>
      </c>
      <c r="H1623" s="3" t="s">
        <v>808</v>
      </c>
      <c r="I1623">
        <v>2021</v>
      </c>
      <c r="J1623" t="s">
        <v>619</v>
      </c>
      <c r="K1623" t="s">
        <v>49</v>
      </c>
      <c r="L1623" t="s">
        <v>620</v>
      </c>
      <c r="M1623" s="25" t="s">
        <v>36</v>
      </c>
      <c r="N1623" t="s">
        <v>36</v>
      </c>
      <c r="O1623" t="s">
        <v>37</v>
      </c>
      <c r="P1623" t="s">
        <v>60</v>
      </c>
      <c r="Q1623" t="s">
        <v>899</v>
      </c>
      <c r="R1623" t="s">
        <v>828</v>
      </c>
      <c r="S1623" t="s">
        <v>807</v>
      </c>
      <c r="T1623">
        <v>41.320725000000003</v>
      </c>
      <c r="U1623">
        <v>-72.001643000000001</v>
      </c>
      <c r="V1623" t="s">
        <v>905</v>
      </c>
      <c r="W1623" s="25" t="s">
        <v>38</v>
      </c>
      <c r="X1623" t="s">
        <v>634</v>
      </c>
      <c r="Y1623" t="s">
        <v>39</v>
      </c>
      <c r="Z1623">
        <v>4</v>
      </c>
      <c r="AA1623">
        <v>4</v>
      </c>
      <c r="AB1623" t="s">
        <v>634</v>
      </c>
      <c r="AC1623">
        <v>400</v>
      </c>
      <c r="AE1623">
        <v>2000</v>
      </c>
      <c r="AG1623">
        <v>2261</v>
      </c>
      <c r="AH1623">
        <v>3.301029996</v>
      </c>
      <c r="AI1623">
        <v>18</v>
      </c>
      <c r="AJ1623" t="s">
        <v>622</v>
      </c>
      <c r="AK1623" t="s">
        <v>59</v>
      </c>
      <c r="AL1623" s="25" t="s">
        <v>60</v>
      </c>
      <c r="AM1623" t="s">
        <v>61</v>
      </c>
      <c r="AN1623">
        <v>29.285799999999998</v>
      </c>
      <c r="AO1623">
        <v>4.4779999999999998</v>
      </c>
      <c r="AP1623">
        <v>20.536000000000001</v>
      </c>
      <c r="AQ1623">
        <v>3.8955000000000002</v>
      </c>
      <c r="AR1623" t="s">
        <v>44</v>
      </c>
      <c r="AS1623">
        <f t="shared" si="156"/>
        <v>-0.35492331333924065</v>
      </c>
      <c r="AT1623">
        <f t="shared" si="157"/>
        <v>1.4840822532905499E-2</v>
      </c>
      <c r="AW1623" s="28">
        <f t="shared" si="158"/>
        <v>-2.0848403435401535</v>
      </c>
      <c r="AX1623">
        <f t="shared" si="159"/>
        <v>0.86956521739130432</v>
      </c>
      <c r="AY1623" s="62">
        <f t="shared" si="160"/>
        <v>-1.8129046465566552</v>
      </c>
      <c r="AZ1623" s="68" t="str">
        <f t="shared" si="161"/>
        <v>No</v>
      </c>
      <c r="BA1623" s="68" t="str">
        <f t="shared" si="162"/>
        <v>No</v>
      </c>
    </row>
    <row r="1624" spans="1:53" hidden="1">
      <c r="A1624" t="s">
        <v>908</v>
      </c>
      <c r="B1624" t="s">
        <v>635</v>
      </c>
      <c r="C1624" t="s">
        <v>617</v>
      </c>
      <c r="D1624" s="25">
        <v>45</v>
      </c>
      <c r="E1624" s="25">
        <v>483</v>
      </c>
      <c r="F1624" t="s">
        <v>1241</v>
      </c>
      <c r="G1624" t="s">
        <v>618</v>
      </c>
      <c r="H1624" s="3" t="s">
        <v>808</v>
      </c>
      <c r="I1624">
        <v>2021</v>
      </c>
      <c r="J1624" t="s">
        <v>619</v>
      </c>
      <c r="K1624" t="s">
        <v>49</v>
      </c>
      <c r="L1624" t="s">
        <v>620</v>
      </c>
      <c r="M1624" s="25" t="s">
        <v>36</v>
      </c>
      <c r="N1624" t="s">
        <v>36</v>
      </c>
      <c r="O1624" t="s">
        <v>37</v>
      </c>
      <c r="P1624" t="s">
        <v>60</v>
      </c>
      <c r="Q1624" t="s">
        <v>899</v>
      </c>
      <c r="R1624" t="s">
        <v>828</v>
      </c>
      <c r="S1624" t="s">
        <v>807</v>
      </c>
      <c r="T1624">
        <v>41.320725000000003</v>
      </c>
      <c r="U1624">
        <v>-72.001643000000001</v>
      </c>
      <c r="V1624" t="s">
        <v>905</v>
      </c>
      <c r="W1624" s="25" t="s">
        <v>38</v>
      </c>
      <c r="X1624" t="s">
        <v>621</v>
      </c>
      <c r="Y1624" t="s">
        <v>39</v>
      </c>
      <c r="Z1624">
        <v>4</v>
      </c>
      <c r="AA1624">
        <v>4</v>
      </c>
      <c r="AB1624" t="s">
        <v>621</v>
      </c>
      <c r="AC1624">
        <v>400</v>
      </c>
      <c r="AE1624">
        <v>2000</v>
      </c>
      <c r="AG1624">
        <v>2262</v>
      </c>
      <c r="AH1624">
        <v>3.301029996</v>
      </c>
      <c r="AI1624">
        <v>18</v>
      </c>
      <c r="AJ1624" t="s">
        <v>636</v>
      </c>
      <c r="AK1624" t="s">
        <v>59</v>
      </c>
      <c r="AL1624" s="25" t="s">
        <v>60</v>
      </c>
      <c r="AM1624" t="s">
        <v>61</v>
      </c>
      <c r="AN1624">
        <v>0.96385500000000002</v>
      </c>
      <c r="AO1624">
        <v>6.7474999999999993E-2</v>
      </c>
      <c r="AP1624">
        <v>0.83614500000000003</v>
      </c>
      <c r="AQ1624">
        <v>0.110843</v>
      </c>
      <c r="AR1624" t="s">
        <v>44</v>
      </c>
      <c r="AS1624">
        <f t="shared" si="156"/>
        <v>-0.14213882533838768</v>
      </c>
      <c r="AT1624">
        <f t="shared" si="157"/>
        <v>5.6185122782980833E-3</v>
      </c>
      <c r="AW1624" s="28">
        <f t="shared" si="158"/>
        <v>-1.3918138617617488</v>
      </c>
      <c r="AX1624">
        <f t="shared" si="159"/>
        <v>0.86956521739130432</v>
      </c>
      <c r="AY1624" s="62">
        <f t="shared" si="160"/>
        <v>-1.2102729232710858</v>
      </c>
      <c r="AZ1624" s="68" t="str">
        <f t="shared" si="161"/>
        <v>No</v>
      </c>
      <c r="BA1624" s="68" t="str">
        <f t="shared" si="162"/>
        <v>No</v>
      </c>
    </row>
    <row r="1625" spans="1:53" hidden="1">
      <c r="A1625" t="s">
        <v>908</v>
      </c>
      <c r="B1625" t="s">
        <v>637</v>
      </c>
      <c r="C1625" t="s">
        <v>617</v>
      </c>
      <c r="D1625" s="25">
        <v>45</v>
      </c>
      <c r="E1625" s="25">
        <v>484</v>
      </c>
      <c r="F1625" t="s">
        <v>1241</v>
      </c>
      <c r="G1625" t="s">
        <v>618</v>
      </c>
      <c r="H1625" s="3" t="s">
        <v>808</v>
      </c>
      <c r="I1625">
        <v>2021</v>
      </c>
      <c r="J1625" t="s">
        <v>619</v>
      </c>
      <c r="K1625" t="s">
        <v>49</v>
      </c>
      <c r="L1625" t="s">
        <v>620</v>
      </c>
      <c r="M1625" s="25" t="s">
        <v>36</v>
      </c>
      <c r="N1625" t="s">
        <v>36</v>
      </c>
      <c r="O1625" t="s">
        <v>37</v>
      </c>
      <c r="P1625" t="s">
        <v>60</v>
      </c>
      <c r="Q1625" t="s">
        <v>899</v>
      </c>
      <c r="R1625" t="s">
        <v>828</v>
      </c>
      <c r="S1625" t="s">
        <v>807</v>
      </c>
      <c r="T1625">
        <v>41.320725000000003</v>
      </c>
      <c r="U1625">
        <v>-72.001643000000001</v>
      </c>
      <c r="V1625" t="s">
        <v>905</v>
      </c>
      <c r="W1625" s="25" t="s">
        <v>38</v>
      </c>
      <c r="X1625" t="s">
        <v>624</v>
      </c>
      <c r="Y1625" t="s">
        <v>39</v>
      </c>
      <c r="Z1625">
        <v>4</v>
      </c>
      <c r="AA1625">
        <v>4</v>
      </c>
      <c r="AB1625" t="s">
        <v>624</v>
      </c>
      <c r="AC1625">
        <v>400</v>
      </c>
      <c r="AE1625">
        <v>2000</v>
      </c>
      <c r="AG1625">
        <v>2263</v>
      </c>
      <c r="AH1625">
        <v>3.301029996</v>
      </c>
      <c r="AI1625">
        <v>18</v>
      </c>
      <c r="AJ1625" t="s">
        <v>636</v>
      </c>
      <c r="AK1625" t="s">
        <v>59</v>
      </c>
      <c r="AL1625" s="25" t="s">
        <v>60</v>
      </c>
      <c r="AM1625" t="s">
        <v>61</v>
      </c>
      <c r="AN1625">
        <v>0.89879500000000001</v>
      </c>
      <c r="AO1625">
        <v>0.10602499999999999</v>
      </c>
      <c r="AP1625">
        <v>0.71325300000000003</v>
      </c>
      <c r="AQ1625">
        <v>0.137349</v>
      </c>
      <c r="AR1625" t="s">
        <v>44</v>
      </c>
      <c r="AS1625">
        <f t="shared" si="156"/>
        <v>-0.23121878113924094</v>
      </c>
      <c r="AT1625">
        <f t="shared" si="157"/>
        <v>1.2749360233007686E-2</v>
      </c>
      <c r="AW1625" s="28">
        <f t="shared" si="158"/>
        <v>-1.5122735403521821</v>
      </c>
      <c r="AX1625">
        <f t="shared" si="159"/>
        <v>0.86956521739130432</v>
      </c>
      <c r="AY1625" s="62">
        <f t="shared" si="160"/>
        <v>-1.3150204698714627</v>
      </c>
      <c r="AZ1625" s="68" t="str">
        <f t="shared" si="161"/>
        <v>No</v>
      </c>
      <c r="BA1625" s="68" t="str">
        <f t="shared" si="162"/>
        <v>No</v>
      </c>
    </row>
    <row r="1626" spans="1:53" hidden="1">
      <c r="A1626" t="s">
        <v>908</v>
      </c>
      <c r="B1626" t="s">
        <v>638</v>
      </c>
      <c r="C1626" t="s">
        <v>617</v>
      </c>
      <c r="D1626" s="25">
        <v>45</v>
      </c>
      <c r="E1626" s="25">
        <v>485</v>
      </c>
      <c r="F1626" t="s">
        <v>1241</v>
      </c>
      <c r="G1626" t="s">
        <v>618</v>
      </c>
      <c r="H1626" s="3" t="s">
        <v>808</v>
      </c>
      <c r="I1626">
        <v>2021</v>
      </c>
      <c r="J1626" t="s">
        <v>619</v>
      </c>
      <c r="K1626" t="s">
        <v>49</v>
      </c>
      <c r="L1626" t="s">
        <v>620</v>
      </c>
      <c r="M1626" s="25" t="s">
        <v>36</v>
      </c>
      <c r="N1626" t="s">
        <v>36</v>
      </c>
      <c r="O1626" t="s">
        <v>37</v>
      </c>
      <c r="P1626" t="s">
        <v>60</v>
      </c>
      <c r="Q1626" t="s">
        <v>899</v>
      </c>
      <c r="R1626" t="s">
        <v>828</v>
      </c>
      <c r="S1626" t="s">
        <v>807</v>
      </c>
      <c r="T1626">
        <v>41.320725000000003</v>
      </c>
      <c r="U1626">
        <v>-72.001643000000001</v>
      </c>
      <c r="V1626" t="s">
        <v>905</v>
      </c>
      <c r="W1626" s="25" t="s">
        <v>38</v>
      </c>
      <c r="X1626" t="s">
        <v>626</v>
      </c>
      <c r="Y1626" t="s">
        <v>39</v>
      </c>
      <c r="Z1626">
        <v>4</v>
      </c>
      <c r="AA1626">
        <v>4</v>
      </c>
      <c r="AB1626" t="s">
        <v>626</v>
      </c>
      <c r="AC1626">
        <v>400</v>
      </c>
      <c r="AE1626">
        <v>2000</v>
      </c>
      <c r="AG1626">
        <v>2264</v>
      </c>
      <c r="AH1626">
        <v>3.301029996</v>
      </c>
      <c r="AI1626">
        <v>18</v>
      </c>
      <c r="AJ1626" t="s">
        <v>636</v>
      </c>
      <c r="AK1626" t="s">
        <v>59</v>
      </c>
      <c r="AL1626" s="25" t="s">
        <v>60</v>
      </c>
      <c r="AM1626" t="s">
        <v>61</v>
      </c>
      <c r="AN1626">
        <v>0.70602399999999998</v>
      </c>
      <c r="AO1626">
        <v>0.14216899999999999</v>
      </c>
      <c r="AP1626">
        <v>0.63614499999999996</v>
      </c>
      <c r="AQ1626">
        <v>0.12770999999999999</v>
      </c>
      <c r="AR1626" t="s">
        <v>44</v>
      </c>
      <c r="AS1626">
        <f t="shared" si="156"/>
        <v>-0.10422270647340237</v>
      </c>
      <c r="AT1626">
        <f t="shared" si="157"/>
        <v>2.0212788483642108E-2</v>
      </c>
      <c r="AW1626" s="28">
        <f t="shared" si="158"/>
        <v>-0.51711267634483216</v>
      </c>
      <c r="AX1626">
        <f t="shared" si="159"/>
        <v>0.86956521739130432</v>
      </c>
      <c r="AY1626" s="62">
        <f t="shared" si="160"/>
        <v>-0.44966319682159317</v>
      </c>
      <c r="AZ1626" s="68" t="str">
        <f t="shared" si="161"/>
        <v>No</v>
      </c>
      <c r="BA1626" s="68" t="str">
        <f t="shared" si="162"/>
        <v>No</v>
      </c>
    </row>
    <row r="1627" spans="1:53" hidden="1">
      <c r="A1627" t="s">
        <v>908</v>
      </c>
      <c r="B1627" t="s">
        <v>639</v>
      </c>
      <c r="C1627" t="s">
        <v>617</v>
      </c>
      <c r="D1627" s="25">
        <v>45</v>
      </c>
      <c r="E1627" s="25">
        <v>486</v>
      </c>
      <c r="F1627" t="s">
        <v>1241</v>
      </c>
      <c r="G1627" t="s">
        <v>618</v>
      </c>
      <c r="H1627" s="3" t="s">
        <v>808</v>
      </c>
      <c r="I1627">
        <v>2021</v>
      </c>
      <c r="J1627" t="s">
        <v>619</v>
      </c>
      <c r="K1627" t="s">
        <v>49</v>
      </c>
      <c r="L1627" t="s">
        <v>620</v>
      </c>
      <c r="M1627" s="25" t="s">
        <v>36</v>
      </c>
      <c r="N1627" t="s">
        <v>36</v>
      </c>
      <c r="O1627" t="s">
        <v>37</v>
      </c>
      <c r="P1627" t="s">
        <v>60</v>
      </c>
      <c r="Q1627" t="s">
        <v>899</v>
      </c>
      <c r="R1627" t="s">
        <v>828</v>
      </c>
      <c r="S1627" t="s">
        <v>807</v>
      </c>
      <c r="T1627">
        <v>41.320725000000003</v>
      </c>
      <c r="U1627">
        <v>-72.001643000000001</v>
      </c>
      <c r="V1627" t="s">
        <v>905</v>
      </c>
      <c r="W1627" s="25" t="s">
        <v>38</v>
      </c>
      <c r="X1627" t="s">
        <v>628</v>
      </c>
      <c r="Y1627" t="s">
        <v>39</v>
      </c>
      <c r="Z1627">
        <v>4</v>
      </c>
      <c r="AA1627">
        <v>4</v>
      </c>
      <c r="AB1627" t="s">
        <v>628</v>
      </c>
      <c r="AC1627">
        <v>400</v>
      </c>
      <c r="AE1627">
        <v>2000</v>
      </c>
      <c r="AG1627">
        <v>2265</v>
      </c>
      <c r="AH1627">
        <v>3.301029996</v>
      </c>
      <c r="AI1627">
        <v>18</v>
      </c>
      <c r="AJ1627" t="s">
        <v>636</v>
      </c>
      <c r="AK1627" t="s">
        <v>59</v>
      </c>
      <c r="AL1627" s="25" t="s">
        <v>60</v>
      </c>
      <c r="AM1627" t="s">
        <v>61</v>
      </c>
      <c r="AN1627">
        <v>0.76385499999999995</v>
      </c>
      <c r="AO1627">
        <v>7.9518000000000005E-2</v>
      </c>
      <c r="AP1627">
        <v>0.74939800000000001</v>
      </c>
      <c r="AQ1627">
        <v>0.125301</v>
      </c>
      <c r="AR1627" t="s">
        <v>44</v>
      </c>
      <c r="AS1627">
        <f t="shared" si="156"/>
        <v>-1.9107763023775981E-2</v>
      </c>
      <c r="AT1627">
        <f t="shared" si="157"/>
        <v>9.6983943840841837E-3</v>
      </c>
      <c r="AW1627" s="28">
        <f t="shared" si="158"/>
        <v>-0.13776867248892613</v>
      </c>
      <c r="AX1627">
        <f t="shared" si="159"/>
        <v>0.86956521739130432</v>
      </c>
      <c r="AY1627" s="62">
        <f t="shared" si="160"/>
        <v>-0.11979884564254446</v>
      </c>
      <c r="AZ1627" s="68" t="str">
        <f t="shared" si="161"/>
        <v>No</v>
      </c>
      <c r="BA1627" s="68" t="str">
        <f t="shared" si="162"/>
        <v>No</v>
      </c>
    </row>
    <row r="1628" spans="1:53" hidden="1">
      <c r="A1628" t="s">
        <v>908</v>
      </c>
      <c r="B1628" t="s">
        <v>640</v>
      </c>
      <c r="C1628" t="s">
        <v>617</v>
      </c>
      <c r="D1628" s="25">
        <v>45</v>
      </c>
      <c r="E1628" s="25">
        <v>487</v>
      </c>
      <c r="F1628" t="s">
        <v>1241</v>
      </c>
      <c r="G1628" t="s">
        <v>618</v>
      </c>
      <c r="H1628" s="3" t="s">
        <v>808</v>
      </c>
      <c r="I1628">
        <v>2021</v>
      </c>
      <c r="J1628" t="s">
        <v>619</v>
      </c>
      <c r="K1628" t="s">
        <v>49</v>
      </c>
      <c r="L1628" t="s">
        <v>620</v>
      </c>
      <c r="M1628" s="25" t="s">
        <v>36</v>
      </c>
      <c r="N1628" t="s">
        <v>36</v>
      </c>
      <c r="O1628" t="s">
        <v>37</v>
      </c>
      <c r="P1628" t="s">
        <v>60</v>
      </c>
      <c r="Q1628" t="s">
        <v>899</v>
      </c>
      <c r="R1628" t="s">
        <v>828</v>
      </c>
      <c r="S1628" t="s">
        <v>807</v>
      </c>
      <c r="T1628">
        <v>41.320725000000003</v>
      </c>
      <c r="U1628">
        <v>-72.001643000000001</v>
      </c>
      <c r="V1628" t="s">
        <v>905</v>
      </c>
      <c r="W1628" s="25" t="s">
        <v>38</v>
      </c>
      <c r="X1628" t="s">
        <v>630</v>
      </c>
      <c r="Y1628" t="s">
        <v>39</v>
      </c>
      <c r="Z1628">
        <v>4</v>
      </c>
      <c r="AA1628">
        <v>4</v>
      </c>
      <c r="AB1628" t="s">
        <v>630</v>
      </c>
      <c r="AC1628">
        <v>400</v>
      </c>
      <c r="AE1628">
        <v>2000</v>
      </c>
      <c r="AG1628">
        <v>2266</v>
      </c>
      <c r="AH1628">
        <v>3.301029996</v>
      </c>
      <c r="AI1628">
        <v>18</v>
      </c>
      <c r="AJ1628" t="s">
        <v>636</v>
      </c>
      <c r="AK1628" t="s">
        <v>59</v>
      </c>
      <c r="AL1628" s="25" t="s">
        <v>60</v>
      </c>
      <c r="AM1628" t="s">
        <v>61</v>
      </c>
      <c r="AN1628">
        <v>0.84819299999999997</v>
      </c>
      <c r="AO1628">
        <v>0.110843</v>
      </c>
      <c r="AP1628">
        <v>0.74216899999999997</v>
      </c>
      <c r="AQ1628">
        <v>9.8794999999999994E-2</v>
      </c>
      <c r="AR1628" t="s">
        <v>44</v>
      </c>
      <c r="AS1628">
        <f t="shared" si="156"/>
        <v>-0.13353122419925759</v>
      </c>
      <c r="AT1628">
        <f t="shared" si="157"/>
        <v>8.6994093759346965E-3</v>
      </c>
      <c r="AW1628" s="28">
        <f t="shared" si="158"/>
        <v>-1.009829720062899</v>
      </c>
      <c r="AX1628">
        <f t="shared" si="159"/>
        <v>0.86956521739130432</v>
      </c>
      <c r="AY1628" s="62">
        <f t="shared" si="160"/>
        <v>-0.87811280005469472</v>
      </c>
      <c r="AZ1628" s="68" t="str">
        <f t="shared" si="161"/>
        <v>No</v>
      </c>
      <c r="BA1628" s="68" t="str">
        <f t="shared" si="162"/>
        <v>No</v>
      </c>
    </row>
    <row r="1629" spans="1:53" hidden="1">
      <c r="A1629" t="s">
        <v>908</v>
      </c>
      <c r="B1629" t="s">
        <v>641</v>
      </c>
      <c r="C1629" t="s">
        <v>617</v>
      </c>
      <c r="D1629" s="25">
        <v>45</v>
      </c>
      <c r="E1629" s="25">
        <v>488</v>
      </c>
      <c r="F1629" t="s">
        <v>1241</v>
      </c>
      <c r="G1629" t="s">
        <v>618</v>
      </c>
      <c r="H1629" s="3" t="s">
        <v>808</v>
      </c>
      <c r="I1629">
        <v>2021</v>
      </c>
      <c r="J1629" t="s">
        <v>619</v>
      </c>
      <c r="K1629" t="s">
        <v>49</v>
      </c>
      <c r="L1629" t="s">
        <v>620</v>
      </c>
      <c r="M1629" s="25" t="s">
        <v>36</v>
      </c>
      <c r="N1629" t="s">
        <v>36</v>
      </c>
      <c r="O1629" t="s">
        <v>37</v>
      </c>
      <c r="P1629" t="s">
        <v>60</v>
      </c>
      <c r="Q1629" t="s">
        <v>899</v>
      </c>
      <c r="R1629" t="s">
        <v>828</v>
      </c>
      <c r="S1629" t="s">
        <v>807</v>
      </c>
      <c r="T1629">
        <v>41.320725000000003</v>
      </c>
      <c r="U1629">
        <v>-72.001643000000001</v>
      </c>
      <c r="V1629" t="s">
        <v>905</v>
      </c>
      <c r="W1629" s="25" t="s">
        <v>38</v>
      </c>
      <c r="X1629" t="s">
        <v>632</v>
      </c>
      <c r="Y1629" t="s">
        <v>39</v>
      </c>
      <c r="Z1629">
        <v>4</v>
      </c>
      <c r="AA1629">
        <v>4</v>
      </c>
      <c r="AB1629" t="s">
        <v>632</v>
      </c>
      <c r="AC1629">
        <v>400</v>
      </c>
      <c r="AE1629">
        <v>2000</v>
      </c>
      <c r="AG1629">
        <v>2267</v>
      </c>
      <c r="AH1629">
        <v>3.301029996</v>
      </c>
      <c r="AI1629">
        <v>18</v>
      </c>
      <c r="AJ1629" t="s">
        <v>636</v>
      </c>
      <c r="AK1629" t="s">
        <v>59</v>
      </c>
      <c r="AL1629" s="25" t="s">
        <v>60</v>
      </c>
      <c r="AM1629" t="s">
        <v>61</v>
      </c>
      <c r="AN1629">
        <v>0.83614500000000003</v>
      </c>
      <c r="AO1629">
        <v>0.122891</v>
      </c>
      <c r="AP1629">
        <v>0.67710800000000004</v>
      </c>
      <c r="AQ1629">
        <v>0.12771099999999999</v>
      </c>
      <c r="AR1629" t="s">
        <v>44</v>
      </c>
      <c r="AS1629">
        <f t="shared" si="156"/>
        <v>-0.21097125550535301</v>
      </c>
      <c r="AT1629">
        <f t="shared" si="157"/>
        <v>1.429395285501725E-2</v>
      </c>
      <c r="AW1629" s="28">
        <f t="shared" si="158"/>
        <v>-1.2690049681225426</v>
      </c>
      <c r="AX1629">
        <f t="shared" si="159"/>
        <v>0.86956521739130432</v>
      </c>
      <c r="AY1629" s="62">
        <f t="shared" si="160"/>
        <v>-1.103482580976124</v>
      </c>
      <c r="AZ1629" s="68" t="str">
        <f t="shared" si="161"/>
        <v>No</v>
      </c>
      <c r="BA1629" s="68" t="str">
        <f t="shared" si="162"/>
        <v>No</v>
      </c>
    </row>
    <row r="1630" spans="1:53" hidden="1">
      <c r="A1630" t="s">
        <v>908</v>
      </c>
      <c r="B1630" t="s">
        <v>642</v>
      </c>
      <c r="C1630" t="s">
        <v>617</v>
      </c>
      <c r="D1630" s="25">
        <v>45</v>
      </c>
      <c r="E1630" s="25">
        <v>489</v>
      </c>
      <c r="F1630" t="s">
        <v>1241</v>
      </c>
      <c r="G1630" t="s">
        <v>618</v>
      </c>
      <c r="H1630" s="3" t="s">
        <v>808</v>
      </c>
      <c r="I1630">
        <v>2021</v>
      </c>
      <c r="J1630" t="s">
        <v>619</v>
      </c>
      <c r="K1630" t="s">
        <v>49</v>
      </c>
      <c r="L1630" t="s">
        <v>620</v>
      </c>
      <c r="M1630" s="25" t="s">
        <v>36</v>
      </c>
      <c r="N1630" t="s">
        <v>36</v>
      </c>
      <c r="O1630" t="s">
        <v>37</v>
      </c>
      <c r="P1630" t="s">
        <v>60</v>
      </c>
      <c r="Q1630" t="s">
        <v>899</v>
      </c>
      <c r="R1630" t="s">
        <v>828</v>
      </c>
      <c r="S1630" t="s">
        <v>807</v>
      </c>
      <c r="T1630">
        <v>41.320725000000003</v>
      </c>
      <c r="U1630">
        <v>-72.001643000000001</v>
      </c>
      <c r="V1630" t="s">
        <v>905</v>
      </c>
      <c r="W1630" s="25" t="s">
        <v>38</v>
      </c>
      <c r="X1630" t="s">
        <v>634</v>
      </c>
      <c r="Y1630" t="s">
        <v>39</v>
      </c>
      <c r="Z1630">
        <v>4</v>
      </c>
      <c r="AA1630">
        <v>4</v>
      </c>
      <c r="AB1630" t="s">
        <v>634</v>
      </c>
      <c r="AC1630">
        <v>400</v>
      </c>
      <c r="AE1630">
        <v>2000</v>
      </c>
      <c r="AG1630">
        <v>2268</v>
      </c>
      <c r="AH1630">
        <v>3.301029996</v>
      </c>
      <c r="AI1630">
        <v>18</v>
      </c>
      <c r="AJ1630" t="s">
        <v>636</v>
      </c>
      <c r="AK1630" t="s">
        <v>59</v>
      </c>
      <c r="AL1630" s="25" t="s">
        <v>60</v>
      </c>
      <c r="AM1630" t="s">
        <v>61</v>
      </c>
      <c r="AN1630">
        <v>0.87228899999999998</v>
      </c>
      <c r="AO1630">
        <v>9.6385999999999999E-2</v>
      </c>
      <c r="AP1630">
        <v>0.85783100000000001</v>
      </c>
      <c r="AQ1630">
        <v>7.9518000000000005E-2</v>
      </c>
      <c r="AR1630" t="s">
        <v>44</v>
      </c>
      <c r="AS1630">
        <f t="shared" si="156"/>
        <v>-1.6713680629268451E-2</v>
      </c>
      <c r="AT1630">
        <f t="shared" si="157"/>
        <v>5.2006039620966834E-3</v>
      </c>
      <c r="AW1630" s="28">
        <f t="shared" si="158"/>
        <v>-0.16363448963514174</v>
      </c>
      <c r="AX1630">
        <f t="shared" si="159"/>
        <v>0.86956521739130432</v>
      </c>
      <c r="AY1630" s="62">
        <f t="shared" si="160"/>
        <v>-0.14229086055229717</v>
      </c>
      <c r="AZ1630" s="68" t="str">
        <f t="shared" si="161"/>
        <v>No</v>
      </c>
      <c r="BA1630" s="68" t="str">
        <f t="shared" si="162"/>
        <v>No</v>
      </c>
    </row>
    <row r="1631" spans="1:53" hidden="1">
      <c r="A1631" t="s">
        <v>908</v>
      </c>
      <c r="B1631" t="s">
        <v>643</v>
      </c>
      <c r="C1631" t="s">
        <v>617</v>
      </c>
      <c r="D1631" s="25">
        <v>45</v>
      </c>
      <c r="E1631" s="25">
        <v>490</v>
      </c>
      <c r="F1631" t="s">
        <v>1241</v>
      </c>
      <c r="G1631" t="s">
        <v>618</v>
      </c>
      <c r="H1631" s="3" t="s">
        <v>808</v>
      </c>
      <c r="I1631">
        <v>2021</v>
      </c>
      <c r="J1631" t="s">
        <v>619</v>
      </c>
      <c r="K1631" t="s">
        <v>49</v>
      </c>
      <c r="L1631" t="s">
        <v>620</v>
      </c>
      <c r="M1631" s="25" t="s">
        <v>36</v>
      </c>
      <c r="N1631" t="s">
        <v>36</v>
      </c>
      <c r="O1631" t="s">
        <v>37</v>
      </c>
      <c r="P1631" t="s">
        <v>60</v>
      </c>
      <c r="Q1631" t="s">
        <v>899</v>
      </c>
      <c r="R1631" t="s">
        <v>828</v>
      </c>
      <c r="S1631" t="s">
        <v>807</v>
      </c>
      <c r="T1631">
        <v>41.320725000000003</v>
      </c>
      <c r="U1631">
        <v>-72.001643000000001</v>
      </c>
      <c r="V1631" t="s">
        <v>905</v>
      </c>
      <c r="W1631" s="25" t="s">
        <v>38</v>
      </c>
      <c r="X1631" t="s">
        <v>621</v>
      </c>
      <c r="Y1631" t="s">
        <v>39</v>
      </c>
      <c r="Z1631">
        <v>4</v>
      </c>
      <c r="AA1631">
        <v>4</v>
      </c>
      <c r="AB1631" t="s">
        <v>621</v>
      </c>
      <c r="AC1631">
        <v>400</v>
      </c>
      <c r="AE1631">
        <v>2000</v>
      </c>
      <c r="AG1631">
        <v>2269</v>
      </c>
      <c r="AH1631">
        <v>3.301029996</v>
      </c>
      <c r="AI1631">
        <v>18</v>
      </c>
      <c r="AJ1631" t="s">
        <v>69</v>
      </c>
      <c r="AK1631" t="s">
        <v>69</v>
      </c>
      <c r="AL1631" s="25" t="s">
        <v>60</v>
      </c>
      <c r="AM1631" t="s">
        <v>61</v>
      </c>
      <c r="AN1631">
        <v>0.75</v>
      </c>
      <c r="AO1631">
        <v>0.17543900000000001</v>
      </c>
      <c r="AP1631">
        <v>0.68684199999999995</v>
      </c>
      <c r="AQ1631">
        <v>8.3333000000000004E-2</v>
      </c>
      <c r="AR1631" t="s">
        <v>48</v>
      </c>
      <c r="AS1631">
        <f t="shared" si="156"/>
        <v>-8.7968926202673936E-2</v>
      </c>
      <c r="AT1631">
        <f t="shared" si="157"/>
        <v>1.7359591872616494E-2</v>
      </c>
      <c r="AW1631" s="28">
        <f t="shared" si="158"/>
        <v>-0.4598740690986638</v>
      </c>
      <c r="AX1631">
        <f t="shared" si="159"/>
        <v>0.86956521739130432</v>
      </c>
      <c r="AY1631" s="62">
        <f t="shared" si="160"/>
        <v>-0.39989049486840328</v>
      </c>
      <c r="AZ1631" s="68" t="str">
        <f t="shared" si="161"/>
        <v>No</v>
      </c>
      <c r="BA1631" s="68" t="str">
        <f t="shared" si="162"/>
        <v>No</v>
      </c>
    </row>
    <row r="1632" spans="1:53" hidden="1">
      <c r="A1632" t="s">
        <v>908</v>
      </c>
      <c r="B1632" t="s">
        <v>644</v>
      </c>
      <c r="C1632" t="s">
        <v>617</v>
      </c>
      <c r="D1632" s="25">
        <v>45</v>
      </c>
      <c r="E1632" s="25">
        <v>491</v>
      </c>
      <c r="F1632" t="s">
        <v>1241</v>
      </c>
      <c r="G1632" t="s">
        <v>618</v>
      </c>
      <c r="H1632" s="3" t="s">
        <v>808</v>
      </c>
      <c r="I1632">
        <v>2021</v>
      </c>
      <c r="J1632" t="s">
        <v>619</v>
      </c>
      <c r="K1632" t="s">
        <v>49</v>
      </c>
      <c r="L1632" t="s">
        <v>620</v>
      </c>
      <c r="M1632" s="25" t="s">
        <v>36</v>
      </c>
      <c r="N1632" t="s">
        <v>36</v>
      </c>
      <c r="O1632" t="s">
        <v>37</v>
      </c>
      <c r="P1632" t="s">
        <v>60</v>
      </c>
      <c r="Q1632" t="s">
        <v>899</v>
      </c>
      <c r="R1632" t="s">
        <v>828</v>
      </c>
      <c r="S1632" t="s">
        <v>807</v>
      </c>
      <c r="T1632">
        <v>41.320725000000003</v>
      </c>
      <c r="U1632">
        <v>-72.001643000000001</v>
      </c>
      <c r="V1632" t="s">
        <v>905</v>
      </c>
      <c r="W1632" s="25" t="s">
        <v>38</v>
      </c>
      <c r="X1632" t="s">
        <v>624</v>
      </c>
      <c r="Y1632" t="s">
        <v>39</v>
      </c>
      <c r="Z1632">
        <v>4</v>
      </c>
      <c r="AA1632">
        <v>4</v>
      </c>
      <c r="AB1632" t="s">
        <v>624</v>
      </c>
      <c r="AC1632">
        <v>400</v>
      </c>
      <c r="AE1632">
        <v>2000</v>
      </c>
      <c r="AG1632">
        <v>2270</v>
      </c>
      <c r="AH1632">
        <v>3.301029996</v>
      </c>
      <c r="AI1632">
        <v>18</v>
      </c>
      <c r="AJ1632" t="s">
        <v>69</v>
      </c>
      <c r="AK1632" t="s">
        <v>69</v>
      </c>
      <c r="AL1632" s="25" t="s">
        <v>60</v>
      </c>
      <c r="AM1632" t="s">
        <v>61</v>
      </c>
      <c r="AN1632">
        <v>0.87543899999999997</v>
      </c>
      <c r="AO1632">
        <v>7.0175000000000001E-2</v>
      </c>
      <c r="AP1632">
        <v>0.859649</v>
      </c>
      <c r="AQ1632">
        <v>5.2631999999999998E-2</v>
      </c>
      <c r="AR1632" t="s">
        <v>48</v>
      </c>
      <c r="AS1632">
        <f t="shared" si="156"/>
        <v>-1.8201308425736862E-2</v>
      </c>
      <c r="AT1632">
        <f t="shared" si="157"/>
        <v>2.5435224895576352E-3</v>
      </c>
      <c r="AW1632" s="28">
        <f t="shared" si="158"/>
        <v>-0.25456721161785278</v>
      </c>
      <c r="AX1632">
        <f t="shared" si="159"/>
        <v>0.86956521739130432</v>
      </c>
      <c r="AY1632" s="62">
        <f t="shared" si="160"/>
        <v>-0.22136279271117631</v>
      </c>
      <c r="AZ1632" s="68" t="str">
        <f t="shared" si="161"/>
        <v>No</v>
      </c>
      <c r="BA1632" s="68" t="str">
        <f t="shared" si="162"/>
        <v>No</v>
      </c>
    </row>
    <row r="1633" spans="1:53" hidden="1">
      <c r="A1633" t="s">
        <v>908</v>
      </c>
      <c r="B1633" t="s">
        <v>645</v>
      </c>
      <c r="C1633" t="s">
        <v>617</v>
      </c>
      <c r="D1633" s="25">
        <v>45</v>
      </c>
      <c r="E1633" s="25">
        <v>492</v>
      </c>
      <c r="F1633" t="s">
        <v>1241</v>
      </c>
      <c r="G1633" t="s">
        <v>618</v>
      </c>
      <c r="H1633" s="3" t="s">
        <v>808</v>
      </c>
      <c r="I1633">
        <v>2021</v>
      </c>
      <c r="J1633" t="s">
        <v>619</v>
      </c>
      <c r="K1633" t="s">
        <v>49</v>
      </c>
      <c r="L1633" t="s">
        <v>620</v>
      </c>
      <c r="M1633" s="25" t="s">
        <v>36</v>
      </c>
      <c r="N1633" t="s">
        <v>36</v>
      </c>
      <c r="O1633" t="s">
        <v>37</v>
      </c>
      <c r="P1633" t="s">
        <v>60</v>
      </c>
      <c r="Q1633" t="s">
        <v>899</v>
      </c>
      <c r="R1633" t="s">
        <v>828</v>
      </c>
      <c r="S1633" t="s">
        <v>807</v>
      </c>
      <c r="T1633">
        <v>41.320725000000003</v>
      </c>
      <c r="U1633">
        <v>-72.001643000000001</v>
      </c>
      <c r="V1633" t="s">
        <v>905</v>
      </c>
      <c r="W1633" s="25" t="s">
        <v>38</v>
      </c>
      <c r="X1633" t="s">
        <v>626</v>
      </c>
      <c r="Y1633" t="s">
        <v>39</v>
      </c>
      <c r="Z1633">
        <v>4</v>
      </c>
      <c r="AA1633">
        <v>4</v>
      </c>
      <c r="AB1633" t="s">
        <v>626</v>
      </c>
      <c r="AC1633">
        <v>400</v>
      </c>
      <c r="AE1633">
        <v>2000</v>
      </c>
      <c r="AG1633">
        <v>2271</v>
      </c>
      <c r="AH1633">
        <v>3.301029996</v>
      </c>
      <c r="AI1633">
        <v>18</v>
      </c>
      <c r="AJ1633" t="s">
        <v>69</v>
      </c>
      <c r="AK1633" t="s">
        <v>69</v>
      </c>
      <c r="AL1633" s="25" t="s">
        <v>60</v>
      </c>
      <c r="AM1633" t="s">
        <v>61</v>
      </c>
      <c r="AN1633">
        <v>0.81140400000000001</v>
      </c>
      <c r="AO1633">
        <v>9.035E-2</v>
      </c>
      <c r="AP1633">
        <v>0.79210499999999995</v>
      </c>
      <c r="AQ1633">
        <v>0.13333400000000001</v>
      </c>
      <c r="AR1633" t="s">
        <v>48</v>
      </c>
      <c r="AS1633">
        <f t="shared" si="156"/>
        <v>-2.4072121726630813E-2</v>
      </c>
      <c r="AT1633">
        <f t="shared" si="157"/>
        <v>1.0183354207986993E-2</v>
      </c>
      <c r="AW1633" s="28">
        <f t="shared" si="158"/>
        <v>-0.16945554856215891</v>
      </c>
      <c r="AX1633">
        <f t="shared" si="159"/>
        <v>0.86956521739130432</v>
      </c>
      <c r="AY1633" s="62">
        <f t="shared" si="160"/>
        <v>-0.14735265092361644</v>
      </c>
      <c r="AZ1633" s="68" t="str">
        <f t="shared" si="161"/>
        <v>No</v>
      </c>
      <c r="BA1633" s="68" t="str">
        <f t="shared" si="162"/>
        <v>No</v>
      </c>
    </row>
    <row r="1634" spans="1:53" hidden="1">
      <c r="A1634" t="s">
        <v>908</v>
      </c>
      <c r="B1634" t="s">
        <v>646</v>
      </c>
      <c r="C1634" t="s">
        <v>617</v>
      </c>
      <c r="D1634" s="25">
        <v>45</v>
      </c>
      <c r="E1634" s="25">
        <v>493</v>
      </c>
      <c r="F1634" t="s">
        <v>1241</v>
      </c>
      <c r="G1634" t="s">
        <v>618</v>
      </c>
      <c r="H1634" s="3" t="s">
        <v>808</v>
      </c>
      <c r="I1634">
        <v>2021</v>
      </c>
      <c r="J1634" t="s">
        <v>619</v>
      </c>
      <c r="K1634" t="s">
        <v>49</v>
      </c>
      <c r="L1634" t="s">
        <v>620</v>
      </c>
      <c r="M1634" s="25" t="s">
        <v>36</v>
      </c>
      <c r="N1634" t="s">
        <v>36</v>
      </c>
      <c r="O1634" t="s">
        <v>37</v>
      </c>
      <c r="P1634" t="s">
        <v>60</v>
      </c>
      <c r="Q1634" t="s">
        <v>899</v>
      </c>
      <c r="R1634" t="s">
        <v>828</v>
      </c>
      <c r="S1634" t="s">
        <v>807</v>
      </c>
      <c r="T1634">
        <v>41.320725000000003</v>
      </c>
      <c r="U1634">
        <v>-72.001643000000001</v>
      </c>
      <c r="V1634" t="s">
        <v>905</v>
      </c>
      <c r="W1634" s="25" t="s">
        <v>38</v>
      </c>
      <c r="X1634" t="s">
        <v>628</v>
      </c>
      <c r="Y1634" t="s">
        <v>39</v>
      </c>
      <c r="Z1634">
        <v>4</v>
      </c>
      <c r="AA1634">
        <v>4</v>
      </c>
      <c r="AB1634" t="s">
        <v>628</v>
      </c>
      <c r="AC1634">
        <v>400</v>
      </c>
      <c r="AE1634">
        <v>2000</v>
      </c>
      <c r="AG1634">
        <v>2272</v>
      </c>
      <c r="AH1634">
        <v>3.301029996</v>
      </c>
      <c r="AI1634">
        <v>18</v>
      </c>
      <c r="AJ1634" t="s">
        <v>69</v>
      </c>
      <c r="AK1634" t="s">
        <v>69</v>
      </c>
      <c r="AL1634" s="25" t="s">
        <v>60</v>
      </c>
      <c r="AM1634" t="s">
        <v>61</v>
      </c>
      <c r="AN1634">
        <v>0.81666700000000003</v>
      </c>
      <c r="AO1634">
        <v>0.13508700000000001</v>
      </c>
      <c r="AP1634">
        <v>0.754386</v>
      </c>
      <c r="AQ1634">
        <v>9.6490999999999993E-2</v>
      </c>
      <c r="AR1634" t="s">
        <v>48</v>
      </c>
      <c r="AS1634">
        <f t="shared" si="156"/>
        <v>-7.9327249681068857E-2</v>
      </c>
      <c r="AT1634">
        <f t="shared" si="157"/>
        <v>1.0930359823982468E-2</v>
      </c>
      <c r="AW1634" s="28">
        <f t="shared" si="158"/>
        <v>-0.53056520316895051</v>
      </c>
      <c r="AX1634">
        <f t="shared" si="159"/>
        <v>0.86956521739130432</v>
      </c>
      <c r="AY1634" s="62">
        <f t="shared" si="160"/>
        <v>-0.46136104623386998</v>
      </c>
      <c r="AZ1634" s="68" t="str">
        <f t="shared" si="161"/>
        <v>No</v>
      </c>
      <c r="BA1634" s="68" t="str">
        <f t="shared" si="162"/>
        <v>No</v>
      </c>
    </row>
    <row r="1635" spans="1:53" hidden="1">
      <c r="A1635" t="s">
        <v>908</v>
      </c>
      <c r="B1635" t="s">
        <v>647</v>
      </c>
      <c r="C1635" t="s">
        <v>617</v>
      </c>
      <c r="D1635" s="25">
        <v>45</v>
      </c>
      <c r="E1635" s="25">
        <v>494</v>
      </c>
      <c r="F1635" t="s">
        <v>1241</v>
      </c>
      <c r="G1635" t="s">
        <v>618</v>
      </c>
      <c r="H1635" s="3" t="s">
        <v>808</v>
      </c>
      <c r="I1635">
        <v>2021</v>
      </c>
      <c r="J1635" t="s">
        <v>619</v>
      </c>
      <c r="K1635" t="s">
        <v>49</v>
      </c>
      <c r="L1635" t="s">
        <v>620</v>
      </c>
      <c r="M1635" s="25" t="s">
        <v>36</v>
      </c>
      <c r="N1635" t="s">
        <v>36</v>
      </c>
      <c r="O1635" t="s">
        <v>37</v>
      </c>
      <c r="P1635" t="s">
        <v>60</v>
      </c>
      <c r="Q1635" t="s">
        <v>899</v>
      </c>
      <c r="R1635" t="s">
        <v>828</v>
      </c>
      <c r="S1635" t="s">
        <v>807</v>
      </c>
      <c r="T1635">
        <v>41.320725000000003</v>
      </c>
      <c r="U1635">
        <v>-72.001643000000001</v>
      </c>
      <c r="V1635" t="s">
        <v>905</v>
      </c>
      <c r="W1635" s="25" t="s">
        <v>38</v>
      </c>
      <c r="X1635" t="s">
        <v>632</v>
      </c>
      <c r="Y1635" t="s">
        <v>39</v>
      </c>
      <c r="Z1635">
        <v>4</v>
      </c>
      <c r="AA1635">
        <v>4</v>
      </c>
      <c r="AB1635" t="s">
        <v>632</v>
      </c>
      <c r="AC1635">
        <v>400</v>
      </c>
      <c r="AE1635">
        <v>2000</v>
      </c>
      <c r="AG1635">
        <v>2273</v>
      </c>
      <c r="AH1635">
        <v>3.301029996</v>
      </c>
      <c r="AI1635">
        <v>18</v>
      </c>
      <c r="AJ1635" t="s">
        <v>69</v>
      </c>
      <c r="AK1635" t="s">
        <v>69</v>
      </c>
      <c r="AL1635" s="25" t="s">
        <v>60</v>
      </c>
      <c r="AM1635" t="s">
        <v>61</v>
      </c>
      <c r="AN1635">
        <v>0.72017500000000001</v>
      </c>
      <c r="AO1635">
        <v>0.131579</v>
      </c>
      <c r="AP1635">
        <v>0.72806999999999999</v>
      </c>
      <c r="AQ1635">
        <v>0.131579</v>
      </c>
      <c r="AR1635" t="s">
        <v>48</v>
      </c>
      <c r="AS1635">
        <f t="shared" si="156"/>
        <v>1.0902959387914635E-2</v>
      </c>
      <c r="AT1635">
        <f t="shared" si="157"/>
        <v>1.6510407876350532E-2</v>
      </c>
      <c r="AW1635" s="28">
        <f t="shared" si="158"/>
        <v>6.0001975999209485E-2</v>
      </c>
      <c r="AX1635">
        <f t="shared" si="159"/>
        <v>0.86956521739130432</v>
      </c>
      <c r="AY1635" s="62">
        <f t="shared" si="160"/>
        <v>5.2175631303660423E-2</v>
      </c>
      <c r="AZ1635" s="68" t="str">
        <f t="shared" si="161"/>
        <v>No</v>
      </c>
      <c r="BA1635" s="68" t="str">
        <f t="shared" si="162"/>
        <v>No</v>
      </c>
    </row>
    <row r="1636" spans="1:53" hidden="1">
      <c r="A1636" t="s">
        <v>908</v>
      </c>
      <c r="B1636" t="s">
        <v>648</v>
      </c>
      <c r="C1636" t="s">
        <v>617</v>
      </c>
      <c r="D1636" s="25">
        <v>45</v>
      </c>
      <c r="E1636" s="25">
        <v>495</v>
      </c>
      <c r="F1636" t="s">
        <v>1241</v>
      </c>
      <c r="G1636" t="s">
        <v>618</v>
      </c>
      <c r="H1636" s="3" t="s">
        <v>808</v>
      </c>
      <c r="I1636">
        <v>2021</v>
      </c>
      <c r="J1636" t="s">
        <v>619</v>
      </c>
      <c r="K1636" t="s">
        <v>49</v>
      </c>
      <c r="L1636" t="s">
        <v>620</v>
      </c>
      <c r="M1636" s="25" t="s">
        <v>36</v>
      </c>
      <c r="N1636" t="s">
        <v>36</v>
      </c>
      <c r="O1636" t="s">
        <v>37</v>
      </c>
      <c r="P1636" t="s">
        <v>60</v>
      </c>
      <c r="Q1636" t="s">
        <v>899</v>
      </c>
      <c r="R1636" t="s">
        <v>828</v>
      </c>
      <c r="S1636" t="s">
        <v>807</v>
      </c>
      <c r="T1636">
        <v>41.320725000000003</v>
      </c>
      <c r="U1636">
        <v>-72.001643000000001</v>
      </c>
      <c r="V1636" t="s">
        <v>905</v>
      </c>
      <c r="W1636" s="25" t="s">
        <v>38</v>
      </c>
      <c r="X1636" t="s">
        <v>634</v>
      </c>
      <c r="Y1636" t="s">
        <v>39</v>
      </c>
      <c r="Z1636">
        <v>4</v>
      </c>
      <c r="AA1636">
        <v>4</v>
      </c>
      <c r="AB1636" t="s">
        <v>634</v>
      </c>
      <c r="AC1636">
        <v>400</v>
      </c>
      <c r="AE1636">
        <v>2000</v>
      </c>
      <c r="AG1636">
        <v>2274</v>
      </c>
      <c r="AH1636">
        <v>3.301029996</v>
      </c>
      <c r="AI1636">
        <v>18</v>
      </c>
      <c r="AJ1636" t="s">
        <v>69</v>
      </c>
      <c r="AK1636" t="s">
        <v>69</v>
      </c>
      <c r="AL1636" s="25" t="s">
        <v>60</v>
      </c>
      <c r="AM1636" t="s">
        <v>61</v>
      </c>
      <c r="AN1636">
        <v>0.55087699999999995</v>
      </c>
      <c r="AO1636">
        <v>0.20438600000000001</v>
      </c>
      <c r="AP1636">
        <v>0.69561399999999995</v>
      </c>
      <c r="AQ1636">
        <v>0.15789500000000001</v>
      </c>
      <c r="AR1636" t="s">
        <v>48</v>
      </c>
      <c r="AS1636">
        <f t="shared" si="156"/>
        <v>0.23328335504381886</v>
      </c>
      <c r="AT1636">
        <f t="shared" si="157"/>
        <v>4.7294550486920162E-2</v>
      </c>
      <c r="AW1636" s="28">
        <f t="shared" si="158"/>
        <v>0.79253253887339947</v>
      </c>
      <c r="AX1636">
        <f t="shared" si="159"/>
        <v>0.86956521739130432</v>
      </c>
      <c r="AY1636" s="62">
        <f t="shared" si="160"/>
        <v>0.6891587294551299</v>
      </c>
      <c r="AZ1636" s="68" t="str">
        <f t="shared" si="161"/>
        <v>No</v>
      </c>
      <c r="BA1636" s="68" t="str">
        <f t="shared" si="162"/>
        <v>No</v>
      </c>
    </row>
    <row r="1637" spans="1:53" hidden="1">
      <c r="A1637" t="s">
        <v>908</v>
      </c>
      <c r="B1637" t="s">
        <v>653</v>
      </c>
      <c r="C1637" t="s">
        <v>649</v>
      </c>
      <c r="D1637" s="25">
        <v>43</v>
      </c>
      <c r="E1637" s="25">
        <v>496</v>
      </c>
      <c r="F1637" t="s">
        <v>1241</v>
      </c>
      <c r="G1637" t="s">
        <v>650</v>
      </c>
      <c r="H1637" s="3" t="s">
        <v>815</v>
      </c>
      <c r="I1637">
        <v>2020</v>
      </c>
      <c r="J1637" t="s">
        <v>651</v>
      </c>
      <c r="K1637" t="s">
        <v>229</v>
      </c>
      <c r="L1637" t="s">
        <v>652</v>
      </c>
      <c r="M1637" s="25" t="s">
        <v>36</v>
      </c>
      <c r="N1637" t="s">
        <v>36</v>
      </c>
      <c r="O1637" t="s">
        <v>37</v>
      </c>
      <c r="P1637" t="s">
        <v>60</v>
      </c>
      <c r="Q1637" t="s">
        <v>899</v>
      </c>
      <c r="R1637" t="s">
        <v>849</v>
      </c>
      <c r="T1637">
        <v>43.495600000000003</v>
      </c>
      <c r="U1637">
        <v>-65.719399999999993</v>
      </c>
      <c r="V1637" t="s">
        <v>905</v>
      </c>
      <c r="W1637" s="25" t="s">
        <v>38</v>
      </c>
      <c r="X1637">
        <v>56</v>
      </c>
      <c r="Y1637" t="s">
        <v>39</v>
      </c>
      <c r="Z1637">
        <v>4</v>
      </c>
      <c r="AA1637">
        <v>4</v>
      </c>
      <c r="AG1637">
        <v>2280</v>
      </c>
      <c r="AI1637">
        <v>21</v>
      </c>
      <c r="AJ1637" t="s">
        <v>93</v>
      </c>
      <c r="AK1637" t="s">
        <v>40</v>
      </c>
      <c r="AL1637" s="25" t="s">
        <v>60</v>
      </c>
      <c r="AM1637" t="s">
        <v>61</v>
      </c>
      <c r="AN1637">
        <v>0.48211900000000002</v>
      </c>
      <c r="AO1637">
        <v>8.3444000000000004E-2</v>
      </c>
      <c r="AP1637">
        <v>0.54238399999999998</v>
      </c>
      <c r="AQ1637">
        <v>9.2716000000000007E-2</v>
      </c>
      <c r="AR1637" t="s">
        <v>44</v>
      </c>
      <c r="AS1637">
        <f t="shared" si="156"/>
        <v>0.11778326612043544</v>
      </c>
      <c r="AT1637">
        <f t="shared" si="157"/>
        <v>1.4794223428573457E-2</v>
      </c>
      <c r="AW1637" s="28">
        <f t="shared" si="158"/>
        <v>0.68326176129313099</v>
      </c>
      <c r="AX1637">
        <f t="shared" si="159"/>
        <v>0.86956521739130432</v>
      </c>
      <c r="AY1637" s="62">
        <f t="shared" si="160"/>
        <v>0.59414066199402693</v>
      </c>
      <c r="AZ1637" s="68" t="str">
        <f t="shared" si="161"/>
        <v>No</v>
      </c>
      <c r="BA1637" s="68" t="str">
        <f t="shared" si="162"/>
        <v>No</v>
      </c>
    </row>
    <row r="1638" spans="1:53" hidden="1">
      <c r="A1638" t="s">
        <v>908</v>
      </c>
      <c r="B1638" t="s">
        <v>654</v>
      </c>
      <c r="C1638" t="s">
        <v>649</v>
      </c>
      <c r="D1638" s="25">
        <v>43</v>
      </c>
      <c r="E1638" s="25">
        <v>497</v>
      </c>
      <c r="F1638" t="s">
        <v>1241</v>
      </c>
      <c r="G1638" t="s">
        <v>650</v>
      </c>
      <c r="H1638" s="3" t="s">
        <v>815</v>
      </c>
      <c r="I1638">
        <v>2020</v>
      </c>
      <c r="J1638" t="s">
        <v>651</v>
      </c>
      <c r="K1638" t="s">
        <v>229</v>
      </c>
      <c r="L1638" t="s">
        <v>652</v>
      </c>
      <c r="M1638" s="25" t="s">
        <v>36</v>
      </c>
      <c r="N1638" t="s">
        <v>36</v>
      </c>
      <c r="O1638" t="s">
        <v>37</v>
      </c>
      <c r="P1638" t="s">
        <v>60</v>
      </c>
      <c r="Q1638" t="s">
        <v>899</v>
      </c>
      <c r="R1638" t="s">
        <v>849</v>
      </c>
      <c r="T1638">
        <v>43.495600000000003</v>
      </c>
      <c r="U1638">
        <v>-65.719399999999993</v>
      </c>
      <c r="V1638" t="s">
        <v>905</v>
      </c>
      <c r="W1638" s="25" t="s">
        <v>38</v>
      </c>
      <c r="X1638">
        <v>56</v>
      </c>
      <c r="Y1638" t="s">
        <v>39</v>
      </c>
      <c r="Z1638">
        <v>4</v>
      </c>
      <c r="AA1638">
        <v>4</v>
      </c>
      <c r="AG1638">
        <v>2280</v>
      </c>
      <c r="AI1638">
        <v>21</v>
      </c>
      <c r="AJ1638" t="s">
        <v>93</v>
      </c>
      <c r="AK1638" t="s">
        <v>40</v>
      </c>
      <c r="AL1638" s="25" t="s">
        <v>60</v>
      </c>
      <c r="AM1638" t="s">
        <v>61</v>
      </c>
      <c r="AN1638">
        <v>0.48211900000000002</v>
      </c>
      <c r="AO1638">
        <v>8.3444000000000004E-2</v>
      </c>
      <c r="AP1638">
        <v>0.59801300000000002</v>
      </c>
      <c r="AQ1638">
        <v>7.4172000000000002E-2</v>
      </c>
      <c r="AR1638" t="s">
        <v>44</v>
      </c>
      <c r="AS1638">
        <f t="shared" si="156"/>
        <v>0.21542152129918857</v>
      </c>
      <c r="AT1638">
        <f t="shared" si="157"/>
        <v>1.1334870650047773E-2</v>
      </c>
      <c r="AW1638" s="28">
        <f t="shared" si="158"/>
        <v>1.4680488015846345</v>
      </c>
      <c r="AX1638">
        <f t="shared" si="159"/>
        <v>0.86956521739130432</v>
      </c>
      <c r="AY1638" s="62">
        <f t="shared" si="160"/>
        <v>1.2765641752909864</v>
      </c>
      <c r="AZ1638" s="68" t="str">
        <f t="shared" si="161"/>
        <v>No</v>
      </c>
      <c r="BA1638" s="68" t="str">
        <f t="shared" si="162"/>
        <v>No</v>
      </c>
    </row>
    <row r="1639" spans="1:53" hidden="1">
      <c r="A1639" t="s">
        <v>908</v>
      </c>
      <c r="B1639" t="s">
        <v>655</v>
      </c>
      <c r="C1639" t="s">
        <v>656</v>
      </c>
      <c r="D1639" s="25">
        <v>47</v>
      </c>
      <c r="E1639" s="25">
        <v>500</v>
      </c>
      <c r="F1639" t="s">
        <v>1241</v>
      </c>
      <c r="G1639" t="s">
        <v>657</v>
      </c>
      <c r="H1639" s="3" t="s">
        <v>816</v>
      </c>
      <c r="I1639">
        <v>2020</v>
      </c>
      <c r="J1639" t="s">
        <v>658</v>
      </c>
      <c r="K1639" t="s">
        <v>105</v>
      </c>
      <c r="L1639" t="s">
        <v>659</v>
      </c>
      <c r="M1639" s="25" t="s">
        <v>36</v>
      </c>
      <c r="N1639" t="s">
        <v>36</v>
      </c>
      <c r="O1639" t="s">
        <v>37</v>
      </c>
      <c r="P1639" t="s">
        <v>60</v>
      </c>
      <c r="Q1639" t="s">
        <v>899</v>
      </c>
      <c r="R1639" t="s">
        <v>828</v>
      </c>
      <c r="S1639" t="s">
        <v>807</v>
      </c>
      <c r="T1639">
        <v>54.333300000000001</v>
      </c>
      <c r="U1639">
        <v>10.1333</v>
      </c>
      <c r="V1639" t="s">
        <v>905</v>
      </c>
      <c r="W1639" s="25" t="s">
        <v>38</v>
      </c>
      <c r="X1639">
        <v>26</v>
      </c>
      <c r="Y1639" t="s">
        <v>95</v>
      </c>
      <c r="Z1639">
        <v>1</v>
      </c>
      <c r="AA1639">
        <v>1</v>
      </c>
      <c r="AC1639">
        <v>500</v>
      </c>
      <c r="AE1639">
        <v>1000</v>
      </c>
      <c r="AG1639">
        <v>2287</v>
      </c>
      <c r="AH1639">
        <v>3</v>
      </c>
      <c r="AI1639">
        <v>13</v>
      </c>
      <c r="AJ1639" t="s">
        <v>660</v>
      </c>
      <c r="AK1639" t="s">
        <v>40</v>
      </c>
      <c r="AL1639" s="25" t="s">
        <v>60</v>
      </c>
      <c r="AM1639" t="s">
        <v>61</v>
      </c>
      <c r="AN1639">
        <v>22.88461538</v>
      </c>
      <c r="AO1639">
        <v>6.4400008140000002</v>
      </c>
      <c r="AP1639">
        <v>23.66412214</v>
      </c>
      <c r="AQ1639">
        <v>7.9527523359999996</v>
      </c>
      <c r="AR1639" t="s">
        <v>45</v>
      </c>
      <c r="AS1639">
        <f t="shared" si="156"/>
        <v>3.3495200059296515E-2</v>
      </c>
      <c r="AT1639">
        <f t="shared" si="157"/>
        <v>0.19213424906540766</v>
      </c>
      <c r="AW1639" s="28" t="e">
        <f t="shared" si="158"/>
        <v>#DIV/0!</v>
      </c>
      <c r="AX1639">
        <f t="shared" si="159"/>
        <v>4</v>
      </c>
      <c r="AY1639" s="62" t="e">
        <f t="shared" si="160"/>
        <v>#DIV/0!</v>
      </c>
      <c r="AZ1639" s="68" t="e">
        <f t="shared" si="161"/>
        <v>#DIV/0!</v>
      </c>
      <c r="BA1639" s="68" t="e">
        <f t="shared" si="162"/>
        <v>#DIV/0!</v>
      </c>
    </row>
    <row r="1640" spans="1:53" hidden="1">
      <c r="A1640" t="s">
        <v>908</v>
      </c>
      <c r="B1640" t="s">
        <v>661</v>
      </c>
      <c r="C1640" t="s">
        <v>656</v>
      </c>
      <c r="D1640" s="25">
        <v>47</v>
      </c>
      <c r="E1640" s="25">
        <v>501</v>
      </c>
      <c r="F1640" t="s">
        <v>1241</v>
      </c>
      <c r="G1640" t="s">
        <v>657</v>
      </c>
      <c r="H1640" s="3" t="s">
        <v>816</v>
      </c>
      <c r="I1640">
        <v>2020</v>
      </c>
      <c r="J1640" t="s">
        <v>658</v>
      </c>
      <c r="K1640" t="s">
        <v>105</v>
      </c>
      <c r="L1640" t="s">
        <v>659</v>
      </c>
      <c r="M1640" s="25" t="s">
        <v>36</v>
      </c>
      <c r="N1640" t="s">
        <v>36</v>
      </c>
      <c r="O1640" t="s">
        <v>37</v>
      </c>
      <c r="P1640" t="s">
        <v>60</v>
      </c>
      <c r="Q1640" t="s">
        <v>899</v>
      </c>
      <c r="R1640" t="s">
        <v>828</v>
      </c>
      <c r="S1640" t="s">
        <v>807</v>
      </c>
      <c r="T1640">
        <v>54.333300000000001</v>
      </c>
      <c r="U1640">
        <v>10.1333</v>
      </c>
      <c r="V1640" t="s">
        <v>905</v>
      </c>
      <c r="W1640" s="25" t="s">
        <v>38</v>
      </c>
      <c r="X1640">
        <v>26</v>
      </c>
      <c r="Y1640" t="s">
        <v>95</v>
      </c>
      <c r="Z1640">
        <v>1</v>
      </c>
      <c r="AA1640">
        <v>1</v>
      </c>
      <c r="AC1640">
        <v>500</v>
      </c>
      <c r="AE1640">
        <v>1500</v>
      </c>
      <c r="AG1640">
        <v>2287</v>
      </c>
      <c r="AH1640">
        <v>3.1760912590000001</v>
      </c>
      <c r="AI1640">
        <v>13</v>
      </c>
      <c r="AJ1640" t="s">
        <v>660</v>
      </c>
      <c r="AK1640" t="s">
        <v>40</v>
      </c>
      <c r="AL1640" s="25" t="s">
        <v>60</v>
      </c>
      <c r="AM1640" t="s">
        <v>61</v>
      </c>
      <c r="AN1640">
        <v>22.88461538</v>
      </c>
      <c r="AO1640">
        <v>6.4400008140000002</v>
      </c>
      <c r="AP1640">
        <v>19.37984496</v>
      </c>
      <c r="AQ1640">
        <v>6.5129442099999997</v>
      </c>
      <c r="AR1640" t="s">
        <v>45</v>
      </c>
      <c r="AS1640">
        <f t="shared" si="156"/>
        <v>-0.16623126089184703</v>
      </c>
      <c r="AT1640">
        <f t="shared" si="157"/>
        <v>0.19213424906465726</v>
      </c>
      <c r="AW1640" s="28" t="e">
        <f t="shared" si="158"/>
        <v>#DIV/0!</v>
      </c>
      <c r="AX1640">
        <f t="shared" si="159"/>
        <v>4</v>
      </c>
      <c r="AY1640" s="62" t="e">
        <f t="shared" si="160"/>
        <v>#DIV/0!</v>
      </c>
      <c r="AZ1640" s="68" t="e">
        <f t="shared" si="161"/>
        <v>#DIV/0!</v>
      </c>
      <c r="BA1640" s="68" t="e">
        <f t="shared" si="162"/>
        <v>#DIV/0!</v>
      </c>
    </row>
    <row r="1641" spans="1:53" hidden="1">
      <c r="A1641" t="s">
        <v>908</v>
      </c>
      <c r="B1641" t="s">
        <v>662</v>
      </c>
      <c r="C1641" t="s">
        <v>656</v>
      </c>
      <c r="D1641" s="25">
        <v>47</v>
      </c>
      <c r="E1641" s="25">
        <v>502</v>
      </c>
      <c r="F1641" t="s">
        <v>1241</v>
      </c>
      <c r="G1641" t="s">
        <v>657</v>
      </c>
      <c r="H1641" s="3" t="s">
        <v>816</v>
      </c>
      <c r="I1641">
        <v>2020</v>
      </c>
      <c r="J1641" t="s">
        <v>658</v>
      </c>
      <c r="K1641" t="s">
        <v>105</v>
      </c>
      <c r="L1641" t="s">
        <v>659</v>
      </c>
      <c r="M1641" s="25" t="s">
        <v>36</v>
      </c>
      <c r="N1641" t="s">
        <v>36</v>
      </c>
      <c r="O1641" t="s">
        <v>37</v>
      </c>
      <c r="P1641" t="s">
        <v>60</v>
      </c>
      <c r="Q1641" t="s">
        <v>899</v>
      </c>
      <c r="R1641" t="s">
        <v>828</v>
      </c>
      <c r="S1641" t="s">
        <v>807</v>
      </c>
      <c r="T1641">
        <v>54.333300000000001</v>
      </c>
      <c r="U1641">
        <v>10.1333</v>
      </c>
      <c r="V1641" t="s">
        <v>905</v>
      </c>
      <c r="W1641" s="25" t="s">
        <v>38</v>
      </c>
      <c r="X1641">
        <v>26</v>
      </c>
      <c r="Y1641" t="s">
        <v>95</v>
      </c>
      <c r="Z1641">
        <v>1</v>
      </c>
      <c r="AA1641">
        <v>1</v>
      </c>
      <c r="AC1641">
        <v>500</v>
      </c>
      <c r="AE1641">
        <v>2000</v>
      </c>
      <c r="AG1641">
        <v>2287</v>
      </c>
      <c r="AH1641">
        <v>3.301029996</v>
      </c>
      <c r="AI1641">
        <v>13</v>
      </c>
      <c r="AJ1641" t="s">
        <v>660</v>
      </c>
      <c r="AK1641" t="s">
        <v>40</v>
      </c>
      <c r="AL1641" s="25" t="s">
        <v>60</v>
      </c>
      <c r="AM1641" t="s">
        <v>61</v>
      </c>
      <c r="AN1641">
        <v>22.88461538</v>
      </c>
      <c r="AO1641">
        <v>6.4400008140000002</v>
      </c>
      <c r="AP1641">
        <v>23.473282439999998</v>
      </c>
      <c r="AQ1641">
        <v>7.8886172339999998</v>
      </c>
      <c r="AR1641" t="s">
        <v>45</v>
      </c>
      <c r="AS1641">
        <f t="shared" si="156"/>
        <v>2.5397989599926341E-2</v>
      </c>
      <c r="AT1641">
        <f t="shared" si="157"/>
        <v>0.19213424904457985</v>
      </c>
      <c r="AW1641" s="28" t="e">
        <f t="shared" si="158"/>
        <v>#DIV/0!</v>
      </c>
      <c r="AX1641">
        <f t="shared" si="159"/>
        <v>4</v>
      </c>
      <c r="AY1641" s="62" t="e">
        <f t="shared" si="160"/>
        <v>#DIV/0!</v>
      </c>
      <c r="AZ1641" s="68" t="e">
        <f t="shared" si="161"/>
        <v>#DIV/0!</v>
      </c>
      <c r="BA1641" s="68" t="e">
        <f t="shared" si="162"/>
        <v>#DIV/0!</v>
      </c>
    </row>
    <row r="1642" spans="1:53" hidden="1">
      <c r="A1642" t="s">
        <v>908</v>
      </c>
      <c r="B1642" t="s">
        <v>663</v>
      </c>
      <c r="C1642" t="s">
        <v>656</v>
      </c>
      <c r="D1642" s="25">
        <v>47</v>
      </c>
      <c r="E1642" s="25">
        <v>503</v>
      </c>
      <c r="F1642" t="s">
        <v>1241</v>
      </c>
      <c r="G1642" t="s">
        <v>657</v>
      </c>
      <c r="H1642" s="3" t="s">
        <v>816</v>
      </c>
      <c r="I1642">
        <v>2020</v>
      </c>
      <c r="J1642" t="s">
        <v>658</v>
      </c>
      <c r="K1642" t="s">
        <v>105</v>
      </c>
      <c r="L1642" t="s">
        <v>659</v>
      </c>
      <c r="M1642" s="25" t="s">
        <v>36</v>
      </c>
      <c r="N1642" t="s">
        <v>36</v>
      </c>
      <c r="O1642" t="s">
        <v>37</v>
      </c>
      <c r="P1642" t="s">
        <v>60</v>
      </c>
      <c r="Q1642" t="s">
        <v>899</v>
      </c>
      <c r="R1642" t="s">
        <v>828</v>
      </c>
      <c r="S1642" t="s">
        <v>807</v>
      </c>
      <c r="T1642">
        <v>54.333300000000001</v>
      </c>
      <c r="U1642">
        <v>10.1333</v>
      </c>
      <c r="V1642" t="s">
        <v>905</v>
      </c>
      <c r="W1642" s="25" t="s">
        <v>38</v>
      </c>
      <c r="X1642">
        <v>26</v>
      </c>
      <c r="Y1642" t="s">
        <v>95</v>
      </c>
      <c r="Z1642">
        <v>1</v>
      </c>
      <c r="AA1642">
        <v>1</v>
      </c>
      <c r="AC1642">
        <v>500</v>
      </c>
      <c r="AE1642">
        <v>2500</v>
      </c>
      <c r="AG1642">
        <v>2287</v>
      </c>
      <c r="AH1642">
        <v>3.397940009</v>
      </c>
      <c r="AI1642">
        <v>13</v>
      </c>
      <c r="AJ1642" t="s">
        <v>660</v>
      </c>
      <c r="AK1642" t="s">
        <v>40</v>
      </c>
      <c r="AL1642" s="25" t="s">
        <v>60</v>
      </c>
      <c r="AM1642" t="s">
        <v>61</v>
      </c>
      <c r="AN1642">
        <v>22.88461538</v>
      </c>
      <c r="AO1642">
        <v>6.4400008140000002</v>
      </c>
      <c r="AP1642">
        <v>23.26923077</v>
      </c>
      <c r="AQ1642">
        <v>7.8200420140000002</v>
      </c>
      <c r="AR1642" t="s">
        <v>45</v>
      </c>
      <c r="AS1642">
        <f t="shared" si="156"/>
        <v>1.6667052719950171E-2</v>
      </c>
      <c r="AT1642">
        <f t="shared" si="157"/>
        <v>0.19213424906075344</v>
      </c>
      <c r="AW1642" s="28" t="e">
        <f t="shared" si="158"/>
        <v>#DIV/0!</v>
      </c>
      <c r="AX1642">
        <f t="shared" si="159"/>
        <v>4</v>
      </c>
      <c r="AY1642" s="62" t="e">
        <f t="shared" si="160"/>
        <v>#DIV/0!</v>
      </c>
      <c r="AZ1642" s="68" t="e">
        <f t="shared" si="161"/>
        <v>#DIV/0!</v>
      </c>
      <c r="BA1642" s="68" t="e">
        <f t="shared" si="162"/>
        <v>#DIV/0!</v>
      </c>
    </row>
    <row r="1643" spans="1:53" hidden="1">
      <c r="A1643" t="s">
        <v>908</v>
      </c>
      <c r="B1643" t="s">
        <v>664</v>
      </c>
      <c r="C1643" t="s">
        <v>656</v>
      </c>
      <c r="D1643" s="25">
        <v>47</v>
      </c>
      <c r="E1643" s="25">
        <v>504</v>
      </c>
      <c r="F1643" t="s">
        <v>1241</v>
      </c>
      <c r="G1643" t="s">
        <v>657</v>
      </c>
      <c r="H1643" s="3" t="s">
        <v>816</v>
      </c>
      <c r="I1643">
        <v>2020</v>
      </c>
      <c r="J1643" t="s">
        <v>658</v>
      </c>
      <c r="K1643" t="s">
        <v>105</v>
      </c>
      <c r="L1643" t="s">
        <v>659</v>
      </c>
      <c r="M1643" s="25" t="s">
        <v>36</v>
      </c>
      <c r="N1643" t="s">
        <v>36</v>
      </c>
      <c r="O1643" t="s">
        <v>37</v>
      </c>
      <c r="P1643" t="s">
        <v>60</v>
      </c>
      <c r="Q1643" t="s">
        <v>899</v>
      </c>
      <c r="R1643" t="s">
        <v>828</v>
      </c>
      <c r="S1643" t="s">
        <v>807</v>
      </c>
      <c r="T1643">
        <v>54.333300000000001</v>
      </c>
      <c r="U1643">
        <v>10.1333</v>
      </c>
      <c r="V1643" t="s">
        <v>905</v>
      </c>
      <c r="W1643" s="25" t="s">
        <v>38</v>
      </c>
      <c r="X1643">
        <v>26</v>
      </c>
      <c r="Y1643" t="s">
        <v>95</v>
      </c>
      <c r="Z1643">
        <v>1</v>
      </c>
      <c r="AA1643">
        <v>1</v>
      </c>
      <c r="AC1643">
        <v>500</v>
      </c>
      <c r="AE1643">
        <v>3000</v>
      </c>
      <c r="AG1643">
        <v>2287</v>
      </c>
      <c r="AH1643">
        <v>3.4771212550000001</v>
      </c>
      <c r="AI1643">
        <v>13</v>
      </c>
      <c r="AJ1643" t="s">
        <v>660</v>
      </c>
      <c r="AK1643" t="s">
        <v>40</v>
      </c>
      <c r="AL1643" s="25" t="s">
        <v>60</v>
      </c>
      <c r="AM1643" t="s">
        <v>61</v>
      </c>
      <c r="AN1643">
        <v>22.88461538</v>
      </c>
      <c r="AO1643">
        <v>6.4400008140000002</v>
      </c>
      <c r="AP1643">
        <v>22.88461538</v>
      </c>
      <c r="AQ1643">
        <v>7.6907851190000001</v>
      </c>
      <c r="AR1643" t="s">
        <v>45</v>
      </c>
      <c r="AS1643">
        <f t="shared" si="156"/>
        <v>0</v>
      </c>
      <c r="AT1643">
        <f t="shared" si="157"/>
        <v>0.19213424904896736</v>
      </c>
      <c r="AW1643" s="28" t="e">
        <f t="shared" si="158"/>
        <v>#DIV/0!</v>
      </c>
      <c r="AX1643">
        <f t="shared" si="159"/>
        <v>4</v>
      </c>
      <c r="AY1643" s="62" t="e">
        <f t="shared" si="160"/>
        <v>#DIV/0!</v>
      </c>
      <c r="AZ1643" s="68" t="e">
        <f t="shared" si="161"/>
        <v>#DIV/0!</v>
      </c>
      <c r="BA1643" s="68" t="e">
        <f t="shared" si="162"/>
        <v>#DIV/0!</v>
      </c>
    </row>
    <row r="1644" spans="1:53" hidden="1">
      <c r="A1644" t="s">
        <v>908</v>
      </c>
      <c r="B1644" t="s">
        <v>52</v>
      </c>
      <c r="C1644" t="s">
        <v>53</v>
      </c>
      <c r="D1644" s="25">
        <v>1</v>
      </c>
      <c r="E1644" s="25">
        <v>1</v>
      </c>
      <c r="F1644" t="s">
        <v>1241</v>
      </c>
      <c r="G1644" t="s">
        <v>54</v>
      </c>
      <c r="H1644" s="3" t="s">
        <v>817</v>
      </c>
      <c r="I1644">
        <v>2019</v>
      </c>
      <c r="J1644" t="s">
        <v>55</v>
      </c>
      <c r="K1644" t="s">
        <v>56</v>
      </c>
      <c r="L1644" t="s">
        <v>57</v>
      </c>
      <c r="M1644" s="25" t="s">
        <v>35</v>
      </c>
      <c r="N1644" t="s">
        <v>36</v>
      </c>
      <c r="O1644" t="s">
        <v>37</v>
      </c>
      <c r="P1644" t="s">
        <v>60</v>
      </c>
      <c r="Q1644" t="s">
        <v>899</v>
      </c>
      <c r="R1644" t="s">
        <v>828</v>
      </c>
      <c r="S1644" t="s">
        <v>807</v>
      </c>
      <c r="T1644">
        <v>-45.864260600000001</v>
      </c>
      <c r="U1644">
        <v>170.5078125</v>
      </c>
      <c r="V1644" t="s">
        <v>905</v>
      </c>
      <c r="W1644" s="25" t="s">
        <v>38</v>
      </c>
      <c r="X1644">
        <v>4</v>
      </c>
      <c r="Y1644" t="s">
        <v>39</v>
      </c>
      <c r="Z1644">
        <v>4</v>
      </c>
      <c r="AA1644">
        <v>4</v>
      </c>
      <c r="AC1644">
        <v>400</v>
      </c>
      <c r="AE1644">
        <v>1000</v>
      </c>
      <c r="AG1644">
        <v>82</v>
      </c>
      <c r="AH1644">
        <v>3</v>
      </c>
      <c r="AI1644">
        <v>20</v>
      </c>
      <c r="AJ1644" t="s">
        <v>58</v>
      </c>
      <c r="AK1644" t="s">
        <v>59</v>
      </c>
      <c r="AL1644" s="25" t="s">
        <v>60</v>
      </c>
      <c r="AM1644" t="s">
        <v>61</v>
      </c>
      <c r="AN1644">
        <v>25.0459</v>
      </c>
      <c r="AO1644">
        <v>1.3761000000000001</v>
      </c>
      <c r="AP1644">
        <v>13.073399999999999</v>
      </c>
      <c r="AQ1644">
        <v>3.7155999999999998</v>
      </c>
      <c r="AR1644" t="s">
        <v>45</v>
      </c>
      <c r="AS1644">
        <f t="shared" si="156"/>
        <v>-0.65013050995420274</v>
      </c>
      <c r="AT1644">
        <f t="shared" si="157"/>
        <v>2.0948615431329323E-2</v>
      </c>
      <c r="AW1644" s="28">
        <f t="shared" si="158"/>
        <v>-4.2732590506272805</v>
      </c>
      <c r="AX1644">
        <f t="shared" si="159"/>
        <v>0.86956521739130432</v>
      </c>
      <c r="AY1644" s="62">
        <f t="shared" si="160"/>
        <v>-3.7158774353280699</v>
      </c>
      <c r="AZ1644" s="68" t="str">
        <f t="shared" si="161"/>
        <v>No</v>
      </c>
      <c r="BA1644" s="68" t="str">
        <f t="shared" si="162"/>
        <v>No</v>
      </c>
    </row>
    <row r="1645" spans="1:53" hidden="1">
      <c r="A1645" t="s">
        <v>908</v>
      </c>
      <c r="B1645" t="s">
        <v>62</v>
      </c>
      <c r="C1645" t="s">
        <v>53</v>
      </c>
      <c r="D1645" s="25">
        <v>1</v>
      </c>
      <c r="E1645" s="25">
        <v>2</v>
      </c>
      <c r="F1645" t="s">
        <v>1241</v>
      </c>
      <c r="G1645" t="s">
        <v>54</v>
      </c>
      <c r="H1645" s="3" t="s">
        <v>817</v>
      </c>
      <c r="I1645">
        <v>2019</v>
      </c>
      <c r="J1645" t="s">
        <v>55</v>
      </c>
      <c r="K1645" t="s">
        <v>56</v>
      </c>
      <c r="L1645" t="s">
        <v>57</v>
      </c>
      <c r="M1645" s="25" t="s">
        <v>35</v>
      </c>
      <c r="N1645" t="s">
        <v>36</v>
      </c>
      <c r="O1645" t="s">
        <v>37</v>
      </c>
      <c r="P1645" t="s">
        <v>60</v>
      </c>
      <c r="Q1645" t="s">
        <v>899</v>
      </c>
      <c r="R1645" t="s">
        <v>828</v>
      </c>
      <c r="S1645" t="s">
        <v>807</v>
      </c>
      <c r="T1645">
        <v>-45.864260600000001</v>
      </c>
      <c r="U1645">
        <v>170.5078125</v>
      </c>
      <c r="V1645" t="s">
        <v>905</v>
      </c>
      <c r="W1645" s="25" t="s">
        <v>38</v>
      </c>
      <c r="X1645">
        <v>4</v>
      </c>
      <c r="Y1645" t="s">
        <v>39</v>
      </c>
      <c r="Z1645">
        <v>4</v>
      </c>
      <c r="AA1645">
        <v>4</v>
      </c>
      <c r="AC1645">
        <v>400</v>
      </c>
      <c r="AE1645">
        <v>1000</v>
      </c>
      <c r="AG1645">
        <v>83</v>
      </c>
      <c r="AH1645">
        <v>3</v>
      </c>
      <c r="AI1645">
        <v>20</v>
      </c>
      <c r="AJ1645" t="s">
        <v>63</v>
      </c>
      <c r="AK1645" t="s">
        <v>59</v>
      </c>
      <c r="AL1645" s="25" t="s">
        <v>60</v>
      </c>
      <c r="AM1645" t="s">
        <v>61</v>
      </c>
      <c r="AN1645">
        <v>15.5505</v>
      </c>
      <c r="AO1645">
        <v>6.7431000000000001</v>
      </c>
      <c r="AP1645">
        <v>7.43119</v>
      </c>
      <c r="AQ1645">
        <v>3.7156099999999999</v>
      </c>
      <c r="AR1645" t="s">
        <v>45</v>
      </c>
      <c r="AS1645">
        <f t="shared" si="156"/>
        <v>-0.73840678503655388</v>
      </c>
      <c r="AT1645">
        <f t="shared" si="157"/>
        <v>0.10950836608181669</v>
      </c>
      <c r="AW1645" s="28">
        <f t="shared" si="158"/>
        <v>-1.4914124734165108</v>
      </c>
      <c r="AX1645">
        <f t="shared" si="159"/>
        <v>0.86956521739130432</v>
      </c>
      <c r="AY1645" s="62">
        <f t="shared" si="160"/>
        <v>-1.2968804116665311</v>
      </c>
      <c r="AZ1645" s="68" t="str">
        <f t="shared" si="161"/>
        <v>No</v>
      </c>
      <c r="BA1645" s="68" t="str">
        <f t="shared" si="162"/>
        <v>No</v>
      </c>
    </row>
    <row r="1646" spans="1:53" hidden="1">
      <c r="A1646" t="s">
        <v>908</v>
      </c>
      <c r="B1646" t="s">
        <v>64</v>
      </c>
      <c r="C1646" t="s">
        <v>53</v>
      </c>
      <c r="D1646" s="25">
        <v>1</v>
      </c>
      <c r="E1646" s="25">
        <v>3</v>
      </c>
      <c r="F1646" t="s">
        <v>1241</v>
      </c>
      <c r="G1646" t="s">
        <v>54</v>
      </c>
      <c r="H1646" s="3" t="s">
        <v>817</v>
      </c>
      <c r="I1646">
        <v>2019</v>
      </c>
      <c r="J1646" t="s">
        <v>55</v>
      </c>
      <c r="K1646" t="s">
        <v>56</v>
      </c>
      <c r="L1646" t="s">
        <v>57</v>
      </c>
      <c r="M1646" s="25" t="s">
        <v>35</v>
      </c>
      <c r="N1646" t="s">
        <v>36</v>
      </c>
      <c r="O1646" t="s">
        <v>37</v>
      </c>
      <c r="P1646" t="s">
        <v>60</v>
      </c>
      <c r="Q1646" t="s">
        <v>899</v>
      </c>
      <c r="R1646" t="s">
        <v>828</v>
      </c>
      <c r="S1646" t="s">
        <v>807</v>
      </c>
      <c r="T1646">
        <v>-45.864260600000001</v>
      </c>
      <c r="U1646">
        <v>170.5078125</v>
      </c>
      <c r="V1646" t="s">
        <v>905</v>
      </c>
      <c r="W1646" s="25" t="s">
        <v>38</v>
      </c>
      <c r="X1646">
        <v>4</v>
      </c>
      <c r="Y1646" t="s">
        <v>39</v>
      </c>
      <c r="Z1646">
        <v>4</v>
      </c>
      <c r="AA1646">
        <v>4</v>
      </c>
      <c r="AC1646">
        <v>400</v>
      </c>
      <c r="AE1646">
        <v>1000</v>
      </c>
      <c r="AG1646">
        <v>84</v>
      </c>
      <c r="AH1646">
        <v>3</v>
      </c>
      <c r="AI1646">
        <v>20</v>
      </c>
      <c r="AJ1646" t="s">
        <v>65</v>
      </c>
      <c r="AK1646" t="s">
        <v>59</v>
      </c>
      <c r="AL1646" s="25" t="s">
        <v>60</v>
      </c>
      <c r="AM1646" t="s">
        <v>61</v>
      </c>
      <c r="AN1646">
        <v>91.162800000000004</v>
      </c>
      <c r="AO1646">
        <v>4.6512000000000002</v>
      </c>
      <c r="AP1646">
        <v>11.6279</v>
      </c>
      <c r="AQ1646">
        <v>51.727368259999999</v>
      </c>
      <c r="AR1646" t="s">
        <v>45</v>
      </c>
      <c r="AS1646">
        <f t="shared" si="156"/>
        <v>-2.0592395364033074</v>
      </c>
      <c r="AT1646">
        <f t="shared" si="157"/>
        <v>4.9480641572044712</v>
      </c>
      <c r="AW1646" s="28">
        <f t="shared" si="158"/>
        <v>-2.1657271477920261</v>
      </c>
      <c r="AX1646">
        <f t="shared" si="159"/>
        <v>0.86956521739130432</v>
      </c>
      <c r="AY1646" s="62">
        <f t="shared" si="160"/>
        <v>-1.8832409980800227</v>
      </c>
      <c r="AZ1646" s="68" t="str">
        <f t="shared" ref="AZ1646:AZ1677" si="163">IF(AY1646&gt;10,"Yes","No")</f>
        <v>No</v>
      </c>
      <c r="BA1646" s="68" t="str">
        <f t="shared" ref="BA1646:BA1677" si="164">IF(AY1646&lt;-10,"Yes","No")</f>
        <v>No</v>
      </c>
    </row>
    <row r="1647" spans="1:53" hidden="1">
      <c r="A1647" t="s">
        <v>908</v>
      </c>
      <c r="B1647" t="s">
        <v>66</v>
      </c>
      <c r="C1647" t="s">
        <v>53</v>
      </c>
      <c r="D1647" s="25">
        <v>1</v>
      </c>
      <c r="E1647" s="25">
        <v>4</v>
      </c>
      <c r="F1647" t="s">
        <v>1241</v>
      </c>
      <c r="G1647" t="s">
        <v>54</v>
      </c>
      <c r="H1647" s="3" t="s">
        <v>817</v>
      </c>
      <c r="I1647">
        <v>2019</v>
      </c>
      <c r="J1647" t="s">
        <v>55</v>
      </c>
      <c r="K1647" t="s">
        <v>56</v>
      </c>
      <c r="L1647" t="s">
        <v>57</v>
      </c>
      <c r="M1647" s="25" t="s">
        <v>35</v>
      </c>
      <c r="N1647" t="s">
        <v>36</v>
      </c>
      <c r="O1647" t="s">
        <v>37</v>
      </c>
      <c r="P1647" t="s">
        <v>60</v>
      </c>
      <c r="Q1647" t="s">
        <v>899</v>
      </c>
      <c r="R1647" t="s">
        <v>828</v>
      </c>
      <c r="S1647" t="s">
        <v>807</v>
      </c>
      <c r="T1647">
        <v>-45.864260600000001</v>
      </c>
      <c r="U1647">
        <v>170.5078125</v>
      </c>
      <c r="V1647" t="s">
        <v>905</v>
      </c>
      <c r="W1647" s="25" t="s">
        <v>38</v>
      </c>
      <c r="X1647">
        <v>4</v>
      </c>
      <c r="Y1647" t="s">
        <v>39</v>
      </c>
      <c r="Z1647">
        <v>4</v>
      </c>
      <c r="AA1647">
        <v>4</v>
      </c>
      <c r="AC1647">
        <v>400</v>
      </c>
      <c r="AE1647">
        <v>1000</v>
      </c>
      <c r="AG1647">
        <v>85</v>
      </c>
      <c r="AH1647">
        <v>3</v>
      </c>
      <c r="AI1647">
        <v>20</v>
      </c>
      <c r="AJ1647" t="s">
        <v>65</v>
      </c>
      <c r="AK1647" t="s">
        <v>59</v>
      </c>
      <c r="AL1647" s="25" t="s">
        <v>60</v>
      </c>
      <c r="AM1647" t="s">
        <v>61</v>
      </c>
      <c r="AN1647">
        <v>82.790700000000001</v>
      </c>
      <c r="AO1647">
        <v>6.9767000000000001</v>
      </c>
      <c r="AP1647">
        <v>79.534899999999993</v>
      </c>
      <c r="AQ1647">
        <v>33.398773210000002</v>
      </c>
      <c r="AR1647" t="s">
        <v>45</v>
      </c>
      <c r="AS1647">
        <f t="shared" si="156"/>
        <v>-4.0119817200971575E-2</v>
      </c>
      <c r="AT1647">
        <f t="shared" si="157"/>
        <v>4.585978489623551E-2</v>
      </c>
      <c r="AW1647" s="28">
        <f t="shared" si="158"/>
        <v>-0.1349484183191309</v>
      </c>
      <c r="AX1647">
        <f t="shared" si="159"/>
        <v>0.86956521739130432</v>
      </c>
      <c r="AY1647" s="62">
        <f t="shared" si="160"/>
        <v>-0.11734645071228773</v>
      </c>
      <c r="AZ1647" s="68" t="str">
        <f t="shared" si="163"/>
        <v>No</v>
      </c>
      <c r="BA1647" s="68" t="str">
        <f t="shared" si="164"/>
        <v>No</v>
      </c>
    </row>
    <row r="1648" spans="1:53" hidden="1">
      <c r="A1648" t="s">
        <v>908</v>
      </c>
      <c r="B1648" t="s">
        <v>67</v>
      </c>
      <c r="C1648" t="s">
        <v>53</v>
      </c>
      <c r="D1648" s="25">
        <v>1</v>
      </c>
      <c r="E1648" s="25">
        <v>5</v>
      </c>
      <c r="F1648" t="s">
        <v>1241</v>
      </c>
      <c r="G1648" t="s">
        <v>54</v>
      </c>
      <c r="H1648" s="3" t="s">
        <v>817</v>
      </c>
      <c r="I1648">
        <v>2019</v>
      </c>
      <c r="J1648" t="s">
        <v>55</v>
      </c>
      <c r="K1648" t="s">
        <v>56</v>
      </c>
      <c r="L1648" t="s">
        <v>57</v>
      </c>
      <c r="M1648" s="25" t="s">
        <v>35</v>
      </c>
      <c r="N1648" t="s">
        <v>36</v>
      </c>
      <c r="O1648" t="s">
        <v>37</v>
      </c>
      <c r="P1648" t="s">
        <v>60</v>
      </c>
      <c r="Q1648" t="s">
        <v>899</v>
      </c>
      <c r="R1648" t="s">
        <v>828</v>
      </c>
      <c r="S1648" t="s">
        <v>807</v>
      </c>
      <c r="T1648">
        <v>-45.864260600000001</v>
      </c>
      <c r="U1648">
        <v>170.5078125</v>
      </c>
      <c r="V1648" t="s">
        <v>905</v>
      </c>
      <c r="W1648" s="25" t="s">
        <v>38</v>
      </c>
      <c r="X1648">
        <v>4</v>
      </c>
      <c r="Y1648" t="s">
        <v>39</v>
      </c>
      <c r="Z1648">
        <v>4</v>
      </c>
      <c r="AA1648">
        <v>4</v>
      </c>
      <c r="AC1648">
        <v>400</v>
      </c>
      <c r="AE1648">
        <v>1000</v>
      </c>
      <c r="AG1648">
        <v>86</v>
      </c>
      <c r="AH1648">
        <v>3</v>
      </c>
      <c r="AI1648">
        <v>20</v>
      </c>
      <c r="AJ1648" t="s">
        <v>68</v>
      </c>
      <c r="AK1648" t="s">
        <v>69</v>
      </c>
      <c r="AL1648" s="25" t="s">
        <v>60</v>
      </c>
      <c r="AM1648" t="s">
        <v>61</v>
      </c>
      <c r="AN1648">
        <v>97.787610619999995</v>
      </c>
      <c r="AO1648">
        <v>2.7060359360000001</v>
      </c>
      <c r="AP1648">
        <v>0.88495575199999998</v>
      </c>
      <c r="AQ1648">
        <v>0.51053019600000005</v>
      </c>
      <c r="AR1648" t="s">
        <v>45</v>
      </c>
      <c r="AS1648">
        <f t="shared" si="156"/>
        <v>-4.7050155212032374</v>
      </c>
      <c r="AT1648">
        <f t="shared" si="157"/>
        <v>8.3394592116819974E-2</v>
      </c>
      <c r="AW1648" s="28">
        <f t="shared" si="158"/>
        <v>-49.764812148271673</v>
      </c>
      <c r="AX1648">
        <f t="shared" si="159"/>
        <v>0.86956521739130432</v>
      </c>
      <c r="AY1648" s="62">
        <f t="shared" si="160"/>
        <v>-43.273749694149281</v>
      </c>
      <c r="AZ1648" s="68" t="str">
        <f t="shared" si="163"/>
        <v>No</v>
      </c>
      <c r="BA1648" s="68" t="str">
        <f t="shared" si="164"/>
        <v>Yes</v>
      </c>
    </row>
    <row r="1649" spans="1:53" hidden="1">
      <c r="A1649" t="s">
        <v>908</v>
      </c>
      <c r="B1649" t="s">
        <v>70</v>
      </c>
      <c r="C1649" t="s">
        <v>53</v>
      </c>
      <c r="D1649" s="25">
        <v>1</v>
      </c>
      <c r="E1649" s="25">
        <v>6</v>
      </c>
      <c r="F1649" t="s">
        <v>1241</v>
      </c>
      <c r="G1649" t="s">
        <v>54</v>
      </c>
      <c r="H1649" s="3" t="s">
        <v>817</v>
      </c>
      <c r="I1649">
        <v>2019</v>
      </c>
      <c r="J1649" t="s">
        <v>55</v>
      </c>
      <c r="K1649" t="s">
        <v>56</v>
      </c>
      <c r="L1649" t="s">
        <v>57</v>
      </c>
      <c r="M1649" s="25" t="s">
        <v>35</v>
      </c>
      <c r="N1649" t="s">
        <v>36</v>
      </c>
      <c r="O1649" t="s">
        <v>37</v>
      </c>
      <c r="P1649" t="s">
        <v>60</v>
      </c>
      <c r="Q1649" t="s">
        <v>899</v>
      </c>
      <c r="R1649" t="s">
        <v>828</v>
      </c>
      <c r="S1649" t="s">
        <v>807</v>
      </c>
      <c r="T1649">
        <v>-45.864260600000001</v>
      </c>
      <c r="U1649">
        <v>170.5078125</v>
      </c>
      <c r="V1649" t="s">
        <v>905</v>
      </c>
      <c r="W1649" s="25" t="s">
        <v>38</v>
      </c>
      <c r="X1649">
        <v>4</v>
      </c>
      <c r="Y1649" t="s">
        <v>39</v>
      </c>
      <c r="Z1649">
        <v>4</v>
      </c>
      <c r="AA1649">
        <v>4</v>
      </c>
      <c r="AC1649">
        <v>400</v>
      </c>
      <c r="AE1649">
        <v>1000</v>
      </c>
      <c r="AG1649">
        <v>87</v>
      </c>
      <c r="AH1649">
        <v>3</v>
      </c>
      <c r="AI1649">
        <v>20</v>
      </c>
      <c r="AJ1649" t="s">
        <v>68</v>
      </c>
      <c r="AK1649" t="s">
        <v>69</v>
      </c>
      <c r="AL1649" s="25" t="s">
        <v>60</v>
      </c>
      <c r="AM1649" t="s">
        <v>61</v>
      </c>
      <c r="AN1649">
        <v>93.584070800000006</v>
      </c>
      <c r="AO1649">
        <v>12.55904282</v>
      </c>
      <c r="AP1649">
        <v>85.176991150000006</v>
      </c>
      <c r="AQ1649">
        <v>24.5054494</v>
      </c>
      <c r="AR1649" t="s">
        <v>45</v>
      </c>
      <c r="AS1649">
        <f t="shared" si="156"/>
        <v>-9.4128844801513623E-2</v>
      </c>
      <c r="AT1649">
        <f t="shared" si="157"/>
        <v>2.5195324946327462E-2</v>
      </c>
      <c r="AW1649" s="28">
        <f t="shared" si="158"/>
        <v>-0.43177244415689764</v>
      </c>
      <c r="AX1649">
        <f t="shared" si="159"/>
        <v>0.86956521739130432</v>
      </c>
      <c r="AY1649" s="62">
        <f t="shared" si="160"/>
        <v>-0.37545429926686752</v>
      </c>
      <c r="AZ1649" s="68" t="str">
        <f t="shared" si="163"/>
        <v>No</v>
      </c>
      <c r="BA1649" s="68" t="str">
        <f t="shared" si="164"/>
        <v>No</v>
      </c>
    </row>
    <row r="1650" spans="1:53" hidden="1">
      <c r="A1650" t="s">
        <v>908</v>
      </c>
      <c r="B1650" t="s">
        <v>312</v>
      </c>
      <c r="C1650" t="s">
        <v>308</v>
      </c>
      <c r="D1650" s="25">
        <v>21</v>
      </c>
      <c r="E1650" s="25">
        <v>121</v>
      </c>
      <c r="F1650" t="s">
        <v>1241</v>
      </c>
      <c r="G1650" t="s">
        <v>309</v>
      </c>
      <c r="H1650" s="3" t="s">
        <v>818</v>
      </c>
      <c r="I1650">
        <v>2019</v>
      </c>
      <c r="J1650" t="s">
        <v>310</v>
      </c>
      <c r="K1650" t="s">
        <v>49</v>
      </c>
      <c r="L1650" t="s">
        <v>311</v>
      </c>
      <c r="M1650" s="25" t="s">
        <v>35</v>
      </c>
      <c r="N1650" t="s">
        <v>36</v>
      </c>
      <c r="O1650" t="s">
        <v>37</v>
      </c>
      <c r="P1650" t="s">
        <v>60</v>
      </c>
      <c r="Q1650" t="s">
        <v>899</v>
      </c>
      <c r="R1650" t="s">
        <v>828</v>
      </c>
      <c r="S1650" t="s">
        <v>819</v>
      </c>
      <c r="T1650">
        <v>48.508065600000002</v>
      </c>
      <c r="U1650">
        <v>-122.6842424</v>
      </c>
      <c r="V1650" t="s">
        <v>905</v>
      </c>
      <c r="W1650" s="25" t="s">
        <v>38</v>
      </c>
      <c r="X1650">
        <v>11</v>
      </c>
      <c r="Y1650" t="s">
        <v>39</v>
      </c>
      <c r="Z1650">
        <v>3</v>
      </c>
      <c r="AA1650">
        <v>3</v>
      </c>
      <c r="AC1650">
        <v>400</v>
      </c>
      <c r="AE1650">
        <v>800</v>
      </c>
      <c r="AG1650">
        <v>1113</v>
      </c>
      <c r="AH1650">
        <v>2.903089987</v>
      </c>
      <c r="AI1650">
        <v>12</v>
      </c>
      <c r="AJ1650" t="s">
        <v>313</v>
      </c>
      <c r="AK1650" t="s">
        <v>904</v>
      </c>
      <c r="AL1650" s="25" t="s">
        <v>60</v>
      </c>
      <c r="AM1650" t="s">
        <v>61</v>
      </c>
      <c r="AN1650">
        <v>774.19354840000005</v>
      </c>
      <c r="AO1650">
        <v>75.268817200000001</v>
      </c>
      <c r="AP1650">
        <v>688.17204300000003</v>
      </c>
      <c r="AQ1650">
        <v>32.258064519999998</v>
      </c>
      <c r="AR1650" t="s">
        <v>44</v>
      </c>
      <c r="AS1650">
        <f t="shared" si="156"/>
        <v>-0.11778303568867532</v>
      </c>
      <c r="AT1650">
        <f t="shared" si="157"/>
        <v>3.8831420393426156E-3</v>
      </c>
      <c r="AW1650" s="28">
        <f t="shared" si="158"/>
        <v>-1.4855627058689995</v>
      </c>
      <c r="AX1650">
        <f t="shared" si="159"/>
        <v>0.8</v>
      </c>
      <c r="AY1650" s="62">
        <f t="shared" si="160"/>
        <v>-1.1884501646951997</v>
      </c>
      <c r="AZ1650" s="68" t="str">
        <f t="shared" si="163"/>
        <v>No</v>
      </c>
      <c r="BA1650" s="68" t="str">
        <f t="shared" si="164"/>
        <v>No</v>
      </c>
    </row>
    <row r="1651" spans="1:53" hidden="1">
      <c r="A1651" t="s">
        <v>908</v>
      </c>
      <c r="B1651" t="s">
        <v>314</v>
      </c>
      <c r="C1651" t="s">
        <v>308</v>
      </c>
      <c r="D1651" s="25">
        <v>21</v>
      </c>
      <c r="E1651" s="25">
        <v>122</v>
      </c>
      <c r="F1651" t="s">
        <v>1241</v>
      </c>
      <c r="G1651" t="s">
        <v>309</v>
      </c>
      <c r="H1651" s="3" t="s">
        <v>818</v>
      </c>
      <c r="I1651">
        <v>2019</v>
      </c>
      <c r="J1651" t="s">
        <v>310</v>
      </c>
      <c r="K1651" t="s">
        <v>49</v>
      </c>
      <c r="L1651" t="s">
        <v>311</v>
      </c>
      <c r="M1651" s="25" t="s">
        <v>35</v>
      </c>
      <c r="N1651" t="s">
        <v>36</v>
      </c>
      <c r="O1651" t="s">
        <v>37</v>
      </c>
      <c r="P1651" t="s">
        <v>60</v>
      </c>
      <c r="Q1651" t="s">
        <v>899</v>
      </c>
      <c r="R1651" t="s">
        <v>828</v>
      </c>
      <c r="S1651" t="s">
        <v>819</v>
      </c>
      <c r="T1651">
        <v>48.508065600000002</v>
      </c>
      <c r="U1651">
        <v>-122.6842424</v>
      </c>
      <c r="V1651" t="s">
        <v>905</v>
      </c>
      <c r="W1651" s="25" t="s">
        <v>38</v>
      </c>
      <c r="X1651">
        <v>11</v>
      </c>
      <c r="Y1651" t="s">
        <v>39</v>
      </c>
      <c r="Z1651">
        <v>3</v>
      </c>
      <c r="AA1651">
        <v>3</v>
      </c>
      <c r="AC1651">
        <v>400</v>
      </c>
      <c r="AE1651">
        <v>1200</v>
      </c>
      <c r="AG1651">
        <v>1113</v>
      </c>
      <c r="AH1651">
        <v>3.0791812460000001</v>
      </c>
      <c r="AI1651">
        <v>12</v>
      </c>
      <c r="AJ1651" t="s">
        <v>313</v>
      </c>
      <c r="AK1651" t="s">
        <v>904</v>
      </c>
      <c r="AL1651" s="25" t="s">
        <v>60</v>
      </c>
      <c r="AM1651" t="s">
        <v>61</v>
      </c>
      <c r="AN1651">
        <v>774.19354840000005</v>
      </c>
      <c r="AO1651">
        <v>75.268817200000001</v>
      </c>
      <c r="AP1651">
        <v>698.9247312</v>
      </c>
      <c r="AQ1651">
        <v>118.2795699</v>
      </c>
      <c r="AR1651" t="s">
        <v>44</v>
      </c>
      <c r="AS1651">
        <f t="shared" si="156"/>
        <v>-0.1022788491124702</v>
      </c>
      <c r="AT1651">
        <f t="shared" si="157"/>
        <v>1.2697071249701583E-2</v>
      </c>
      <c r="AW1651" s="28">
        <f t="shared" si="158"/>
        <v>-0.75925660230002667</v>
      </c>
      <c r="AX1651">
        <f t="shared" si="159"/>
        <v>0.8</v>
      </c>
      <c r="AY1651" s="62">
        <f t="shared" si="160"/>
        <v>-0.6074052818400214</v>
      </c>
      <c r="AZ1651" s="68" t="str">
        <f t="shared" si="163"/>
        <v>No</v>
      </c>
      <c r="BA1651" s="68" t="str">
        <f t="shared" si="164"/>
        <v>No</v>
      </c>
    </row>
    <row r="1652" spans="1:53" hidden="1">
      <c r="A1652" t="s">
        <v>908</v>
      </c>
      <c r="B1652" t="s">
        <v>315</v>
      </c>
      <c r="C1652" t="s">
        <v>308</v>
      </c>
      <c r="D1652" s="25">
        <v>21</v>
      </c>
      <c r="E1652" s="25">
        <v>123</v>
      </c>
      <c r="F1652" t="s">
        <v>1241</v>
      </c>
      <c r="G1652" t="s">
        <v>309</v>
      </c>
      <c r="H1652" s="3" t="s">
        <v>818</v>
      </c>
      <c r="I1652">
        <v>2019</v>
      </c>
      <c r="J1652" t="s">
        <v>310</v>
      </c>
      <c r="K1652" t="s">
        <v>49</v>
      </c>
      <c r="L1652" t="s">
        <v>311</v>
      </c>
      <c r="M1652" s="25" t="s">
        <v>35</v>
      </c>
      <c r="N1652" t="s">
        <v>36</v>
      </c>
      <c r="O1652" t="s">
        <v>37</v>
      </c>
      <c r="P1652" t="s">
        <v>60</v>
      </c>
      <c r="Q1652" t="s">
        <v>899</v>
      </c>
      <c r="R1652" t="s">
        <v>828</v>
      </c>
      <c r="S1652" t="s">
        <v>819</v>
      </c>
      <c r="T1652">
        <v>48.508065600000002</v>
      </c>
      <c r="U1652">
        <v>-122.6842424</v>
      </c>
      <c r="V1652" t="s">
        <v>905</v>
      </c>
      <c r="W1652" s="25" t="s">
        <v>38</v>
      </c>
      <c r="X1652">
        <v>11</v>
      </c>
      <c r="Y1652" t="s">
        <v>39</v>
      </c>
      <c r="Z1652">
        <v>3</v>
      </c>
      <c r="AA1652">
        <v>3</v>
      </c>
      <c r="AC1652">
        <v>400</v>
      </c>
      <c r="AE1652">
        <v>800</v>
      </c>
      <c r="AG1652">
        <v>1114</v>
      </c>
      <c r="AH1652">
        <v>2.903089987</v>
      </c>
      <c r="AI1652">
        <v>12</v>
      </c>
      <c r="AJ1652" t="s">
        <v>316</v>
      </c>
      <c r="AK1652" t="s">
        <v>904</v>
      </c>
      <c r="AL1652" s="25" t="s">
        <v>60</v>
      </c>
      <c r="AM1652" t="s">
        <v>61</v>
      </c>
      <c r="AN1652">
        <v>75.268817200000001</v>
      </c>
      <c r="AO1652">
        <v>43.010752689999997</v>
      </c>
      <c r="AP1652">
        <v>75.268817200000001</v>
      </c>
      <c r="AQ1652">
        <v>21.505376340000002</v>
      </c>
      <c r="AR1652" t="s">
        <v>44</v>
      </c>
      <c r="AS1652">
        <f t="shared" si="156"/>
        <v>0</v>
      </c>
      <c r="AT1652">
        <f t="shared" si="157"/>
        <v>0.13605442178316812</v>
      </c>
      <c r="AW1652" s="28">
        <f t="shared" si="158"/>
        <v>0</v>
      </c>
      <c r="AX1652">
        <f t="shared" si="159"/>
        <v>0.8</v>
      </c>
      <c r="AY1652" s="62">
        <f t="shared" si="160"/>
        <v>0</v>
      </c>
      <c r="AZ1652" s="68" t="str">
        <f t="shared" si="163"/>
        <v>No</v>
      </c>
      <c r="BA1652" s="68" t="str">
        <f t="shared" si="164"/>
        <v>No</v>
      </c>
    </row>
    <row r="1653" spans="1:53" hidden="1">
      <c r="A1653" t="s">
        <v>908</v>
      </c>
      <c r="B1653" t="s">
        <v>317</v>
      </c>
      <c r="C1653" t="s">
        <v>308</v>
      </c>
      <c r="D1653" s="25">
        <v>21</v>
      </c>
      <c r="E1653" s="25">
        <v>124</v>
      </c>
      <c r="F1653" t="s">
        <v>1241</v>
      </c>
      <c r="G1653" t="s">
        <v>309</v>
      </c>
      <c r="H1653" s="3" t="s">
        <v>818</v>
      </c>
      <c r="I1653">
        <v>2019</v>
      </c>
      <c r="J1653" t="s">
        <v>310</v>
      </c>
      <c r="K1653" t="s">
        <v>49</v>
      </c>
      <c r="L1653" t="s">
        <v>311</v>
      </c>
      <c r="M1653" s="25" t="s">
        <v>35</v>
      </c>
      <c r="N1653" t="s">
        <v>36</v>
      </c>
      <c r="O1653" t="s">
        <v>37</v>
      </c>
      <c r="P1653" t="s">
        <v>60</v>
      </c>
      <c r="Q1653" t="s">
        <v>899</v>
      </c>
      <c r="R1653" t="s">
        <v>828</v>
      </c>
      <c r="S1653" t="s">
        <v>819</v>
      </c>
      <c r="T1653">
        <v>48.508065600000002</v>
      </c>
      <c r="U1653">
        <v>-122.6842424</v>
      </c>
      <c r="V1653" t="s">
        <v>905</v>
      </c>
      <c r="W1653" s="25" t="s">
        <v>38</v>
      </c>
      <c r="X1653">
        <v>11</v>
      </c>
      <c r="Y1653" t="s">
        <v>39</v>
      </c>
      <c r="Z1653">
        <v>3</v>
      </c>
      <c r="AA1653">
        <v>3</v>
      </c>
      <c r="AC1653">
        <v>400</v>
      </c>
      <c r="AE1653">
        <v>1200</v>
      </c>
      <c r="AG1653">
        <v>1114</v>
      </c>
      <c r="AH1653">
        <v>3.0791812460000001</v>
      </c>
      <c r="AI1653">
        <v>12</v>
      </c>
      <c r="AJ1653" t="s">
        <v>316</v>
      </c>
      <c r="AK1653" t="s">
        <v>904</v>
      </c>
      <c r="AL1653" s="25" t="s">
        <v>60</v>
      </c>
      <c r="AM1653" t="s">
        <v>61</v>
      </c>
      <c r="AN1653">
        <v>75.268817200000001</v>
      </c>
      <c r="AO1653">
        <v>43.010752689999997</v>
      </c>
      <c r="AP1653">
        <v>91.397849460000003</v>
      </c>
      <c r="AQ1653">
        <v>43.010752689999997</v>
      </c>
      <c r="AR1653" t="s">
        <v>44</v>
      </c>
      <c r="AS1653">
        <f t="shared" ref="AS1653:AS1716" si="165">LN(AP1653)-LN(AN1653)</f>
        <v>0.19415601447221853</v>
      </c>
      <c r="AT1653">
        <f t="shared" ref="AT1653:AT1716" si="166">(AQ1653^2)/(AA1653*AP1653^2) + (AO1653^2)/(Z1653*AN1653^2)</f>
        <v>0.18266129984582985</v>
      </c>
      <c r="AW1653" s="28">
        <f t="shared" si="158"/>
        <v>0.37500000002906259</v>
      </c>
      <c r="AX1653">
        <f t="shared" si="159"/>
        <v>0.8</v>
      </c>
      <c r="AY1653" s="62">
        <f t="shared" si="160"/>
        <v>0.30000000002325011</v>
      </c>
      <c r="AZ1653" s="68" t="str">
        <f t="shared" si="163"/>
        <v>No</v>
      </c>
      <c r="BA1653" s="68" t="str">
        <f t="shared" si="164"/>
        <v>No</v>
      </c>
    </row>
    <row r="1654" spans="1:53" hidden="1">
      <c r="A1654" t="s">
        <v>908</v>
      </c>
      <c r="B1654" t="s">
        <v>318</v>
      </c>
      <c r="C1654" t="s">
        <v>308</v>
      </c>
      <c r="D1654" s="25">
        <v>21</v>
      </c>
      <c r="E1654" s="25">
        <v>125</v>
      </c>
      <c r="F1654" t="s">
        <v>1241</v>
      </c>
      <c r="G1654" t="s">
        <v>309</v>
      </c>
      <c r="H1654" s="3" t="s">
        <v>818</v>
      </c>
      <c r="I1654">
        <v>2019</v>
      </c>
      <c r="J1654" t="s">
        <v>310</v>
      </c>
      <c r="K1654" t="s">
        <v>49</v>
      </c>
      <c r="L1654" t="s">
        <v>311</v>
      </c>
      <c r="M1654" s="25" t="s">
        <v>35</v>
      </c>
      <c r="N1654" t="s">
        <v>36</v>
      </c>
      <c r="O1654" t="s">
        <v>37</v>
      </c>
      <c r="P1654" t="s">
        <v>60</v>
      </c>
      <c r="Q1654" t="s">
        <v>899</v>
      </c>
      <c r="R1654" t="s">
        <v>828</v>
      </c>
      <c r="S1654" t="s">
        <v>819</v>
      </c>
      <c r="T1654">
        <v>48.508065600000002</v>
      </c>
      <c r="U1654">
        <v>-122.6842424</v>
      </c>
      <c r="V1654" t="s">
        <v>905</v>
      </c>
      <c r="W1654" s="25" t="s">
        <v>38</v>
      </c>
      <c r="X1654">
        <v>11</v>
      </c>
      <c r="Y1654" t="s">
        <v>39</v>
      </c>
      <c r="Z1654">
        <v>3</v>
      </c>
      <c r="AA1654">
        <v>3</v>
      </c>
      <c r="AC1654">
        <v>400</v>
      </c>
      <c r="AE1654">
        <v>800</v>
      </c>
      <c r="AG1654">
        <v>1115</v>
      </c>
      <c r="AH1654">
        <v>2.903089987</v>
      </c>
      <c r="AI1654">
        <v>12</v>
      </c>
      <c r="AJ1654" t="s">
        <v>319</v>
      </c>
      <c r="AK1654" t="s">
        <v>904</v>
      </c>
      <c r="AL1654" s="25" t="s">
        <v>60</v>
      </c>
      <c r="AM1654" t="s">
        <v>61</v>
      </c>
      <c r="AN1654">
        <v>526.88172039999995</v>
      </c>
      <c r="AO1654">
        <v>37.6344086</v>
      </c>
      <c r="AP1654">
        <v>440.8602151</v>
      </c>
      <c r="AQ1654">
        <v>69.892473120000005</v>
      </c>
      <c r="AR1654" t="s">
        <v>44</v>
      </c>
      <c r="AS1654">
        <f t="shared" si="165"/>
        <v>-0.17824823124429745</v>
      </c>
      <c r="AT1654">
        <f t="shared" si="166"/>
        <v>1.0078629903918839E-2</v>
      </c>
      <c r="AW1654" s="28">
        <f t="shared" si="158"/>
        <v>-1.5325220549841672</v>
      </c>
      <c r="AX1654">
        <f t="shared" si="159"/>
        <v>0.8</v>
      </c>
      <c r="AY1654" s="62">
        <f t="shared" si="160"/>
        <v>-1.2260176439873338</v>
      </c>
      <c r="AZ1654" s="68" t="str">
        <f t="shared" si="163"/>
        <v>No</v>
      </c>
      <c r="BA1654" s="68" t="str">
        <f t="shared" si="164"/>
        <v>No</v>
      </c>
    </row>
    <row r="1655" spans="1:53" hidden="1">
      <c r="A1655" t="s">
        <v>908</v>
      </c>
      <c r="B1655" t="s">
        <v>320</v>
      </c>
      <c r="C1655" t="s">
        <v>308</v>
      </c>
      <c r="D1655" s="25">
        <v>21</v>
      </c>
      <c r="E1655" s="25">
        <v>126</v>
      </c>
      <c r="F1655" t="s">
        <v>1241</v>
      </c>
      <c r="G1655" t="s">
        <v>309</v>
      </c>
      <c r="H1655" s="3" t="s">
        <v>818</v>
      </c>
      <c r="I1655">
        <v>2019</v>
      </c>
      <c r="J1655" t="s">
        <v>310</v>
      </c>
      <c r="K1655" t="s">
        <v>49</v>
      </c>
      <c r="L1655" t="s">
        <v>311</v>
      </c>
      <c r="M1655" s="25" t="s">
        <v>35</v>
      </c>
      <c r="N1655" t="s">
        <v>36</v>
      </c>
      <c r="O1655" t="s">
        <v>37</v>
      </c>
      <c r="P1655" t="s">
        <v>60</v>
      </c>
      <c r="Q1655" t="s">
        <v>899</v>
      </c>
      <c r="R1655" t="s">
        <v>828</v>
      </c>
      <c r="S1655" t="s">
        <v>819</v>
      </c>
      <c r="T1655">
        <v>48.508065600000002</v>
      </c>
      <c r="U1655">
        <v>-122.6842424</v>
      </c>
      <c r="V1655" t="s">
        <v>905</v>
      </c>
      <c r="W1655" s="25" t="s">
        <v>38</v>
      </c>
      <c r="X1655">
        <v>11</v>
      </c>
      <c r="Y1655" t="s">
        <v>39</v>
      </c>
      <c r="Z1655">
        <v>3</v>
      </c>
      <c r="AA1655">
        <v>3</v>
      </c>
      <c r="AC1655">
        <v>400</v>
      </c>
      <c r="AE1655">
        <v>1200</v>
      </c>
      <c r="AG1655">
        <v>1115</v>
      </c>
      <c r="AH1655">
        <v>3.0791812460000001</v>
      </c>
      <c r="AI1655">
        <v>12</v>
      </c>
      <c r="AJ1655" t="s">
        <v>319</v>
      </c>
      <c r="AK1655" t="s">
        <v>904</v>
      </c>
      <c r="AL1655" s="25" t="s">
        <v>60</v>
      </c>
      <c r="AM1655" t="s">
        <v>61</v>
      </c>
      <c r="AN1655">
        <v>526.88172039999995</v>
      </c>
      <c r="AO1655">
        <v>37.6344086</v>
      </c>
      <c r="AP1655">
        <v>413.97849459999998</v>
      </c>
      <c r="AQ1655">
        <v>96.774193550000007</v>
      </c>
      <c r="AR1655" t="s">
        <v>44</v>
      </c>
      <c r="AS1655">
        <f t="shared" si="165"/>
        <v>-0.24116205681688818</v>
      </c>
      <c r="AT1655">
        <f t="shared" si="166"/>
        <v>1.9916230957880966E-2</v>
      </c>
      <c r="AW1655" s="28">
        <f t="shared" si="158"/>
        <v>-1.5377292543716568</v>
      </c>
      <c r="AX1655">
        <f t="shared" si="159"/>
        <v>0.8</v>
      </c>
      <c r="AY1655" s="62">
        <f t="shared" si="160"/>
        <v>-1.2301834034973256</v>
      </c>
      <c r="AZ1655" s="68" t="str">
        <f t="shared" si="163"/>
        <v>No</v>
      </c>
      <c r="BA1655" s="68" t="str">
        <f t="shared" si="164"/>
        <v>No</v>
      </c>
    </row>
    <row r="1656" spans="1:53" hidden="1">
      <c r="A1656" t="s">
        <v>908</v>
      </c>
      <c r="B1656" t="s">
        <v>321</v>
      </c>
      <c r="C1656" t="s">
        <v>308</v>
      </c>
      <c r="D1656" s="25">
        <v>21</v>
      </c>
      <c r="E1656" s="25">
        <v>127</v>
      </c>
      <c r="F1656" t="s">
        <v>1241</v>
      </c>
      <c r="G1656" t="s">
        <v>309</v>
      </c>
      <c r="H1656" s="3" t="s">
        <v>818</v>
      </c>
      <c r="I1656">
        <v>2019</v>
      </c>
      <c r="J1656" t="s">
        <v>310</v>
      </c>
      <c r="K1656" t="s">
        <v>49</v>
      </c>
      <c r="L1656" t="s">
        <v>311</v>
      </c>
      <c r="M1656" s="25" t="s">
        <v>35</v>
      </c>
      <c r="N1656" t="s">
        <v>36</v>
      </c>
      <c r="O1656" t="s">
        <v>37</v>
      </c>
      <c r="P1656" t="s">
        <v>60</v>
      </c>
      <c r="Q1656" t="s">
        <v>899</v>
      </c>
      <c r="R1656" t="s">
        <v>828</v>
      </c>
      <c r="S1656" t="s">
        <v>819</v>
      </c>
      <c r="T1656">
        <v>48.508065600000002</v>
      </c>
      <c r="U1656">
        <v>-122.6842424</v>
      </c>
      <c r="V1656" t="s">
        <v>905</v>
      </c>
      <c r="W1656" s="25" t="s">
        <v>38</v>
      </c>
      <c r="X1656">
        <v>11</v>
      </c>
      <c r="Y1656" t="s">
        <v>39</v>
      </c>
      <c r="Z1656">
        <v>4</v>
      </c>
      <c r="AA1656">
        <v>4</v>
      </c>
      <c r="AC1656">
        <v>400</v>
      </c>
      <c r="AE1656">
        <v>800</v>
      </c>
      <c r="AG1656">
        <v>1116</v>
      </c>
      <c r="AH1656">
        <v>2.903089987</v>
      </c>
      <c r="AI1656">
        <v>12</v>
      </c>
      <c r="AJ1656" t="s">
        <v>322</v>
      </c>
      <c r="AK1656" t="s">
        <v>1279</v>
      </c>
      <c r="AL1656" s="25" t="s">
        <v>60</v>
      </c>
      <c r="AM1656" t="s">
        <v>61</v>
      </c>
      <c r="AN1656">
        <v>8.9495798319999995</v>
      </c>
      <c r="AO1656">
        <v>5.1680672269999999</v>
      </c>
      <c r="AP1656">
        <v>10.46218487</v>
      </c>
      <c r="AQ1656">
        <v>4.2857142860000002</v>
      </c>
      <c r="AR1656" t="s">
        <v>48</v>
      </c>
      <c r="AS1656">
        <f t="shared" si="165"/>
        <v>0.15616073037026101</v>
      </c>
      <c r="AT1656">
        <f t="shared" si="166"/>
        <v>0.12531733187119781</v>
      </c>
      <c r="AW1656" s="28">
        <f t="shared" si="158"/>
        <v>0.31861526177530075</v>
      </c>
      <c r="AX1656">
        <f t="shared" si="159"/>
        <v>0.86956521739130432</v>
      </c>
      <c r="AY1656" s="62">
        <f t="shared" si="160"/>
        <v>0.27705674936982672</v>
      </c>
      <c r="AZ1656" s="68" t="str">
        <f t="shared" si="163"/>
        <v>No</v>
      </c>
      <c r="BA1656" s="68" t="str">
        <f t="shared" si="164"/>
        <v>No</v>
      </c>
    </row>
    <row r="1657" spans="1:53" hidden="1">
      <c r="A1657" t="s">
        <v>908</v>
      </c>
      <c r="B1657" t="s">
        <v>323</v>
      </c>
      <c r="C1657" t="s">
        <v>308</v>
      </c>
      <c r="D1657" s="25">
        <v>21</v>
      </c>
      <c r="E1657" s="25">
        <v>128</v>
      </c>
      <c r="F1657" t="s">
        <v>1241</v>
      </c>
      <c r="G1657" t="s">
        <v>309</v>
      </c>
      <c r="H1657" s="3" t="s">
        <v>818</v>
      </c>
      <c r="I1657">
        <v>2019</v>
      </c>
      <c r="J1657" t="s">
        <v>310</v>
      </c>
      <c r="K1657" t="s">
        <v>49</v>
      </c>
      <c r="L1657" t="s">
        <v>311</v>
      </c>
      <c r="M1657" s="25" t="s">
        <v>35</v>
      </c>
      <c r="N1657" t="s">
        <v>36</v>
      </c>
      <c r="O1657" t="s">
        <v>37</v>
      </c>
      <c r="P1657" t="s">
        <v>60</v>
      </c>
      <c r="Q1657" t="s">
        <v>899</v>
      </c>
      <c r="R1657" t="s">
        <v>828</v>
      </c>
      <c r="S1657" t="s">
        <v>819</v>
      </c>
      <c r="T1657">
        <v>48.508065600000002</v>
      </c>
      <c r="U1657">
        <v>-122.6842424</v>
      </c>
      <c r="V1657" t="s">
        <v>905</v>
      </c>
      <c r="W1657" s="25" t="s">
        <v>38</v>
      </c>
      <c r="X1657">
        <v>11</v>
      </c>
      <c r="Y1657" t="s">
        <v>39</v>
      </c>
      <c r="Z1657">
        <v>4</v>
      </c>
      <c r="AA1657">
        <v>4</v>
      </c>
      <c r="AC1657">
        <v>400</v>
      </c>
      <c r="AE1657">
        <v>1200</v>
      </c>
      <c r="AG1657">
        <v>1116</v>
      </c>
      <c r="AH1657">
        <v>3.0791812460000001</v>
      </c>
      <c r="AI1657">
        <v>12</v>
      </c>
      <c r="AJ1657" t="s">
        <v>322</v>
      </c>
      <c r="AK1657" t="s">
        <v>1279</v>
      </c>
      <c r="AL1657" s="25" t="s">
        <v>60</v>
      </c>
      <c r="AM1657" t="s">
        <v>61</v>
      </c>
      <c r="AN1657">
        <v>8.9495798319999995</v>
      </c>
      <c r="AO1657">
        <v>5.1680672269999999</v>
      </c>
      <c r="AP1657">
        <v>10.58823529</v>
      </c>
      <c r="AQ1657">
        <v>4.1596638659999998</v>
      </c>
      <c r="AR1657" t="s">
        <v>48</v>
      </c>
      <c r="AS1657">
        <f t="shared" si="165"/>
        <v>0.16813692140559766</v>
      </c>
      <c r="AT1657">
        <f t="shared" si="166"/>
        <v>0.12195057927060685</v>
      </c>
      <c r="AW1657" s="28">
        <f t="shared" si="158"/>
        <v>0.34931598877373676</v>
      </c>
      <c r="AX1657">
        <f t="shared" si="159"/>
        <v>0.86956521739130432</v>
      </c>
      <c r="AY1657" s="62">
        <f t="shared" si="160"/>
        <v>0.30375303371629281</v>
      </c>
      <c r="AZ1657" s="68" t="str">
        <f t="shared" si="163"/>
        <v>No</v>
      </c>
      <c r="BA1657" s="68" t="str">
        <f t="shared" si="164"/>
        <v>No</v>
      </c>
    </row>
    <row r="1658" spans="1:53" hidden="1">
      <c r="A1658" t="s">
        <v>908</v>
      </c>
      <c r="B1658" t="s">
        <v>324</v>
      </c>
      <c r="C1658" t="s">
        <v>308</v>
      </c>
      <c r="D1658" s="25">
        <v>21</v>
      </c>
      <c r="E1658" s="25">
        <v>129</v>
      </c>
      <c r="F1658" t="s">
        <v>1241</v>
      </c>
      <c r="G1658" t="s">
        <v>309</v>
      </c>
      <c r="H1658" s="3" t="s">
        <v>818</v>
      </c>
      <c r="I1658">
        <v>2019</v>
      </c>
      <c r="J1658" t="s">
        <v>310</v>
      </c>
      <c r="K1658" t="s">
        <v>49</v>
      </c>
      <c r="L1658" t="s">
        <v>311</v>
      </c>
      <c r="M1658" s="25" t="s">
        <v>35</v>
      </c>
      <c r="N1658" t="s">
        <v>36</v>
      </c>
      <c r="O1658" t="s">
        <v>37</v>
      </c>
      <c r="P1658" t="s">
        <v>60</v>
      </c>
      <c r="Q1658" t="s">
        <v>899</v>
      </c>
      <c r="R1658" t="s">
        <v>828</v>
      </c>
      <c r="S1658" t="s">
        <v>819</v>
      </c>
      <c r="T1658">
        <v>48.508065600000002</v>
      </c>
      <c r="U1658">
        <v>-122.6842424</v>
      </c>
      <c r="V1658" t="s">
        <v>905</v>
      </c>
      <c r="W1658" s="25" t="s">
        <v>38</v>
      </c>
      <c r="X1658">
        <v>11</v>
      </c>
      <c r="Y1658" t="s">
        <v>39</v>
      </c>
      <c r="Z1658">
        <v>4</v>
      </c>
      <c r="AA1658">
        <v>4</v>
      </c>
      <c r="AC1658">
        <v>400</v>
      </c>
      <c r="AE1658">
        <v>800</v>
      </c>
      <c r="AG1658">
        <v>1117</v>
      </c>
      <c r="AH1658">
        <v>2.903089987</v>
      </c>
      <c r="AI1658">
        <v>12</v>
      </c>
      <c r="AJ1658" t="s">
        <v>325</v>
      </c>
      <c r="AK1658" t="s">
        <v>1279</v>
      </c>
      <c r="AL1658" s="25" t="s">
        <v>60</v>
      </c>
      <c r="AM1658" t="s">
        <v>61</v>
      </c>
      <c r="AN1658">
        <v>15.6302521</v>
      </c>
      <c r="AO1658">
        <v>9.5798319329999995</v>
      </c>
      <c r="AP1658">
        <v>17.899159659999999</v>
      </c>
      <c r="AQ1658">
        <v>3.277310924</v>
      </c>
      <c r="AR1658" t="s">
        <v>48</v>
      </c>
      <c r="AS1658">
        <f t="shared" si="165"/>
        <v>0.13554549183402465</v>
      </c>
      <c r="AT1658">
        <f t="shared" si="166"/>
        <v>0.10229386462409806</v>
      </c>
      <c r="AW1658" s="28">
        <f t="shared" si="158"/>
        <v>0.3169131958310567</v>
      </c>
      <c r="AX1658">
        <f t="shared" si="159"/>
        <v>0.86956521739130432</v>
      </c>
      <c r="AY1658" s="62">
        <f t="shared" si="160"/>
        <v>0.2755766920270058</v>
      </c>
      <c r="AZ1658" s="68" t="str">
        <f t="shared" si="163"/>
        <v>No</v>
      </c>
      <c r="BA1658" s="68" t="str">
        <f t="shared" si="164"/>
        <v>No</v>
      </c>
    </row>
    <row r="1659" spans="1:53" hidden="1">
      <c r="A1659" t="s">
        <v>908</v>
      </c>
      <c r="B1659" t="s">
        <v>326</v>
      </c>
      <c r="C1659" t="s">
        <v>308</v>
      </c>
      <c r="D1659" s="25">
        <v>21</v>
      </c>
      <c r="E1659" s="25">
        <v>130</v>
      </c>
      <c r="F1659" t="s">
        <v>1241</v>
      </c>
      <c r="G1659" t="s">
        <v>309</v>
      </c>
      <c r="H1659" s="3" t="s">
        <v>818</v>
      </c>
      <c r="I1659">
        <v>2019</v>
      </c>
      <c r="J1659" t="s">
        <v>310</v>
      </c>
      <c r="K1659" t="s">
        <v>49</v>
      </c>
      <c r="L1659" t="s">
        <v>311</v>
      </c>
      <c r="M1659" s="25" t="s">
        <v>35</v>
      </c>
      <c r="N1659" t="s">
        <v>36</v>
      </c>
      <c r="O1659" t="s">
        <v>37</v>
      </c>
      <c r="P1659" t="s">
        <v>60</v>
      </c>
      <c r="Q1659" t="s">
        <v>899</v>
      </c>
      <c r="R1659" t="s">
        <v>828</v>
      </c>
      <c r="S1659" t="s">
        <v>819</v>
      </c>
      <c r="T1659">
        <v>48.508065600000002</v>
      </c>
      <c r="U1659">
        <v>-122.6842424</v>
      </c>
      <c r="V1659" t="s">
        <v>905</v>
      </c>
      <c r="W1659" s="25" t="s">
        <v>38</v>
      </c>
      <c r="X1659">
        <v>11</v>
      </c>
      <c r="Y1659" t="s">
        <v>39</v>
      </c>
      <c r="Z1659">
        <v>4</v>
      </c>
      <c r="AA1659">
        <v>4</v>
      </c>
      <c r="AC1659">
        <v>400</v>
      </c>
      <c r="AE1659">
        <v>1200</v>
      </c>
      <c r="AG1659">
        <v>1117</v>
      </c>
      <c r="AH1659">
        <v>3.0791812460000001</v>
      </c>
      <c r="AI1659">
        <v>12</v>
      </c>
      <c r="AJ1659" t="s">
        <v>325</v>
      </c>
      <c r="AK1659" t="s">
        <v>1279</v>
      </c>
      <c r="AL1659" s="25" t="s">
        <v>60</v>
      </c>
      <c r="AM1659" t="s">
        <v>61</v>
      </c>
      <c r="AN1659">
        <v>15.6302521</v>
      </c>
      <c r="AO1659">
        <v>9.5798319329999995</v>
      </c>
      <c r="AP1659">
        <v>20.168067229999998</v>
      </c>
      <c r="AQ1659">
        <v>2.5210084030000002</v>
      </c>
      <c r="AR1659" t="s">
        <v>48</v>
      </c>
      <c r="AS1659">
        <f t="shared" si="165"/>
        <v>0.2548922498367201</v>
      </c>
      <c r="AT1659">
        <f t="shared" si="166"/>
        <v>9.7818841063210954E-2</v>
      </c>
      <c r="AW1659" s="28">
        <f t="shared" si="158"/>
        <v>0.6478341762293448</v>
      </c>
      <c r="AX1659">
        <f t="shared" si="159"/>
        <v>0.86956521739130432</v>
      </c>
      <c r="AY1659" s="62">
        <f t="shared" si="160"/>
        <v>0.56333406628638683</v>
      </c>
      <c r="AZ1659" s="68" t="str">
        <f t="shared" si="163"/>
        <v>No</v>
      </c>
      <c r="BA1659" s="68" t="str">
        <f t="shared" si="164"/>
        <v>No</v>
      </c>
    </row>
    <row r="1660" spans="1:53" hidden="1">
      <c r="A1660" t="s">
        <v>908</v>
      </c>
      <c r="B1660" t="s">
        <v>327</v>
      </c>
      <c r="C1660" t="s">
        <v>308</v>
      </c>
      <c r="D1660" s="25">
        <v>21</v>
      </c>
      <c r="E1660" s="25">
        <v>131</v>
      </c>
      <c r="F1660" t="s">
        <v>1241</v>
      </c>
      <c r="G1660" t="s">
        <v>309</v>
      </c>
      <c r="H1660" s="3" t="s">
        <v>818</v>
      </c>
      <c r="I1660">
        <v>2019</v>
      </c>
      <c r="J1660" t="s">
        <v>310</v>
      </c>
      <c r="K1660" t="s">
        <v>49</v>
      </c>
      <c r="L1660" t="s">
        <v>311</v>
      </c>
      <c r="M1660" s="25" t="s">
        <v>35</v>
      </c>
      <c r="N1660" t="s">
        <v>36</v>
      </c>
      <c r="O1660" t="s">
        <v>37</v>
      </c>
      <c r="P1660" t="s">
        <v>60</v>
      </c>
      <c r="Q1660" t="s">
        <v>899</v>
      </c>
      <c r="R1660" t="s">
        <v>828</v>
      </c>
      <c r="S1660" t="s">
        <v>819</v>
      </c>
      <c r="T1660">
        <v>48.508065600000002</v>
      </c>
      <c r="U1660">
        <v>-122.6842424</v>
      </c>
      <c r="V1660" t="s">
        <v>905</v>
      </c>
      <c r="W1660" s="25" t="s">
        <v>38</v>
      </c>
      <c r="X1660">
        <v>11</v>
      </c>
      <c r="Y1660" t="s">
        <v>39</v>
      </c>
      <c r="Z1660">
        <v>5</v>
      </c>
      <c r="AA1660">
        <v>5</v>
      </c>
      <c r="AC1660">
        <v>400</v>
      </c>
      <c r="AE1660">
        <v>800</v>
      </c>
      <c r="AG1660">
        <v>1118</v>
      </c>
      <c r="AH1660">
        <v>2.903089987</v>
      </c>
      <c r="AI1660">
        <v>12</v>
      </c>
      <c r="AJ1660" t="s">
        <v>328</v>
      </c>
      <c r="AK1660" t="s">
        <v>904</v>
      </c>
      <c r="AL1660" s="25" t="s">
        <v>60</v>
      </c>
      <c r="AM1660" t="s">
        <v>61</v>
      </c>
      <c r="AN1660">
        <v>301.45530150000002</v>
      </c>
      <c r="AO1660">
        <v>14.55301455</v>
      </c>
      <c r="AP1660">
        <v>318.0873181</v>
      </c>
      <c r="AQ1660">
        <v>58.212058210000002</v>
      </c>
      <c r="AR1660" t="s">
        <v>45</v>
      </c>
      <c r="AS1660">
        <f t="shared" si="165"/>
        <v>5.3704178863454466E-2</v>
      </c>
      <c r="AT1660">
        <f t="shared" si="166"/>
        <v>7.1643902102775242E-3</v>
      </c>
      <c r="AW1660" s="28">
        <f t="shared" ref="AW1660:AW1723" si="167">(AP1660-$AN1660)/SQRT(((AA1660-1)*AQ1660*AQ1660+($Z1660-1)*$AO1660*$AO1660)/(AA1660+$Z1660-2))</f>
        <v>0.39199676530324706</v>
      </c>
      <c r="AX1660">
        <f t="shared" ref="AX1660:AX1723" si="168">1-(3/(4*(AA1660+$Z1660-2)-1))</f>
        <v>0.90322580645161288</v>
      </c>
      <c r="AY1660" s="62">
        <f t="shared" ref="AY1660:AY1723" si="169">AX1660*AW1660</f>
        <v>0.35406159446744895</v>
      </c>
      <c r="AZ1660" s="68" t="str">
        <f t="shared" si="163"/>
        <v>No</v>
      </c>
      <c r="BA1660" s="68" t="str">
        <f t="shared" si="164"/>
        <v>No</v>
      </c>
    </row>
    <row r="1661" spans="1:53" hidden="1">
      <c r="A1661" t="s">
        <v>908</v>
      </c>
      <c r="B1661" t="s">
        <v>329</v>
      </c>
      <c r="C1661" t="s">
        <v>308</v>
      </c>
      <c r="D1661" s="25">
        <v>21</v>
      </c>
      <c r="E1661" s="25">
        <v>132</v>
      </c>
      <c r="F1661" t="s">
        <v>1241</v>
      </c>
      <c r="G1661" t="s">
        <v>309</v>
      </c>
      <c r="H1661" s="3" t="s">
        <v>818</v>
      </c>
      <c r="I1661">
        <v>2019</v>
      </c>
      <c r="J1661" t="s">
        <v>310</v>
      </c>
      <c r="K1661" t="s">
        <v>49</v>
      </c>
      <c r="L1661" t="s">
        <v>311</v>
      </c>
      <c r="M1661" s="25" t="s">
        <v>35</v>
      </c>
      <c r="N1661" t="s">
        <v>36</v>
      </c>
      <c r="O1661" t="s">
        <v>37</v>
      </c>
      <c r="P1661" t="s">
        <v>60</v>
      </c>
      <c r="Q1661" t="s">
        <v>899</v>
      </c>
      <c r="R1661" t="s">
        <v>828</v>
      </c>
      <c r="S1661" t="s">
        <v>819</v>
      </c>
      <c r="T1661">
        <v>48.508065600000002</v>
      </c>
      <c r="U1661">
        <v>-122.6842424</v>
      </c>
      <c r="V1661" t="s">
        <v>905</v>
      </c>
      <c r="W1661" s="25" t="s">
        <v>38</v>
      </c>
      <c r="X1661">
        <v>11</v>
      </c>
      <c r="Y1661" t="s">
        <v>39</v>
      </c>
      <c r="Z1661">
        <v>5</v>
      </c>
      <c r="AA1661">
        <v>5</v>
      </c>
      <c r="AC1661">
        <v>400</v>
      </c>
      <c r="AE1661">
        <v>1200</v>
      </c>
      <c r="AG1661">
        <v>1118</v>
      </c>
      <c r="AH1661">
        <v>3.0791812460000001</v>
      </c>
      <c r="AI1661">
        <v>12</v>
      </c>
      <c r="AJ1661" t="s">
        <v>328</v>
      </c>
      <c r="AK1661" t="s">
        <v>904</v>
      </c>
      <c r="AL1661" s="25" t="s">
        <v>60</v>
      </c>
      <c r="AM1661" t="s">
        <v>61</v>
      </c>
      <c r="AN1661">
        <v>301.45530150000002</v>
      </c>
      <c r="AO1661">
        <v>14.55301455</v>
      </c>
      <c r="AP1661">
        <v>214.13721409999999</v>
      </c>
      <c r="AQ1661">
        <v>85.239085239999994</v>
      </c>
      <c r="AR1661" t="s">
        <v>45</v>
      </c>
      <c r="AS1661">
        <f t="shared" si="165"/>
        <v>-0.34200475451300072</v>
      </c>
      <c r="AT1661">
        <f t="shared" si="166"/>
        <v>3.2156186248140629E-2</v>
      </c>
      <c r="AW1661" s="28">
        <f t="shared" si="167"/>
        <v>-1.4280428432610242</v>
      </c>
      <c r="AX1661">
        <f t="shared" si="168"/>
        <v>0.90322580645161288</v>
      </c>
      <c r="AY1661" s="62">
        <f t="shared" si="169"/>
        <v>-1.2898451487518927</v>
      </c>
      <c r="AZ1661" s="68" t="str">
        <f t="shared" si="163"/>
        <v>No</v>
      </c>
      <c r="BA1661" s="68" t="str">
        <f t="shared" si="164"/>
        <v>No</v>
      </c>
    </row>
    <row r="1662" spans="1:53" hidden="1">
      <c r="A1662" t="s">
        <v>908</v>
      </c>
      <c r="B1662" t="s">
        <v>330</v>
      </c>
      <c r="C1662" t="s">
        <v>308</v>
      </c>
      <c r="D1662" s="25">
        <v>21</v>
      </c>
      <c r="E1662" s="25">
        <v>133</v>
      </c>
      <c r="F1662" t="s">
        <v>1241</v>
      </c>
      <c r="G1662" t="s">
        <v>309</v>
      </c>
      <c r="H1662" s="3" t="s">
        <v>818</v>
      </c>
      <c r="I1662">
        <v>2019</v>
      </c>
      <c r="J1662" t="s">
        <v>310</v>
      </c>
      <c r="K1662" t="s">
        <v>49</v>
      </c>
      <c r="L1662" t="s">
        <v>311</v>
      </c>
      <c r="M1662" s="25" t="s">
        <v>35</v>
      </c>
      <c r="N1662" t="s">
        <v>36</v>
      </c>
      <c r="O1662" t="s">
        <v>37</v>
      </c>
      <c r="P1662" t="s">
        <v>60</v>
      </c>
      <c r="Q1662" t="s">
        <v>899</v>
      </c>
      <c r="R1662" t="s">
        <v>828</v>
      </c>
      <c r="S1662" t="s">
        <v>819</v>
      </c>
      <c r="T1662">
        <v>48.508065600000002</v>
      </c>
      <c r="U1662">
        <v>-122.6842424</v>
      </c>
      <c r="V1662" t="s">
        <v>905</v>
      </c>
      <c r="W1662" s="25" t="s">
        <v>38</v>
      </c>
      <c r="X1662">
        <v>11</v>
      </c>
      <c r="Y1662" t="s">
        <v>39</v>
      </c>
      <c r="Z1662">
        <v>5</v>
      </c>
      <c r="AA1662">
        <v>5</v>
      </c>
      <c r="AC1662">
        <v>400</v>
      </c>
      <c r="AE1662">
        <v>800</v>
      </c>
      <c r="AG1662">
        <v>1119</v>
      </c>
      <c r="AH1662">
        <v>2.903089987</v>
      </c>
      <c r="AI1662">
        <v>12</v>
      </c>
      <c r="AJ1662" t="s">
        <v>328</v>
      </c>
      <c r="AK1662" t="s">
        <v>904</v>
      </c>
      <c r="AL1662" s="25" t="s">
        <v>60</v>
      </c>
      <c r="AM1662" t="s">
        <v>61</v>
      </c>
      <c r="AN1662">
        <v>225.42619540000001</v>
      </c>
      <c r="AO1662">
        <v>85.239085239999994</v>
      </c>
      <c r="AP1662">
        <v>176.7151767</v>
      </c>
      <c r="AQ1662">
        <v>58.212058210000002</v>
      </c>
      <c r="AR1662" t="s">
        <v>45</v>
      </c>
      <c r="AS1662">
        <f t="shared" si="165"/>
        <v>-0.24345354696345289</v>
      </c>
      <c r="AT1662">
        <f t="shared" si="166"/>
        <v>5.0297994507197304E-2</v>
      </c>
      <c r="AW1662" s="28">
        <f t="shared" si="167"/>
        <v>-0.66738866230768323</v>
      </c>
      <c r="AX1662">
        <f t="shared" si="168"/>
        <v>0.90322580645161288</v>
      </c>
      <c r="AY1662" s="62">
        <f t="shared" si="169"/>
        <v>-0.60280266272952032</v>
      </c>
      <c r="AZ1662" s="68" t="str">
        <f t="shared" si="163"/>
        <v>No</v>
      </c>
      <c r="BA1662" s="68" t="str">
        <f t="shared" si="164"/>
        <v>No</v>
      </c>
    </row>
    <row r="1663" spans="1:53" hidden="1">
      <c r="A1663" t="s">
        <v>908</v>
      </c>
      <c r="B1663" t="s">
        <v>331</v>
      </c>
      <c r="C1663" t="s">
        <v>308</v>
      </c>
      <c r="D1663" s="25">
        <v>21</v>
      </c>
      <c r="E1663" s="25">
        <v>134</v>
      </c>
      <c r="F1663" t="s">
        <v>1241</v>
      </c>
      <c r="G1663" t="s">
        <v>309</v>
      </c>
      <c r="H1663" s="3" t="s">
        <v>818</v>
      </c>
      <c r="I1663">
        <v>2019</v>
      </c>
      <c r="J1663" t="s">
        <v>310</v>
      </c>
      <c r="K1663" t="s">
        <v>49</v>
      </c>
      <c r="L1663" t="s">
        <v>311</v>
      </c>
      <c r="M1663" s="25" t="s">
        <v>35</v>
      </c>
      <c r="N1663" t="s">
        <v>36</v>
      </c>
      <c r="O1663" t="s">
        <v>37</v>
      </c>
      <c r="P1663" t="s">
        <v>60</v>
      </c>
      <c r="Q1663" t="s">
        <v>899</v>
      </c>
      <c r="R1663" t="s">
        <v>828</v>
      </c>
      <c r="S1663" t="s">
        <v>819</v>
      </c>
      <c r="T1663">
        <v>48.508065600000002</v>
      </c>
      <c r="U1663">
        <v>-122.6842424</v>
      </c>
      <c r="V1663" t="s">
        <v>905</v>
      </c>
      <c r="W1663" s="25" t="s">
        <v>38</v>
      </c>
      <c r="X1663">
        <v>11</v>
      </c>
      <c r="Y1663" t="s">
        <v>39</v>
      </c>
      <c r="Z1663">
        <v>5</v>
      </c>
      <c r="AA1663">
        <v>5</v>
      </c>
      <c r="AC1663">
        <v>400</v>
      </c>
      <c r="AE1663">
        <v>1200</v>
      </c>
      <c r="AG1663">
        <v>1119</v>
      </c>
      <c r="AH1663">
        <v>3.0791812460000001</v>
      </c>
      <c r="AI1663">
        <v>12</v>
      </c>
      <c r="AJ1663" t="s">
        <v>328</v>
      </c>
      <c r="AK1663" t="s">
        <v>904</v>
      </c>
      <c r="AL1663" s="25" t="s">
        <v>60</v>
      </c>
      <c r="AM1663" t="s">
        <v>61</v>
      </c>
      <c r="AN1663">
        <v>225.42619540000001</v>
      </c>
      <c r="AO1663">
        <v>85.239085239999994</v>
      </c>
      <c r="AP1663">
        <v>176.7151767</v>
      </c>
      <c r="AQ1663">
        <v>29.106029110000001</v>
      </c>
      <c r="AR1663" t="s">
        <v>45</v>
      </c>
      <c r="AS1663">
        <f t="shared" si="165"/>
        <v>-0.24345354696345289</v>
      </c>
      <c r="AT1663">
        <f t="shared" si="166"/>
        <v>3.4021177898420067E-2</v>
      </c>
      <c r="AW1663" s="28">
        <f t="shared" si="167"/>
        <v>-0.76481280400737728</v>
      </c>
      <c r="AX1663">
        <f t="shared" si="168"/>
        <v>0.90322580645161288</v>
      </c>
      <c r="AY1663" s="62">
        <f t="shared" si="169"/>
        <v>-0.69079866168408266</v>
      </c>
      <c r="AZ1663" s="68" t="str">
        <f t="shared" si="163"/>
        <v>No</v>
      </c>
      <c r="BA1663" s="68" t="str">
        <f t="shared" si="164"/>
        <v>No</v>
      </c>
    </row>
    <row r="1664" spans="1:53" hidden="1">
      <c r="A1664" t="s">
        <v>908</v>
      </c>
      <c r="B1664" t="s">
        <v>332</v>
      </c>
      <c r="C1664" t="s">
        <v>308</v>
      </c>
      <c r="D1664" s="25">
        <v>21</v>
      </c>
      <c r="E1664" s="25">
        <v>135</v>
      </c>
      <c r="F1664" t="s">
        <v>1241</v>
      </c>
      <c r="G1664" t="s">
        <v>309</v>
      </c>
      <c r="H1664" s="3" t="s">
        <v>818</v>
      </c>
      <c r="I1664">
        <v>2019</v>
      </c>
      <c r="J1664" t="s">
        <v>310</v>
      </c>
      <c r="K1664" t="s">
        <v>49</v>
      </c>
      <c r="L1664" t="s">
        <v>311</v>
      </c>
      <c r="M1664" s="25" t="s">
        <v>35</v>
      </c>
      <c r="N1664" t="s">
        <v>36</v>
      </c>
      <c r="O1664" t="s">
        <v>37</v>
      </c>
      <c r="P1664" t="s">
        <v>60</v>
      </c>
      <c r="Q1664" t="s">
        <v>899</v>
      </c>
      <c r="R1664" t="s">
        <v>828</v>
      </c>
      <c r="S1664" t="s">
        <v>819</v>
      </c>
      <c r="T1664">
        <v>48.508065600000002</v>
      </c>
      <c r="U1664">
        <v>-122.6842424</v>
      </c>
      <c r="V1664" t="s">
        <v>905</v>
      </c>
      <c r="W1664" s="25" t="s">
        <v>38</v>
      </c>
      <c r="X1664">
        <v>11</v>
      </c>
      <c r="Y1664" t="s">
        <v>90</v>
      </c>
      <c r="Z1664">
        <v>52</v>
      </c>
      <c r="AA1664">
        <v>32</v>
      </c>
      <c r="AC1664">
        <v>400</v>
      </c>
      <c r="AE1664">
        <v>800</v>
      </c>
      <c r="AG1664">
        <v>1120</v>
      </c>
      <c r="AH1664">
        <v>2.903089987</v>
      </c>
      <c r="AI1664">
        <v>12</v>
      </c>
      <c r="AJ1664" t="s">
        <v>333</v>
      </c>
      <c r="AK1664" t="s">
        <v>59</v>
      </c>
      <c r="AL1664" s="25" t="s">
        <v>60</v>
      </c>
      <c r="AM1664" t="s">
        <v>61</v>
      </c>
      <c r="AN1664">
        <v>3.4</v>
      </c>
      <c r="AO1664">
        <v>4.2</v>
      </c>
      <c r="AP1664">
        <v>0.4</v>
      </c>
      <c r="AQ1664">
        <v>0.8</v>
      </c>
      <c r="AR1664" t="s">
        <v>334</v>
      </c>
      <c r="AS1664">
        <f t="shared" si="165"/>
        <v>-2.1400661634962708</v>
      </c>
      <c r="AT1664">
        <f t="shared" si="166"/>
        <v>0.15434522225179664</v>
      </c>
      <c r="AW1664" s="28">
        <f t="shared" si="167"/>
        <v>-0.89589484433496602</v>
      </c>
      <c r="AX1664">
        <f t="shared" si="168"/>
        <v>0.99082568807339455</v>
      </c>
      <c r="AY1664" s="62">
        <f t="shared" si="169"/>
        <v>-0.88767562557959945</v>
      </c>
      <c r="AZ1664" s="68" t="str">
        <f t="shared" si="163"/>
        <v>No</v>
      </c>
      <c r="BA1664" s="68" t="str">
        <f t="shared" si="164"/>
        <v>No</v>
      </c>
    </row>
    <row r="1665" spans="1:53" hidden="1">
      <c r="A1665" t="s">
        <v>908</v>
      </c>
      <c r="B1665" t="s">
        <v>335</v>
      </c>
      <c r="C1665" t="s">
        <v>308</v>
      </c>
      <c r="D1665" s="25">
        <v>21</v>
      </c>
      <c r="E1665" s="25">
        <v>136</v>
      </c>
      <c r="F1665" t="s">
        <v>1241</v>
      </c>
      <c r="G1665" t="s">
        <v>309</v>
      </c>
      <c r="H1665" s="3" t="s">
        <v>818</v>
      </c>
      <c r="I1665">
        <v>2019</v>
      </c>
      <c r="J1665" t="s">
        <v>310</v>
      </c>
      <c r="K1665" t="s">
        <v>49</v>
      </c>
      <c r="L1665" t="s">
        <v>311</v>
      </c>
      <c r="M1665" s="25" t="s">
        <v>35</v>
      </c>
      <c r="N1665" t="s">
        <v>36</v>
      </c>
      <c r="O1665" t="s">
        <v>37</v>
      </c>
      <c r="P1665" t="s">
        <v>60</v>
      </c>
      <c r="Q1665" t="s">
        <v>899</v>
      </c>
      <c r="R1665" t="s">
        <v>828</v>
      </c>
      <c r="S1665" t="s">
        <v>819</v>
      </c>
      <c r="T1665">
        <v>48.508065600000002</v>
      </c>
      <c r="U1665">
        <v>-122.6842424</v>
      </c>
      <c r="V1665" t="s">
        <v>905</v>
      </c>
      <c r="W1665" s="25" t="s">
        <v>38</v>
      </c>
      <c r="X1665">
        <v>11</v>
      </c>
      <c r="Y1665" t="s">
        <v>90</v>
      </c>
      <c r="Z1665">
        <v>52</v>
      </c>
      <c r="AA1665">
        <v>52</v>
      </c>
      <c r="AC1665">
        <v>400</v>
      </c>
      <c r="AE1665">
        <v>1200</v>
      </c>
      <c r="AG1665">
        <v>1120</v>
      </c>
      <c r="AH1665">
        <v>3.0791812460000001</v>
      </c>
      <c r="AI1665">
        <v>12</v>
      </c>
      <c r="AJ1665" t="s">
        <v>333</v>
      </c>
      <c r="AK1665" t="s">
        <v>59</v>
      </c>
      <c r="AL1665" s="25" t="s">
        <v>60</v>
      </c>
      <c r="AM1665" t="s">
        <v>61</v>
      </c>
      <c r="AN1665">
        <v>3.4</v>
      </c>
      <c r="AO1665">
        <v>4.2</v>
      </c>
      <c r="AP1665">
        <v>2.2999999999999998</v>
      </c>
      <c r="AQ1665">
        <v>3.8</v>
      </c>
      <c r="AR1665" t="s">
        <v>334</v>
      </c>
      <c r="AS1665">
        <f t="shared" si="165"/>
        <v>-0.39086630868701178</v>
      </c>
      <c r="AT1665">
        <f t="shared" si="166"/>
        <v>8.1839042231438952E-2</v>
      </c>
      <c r="AW1665" s="28">
        <f t="shared" si="167"/>
        <v>-0.27465689319140729</v>
      </c>
      <c r="AX1665">
        <f t="shared" si="168"/>
        <v>0.99262899262899262</v>
      </c>
      <c r="AY1665" s="62">
        <f t="shared" si="169"/>
        <v>-0.27263239520719545</v>
      </c>
      <c r="AZ1665" s="68" t="str">
        <f t="shared" si="163"/>
        <v>No</v>
      </c>
      <c r="BA1665" s="68" t="str">
        <f t="shared" si="164"/>
        <v>No</v>
      </c>
    </row>
    <row r="1666" spans="1:53" hidden="1">
      <c r="A1666" t="s">
        <v>908</v>
      </c>
      <c r="B1666" t="s">
        <v>336</v>
      </c>
      <c r="C1666" t="s">
        <v>308</v>
      </c>
      <c r="D1666" s="25">
        <v>21</v>
      </c>
      <c r="E1666" s="25">
        <v>137</v>
      </c>
      <c r="F1666" t="s">
        <v>1241</v>
      </c>
      <c r="G1666" t="s">
        <v>309</v>
      </c>
      <c r="H1666" s="3" t="s">
        <v>818</v>
      </c>
      <c r="I1666">
        <v>2019</v>
      </c>
      <c r="J1666" t="s">
        <v>310</v>
      </c>
      <c r="K1666" t="s">
        <v>49</v>
      </c>
      <c r="L1666" t="s">
        <v>311</v>
      </c>
      <c r="M1666" s="25" t="s">
        <v>35</v>
      </c>
      <c r="N1666" t="s">
        <v>36</v>
      </c>
      <c r="O1666" t="s">
        <v>37</v>
      </c>
      <c r="P1666" t="s">
        <v>60</v>
      </c>
      <c r="Q1666" t="s">
        <v>899</v>
      </c>
      <c r="R1666" t="s">
        <v>828</v>
      </c>
      <c r="S1666" t="s">
        <v>819</v>
      </c>
      <c r="T1666">
        <v>48.508065600000002</v>
      </c>
      <c r="U1666">
        <v>-122.6842424</v>
      </c>
      <c r="V1666" t="s">
        <v>905</v>
      </c>
      <c r="W1666" s="25" t="s">
        <v>38</v>
      </c>
      <c r="X1666">
        <v>11</v>
      </c>
      <c r="Y1666" t="s">
        <v>90</v>
      </c>
      <c r="Z1666">
        <v>49</v>
      </c>
      <c r="AA1666">
        <v>22</v>
      </c>
      <c r="AC1666">
        <v>400</v>
      </c>
      <c r="AE1666">
        <v>800</v>
      </c>
      <c r="AG1666">
        <v>1121</v>
      </c>
      <c r="AH1666">
        <v>2.903089987</v>
      </c>
      <c r="AI1666">
        <v>12</v>
      </c>
      <c r="AJ1666" t="s">
        <v>333</v>
      </c>
      <c r="AK1666" t="s">
        <v>59</v>
      </c>
      <c r="AL1666" s="25" t="s">
        <v>60</v>
      </c>
      <c r="AM1666" t="s">
        <v>61</v>
      </c>
      <c r="AN1666">
        <v>13.8</v>
      </c>
      <c r="AO1666">
        <v>8</v>
      </c>
      <c r="AP1666">
        <v>10.7</v>
      </c>
      <c r="AQ1666">
        <v>5.7</v>
      </c>
      <c r="AR1666" t="s">
        <v>334</v>
      </c>
      <c r="AS1666">
        <f t="shared" si="165"/>
        <v>-0.25442485069529885</v>
      </c>
      <c r="AT1666">
        <f t="shared" si="166"/>
        <v>1.9757547908055909E-2</v>
      </c>
      <c r="AW1666" s="28">
        <f t="shared" si="167"/>
        <v>-0.42026413658019562</v>
      </c>
      <c r="AX1666">
        <f t="shared" si="168"/>
        <v>0.98909090909090913</v>
      </c>
      <c r="AY1666" s="62">
        <f t="shared" si="169"/>
        <v>-0.41567943690841169</v>
      </c>
      <c r="AZ1666" s="68" t="str">
        <f t="shared" si="163"/>
        <v>No</v>
      </c>
      <c r="BA1666" s="68" t="str">
        <f t="shared" si="164"/>
        <v>No</v>
      </c>
    </row>
    <row r="1667" spans="1:53" hidden="1">
      <c r="A1667" t="s">
        <v>908</v>
      </c>
      <c r="B1667" t="s">
        <v>337</v>
      </c>
      <c r="C1667" t="s">
        <v>308</v>
      </c>
      <c r="D1667" s="25">
        <v>21</v>
      </c>
      <c r="E1667" s="25">
        <v>138</v>
      </c>
      <c r="F1667" t="s">
        <v>1241</v>
      </c>
      <c r="G1667" t="s">
        <v>309</v>
      </c>
      <c r="H1667" s="3" t="s">
        <v>818</v>
      </c>
      <c r="I1667">
        <v>2019</v>
      </c>
      <c r="J1667" t="s">
        <v>310</v>
      </c>
      <c r="K1667" t="s">
        <v>49</v>
      </c>
      <c r="L1667" t="s">
        <v>311</v>
      </c>
      <c r="M1667" s="25" t="s">
        <v>35</v>
      </c>
      <c r="N1667" t="s">
        <v>36</v>
      </c>
      <c r="O1667" t="s">
        <v>37</v>
      </c>
      <c r="P1667" t="s">
        <v>60</v>
      </c>
      <c r="Q1667" t="s">
        <v>899</v>
      </c>
      <c r="R1667" t="s">
        <v>828</v>
      </c>
      <c r="S1667" t="s">
        <v>819</v>
      </c>
      <c r="T1667">
        <v>48.508065600000002</v>
      </c>
      <c r="U1667">
        <v>-122.6842424</v>
      </c>
      <c r="V1667" t="s">
        <v>905</v>
      </c>
      <c r="W1667" s="25" t="s">
        <v>38</v>
      </c>
      <c r="X1667">
        <v>11</v>
      </c>
      <c r="Y1667" t="s">
        <v>90</v>
      </c>
      <c r="Z1667">
        <v>49</v>
      </c>
      <c r="AA1667">
        <v>56</v>
      </c>
      <c r="AC1667">
        <v>400</v>
      </c>
      <c r="AE1667">
        <v>1200</v>
      </c>
      <c r="AG1667">
        <v>1121</v>
      </c>
      <c r="AH1667">
        <v>3.0791812460000001</v>
      </c>
      <c r="AI1667">
        <v>12</v>
      </c>
      <c r="AJ1667" t="s">
        <v>333</v>
      </c>
      <c r="AK1667" t="s">
        <v>59</v>
      </c>
      <c r="AL1667" s="25" t="s">
        <v>60</v>
      </c>
      <c r="AM1667" t="s">
        <v>61</v>
      </c>
      <c r="AN1667">
        <v>13.8</v>
      </c>
      <c r="AO1667">
        <v>8</v>
      </c>
      <c r="AP1667">
        <v>14.2</v>
      </c>
      <c r="AQ1667">
        <v>7.4</v>
      </c>
      <c r="AR1667" t="s">
        <v>334</v>
      </c>
      <c r="AS1667">
        <f t="shared" si="165"/>
        <v>2.8573372444055778E-2</v>
      </c>
      <c r="AT1667">
        <f t="shared" si="166"/>
        <v>1.1707965615005662E-2</v>
      </c>
      <c r="AW1667" s="28">
        <f t="shared" si="167"/>
        <v>5.2046453241120012E-2</v>
      </c>
      <c r="AX1667">
        <f t="shared" si="168"/>
        <v>0.99270072992700731</v>
      </c>
      <c r="AY1667" s="62">
        <f t="shared" si="169"/>
        <v>5.1666552122571693E-2</v>
      </c>
      <c r="AZ1667" s="68" t="str">
        <f t="shared" si="163"/>
        <v>No</v>
      </c>
      <c r="BA1667" s="68" t="str">
        <f t="shared" si="164"/>
        <v>No</v>
      </c>
    </row>
    <row r="1668" spans="1:53" hidden="1">
      <c r="A1668" t="s">
        <v>908</v>
      </c>
      <c r="B1668" t="s">
        <v>420</v>
      </c>
      <c r="C1668" t="s">
        <v>416</v>
      </c>
      <c r="D1668" s="25">
        <v>28</v>
      </c>
      <c r="E1668" s="25">
        <v>212</v>
      </c>
      <c r="F1668" t="s">
        <v>1241</v>
      </c>
      <c r="G1668" t="s">
        <v>417</v>
      </c>
      <c r="H1668" s="3" t="s">
        <v>820</v>
      </c>
      <c r="I1668">
        <v>2019</v>
      </c>
      <c r="J1668" t="s">
        <v>418</v>
      </c>
      <c r="K1668" t="s">
        <v>92</v>
      </c>
      <c r="L1668" t="s">
        <v>419</v>
      </c>
      <c r="M1668" s="25" t="s">
        <v>35</v>
      </c>
      <c r="N1668" t="s">
        <v>36</v>
      </c>
      <c r="O1668" t="s">
        <v>47</v>
      </c>
      <c r="P1668" t="s">
        <v>60</v>
      </c>
      <c r="Q1668" t="s">
        <v>899</v>
      </c>
      <c r="R1668" t="s">
        <v>828</v>
      </c>
      <c r="S1668" t="s">
        <v>821</v>
      </c>
      <c r="T1668">
        <v>27.99</v>
      </c>
      <c r="U1668">
        <v>-15.368888999999999</v>
      </c>
      <c r="V1668" t="s">
        <v>905</v>
      </c>
      <c r="W1668" s="25" t="s">
        <v>38</v>
      </c>
      <c r="X1668">
        <v>29</v>
      </c>
      <c r="Y1668" t="s">
        <v>95</v>
      </c>
      <c r="Z1668">
        <v>1</v>
      </c>
      <c r="AA1668">
        <v>1</v>
      </c>
      <c r="AC1668">
        <v>377</v>
      </c>
      <c r="AE1668">
        <v>619</v>
      </c>
      <c r="AG1668">
        <v>1933</v>
      </c>
      <c r="AH1668">
        <v>2.791690649</v>
      </c>
      <c r="AI1668">
        <v>17.73</v>
      </c>
      <c r="AJ1668" t="s">
        <v>421</v>
      </c>
      <c r="AK1668" t="s">
        <v>40</v>
      </c>
      <c r="AL1668" s="25" t="s">
        <v>60</v>
      </c>
      <c r="AM1668" t="s">
        <v>61</v>
      </c>
      <c r="AN1668">
        <v>5.9778597790000001</v>
      </c>
      <c r="AO1668">
        <v>1.872146428</v>
      </c>
      <c r="AP1668">
        <v>1.9926199259999999</v>
      </c>
      <c r="AQ1668">
        <v>0.41616605299999998</v>
      </c>
      <c r="AR1668" t="s">
        <v>73</v>
      </c>
      <c r="AS1668">
        <f t="shared" si="165"/>
        <v>-1.0986122888353937</v>
      </c>
      <c r="AT1668">
        <f t="shared" si="166"/>
        <v>0.14170161392707678</v>
      </c>
      <c r="AW1668" s="28" t="e">
        <f t="shared" si="167"/>
        <v>#DIV/0!</v>
      </c>
      <c r="AX1668">
        <f t="shared" si="168"/>
        <v>4</v>
      </c>
      <c r="AY1668" s="62" t="e">
        <f t="shared" si="169"/>
        <v>#DIV/0!</v>
      </c>
      <c r="AZ1668" s="68" t="e">
        <f t="shared" si="163"/>
        <v>#DIV/0!</v>
      </c>
      <c r="BA1668" s="68" t="e">
        <f t="shared" si="164"/>
        <v>#DIV/0!</v>
      </c>
    </row>
    <row r="1669" spans="1:53" hidden="1">
      <c r="A1669" t="s">
        <v>908</v>
      </c>
      <c r="B1669" t="s">
        <v>422</v>
      </c>
      <c r="C1669" t="s">
        <v>416</v>
      </c>
      <c r="D1669" s="25">
        <v>28</v>
      </c>
      <c r="E1669" s="25">
        <v>213</v>
      </c>
      <c r="F1669" t="s">
        <v>1241</v>
      </c>
      <c r="G1669" t="s">
        <v>417</v>
      </c>
      <c r="H1669" s="3" t="s">
        <v>820</v>
      </c>
      <c r="I1669">
        <v>2019</v>
      </c>
      <c r="J1669" t="s">
        <v>418</v>
      </c>
      <c r="K1669" t="s">
        <v>92</v>
      </c>
      <c r="L1669" t="s">
        <v>419</v>
      </c>
      <c r="M1669" s="25" t="s">
        <v>35</v>
      </c>
      <c r="N1669" t="s">
        <v>36</v>
      </c>
      <c r="O1669" t="s">
        <v>47</v>
      </c>
      <c r="P1669" t="s">
        <v>60</v>
      </c>
      <c r="Q1669" t="s">
        <v>899</v>
      </c>
      <c r="R1669" t="s">
        <v>828</v>
      </c>
      <c r="S1669" t="s">
        <v>821</v>
      </c>
      <c r="T1669">
        <v>27.99</v>
      </c>
      <c r="U1669">
        <v>-15.368888999999999</v>
      </c>
      <c r="V1669" t="s">
        <v>905</v>
      </c>
      <c r="W1669" s="25" t="s">
        <v>38</v>
      </c>
      <c r="X1669">
        <v>29</v>
      </c>
      <c r="Y1669" t="s">
        <v>95</v>
      </c>
      <c r="Z1669">
        <v>1</v>
      </c>
      <c r="AA1669">
        <v>1</v>
      </c>
      <c r="AC1669">
        <v>377</v>
      </c>
      <c r="AE1669">
        <v>741</v>
      </c>
      <c r="AG1669">
        <v>1933</v>
      </c>
      <c r="AH1669">
        <v>2.8698182079999999</v>
      </c>
      <c r="AI1669">
        <v>17.73</v>
      </c>
      <c r="AJ1669" t="s">
        <v>421</v>
      </c>
      <c r="AK1669" t="s">
        <v>40</v>
      </c>
      <c r="AL1669" s="25" t="s">
        <v>60</v>
      </c>
      <c r="AM1669" t="s">
        <v>61</v>
      </c>
      <c r="AN1669">
        <v>5.9778597790000001</v>
      </c>
      <c r="AO1669">
        <v>1.872146428</v>
      </c>
      <c r="AP1669">
        <v>1.6383763840000001</v>
      </c>
      <c r="AQ1669">
        <v>0.342180977</v>
      </c>
      <c r="AR1669" t="s">
        <v>73</v>
      </c>
      <c r="AS1669">
        <f t="shared" si="165"/>
        <v>-1.294356865717345</v>
      </c>
      <c r="AT1669">
        <f t="shared" si="166"/>
        <v>0.14170161392844011</v>
      </c>
      <c r="AW1669" s="28" t="e">
        <f t="shared" si="167"/>
        <v>#DIV/0!</v>
      </c>
      <c r="AX1669">
        <f t="shared" si="168"/>
        <v>4</v>
      </c>
      <c r="AY1669" s="62" t="e">
        <f t="shared" si="169"/>
        <v>#DIV/0!</v>
      </c>
      <c r="AZ1669" s="68" t="e">
        <f t="shared" si="163"/>
        <v>#DIV/0!</v>
      </c>
      <c r="BA1669" s="68" t="e">
        <f t="shared" si="164"/>
        <v>#DIV/0!</v>
      </c>
    </row>
    <row r="1670" spans="1:53" hidden="1">
      <c r="A1670" t="s">
        <v>908</v>
      </c>
      <c r="B1670" t="s">
        <v>423</v>
      </c>
      <c r="C1670" t="s">
        <v>416</v>
      </c>
      <c r="D1670" s="25">
        <v>28</v>
      </c>
      <c r="E1670" s="25">
        <v>214</v>
      </c>
      <c r="F1670" t="s">
        <v>1241</v>
      </c>
      <c r="G1670" t="s">
        <v>417</v>
      </c>
      <c r="H1670" s="3" t="s">
        <v>820</v>
      </c>
      <c r="I1670">
        <v>2019</v>
      </c>
      <c r="J1670" t="s">
        <v>418</v>
      </c>
      <c r="K1670" t="s">
        <v>92</v>
      </c>
      <c r="L1670" t="s">
        <v>419</v>
      </c>
      <c r="M1670" s="25" t="s">
        <v>35</v>
      </c>
      <c r="N1670" t="s">
        <v>36</v>
      </c>
      <c r="O1670" t="s">
        <v>47</v>
      </c>
      <c r="P1670" t="s">
        <v>60</v>
      </c>
      <c r="Q1670" t="s">
        <v>899</v>
      </c>
      <c r="R1670" t="s">
        <v>828</v>
      </c>
      <c r="S1670" t="s">
        <v>821</v>
      </c>
      <c r="T1670">
        <v>27.99</v>
      </c>
      <c r="U1670">
        <v>-15.368888999999999</v>
      </c>
      <c r="V1670" t="s">
        <v>905</v>
      </c>
      <c r="W1670" s="25" t="s">
        <v>38</v>
      </c>
      <c r="X1670">
        <v>29</v>
      </c>
      <c r="Y1670" t="s">
        <v>95</v>
      </c>
      <c r="Z1670">
        <v>1</v>
      </c>
      <c r="AA1670">
        <v>1</v>
      </c>
      <c r="AC1670">
        <v>377</v>
      </c>
      <c r="AE1670">
        <v>835</v>
      </c>
      <c r="AG1670">
        <v>1933</v>
      </c>
      <c r="AH1670">
        <v>2.921686475</v>
      </c>
      <c r="AI1670">
        <v>17.73</v>
      </c>
      <c r="AJ1670" t="s">
        <v>421</v>
      </c>
      <c r="AK1670" t="s">
        <v>40</v>
      </c>
      <c r="AL1670" s="25" t="s">
        <v>60</v>
      </c>
      <c r="AM1670" t="s">
        <v>61</v>
      </c>
      <c r="AN1670">
        <v>5.9778597790000001</v>
      </c>
      <c r="AO1670">
        <v>1.872146428</v>
      </c>
      <c r="AP1670">
        <v>1.948339483</v>
      </c>
      <c r="AQ1670">
        <v>0.40691791799999999</v>
      </c>
      <c r="AR1670" t="s">
        <v>73</v>
      </c>
      <c r="AS1670">
        <f t="shared" si="165"/>
        <v>-1.1210851447901038</v>
      </c>
      <c r="AT1670">
        <f t="shared" si="166"/>
        <v>0.14170161383121846</v>
      </c>
      <c r="AW1670" s="28" t="e">
        <f t="shared" si="167"/>
        <v>#DIV/0!</v>
      </c>
      <c r="AX1670">
        <f t="shared" si="168"/>
        <v>4</v>
      </c>
      <c r="AY1670" s="62" t="e">
        <f t="shared" si="169"/>
        <v>#DIV/0!</v>
      </c>
      <c r="AZ1670" s="68" t="e">
        <f t="shared" si="163"/>
        <v>#DIV/0!</v>
      </c>
      <c r="BA1670" s="68" t="e">
        <f t="shared" si="164"/>
        <v>#DIV/0!</v>
      </c>
    </row>
    <row r="1671" spans="1:53" hidden="1">
      <c r="A1671" t="s">
        <v>908</v>
      </c>
      <c r="B1671" t="s">
        <v>424</v>
      </c>
      <c r="C1671" t="s">
        <v>416</v>
      </c>
      <c r="D1671" s="25">
        <v>28</v>
      </c>
      <c r="E1671" s="25">
        <v>215</v>
      </c>
      <c r="F1671" t="s">
        <v>1241</v>
      </c>
      <c r="G1671" t="s">
        <v>417</v>
      </c>
      <c r="H1671" s="3" t="s">
        <v>820</v>
      </c>
      <c r="I1671">
        <v>2019</v>
      </c>
      <c r="J1671" t="s">
        <v>418</v>
      </c>
      <c r="K1671" t="s">
        <v>92</v>
      </c>
      <c r="L1671" t="s">
        <v>419</v>
      </c>
      <c r="M1671" s="25" t="s">
        <v>35</v>
      </c>
      <c r="N1671" t="s">
        <v>36</v>
      </c>
      <c r="O1671" t="s">
        <v>47</v>
      </c>
      <c r="P1671" t="s">
        <v>60</v>
      </c>
      <c r="Q1671" t="s">
        <v>899</v>
      </c>
      <c r="R1671" t="s">
        <v>828</v>
      </c>
      <c r="S1671" t="s">
        <v>821</v>
      </c>
      <c r="T1671">
        <v>27.99</v>
      </c>
      <c r="U1671">
        <v>-15.368888999999999</v>
      </c>
      <c r="V1671" t="s">
        <v>905</v>
      </c>
      <c r="W1671" s="25" t="s">
        <v>38</v>
      </c>
      <c r="X1671">
        <v>29</v>
      </c>
      <c r="Y1671" t="s">
        <v>95</v>
      </c>
      <c r="Z1671">
        <v>1</v>
      </c>
      <c r="AA1671">
        <v>1</v>
      </c>
      <c r="AC1671">
        <v>377</v>
      </c>
      <c r="AE1671">
        <v>913</v>
      </c>
      <c r="AG1671">
        <v>1933</v>
      </c>
      <c r="AH1671">
        <v>2.9604707779999999</v>
      </c>
      <c r="AI1671">
        <v>17.73</v>
      </c>
      <c r="AJ1671" t="s">
        <v>421</v>
      </c>
      <c r="AK1671" t="s">
        <v>40</v>
      </c>
      <c r="AL1671" s="25" t="s">
        <v>60</v>
      </c>
      <c r="AM1671" t="s">
        <v>61</v>
      </c>
      <c r="AN1671">
        <v>5.9778597790000001</v>
      </c>
      <c r="AO1671">
        <v>1.872146428</v>
      </c>
      <c r="AP1671">
        <v>3.0996309960000001</v>
      </c>
      <c r="AQ1671">
        <v>0.64736941599999998</v>
      </c>
      <c r="AR1671" t="s">
        <v>73</v>
      </c>
      <c r="AS1671">
        <f t="shared" si="165"/>
        <v>-0.65677953655635446</v>
      </c>
      <c r="AT1671">
        <f t="shared" si="166"/>
        <v>0.14170161395702352</v>
      </c>
      <c r="AW1671" s="28" t="e">
        <f t="shared" si="167"/>
        <v>#DIV/0!</v>
      </c>
      <c r="AX1671">
        <f t="shared" si="168"/>
        <v>4</v>
      </c>
      <c r="AY1671" s="62" t="e">
        <f t="shared" si="169"/>
        <v>#DIV/0!</v>
      </c>
      <c r="AZ1671" s="68" t="e">
        <f t="shared" si="163"/>
        <v>#DIV/0!</v>
      </c>
      <c r="BA1671" s="68" t="e">
        <f t="shared" si="164"/>
        <v>#DIV/0!</v>
      </c>
    </row>
    <row r="1672" spans="1:53" hidden="1">
      <c r="A1672" t="s">
        <v>908</v>
      </c>
      <c r="B1672" t="s">
        <v>425</v>
      </c>
      <c r="C1672" t="s">
        <v>416</v>
      </c>
      <c r="D1672" s="25">
        <v>28</v>
      </c>
      <c r="E1672" s="25">
        <v>216</v>
      </c>
      <c r="F1672" t="s">
        <v>1241</v>
      </c>
      <c r="G1672" t="s">
        <v>417</v>
      </c>
      <c r="H1672" s="3" t="s">
        <v>820</v>
      </c>
      <c r="I1672">
        <v>2019</v>
      </c>
      <c r="J1672" t="s">
        <v>418</v>
      </c>
      <c r="K1672" t="s">
        <v>92</v>
      </c>
      <c r="L1672" t="s">
        <v>419</v>
      </c>
      <c r="M1672" s="25" t="s">
        <v>35</v>
      </c>
      <c r="N1672" t="s">
        <v>36</v>
      </c>
      <c r="O1672" t="s">
        <v>47</v>
      </c>
      <c r="P1672" t="s">
        <v>60</v>
      </c>
      <c r="Q1672" t="s">
        <v>899</v>
      </c>
      <c r="R1672" t="s">
        <v>828</v>
      </c>
      <c r="S1672" t="s">
        <v>821</v>
      </c>
      <c r="T1672">
        <v>27.99</v>
      </c>
      <c r="U1672">
        <v>-15.368888999999999</v>
      </c>
      <c r="V1672" t="s">
        <v>905</v>
      </c>
      <c r="W1672" s="25" t="s">
        <v>38</v>
      </c>
      <c r="X1672">
        <v>29</v>
      </c>
      <c r="Y1672" t="s">
        <v>95</v>
      </c>
      <c r="Z1672">
        <v>1</v>
      </c>
      <c r="AA1672">
        <v>1</v>
      </c>
      <c r="AC1672">
        <v>377</v>
      </c>
      <c r="AE1672">
        <v>1041</v>
      </c>
      <c r="AG1672">
        <v>1933</v>
      </c>
      <c r="AH1672">
        <v>3.0174507300000002</v>
      </c>
      <c r="AI1672">
        <v>17.73</v>
      </c>
      <c r="AJ1672" t="s">
        <v>421</v>
      </c>
      <c r="AK1672" t="s">
        <v>40</v>
      </c>
      <c r="AL1672" s="25" t="s">
        <v>60</v>
      </c>
      <c r="AM1672" t="s">
        <v>61</v>
      </c>
      <c r="AN1672">
        <v>5.9778597790000001</v>
      </c>
      <c r="AO1672">
        <v>1.872146428</v>
      </c>
      <c r="AP1672">
        <v>2.4797047970000001</v>
      </c>
      <c r="AQ1672">
        <v>0.51789553300000002</v>
      </c>
      <c r="AR1672" t="s">
        <v>73</v>
      </c>
      <c r="AS1672">
        <f t="shared" si="165"/>
        <v>-0.87992308778990946</v>
      </c>
      <c r="AT1672">
        <f t="shared" si="166"/>
        <v>0.14170161398367734</v>
      </c>
      <c r="AW1672" s="28" t="e">
        <f t="shared" si="167"/>
        <v>#DIV/0!</v>
      </c>
      <c r="AX1672">
        <f t="shared" si="168"/>
        <v>4</v>
      </c>
      <c r="AY1672" s="62" t="e">
        <f t="shared" si="169"/>
        <v>#DIV/0!</v>
      </c>
      <c r="AZ1672" s="68" t="e">
        <f t="shared" si="163"/>
        <v>#DIV/0!</v>
      </c>
      <c r="BA1672" s="68" t="e">
        <f t="shared" si="164"/>
        <v>#DIV/0!</v>
      </c>
    </row>
    <row r="1673" spans="1:53" hidden="1">
      <c r="A1673" t="s">
        <v>908</v>
      </c>
      <c r="B1673" t="s">
        <v>426</v>
      </c>
      <c r="C1673" t="s">
        <v>416</v>
      </c>
      <c r="D1673" s="25">
        <v>28</v>
      </c>
      <c r="E1673" s="25">
        <v>217</v>
      </c>
      <c r="F1673" t="s">
        <v>1241</v>
      </c>
      <c r="G1673" t="s">
        <v>417</v>
      </c>
      <c r="H1673" s="3" t="s">
        <v>820</v>
      </c>
      <c r="I1673">
        <v>2019</v>
      </c>
      <c r="J1673" t="s">
        <v>418</v>
      </c>
      <c r="K1673" t="s">
        <v>92</v>
      </c>
      <c r="L1673" t="s">
        <v>419</v>
      </c>
      <c r="M1673" s="25" t="s">
        <v>35</v>
      </c>
      <c r="N1673" t="s">
        <v>36</v>
      </c>
      <c r="O1673" t="s">
        <v>47</v>
      </c>
      <c r="P1673" t="s">
        <v>60</v>
      </c>
      <c r="Q1673" t="s">
        <v>899</v>
      </c>
      <c r="R1673" t="s">
        <v>828</v>
      </c>
      <c r="S1673" t="s">
        <v>821</v>
      </c>
      <c r="T1673">
        <v>27.99</v>
      </c>
      <c r="U1673">
        <v>-15.368888999999999</v>
      </c>
      <c r="V1673" t="s">
        <v>905</v>
      </c>
      <c r="W1673" s="25" t="s">
        <v>38</v>
      </c>
      <c r="X1673">
        <v>29</v>
      </c>
      <c r="Y1673" t="s">
        <v>95</v>
      </c>
      <c r="Z1673">
        <v>1</v>
      </c>
      <c r="AA1673">
        <v>1</v>
      </c>
      <c r="AC1673">
        <v>377</v>
      </c>
      <c r="AE1673">
        <v>1137</v>
      </c>
      <c r="AG1673">
        <v>1933</v>
      </c>
      <c r="AH1673">
        <v>3.0557604650000001</v>
      </c>
      <c r="AI1673">
        <v>17.73</v>
      </c>
      <c r="AJ1673" t="s">
        <v>421</v>
      </c>
      <c r="AK1673" t="s">
        <v>40</v>
      </c>
      <c r="AL1673" s="25" t="s">
        <v>60</v>
      </c>
      <c r="AM1673" t="s">
        <v>61</v>
      </c>
      <c r="AN1673">
        <v>5.9778597790000001</v>
      </c>
      <c r="AO1673">
        <v>1.872146428</v>
      </c>
      <c r="AP1673">
        <v>1.0627306270000001</v>
      </c>
      <c r="AQ1673">
        <v>0.221955228</v>
      </c>
      <c r="AR1673" t="s">
        <v>73</v>
      </c>
      <c r="AS1673">
        <f t="shared" si="165"/>
        <v>-1.7272209484459622</v>
      </c>
      <c r="AT1673">
        <f t="shared" si="166"/>
        <v>0.14170161383868121</v>
      </c>
      <c r="AW1673" s="28" t="e">
        <f t="shared" si="167"/>
        <v>#DIV/0!</v>
      </c>
      <c r="AX1673">
        <f t="shared" si="168"/>
        <v>4</v>
      </c>
      <c r="AY1673" s="62" t="e">
        <f t="shared" si="169"/>
        <v>#DIV/0!</v>
      </c>
      <c r="AZ1673" s="68" t="e">
        <f t="shared" si="163"/>
        <v>#DIV/0!</v>
      </c>
      <c r="BA1673" s="68" t="e">
        <f t="shared" si="164"/>
        <v>#DIV/0!</v>
      </c>
    </row>
    <row r="1674" spans="1:53" hidden="1">
      <c r="A1674" t="s">
        <v>908</v>
      </c>
      <c r="B1674" t="s">
        <v>77</v>
      </c>
      <c r="C1674" t="s">
        <v>78</v>
      </c>
      <c r="D1674" s="25">
        <v>2</v>
      </c>
      <c r="E1674" s="25">
        <v>7</v>
      </c>
      <c r="F1674" t="s">
        <v>1241</v>
      </c>
      <c r="G1674" t="s">
        <v>79</v>
      </c>
      <c r="H1674" s="3" t="s">
        <v>823</v>
      </c>
      <c r="I1674">
        <v>2018</v>
      </c>
      <c r="J1674" t="s">
        <v>80</v>
      </c>
      <c r="K1674" t="s">
        <v>49</v>
      </c>
      <c r="L1674" t="s">
        <v>81</v>
      </c>
      <c r="M1674" s="25" t="s">
        <v>35</v>
      </c>
      <c r="N1674" t="s">
        <v>36</v>
      </c>
      <c r="O1674" t="s">
        <v>37</v>
      </c>
      <c r="P1674" t="s">
        <v>60</v>
      </c>
      <c r="Q1674" t="s">
        <v>899</v>
      </c>
      <c r="R1674" t="s">
        <v>822</v>
      </c>
      <c r="S1674" t="s">
        <v>824</v>
      </c>
      <c r="T1674">
        <v>41.524521499999999</v>
      </c>
      <c r="U1674">
        <v>-70.6683594</v>
      </c>
      <c r="V1674" t="s">
        <v>905</v>
      </c>
      <c r="W1674" s="25" t="s">
        <v>38</v>
      </c>
      <c r="X1674">
        <v>1</v>
      </c>
      <c r="Y1674" t="s">
        <v>39</v>
      </c>
      <c r="Z1674">
        <v>3</v>
      </c>
      <c r="AA1674">
        <v>3</v>
      </c>
      <c r="AC1674">
        <v>400</v>
      </c>
      <c r="AE1674">
        <v>800</v>
      </c>
      <c r="AG1674">
        <v>239</v>
      </c>
      <c r="AH1674">
        <v>2.903089987</v>
      </c>
      <c r="AI1674">
        <v>8</v>
      </c>
      <c r="AJ1674" t="s">
        <v>82</v>
      </c>
      <c r="AK1674" t="s">
        <v>904</v>
      </c>
      <c r="AL1674" s="25" t="s">
        <v>60</v>
      </c>
      <c r="AM1674" t="s">
        <v>61</v>
      </c>
      <c r="AN1674">
        <v>9.9823000000000004</v>
      </c>
      <c r="AO1674">
        <v>3.126871323</v>
      </c>
      <c r="AP1674">
        <v>10.194699999999999</v>
      </c>
      <c r="AQ1674">
        <v>2.575039936</v>
      </c>
      <c r="AR1674" t="s">
        <v>44</v>
      </c>
      <c r="AS1674">
        <f t="shared" si="165"/>
        <v>2.1054452710973504E-2</v>
      </c>
      <c r="AT1674">
        <f t="shared" si="166"/>
        <v>5.3973346646918163E-2</v>
      </c>
      <c r="AW1674" s="28">
        <f t="shared" si="167"/>
        <v>7.4154862853026263E-2</v>
      </c>
      <c r="AX1674">
        <f t="shared" si="168"/>
        <v>0.8</v>
      </c>
      <c r="AY1674" s="62">
        <f t="shared" si="169"/>
        <v>5.9323890282421014E-2</v>
      </c>
      <c r="AZ1674" s="68" t="str">
        <f t="shared" si="163"/>
        <v>No</v>
      </c>
      <c r="BA1674" s="68" t="str">
        <f t="shared" si="164"/>
        <v>No</v>
      </c>
    </row>
    <row r="1675" spans="1:53" hidden="1">
      <c r="A1675" t="s">
        <v>908</v>
      </c>
      <c r="B1675" t="s">
        <v>83</v>
      </c>
      <c r="C1675" t="s">
        <v>78</v>
      </c>
      <c r="D1675" s="25">
        <v>2</v>
      </c>
      <c r="E1675" s="25">
        <v>8</v>
      </c>
      <c r="F1675" t="s">
        <v>1241</v>
      </c>
      <c r="G1675" t="s">
        <v>79</v>
      </c>
      <c r="H1675" s="3" t="s">
        <v>823</v>
      </c>
      <c r="I1675">
        <v>2018</v>
      </c>
      <c r="J1675" t="s">
        <v>80</v>
      </c>
      <c r="K1675" t="s">
        <v>49</v>
      </c>
      <c r="L1675" t="s">
        <v>81</v>
      </c>
      <c r="M1675" s="25" t="s">
        <v>35</v>
      </c>
      <c r="N1675" t="s">
        <v>36</v>
      </c>
      <c r="O1675" t="s">
        <v>37</v>
      </c>
      <c r="P1675" t="s">
        <v>60</v>
      </c>
      <c r="Q1675" t="s">
        <v>899</v>
      </c>
      <c r="R1675" t="s">
        <v>822</v>
      </c>
      <c r="S1675" t="s">
        <v>824</v>
      </c>
      <c r="T1675">
        <v>41.524521499999999</v>
      </c>
      <c r="U1675">
        <v>-70.6683594</v>
      </c>
      <c r="V1675" t="s">
        <v>905</v>
      </c>
      <c r="W1675" s="25" t="s">
        <v>38</v>
      </c>
      <c r="X1675">
        <v>1</v>
      </c>
      <c r="Y1675" t="s">
        <v>39</v>
      </c>
      <c r="Z1675">
        <v>3</v>
      </c>
      <c r="AA1675">
        <v>3</v>
      </c>
      <c r="AC1675">
        <v>400</v>
      </c>
      <c r="AE1675">
        <v>1200</v>
      </c>
      <c r="AG1675">
        <v>239</v>
      </c>
      <c r="AH1675">
        <v>3.0791812460000001</v>
      </c>
      <c r="AI1675">
        <v>8</v>
      </c>
      <c r="AJ1675" t="s">
        <v>82</v>
      </c>
      <c r="AK1675" t="s">
        <v>904</v>
      </c>
      <c r="AL1675" s="25" t="s">
        <v>60</v>
      </c>
      <c r="AM1675" t="s">
        <v>61</v>
      </c>
      <c r="AN1675">
        <v>9.9823000000000004</v>
      </c>
      <c r="AO1675">
        <v>3.126871323</v>
      </c>
      <c r="AP1675">
        <v>9.5575200000000002</v>
      </c>
      <c r="AQ1675">
        <v>2.575005295</v>
      </c>
      <c r="AR1675" t="s">
        <v>44</v>
      </c>
      <c r="AS1675">
        <f t="shared" si="165"/>
        <v>-4.3485245509499837E-2</v>
      </c>
      <c r="AT1675">
        <f t="shared" si="166"/>
        <v>5.6902815595343499E-2</v>
      </c>
      <c r="AW1675" s="28">
        <f t="shared" si="167"/>
        <v>-0.14830354937912368</v>
      </c>
      <c r="AX1675">
        <f t="shared" si="168"/>
        <v>0.8</v>
      </c>
      <c r="AY1675" s="62">
        <f t="shared" si="169"/>
        <v>-0.11864283950329896</v>
      </c>
      <c r="AZ1675" s="68" t="str">
        <f t="shared" si="163"/>
        <v>No</v>
      </c>
      <c r="BA1675" s="68" t="str">
        <f t="shared" si="164"/>
        <v>No</v>
      </c>
    </row>
    <row r="1676" spans="1:53" hidden="1">
      <c r="A1676" t="s">
        <v>908</v>
      </c>
      <c r="B1676" t="s">
        <v>84</v>
      </c>
      <c r="C1676" t="s">
        <v>78</v>
      </c>
      <c r="D1676" s="25">
        <v>2</v>
      </c>
      <c r="E1676" s="25">
        <v>9</v>
      </c>
      <c r="F1676" t="s">
        <v>1241</v>
      </c>
      <c r="G1676" t="s">
        <v>79</v>
      </c>
      <c r="H1676" s="3" t="s">
        <v>823</v>
      </c>
      <c r="I1676">
        <v>2018</v>
      </c>
      <c r="J1676" t="s">
        <v>80</v>
      </c>
      <c r="K1676" t="s">
        <v>49</v>
      </c>
      <c r="L1676" t="s">
        <v>81</v>
      </c>
      <c r="M1676" s="25" t="s">
        <v>35</v>
      </c>
      <c r="N1676" t="s">
        <v>36</v>
      </c>
      <c r="O1676" t="s">
        <v>37</v>
      </c>
      <c r="P1676" t="s">
        <v>60</v>
      </c>
      <c r="Q1676" t="s">
        <v>899</v>
      </c>
      <c r="R1676" t="s">
        <v>822</v>
      </c>
      <c r="S1676" t="s">
        <v>824</v>
      </c>
      <c r="T1676">
        <v>41.524521499999999</v>
      </c>
      <c r="U1676">
        <v>-70.6683594</v>
      </c>
      <c r="V1676" t="s">
        <v>905</v>
      </c>
      <c r="W1676" s="25" t="s">
        <v>38</v>
      </c>
      <c r="X1676">
        <v>3</v>
      </c>
      <c r="Y1676" t="s">
        <v>39</v>
      </c>
      <c r="Z1676">
        <v>3</v>
      </c>
      <c r="AA1676">
        <v>3</v>
      </c>
      <c r="AC1676">
        <v>400</v>
      </c>
      <c r="AE1676">
        <v>800</v>
      </c>
      <c r="AG1676">
        <v>240</v>
      </c>
      <c r="AH1676">
        <v>2.903089987</v>
      </c>
      <c r="AI1676">
        <v>8</v>
      </c>
      <c r="AJ1676" t="s">
        <v>82</v>
      </c>
      <c r="AK1676" t="s">
        <v>904</v>
      </c>
      <c r="AL1676" s="25" t="s">
        <v>60</v>
      </c>
      <c r="AM1676" t="s">
        <v>61</v>
      </c>
      <c r="AN1676">
        <v>7.5398199999999997</v>
      </c>
      <c r="AO1676">
        <v>1.65542488</v>
      </c>
      <c r="AP1676">
        <v>10.0885</v>
      </c>
      <c r="AQ1676">
        <v>2.0232085479999999</v>
      </c>
      <c r="AR1676" t="s">
        <v>44</v>
      </c>
      <c r="AS1676">
        <f t="shared" si="165"/>
        <v>0.29119785221673267</v>
      </c>
      <c r="AT1676">
        <f t="shared" si="166"/>
        <v>2.9474750823700269E-2</v>
      </c>
      <c r="AW1676" s="28">
        <f t="shared" si="167"/>
        <v>1.3787928987035873</v>
      </c>
      <c r="AX1676">
        <f t="shared" si="168"/>
        <v>0.8</v>
      </c>
      <c r="AY1676" s="62">
        <f t="shared" si="169"/>
        <v>1.10303431896287</v>
      </c>
      <c r="AZ1676" s="68" t="str">
        <f t="shared" si="163"/>
        <v>No</v>
      </c>
      <c r="BA1676" s="68" t="str">
        <f t="shared" si="164"/>
        <v>No</v>
      </c>
    </row>
    <row r="1677" spans="1:53" hidden="1">
      <c r="A1677" t="s">
        <v>908</v>
      </c>
      <c r="B1677" t="s">
        <v>85</v>
      </c>
      <c r="C1677" t="s">
        <v>78</v>
      </c>
      <c r="D1677" s="25">
        <v>2</v>
      </c>
      <c r="E1677" s="25">
        <v>10</v>
      </c>
      <c r="F1677" t="s">
        <v>1241</v>
      </c>
      <c r="G1677" t="s">
        <v>79</v>
      </c>
      <c r="H1677" s="3" t="s">
        <v>823</v>
      </c>
      <c r="I1677">
        <v>2018</v>
      </c>
      <c r="J1677" t="s">
        <v>80</v>
      </c>
      <c r="K1677" t="s">
        <v>49</v>
      </c>
      <c r="L1677" t="s">
        <v>81</v>
      </c>
      <c r="M1677" s="25" t="s">
        <v>35</v>
      </c>
      <c r="N1677" t="s">
        <v>36</v>
      </c>
      <c r="O1677" t="s">
        <v>37</v>
      </c>
      <c r="P1677" t="s">
        <v>60</v>
      </c>
      <c r="Q1677" t="s">
        <v>899</v>
      </c>
      <c r="R1677" t="s">
        <v>822</v>
      </c>
      <c r="S1677" t="s">
        <v>824</v>
      </c>
      <c r="T1677">
        <v>41.524521499999999</v>
      </c>
      <c r="U1677">
        <v>-70.6683594</v>
      </c>
      <c r="V1677" t="s">
        <v>905</v>
      </c>
      <c r="W1677" s="25" t="s">
        <v>38</v>
      </c>
      <c r="X1677">
        <v>3</v>
      </c>
      <c r="Y1677" t="s">
        <v>39</v>
      </c>
      <c r="Z1677">
        <v>3</v>
      </c>
      <c r="AA1677">
        <v>3</v>
      </c>
      <c r="AC1677">
        <v>400</v>
      </c>
      <c r="AE1677">
        <v>1200</v>
      </c>
      <c r="AG1677">
        <v>240</v>
      </c>
      <c r="AH1677">
        <v>3.0791812460000001</v>
      </c>
      <c r="AI1677">
        <v>8</v>
      </c>
      <c r="AJ1677" t="s">
        <v>82</v>
      </c>
      <c r="AK1677" t="s">
        <v>904</v>
      </c>
      <c r="AL1677" s="25" t="s">
        <v>60</v>
      </c>
      <c r="AM1677" t="s">
        <v>61</v>
      </c>
      <c r="AN1677">
        <v>7.5398199999999997</v>
      </c>
      <c r="AO1677">
        <v>1.65542488</v>
      </c>
      <c r="AP1677">
        <v>19.5398</v>
      </c>
      <c r="AQ1677">
        <v>4.7823654849999997</v>
      </c>
      <c r="AR1677" t="s">
        <v>44</v>
      </c>
      <c r="AS1677">
        <f t="shared" si="165"/>
        <v>0.95225510209185726</v>
      </c>
      <c r="AT1677">
        <f t="shared" si="166"/>
        <v>3.6036031225374444E-2</v>
      </c>
      <c r="AW1677" s="28">
        <f t="shared" si="167"/>
        <v>3.3533464652992073</v>
      </c>
      <c r="AX1677">
        <f t="shared" si="168"/>
        <v>0.8</v>
      </c>
      <c r="AY1677" s="62">
        <f t="shared" si="169"/>
        <v>2.6826771722393659</v>
      </c>
      <c r="AZ1677" s="68" t="str">
        <f t="shared" si="163"/>
        <v>No</v>
      </c>
      <c r="BA1677" s="68" t="str">
        <f t="shared" si="164"/>
        <v>No</v>
      </c>
    </row>
    <row r="1678" spans="1:53" hidden="1">
      <c r="A1678" t="s">
        <v>908</v>
      </c>
      <c r="B1678" t="s">
        <v>86</v>
      </c>
      <c r="C1678" t="s">
        <v>78</v>
      </c>
      <c r="D1678" s="25">
        <v>2</v>
      </c>
      <c r="E1678" s="25">
        <v>11</v>
      </c>
      <c r="F1678" t="s">
        <v>1241</v>
      </c>
      <c r="G1678" t="s">
        <v>79</v>
      </c>
      <c r="H1678" s="3" t="s">
        <v>823</v>
      </c>
      <c r="I1678">
        <v>2018</v>
      </c>
      <c r="J1678" t="s">
        <v>80</v>
      </c>
      <c r="K1678" t="s">
        <v>49</v>
      </c>
      <c r="L1678" t="s">
        <v>81</v>
      </c>
      <c r="M1678" s="25" t="s">
        <v>35</v>
      </c>
      <c r="N1678" t="s">
        <v>36</v>
      </c>
      <c r="O1678" t="s">
        <v>37</v>
      </c>
      <c r="P1678" t="s">
        <v>60</v>
      </c>
      <c r="Q1678" t="s">
        <v>899</v>
      </c>
      <c r="R1678" t="s">
        <v>822</v>
      </c>
      <c r="S1678" t="s">
        <v>824</v>
      </c>
      <c r="T1678">
        <v>41.524521499999999</v>
      </c>
      <c r="U1678">
        <v>-70.6683594</v>
      </c>
      <c r="V1678" t="s">
        <v>905</v>
      </c>
      <c r="W1678" s="25" t="s">
        <v>38</v>
      </c>
      <c r="X1678">
        <v>7</v>
      </c>
      <c r="Y1678" t="s">
        <v>39</v>
      </c>
      <c r="Z1678">
        <v>3</v>
      </c>
      <c r="AA1678">
        <v>3</v>
      </c>
      <c r="AC1678">
        <v>400</v>
      </c>
      <c r="AE1678">
        <v>800</v>
      </c>
      <c r="AG1678">
        <v>241</v>
      </c>
      <c r="AH1678">
        <v>2.903089987</v>
      </c>
      <c r="AI1678">
        <v>8</v>
      </c>
      <c r="AJ1678" t="s">
        <v>82</v>
      </c>
      <c r="AK1678" t="s">
        <v>904</v>
      </c>
      <c r="AL1678" s="25" t="s">
        <v>60</v>
      </c>
      <c r="AM1678" t="s">
        <v>61</v>
      </c>
      <c r="AN1678">
        <v>6.9026500000000004</v>
      </c>
      <c r="AO1678">
        <v>2.0232951510000001</v>
      </c>
      <c r="AP1678">
        <v>14.0177</v>
      </c>
      <c r="AQ1678">
        <v>2.3910961400000001</v>
      </c>
      <c r="AR1678" t="s">
        <v>44</v>
      </c>
      <c r="AS1678">
        <f t="shared" si="165"/>
        <v>0.7084154209504987</v>
      </c>
      <c r="AT1678">
        <f t="shared" si="166"/>
        <v>3.8338334816815103E-2</v>
      </c>
      <c r="AW1678" s="28">
        <f t="shared" si="167"/>
        <v>3.2124390716613438</v>
      </c>
      <c r="AX1678">
        <f t="shared" si="168"/>
        <v>0.8</v>
      </c>
      <c r="AY1678" s="62">
        <f t="shared" si="169"/>
        <v>2.569951257329075</v>
      </c>
      <c r="AZ1678" s="68" t="str">
        <f t="shared" ref="AZ1678:AZ1709" si="170">IF(AY1678&gt;10,"Yes","No")</f>
        <v>No</v>
      </c>
      <c r="BA1678" s="68" t="str">
        <f t="shared" ref="BA1678:BA1709" si="171">IF(AY1678&lt;-10,"Yes","No")</f>
        <v>No</v>
      </c>
    </row>
    <row r="1679" spans="1:53" hidden="1">
      <c r="A1679" t="s">
        <v>908</v>
      </c>
      <c r="B1679" t="s">
        <v>87</v>
      </c>
      <c r="C1679" t="s">
        <v>78</v>
      </c>
      <c r="D1679" s="25">
        <v>2</v>
      </c>
      <c r="E1679" s="25">
        <v>12</v>
      </c>
      <c r="F1679" t="s">
        <v>1241</v>
      </c>
      <c r="G1679" t="s">
        <v>79</v>
      </c>
      <c r="H1679" s="3" t="s">
        <v>823</v>
      </c>
      <c r="I1679">
        <v>2018</v>
      </c>
      <c r="J1679" t="s">
        <v>80</v>
      </c>
      <c r="K1679" t="s">
        <v>49</v>
      </c>
      <c r="L1679" t="s">
        <v>81</v>
      </c>
      <c r="M1679" s="25" t="s">
        <v>35</v>
      </c>
      <c r="N1679" t="s">
        <v>36</v>
      </c>
      <c r="O1679" t="s">
        <v>37</v>
      </c>
      <c r="P1679" t="s">
        <v>60</v>
      </c>
      <c r="Q1679" t="s">
        <v>899</v>
      </c>
      <c r="R1679" t="s">
        <v>822</v>
      </c>
      <c r="S1679" t="s">
        <v>824</v>
      </c>
      <c r="T1679">
        <v>41.524521499999999</v>
      </c>
      <c r="U1679">
        <v>-70.6683594</v>
      </c>
      <c r="V1679" t="s">
        <v>905</v>
      </c>
      <c r="W1679" s="25" t="s">
        <v>38</v>
      </c>
      <c r="X1679">
        <v>7</v>
      </c>
      <c r="Y1679" t="s">
        <v>39</v>
      </c>
      <c r="Z1679">
        <v>3</v>
      </c>
      <c r="AA1679">
        <v>3</v>
      </c>
      <c r="AC1679">
        <v>400</v>
      </c>
      <c r="AE1679">
        <v>1200</v>
      </c>
      <c r="AG1679">
        <v>241</v>
      </c>
      <c r="AH1679">
        <v>3.0791812460000001</v>
      </c>
      <c r="AI1679">
        <v>8</v>
      </c>
      <c r="AJ1679" t="s">
        <v>82</v>
      </c>
      <c r="AK1679" t="s">
        <v>904</v>
      </c>
      <c r="AL1679" s="25" t="s">
        <v>60</v>
      </c>
      <c r="AM1679" t="s">
        <v>61</v>
      </c>
      <c r="AN1679">
        <v>6.9026500000000004</v>
      </c>
      <c r="AO1679">
        <v>2.0232951510000001</v>
      </c>
      <c r="AP1679">
        <v>14.442500000000001</v>
      </c>
      <c r="AQ1679">
        <v>2.9429275270000002</v>
      </c>
      <c r="AR1679" t="s">
        <v>44</v>
      </c>
      <c r="AS1679">
        <f t="shared" si="165"/>
        <v>0.73826985283044055</v>
      </c>
      <c r="AT1679">
        <f t="shared" si="166"/>
        <v>4.2480048825565817E-2</v>
      </c>
      <c r="AW1679" s="28">
        <f t="shared" si="167"/>
        <v>2.9856933906196277</v>
      </c>
      <c r="AX1679">
        <f t="shared" si="168"/>
        <v>0.8</v>
      </c>
      <c r="AY1679" s="62">
        <f t="shared" si="169"/>
        <v>2.3885547124957021</v>
      </c>
      <c r="AZ1679" s="68" t="str">
        <f t="shared" si="170"/>
        <v>No</v>
      </c>
      <c r="BA1679" s="68" t="str">
        <f t="shared" si="171"/>
        <v>No</v>
      </c>
    </row>
    <row r="1680" spans="1:53" hidden="1">
      <c r="A1680" t="s">
        <v>908</v>
      </c>
      <c r="B1680" t="s">
        <v>88</v>
      </c>
      <c r="C1680" t="s">
        <v>78</v>
      </c>
      <c r="D1680" s="25">
        <v>2</v>
      </c>
      <c r="E1680" s="25">
        <v>13</v>
      </c>
      <c r="F1680" t="s">
        <v>1241</v>
      </c>
      <c r="G1680" t="s">
        <v>79</v>
      </c>
      <c r="H1680" s="3" t="s">
        <v>823</v>
      </c>
      <c r="I1680">
        <v>2018</v>
      </c>
      <c r="J1680" t="s">
        <v>80</v>
      </c>
      <c r="K1680" t="s">
        <v>49</v>
      </c>
      <c r="L1680" t="s">
        <v>81</v>
      </c>
      <c r="M1680" s="25" t="s">
        <v>35</v>
      </c>
      <c r="N1680" t="s">
        <v>36</v>
      </c>
      <c r="O1680" t="s">
        <v>37</v>
      </c>
      <c r="P1680" t="s">
        <v>60</v>
      </c>
      <c r="Q1680" t="s">
        <v>899</v>
      </c>
      <c r="R1680" t="s">
        <v>822</v>
      </c>
      <c r="S1680" t="s">
        <v>824</v>
      </c>
      <c r="T1680">
        <v>41.524521499999999</v>
      </c>
      <c r="U1680">
        <v>-70.6683594</v>
      </c>
      <c r="V1680" t="s">
        <v>905</v>
      </c>
      <c r="W1680" s="25" t="s">
        <v>38</v>
      </c>
      <c r="X1680">
        <v>14</v>
      </c>
      <c r="Y1680" t="s">
        <v>39</v>
      </c>
      <c r="Z1680">
        <v>3</v>
      </c>
      <c r="AA1680">
        <v>3</v>
      </c>
      <c r="AC1680">
        <v>400</v>
      </c>
      <c r="AE1680">
        <v>800</v>
      </c>
      <c r="AG1680">
        <v>242</v>
      </c>
      <c r="AH1680">
        <v>2.903089987</v>
      </c>
      <c r="AI1680">
        <v>8</v>
      </c>
      <c r="AJ1680" t="s">
        <v>82</v>
      </c>
      <c r="AK1680" t="s">
        <v>904</v>
      </c>
      <c r="AL1680" s="25" t="s">
        <v>60</v>
      </c>
      <c r="AM1680" t="s">
        <v>61</v>
      </c>
      <c r="AN1680">
        <v>3.5044200000000001</v>
      </c>
      <c r="AO1680">
        <v>0.91968433800000005</v>
      </c>
      <c r="AP1680">
        <v>5.9469000000000003</v>
      </c>
      <c r="AQ1680">
        <v>0.91968433800000005</v>
      </c>
      <c r="AR1680" t="s">
        <v>44</v>
      </c>
      <c r="AS1680">
        <f t="shared" si="165"/>
        <v>0.52884504647729136</v>
      </c>
      <c r="AT1680">
        <f t="shared" si="166"/>
        <v>3.0929612571256399E-2</v>
      </c>
      <c r="AW1680" s="28">
        <f t="shared" si="167"/>
        <v>2.6557807924744719</v>
      </c>
      <c r="AX1680">
        <f t="shared" si="168"/>
        <v>0.8</v>
      </c>
      <c r="AY1680" s="62">
        <f t="shared" si="169"/>
        <v>2.1246246339795776</v>
      </c>
      <c r="AZ1680" s="68" t="str">
        <f t="shared" si="170"/>
        <v>No</v>
      </c>
      <c r="BA1680" s="68" t="str">
        <f t="shared" si="171"/>
        <v>No</v>
      </c>
    </row>
    <row r="1681" spans="1:53" hidden="1">
      <c r="A1681" t="s">
        <v>908</v>
      </c>
      <c r="B1681" t="s">
        <v>89</v>
      </c>
      <c r="C1681" t="s">
        <v>78</v>
      </c>
      <c r="D1681" s="25">
        <v>2</v>
      </c>
      <c r="E1681" s="25">
        <v>14</v>
      </c>
      <c r="F1681" t="s">
        <v>1241</v>
      </c>
      <c r="G1681" t="s">
        <v>79</v>
      </c>
      <c r="H1681" s="3" t="s">
        <v>823</v>
      </c>
      <c r="I1681">
        <v>2018</v>
      </c>
      <c r="J1681" t="s">
        <v>80</v>
      </c>
      <c r="K1681" t="s">
        <v>49</v>
      </c>
      <c r="L1681" t="s">
        <v>81</v>
      </c>
      <c r="M1681" s="25" t="s">
        <v>35</v>
      </c>
      <c r="N1681" t="s">
        <v>36</v>
      </c>
      <c r="O1681" t="s">
        <v>37</v>
      </c>
      <c r="P1681" t="s">
        <v>60</v>
      </c>
      <c r="Q1681" t="s">
        <v>899</v>
      </c>
      <c r="R1681" t="s">
        <v>822</v>
      </c>
      <c r="S1681" t="s">
        <v>824</v>
      </c>
      <c r="T1681">
        <v>41.524521499999999</v>
      </c>
      <c r="U1681">
        <v>-70.6683594</v>
      </c>
      <c r="V1681" t="s">
        <v>905</v>
      </c>
      <c r="W1681" s="25" t="s">
        <v>38</v>
      </c>
      <c r="X1681">
        <v>14</v>
      </c>
      <c r="Y1681" t="s">
        <v>39</v>
      </c>
      <c r="Z1681">
        <v>3</v>
      </c>
      <c r="AA1681">
        <v>3</v>
      </c>
      <c r="AC1681">
        <v>400</v>
      </c>
      <c r="AE1681">
        <v>1200</v>
      </c>
      <c r="AG1681">
        <v>242</v>
      </c>
      <c r="AH1681">
        <v>3.0791812460000001</v>
      </c>
      <c r="AI1681">
        <v>8</v>
      </c>
      <c r="AJ1681" t="s">
        <v>82</v>
      </c>
      <c r="AK1681" t="s">
        <v>904</v>
      </c>
      <c r="AL1681" s="25" t="s">
        <v>60</v>
      </c>
      <c r="AM1681" t="s">
        <v>61</v>
      </c>
      <c r="AN1681">
        <v>3.5044200000000001</v>
      </c>
      <c r="AO1681">
        <v>0.91968433800000005</v>
      </c>
      <c r="AP1681">
        <v>11.0442</v>
      </c>
      <c r="AQ1681">
        <v>4.4144778929999999</v>
      </c>
      <c r="AR1681" t="s">
        <v>44</v>
      </c>
      <c r="AS1681">
        <f t="shared" si="165"/>
        <v>1.1478803743797477</v>
      </c>
      <c r="AT1681">
        <f t="shared" si="166"/>
        <v>7.6213515220247954E-2</v>
      </c>
      <c r="AW1681" s="28">
        <f t="shared" si="167"/>
        <v>2.3646578103567975</v>
      </c>
      <c r="AX1681">
        <f t="shared" si="168"/>
        <v>0.8</v>
      </c>
      <c r="AY1681" s="62">
        <f t="shared" si="169"/>
        <v>1.891726248285438</v>
      </c>
      <c r="AZ1681" s="68" t="str">
        <f t="shared" si="170"/>
        <v>No</v>
      </c>
      <c r="BA1681" s="68" t="str">
        <f t="shared" si="171"/>
        <v>No</v>
      </c>
    </row>
    <row r="1682" spans="1:53" hidden="1">
      <c r="A1682" t="s">
        <v>908</v>
      </c>
      <c r="B1682" t="s">
        <v>338</v>
      </c>
      <c r="C1682" t="s">
        <v>339</v>
      </c>
      <c r="D1682" s="25">
        <v>23</v>
      </c>
      <c r="E1682" s="25">
        <v>143</v>
      </c>
      <c r="F1682" t="s">
        <v>1241</v>
      </c>
      <c r="G1682" t="s">
        <v>340</v>
      </c>
      <c r="H1682" s="3" t="s">
        <v>825</v>
      </c>
      <c r="I1682">
        <v>2018</v>
      </c>
      <c r="J1682" t="s">
        <v>341</v>
      </c>
      <c r="K1682" t="s">
        <v>72</v>
      </c>
      <c r="L1682" t="s">
        <v>342</v>
      </c>
      <c r="M1682" s="25" t="s">
        <v>35</v>
      </c>
      <c r="N1682" t="s">
        <v>36</v>
      </c>
      <c r="O1682" t="s">
        <v>37</v>
      </c>
      <c r="P1682" t="s">
        <v>60</v>
      </c>
      <c r="Q1682" t="s">
        <v>899</v>
      </c>
      <c r="R1682" t="s">
        <v>828</v>
      </c>
      <c r="S1682" t="s">
        <v>828</v>
      </c>
      <c r="T1682">
        <v>-32.150100000000002</v>
      </c>
      <c r="U1682">
        <v>151.2501</v>
      </c>
      <c r="V1682" t="s">
        <v>905</v>
      </c>
      <c r="W1682" s="25" t="s">
        <v>38</v>
      </c>
      <c r="X1682">
        <v>150</v>
      </c>
      <c r="Y1682" t="s">
        <v>39</v>
      </c>
      <c r="Z1682">
        <v>3</v>
      </c>
      <c r="AA1682">
        <v>3</v>
      </c>
      <c r="AC1682">
        <v>370</v>
      </c>
      <c r="AE1682">
        <v>1100</v>
      </c>
      <c r="AG1682">
        <v>1276</v>
      </c>
      <c r="AH1682">
        <v>3.0413926849999999</v>
      </c>
      <c r="AI1682">
        <v>21</v>
      </c>
      <c r="AJ1682" t="s">
        <v>343</v>
      </c>
      <c r="AK1682" t="s">
        <v>40</v>
      </c>
      <c r="AL1682" s="25" t="s">
        <v>60</v>
      </c>
      <c r="AM1682" t="s">
        <v>61</v>
      </c>
      <c r="AN1682">
        <v>203.77941229999999</v>
      </c>
      <c r="AO1682">
        <v>106.47941590000001</v>
      </c>
      <c r="AP1682">
        <v>84.621538319999999</v>
      </c>
      <c r="AQ1682">
        <v>44.2166943</v>
      </c>
      <c r="AR1682" t="s">
        <v>45</v>
      </c>
      <c r="AS1682">
        <f t="shared" si="165"/>
        <v>-0.87884927226889253</v>
      </c>
      <c r="AT1682">
        <f t="shared" si="166"/>
        <v>0.18202014275792777</v>
      </c>
      <c r="AW1682" s="28">
        <f t="shared" si="167"/>
        <v>-1.4615932690846898</v>
      </c>
      <c r="AX1682">
        <f t="shared" si="168"/>
        <v>0.8</v>
      </c>
      <c r="AY1682" s="62">
        <f t="shared" si="169"/>
        <v>-1.1692746152677518</v>
      </c>
      <c r="AZ1682" s="68" t="str">
        <f t="shared" si="170"/>
        <v>No</v>
      </c>
      <c r="BA1682" s="68" t="str">
        <f t="shared" si="171"/>
        <v>No</v>
      </c>
    </row>
    <row r="1683" spans="1:53" hidden="1">
      <c r="A1683" t="s">
        <v>908</v>
      </c>
      <c r="B1683" t="s">
        <v>344</v>
      </c>
      <c r="C1683" t="s">
        <v>339</v>
      </c>
      <c r="D1683" s="25">
        <v>23</v>
      </c>
      <c r="E1683" s="25">
        <v>144</v>
      </c>
      <c r="F1683" t="s">
        <v>1241</v>
      </c>
      <c r="G1683" t="s">
        <v>340</v>
      </c>
      <c r="H1683" s="3" t="s">
        <v>825</v>
      </c>
      <c r="I1683">
        <v>2018</v>
      </c>
      <c r="J1683" t="s">
        <v>341</v>
      </c>
      <c r="K1683" t="s">
        <v>72</v>
      </c>
      <c r="L1683" t="s">
        <v>342</v>
      </c>
      <c r="M1683" s="25" t="s">
        <v>35</v>
      </c>
      <c r="N1683" t="s">
        <v>36</v>
      </c>
      <c r="O1683" t="s">
        <v>37</v>
      </c>
      <c r="P1683" t="s">
        <v>60</v>
      </c>
      <c r="Q1683" t="s">
        <v>899</v>
      </c>
      <c r="R1683" t="s">
        <v>828</v>
      </c>
      <c r="S1683" t="s">
        <v>828</v>
      </c>
      <c r="T1683">
        <v>-32.150100000000002</v>
      </c>
      <c r="U1683">
        <v>151.2501</v>
      </c>
      <c r="V1683" t="s">
        <v>905</v>
      </c>
      <c r="W1683" s="25" t="s">
        <v>38</v>
      </c>
      <c r="X1683">
        <v>150</v>
      </c>
      <c r="Y1683" t="s">
        <v>39</v>
      </c>
      <c r="Z1683">
        <v>3</v>
      </c>
      <c r="AA1683">
        <v>3</v>
      </c>
      <c r="AC1683">
        <v>370</v>
      </c>
      <c r="AE1683">
        <v>1100</v>
      </c>
      <c r="AG1683">
        <v>1277</v>
      </c>
      <c r="AH1683">
        <v>3.0413926849999999</v>
      </c>
      <c r="AI1683">
        <v>21</v>
      </c>
      <c r="AJ1683" t="s">
        <v>343</v>
      </c>
      <c r="AK1683" t="s">
        <v>40</v>
      </c>
      <c r="AL1683" s="25" t="s">
        <v>60</v>
      </c>
      <c r="AM1683" t="s">
        <v>61</v>
      </c>
      <c r="AN1683">
        <v>131.31689660000001</v>
      </c>
      <c r="AO1683">
        <v>55.888024000000001</v>
      </c>
      <c r="AP1683">
        <v>13.96491086</v>
      </c>
      <c r="AQ1683">
        <v>1.0865760360000001</v>
      </c>
      <c r="AR1683" t="s">
        <v>45</v>
      </c>
      <c r="AS1683">
        <f t="shared" si="165"/>
        <v>-2.2410656437295224</v>
      </c>
      <c r="AT1683">
        <f t="shared" si="166"/>
        <v>6.2395494034535502E-2</v>
      </c>
      <c r="AW1683" s="28">
        <f t="shared" si="167"/>
        <v>-2.9689618792629462</v>
      </c>
      <c r="AX1683">
        <f t="shared" si="168"/>
        <v>0.8</v>
      </c>
      <c r="AY1683" s="62">
        <f t="shared" si="169"/>
        <v>-2.375169503410357</v>
      </c>
      <c r="AZ1683" s="68" t="str">
        <f t="shared" si="170"/>
        <v>No</v>
      </c>
      <c r="BA1683" s="68" t="str">
        <f t="shared" si="171"/>
        <v>No</v>
      </c>
    </row>
    <row r="1684" spans="1:53" hidden="1">
      <c r="A1684" t="s">
        <v>908</v>
      </c>
      <c r="B1684" t="s">
        <v>345</v>
      </c>
      <c r="C1684" t="s">
        <v>339</v>
      </c>
      <c r="D1684" s="25">
        <v>23</v>
      </c>
      <c r="E1684" s="25">
        <v>145</v>
      </c>
      <c r="F1684" t="s">
        <v>1241</v>
      </c>
      <c r="G1684" t="s">
        <v>340</v>
      </c>
      <c r="H1684" s="3" t="s">
        <v>825</v>
      </c>
      <c r="I1684">
        <v>2018</v>
      </c>
      <c r="J1684" t="s">
        <v>341</v>
      </c>
      <c r="K1684" t="s">
        <v>72</v>
      </c>
      <c r="L1684" t="s">
        <v>342</v>
      </c>
      <c r="M1684" s="25" t="s">
        <v>35</v>
      </c>
      <c r="N1684" t="s">
        <v>36</v>
      </c>
      <c r="O1684" t="s">
        <v>37</v>
      </c>
      <c r="P1684" t="s">
        <v>60</v>
      </c>
      <c r="Q1684" t="s">
        <v>899</v>
      </c>
      <c r="R1684" t="s">
        <v>827</v>
      </c>
      <c r="S1684" t="s">
        <v>829</v>
      </c>
      <c r="T1684">
        <v>-32.150100000000002</v>
      </c>
      <c r="U1684">
        <v>151.2501</v>
      </c>
      <c r="V1684" t="s">
        <v>905</v>
      </c>
      <c r="W1684" s="25" t="s">
        <v>38</v>
      </c>
      <c r="X1684">
        <v>150</v>
      </c>
      <c r="Y1684" t="s">
        <v>39</v>
      </c>
      <c r="Z1684">
        <v>3</v>
      </c>
      <c r="AA1684">
        <v>3</v>
      </c>
      <c r="AC1684">
        <v>370</v>
      </c>
      <c r="AE1684">
        <v>1100</v>
      </c>
      <c r="AG1684">
        <v>1278</v>
      </c>
      <c r="AH1684">
        <v>3.0413926849999999</v>
      </c>
      <c r="AI1684">
        <v>21</v>
      </c>
      <c r="AJ1684" t="s">
        <v>346</v>
      </c>
      <c r="AK1684" t="s">
        <v>40</v>
      </c>
      <c r="AL1684" s="25" t="s">
        <v>60</v>
      </c>
      <c r="AM1684" t="s">
        <v>61</v>
      </c>
      <c r="AN1684">
        <v>3.5763096499999998</v>
      </c>
      <c r="AO1684">
        <v>1.1903289450000001</v>
      </c>
      <c r="AP1684">
        <v>3.2754213499999998</v>
      </c>
      <c r="AQ1684">
        <v>1.7114827669999999</v>
      </c>
      <c r="AR1684" t="s">
        <v>45</v>
      </c>
      <c r="AS1684">
        <f t="shared" si="165"/>
        <v>-8.7884927425551762E-2</v>
      </c>
      <c r="AT1684">
        <f t="shared" si="166"/>
        <v>0.12793694208499318</v>
      </c>
      <c r="AW1684" s="28">
        <f t="shared" si="167"/>
        <v>-0.20411392144399465</v>
      </c>
      <c r="AX1684">
        <f t="shared" si="168"/>
        <v>0.8</v>
      </c>
      <c r="AY1684" s="62">
        <f t="shared" si="169"/>
        <v>-0.16329113715519572</v>
      </c>
      <c r="AZ1684" s="68" t="str">
        <f t="shared" si="170"/>
        <v>No</v>
      </c>
      <c r="BA1684" s="68" t="str">
        <f t="shared" si="171"/>
        <v>No</v>
      </c>
    </row>
    <row r="1685" spans="1:53" hidden="1">
      <c r="A1685" t="s">
        <v>908</v>
      </c>
      <c r="B1685" t="s">
        <v>347</v>
      </c>
      <c r="C1685" t="s">
        <v>339</v>
      </c>
      <c r="D1685" s="25">
        <v>23</v>
      </c>
      <c r="E1685" s="25">
        <v>146</v>
      </c>
      <c r="F1685" t="s">
        <v>1241</v>
      </c>
      <c r="G1685" t="s">
        <v>340</v>
      </c>
      <c r="H1685" s="3" t="s">
        <v>825</v>
      </c>
      <c r="I1685">
        <v>2018</v>
      </c>
      <c r="J1685" t="s">
        <v>341</v>
      </c>
      <c r="K1685" t="s">
        <v>72</v>
      </c>
      <c r="L1685" t="s">
        <v>342</v>
      </c>
      <c r="M1685" s="25" t="s">
        <v>35</v>
      </c>
      <c r="N1685" t="s">
        <v>36</v>
      </c>
      <c r="O1685" t="s">
        <v>37</v>
      </c>
      <c r="P1685" t="s">
        <v>60</v>
      </c>
      <c r="Q1685" t="s">
        <v>899</v>
      </c>
      <c r="R1685" t="s">
        <v>827</v>
      </c>
      <c r="S1685" t="s">
        <v>829</v>
      </c>
      <c r="T1685">
        <v>-32.150100000000002</v>
      </c>
      <c r="U1685">
        <v>151.2501</v>
      </c>
      <c r="V1685" t="s">
        <v>905</v>
      </c>
      <c r="W1685" s="25" t="s">
        <v>38</v>
      </c>
      <c r="X1685">
        <v>150</v>
      </c>
      <c r="Y1685" t="s">
        <v>39</v>
      </c>
      <c r="Z1685">
        <v>3</v>
      </c>
      <c r="AA1685">
        <v>3</v>
      </c>
      <c r="AC1685">
        <v>370</v>
      </c>
      <c r="AE1685">
        <v>1100</v>
      </c>
      <c r="AG1685">
        <v>1279</v>
      </c>
      <c r="AH1685">
        <v>3.0413926849999999</v>
      </c>
      <c r="AI1685">
        <v>21</v>
      </c>
      <c r="AJ1685" t="s">
        <v>346</v>
      </c>
      <c r="AK1685" t="s">
        <v>40</v>
      </c>
      <c r="AL1685" s="25" t="s">
        <v>60</v>
      </c>
      <c r="AM1685" t="s">
        <v>61</v>
      </c>
      <c r="AN1685">
        <v>3.7369654620000001</v>
      </c>
      <c r="AO1685">
        <v>0.91206491599999995</v>
      </c>
      <c r="AP1685">
        <v>1.770482356</v>
      </c>
      <c r="AQ1685">
        <v>0.75351126099999999</v>
      </c>
      <c r="AR1685" t="s">
        <v>45</v>
      </c>
      <c r="AS1685">
        <f t="shared" si="165"/>
        <v>-0.74702188131406244</v>
      </c>
      <c r="AT1685">
        <f t="shared" si="166"/>
        <v>8.0233501366395746E-2</v>
      </c>
      <c r="AW1685" s="28">
        <f t="shared" si="167"/>
        <v>-2.3506977502270234</v>
      </c>
      <c r="AX1685">
        <f t="shared" si="168"/>
        <v>0.8</v>
      </c>
      <c r="AY1685" s="62">
        <f t="shared" si="169"/>
        <v>-1.8805582001816188</v>
      </c>
      <c r="AZ1685" s="68" t="str">
        <f t="shared" si="170"/>
        <v>No</v>
      </c>
      <c r="BA1685" s="68" t="str">
        <f t="shared" si="171"/>
        <v>No</v>
      </c>
    </row>
    <row r="1686" spans="1:53" hidden="1">
      <c r="A1686" t="s">
        <v>908</v>
      </c>
      <c r="B1686" t="s">
        <v>348</v>
      </c>
      <c r="C1686" t="s">
        <v>339</v>
      </c>
      <c r="D1686" s="25">
        <v>23</v>
      </c>
      <c r="E1686" s="25">
        <v>147</v>
      </c>
      <c r="F1686" t="s">
        <v>1241</v>
      </c>
      <c r="G1686" t="s">
        <v>340</v>
      </c>
      <c r="H1686" s="3" t="s">
        <v>825</v>
      </c>
      <c r="I1686">
        <v>2018</v>
      </c>
      <c r="J1686" t="s">
        <v>341</v>
      </c>
      <c r="K1686" t="s">
        <v>72</v>
      </c>
      <c r="L1686" t="s">
        <v>342</v>
      </c>
      <c r="M1686" s="25" t="s">
        <v>35</v>
      </c>
      <c r="N1686" t="s">
        <v>36</v>
      </c>
      <c r="O1686" t="s">
        <v>37</v>
      </c>
      <c r="P1686" t="s">
        <v>60</v>
      </c>
      <c r="Q1686" t="s">
        <v>899</v>
      </c>
      <c r="R1686" t="s">
        <v>827</v>
      </c>
      <c r="S1686" t="s">
        <v>830</v>
      </c>
      <c r="T1686">
        <v>-32.150100000000002</v>
      </c>
      <c r="U1686">
        <v>151.2501</v>
      </c>
      <c r="V1686" t="s">
        <v>905</v>
      </c>
      <c r="W1686" s="25" t="s">
        <v>38</v>
      </c>
      <c r="X1686">
        <v>150</v>
      </c>
      <c r="Y1686" t="s">
        <v>39</v>
      </c>
      <c r="Z1686">
        <v>3</v>
      </c>
      <c r="AA1686">
        <v>3</v>
      </c>
      <c r="AC1686">
        <v>370</v>
      </c>
      <c r="AE1686">
        <v>1100</v>
      </c>
      <c r="AG1686">
        <v>1280</v>
      </c>
      <c r="AH1686">
        <v>3.0413926849999999</v>
      </c>
      <c r="AI1686">
        <v>21</v>
      </c>
      <c r="AJ1686" t="s">
        <v>349</v>
      </c>
      <c r="AK1686" t="s">
        <v>40</v>
      </c>
      <c r="AL1686" s="25" t="s">
        <v>60</v>
      </c>
      <c r="AM1686" t="s">
        <v>61</v>
      </c>
      <c r="AN1686">
        <v>1.454907052</v>
      </c>
      <c r="AO1686">
        <v>1.2281141200000001</v>
      </c>
      <c r="AP1686">
        <v>3.0796810950000002</v>
      </c>
      <c r="AQ1686">
        <v>1.616221532</v>
      </c>
      <c r="AR1686" t="s">
        <v>45</v>
      </c>
      <c r="AS1686">
        <f t="shared" si="165"/>
        <v>0.7498840342443851</v>
      </c>
      <c r="AT1686">
        <f t="shared" si="166"/>
        <v>0.32931764577149852</v>
      </c>
      <c r="AW1686" s="28">
        <f t="shared" si="167"/>
        <v>1.1319737767671367</v>
      </c>
      <c r="AX1686">
        <f t="shared" si="168"/>
        <v>0.8</v>
      </c>
      <c r="AY1686" s="62">
        <f t="shared" si="169"/>
        <v>0.90557902141370938</v>
      </c>
      <c r="AZ1686" s="68" t="str">
        <f t="shared" si="170"/>
        <v>No</v>
      </c>
      <c r="BA1686" s="68" t="str">
        <f t="shared" si="171"/>
        <v>No</v>
      </c>
    </row>
    <row r="1687" spans="1:53" hidden="1">
      <c r="A1687" t="s">
        <v>908</v>
      </c>
      <c r="B1687" t="s">
        <v>350</v>
      </c>
      <c r="C1687" t="s">
        <v>339</v>
      </c>
      <c r="D1687" s="25">
        <v>23</v>
      </c>
      <c r="E1687" s="25">
        <v>148</v>
      </c>
      <c r="F1687" t="s">
        <v>1241</v>
      </c>
      <c r="G1687" t="s">
        <v>340</v>
      </c>
      <c r="H1687" s="3" t="s">
        <v>825</v>
      </c>
      <c r="I1687">
        <v>2018</v>
      </c>
      <c r="J1687" t="s">
        <v>341</v>
      </c>
      <c r="K1687" t="s">
        <v>72</v>
      </c>
      <c r="L1687" t="s">
        <v>342</v>
      </c>
      <c r="M1687" s="25" t="s">
        <v>35</v>
      </c>
      <c r="N1687" t="s">
        <v>36</v>
      </c>
      <c r="O1687" t="s">
        <v>37</v>
      </c>
      <c r="P1687" t="s">
        <v>60</v>
      </c>
      <c r="Q1687" t="s">
        <v>899</v>
      </c>
      <c r="R1687" t="s">
        <v>826</v>
      </c>
      <c r="S1687" t="s">
        <v>831</v>
      </c>
      <c r="T1687">
        <v>-32.150100000000002</v>
      </c>
      <c r="U1687">
        <v>151.2501</v>
      </c>
      <c r="V1687" t="s">
        <v>905</v>
      </c>
      <c r="W1687" s="25" t="s">
        <v>38</v>
      </c>
      <c r="X1687">
        <v>150</v>
      </c>
      <c r="Y1687" t="s">
        <v>39</v>
      </c>
      <c r="Z1687">
        <v>3</v>
      </c>
      <c r="AA1687">
        <v>3</v>
      </c>
      <c r="AC1687">
        <v>370</v>
      </c>
      <c r="AE1687">
        <v>1100</v>
      </c>
      <c r="AG1687">
        <v>1281</v>
      </c>
      <c r="AH1687">
        <v>3.0413926849999999</v>
      </c>
      <c r="AI1687">
        <v>21</v>
      </c>
      <c r="AJ1687" t="s">
        <v>351</v>
      </c>
      <c r="AK1687" t="s">
        <v>40</v>
      </c>
      <c r="AL1687" s="25" t="s">
        <v>60</v>
      </c>
      <c r="AM1687" t="s">
        <v>61</v>
      </c>
      <c r="AN1687">
        <v>2.7689026839999999</v>
      </c>
      <c r="AO1687">
        <v>3.3631314670000001</v>
      </c>
      <c r="AP1687">
        <v>4.5065703380000004</v>
      </c>
      <c r="AQ1687">
        <v>3.3181851409999998</v>
      </c>
      <c r="AR1687" t="s">
        <v>45</v>
      </c>
      <c r="AS1687">
        <f t="shared" si="165"/>
        <v>0.48708530826051666</v>
      </c>
      <c r="AT1687">
        <f t="shared" si="166"/>
        <v>0.67246984534184684</v>
      </c>
      <c r="AW1687" s="28">
        <f t="shared" si="167"/>
        <v>0.52014548581198961</v>
      </c>
      <c r="AX1687">
        <f t="shared" si="168"/>
        <v>0.8</v>
      </c>
      <c r="AY1687" s="62">
        <f t="shared" si="169"/>
        <v>0.41611638864959172</v>
      </c>
      <c r="AZ1687" s="68" t="str">
        <f t="shared" si="170"/>
        <v>No</v>
      </c>
      <c r="BA1687" s="68" t="str">
        <f t="shared" si="171"/>
        <v>No</v>
      </c>
    </row>
    <row r="1688" spans="1:53" hidden="1">
      <c r="A1688" t="s">
        <v>908</v>
      </c>
      <c r="B1688" t="s">
        <v>352</v>
      </c>
      <c r="C1688" t="s">
        <v>339</v>
      </c>
      <c r="D1688" s="25">
        <v>23</v>
      </c>
      <c r="E1688" s="25">
        <v>149</v>
      </c>
      <c r="F1688" t="s">
        <v>1241</v>
      </c>
      <c r="G1688" t="s">
        <v>340</v>
      </c>
      <c r="H1688" s="3" t="s">
        <v>825</v>
      </c>
      <c r="I1688">
        <v>2018</v>
      </c>
      <c r="J1688" t="s">
        <v>341</v>
      </c>
      <c r="K1688" t="s">
        <v>72</v>
      </c>
      <c r="L1688" t="s">
        <v>342</v>
      </c>
      <c r="M1688" s="25" t="s">
        <v>35</v>
      </c>
      <c r="N1688" t="s">
        <v>36</v>
      </c>
      <c r="O1688" t="s">
        <v>37</v>
      </c>
      <c r="P1688" t="s">
        <v>60</v>
      </c>
      <c r="Q1688" t="s">
        <v>899</v>
      </c>
      <c r="R1688" t="s">
        <v>826</v>
      </c>
      <c r="S1688" t="s">
        <v>831</v>
      </c>
      <c r="T1688">
        <v>-32.150100000000002</v>
      </c>
      <c r="U1688">
        <v>151.2501</v>
      </c>
      <c r="V1688" t="s">
        <v>905</v>
      </c>
      <c r="W1688" s="25" t="s">
        <v>38</v>
      </c>
      <c r="X1688">
        <v>150</v>
      </c>
      <c r="Y1688" t="s">
        <v>39</v>
      </c>
      <c r="Z1688">
        <v>3</v>
      </c>
      <c r="AA1688">
        <v>3</v>
      </c>
      <c r="AC1688">
        <v>370</v>
      </c>
      <c r="AE1688">
        <v>1100</v>
      </c>
      <c r="AG1688">
        <v>1282</v>
      </c>
      <c r="AH1688">
        <v>3.0413926849999999</v>
      </c>
      <c r="AI1688">
        <v>21</v>
      </c>
      <c r="AJ1688" t="s">
        <v>351</v>
      </c>
      <c r="AK1688" t="s">
        <v>40</v>
      </c>
      <c r="AL1688" s="25" t="s">
        <v>60</v>
      </c>
      <c r="AM1688" t="s">
        <v>61</v>
      </c>
      <c r="AN1688">
        <v>2.7689026839999999</v>
      </c>
      <c r="AO1688">
        <v>4.1186629669999997</v>
      </c>
      <c r="AP1688">
        <v>3.3054513480000001</v>
      </c>
      <c r="AQ1688">
        <v>5.9022195379999998</v>
      </c>
      <c r="AR1688" t="s">
        <v>45</v>
      </c>
      <c r="AS1688">
        <f t="shared" si="165"/>
        <v>0.17712193043009949</v>
      </c>
      <c r="AT1688">
        <f t="shared" si="166"/>
        <v>1.8003146531963561</v>
      </c>
      <c r="AW1688" s="28">
        <f t="shared" si="167"/>
        <v>0.10542922060635017</v>
      </c>
      <c r="AX1688">
        <f t="shared" si="168"/>
        <v>0.8</v>
      </c>
      <c r="AY1688" s="62">
        <f t="shared" si="169"/>
        <v>8.434337648508014E-2</v>
      </c>
      <c r="AZ1688" s="68" t="str">
        <f t="shared" si="170"/>
        <v>No</v>
      </c>
      <c r="BA1688" s="68" t="str">
        <f t="shared" si="171"/>
        <v>No</v>
      </c>
    </row>
    <row r="1689" spans="1:53" hidden="1">
      <c r="A1689" t="s">
        <v>908</v>
      </c>
      <c r="B1689" t="s">
        <v>441</v>
      </c>
      <c r="C1689" t="s">
        <v>427</v>
      </c>
      <c r="D1689" s="25">
        <v>29</v>
      </c>
      <c r="E1689" s="25">
        <v>218</v>
      </c>
      <c r="F1689" t="s">
        <v>1241</v>
      </c>
      <c r="G1689" t="s">
        <v>428</v>
      </c>
      <c r="H1689" s="3" t="s">
        <v>832</v>
      </c>
      <c r="I1689">
        <v>2018</v>
      </c>
      <c r="J1689" t="s">
        <v>429</v>
      </c>
      <c r="K1689" t="s">
        <v>430</v>
      </c>
      <c r="L1689" t="s">
        <v>431</v>
      </c>
      <c r="M1689" s="25" t="s">
        <v>35</v>
      </c>
      <c r="N1689" t="s">
        <v>36</v>
      </c>
      <c r="O1689" t="s">
        <v>47</v>
      </c>
      <c r="P1689" t="s">
        <v>60</v>
      </c>
      <c r="Q1689" t="s">
        <v>899</v>
      </c>
      <c r="R1689" t="s">
        <v>834</v>
      </c>
      <c r="S1689" t="s">
        <v>833</v>
      </c>
      <c r="T1689">
        <v>-68.583332999999996</v>
      </c>
      <c r="U1689">
        <v>77.966667000000001</v>
      </c>
      <c r="V1689" t="s">
        <v>905</v>
      </c>
      <c r="W1689" s="25" t="s">
        <v>38</v>
      </c>
      <c r="X1689">
        <v>10</v>
      </c>
      <c r="Y1689" t="s">
        <v>95</v>
      </c>
      <c r="Z1689">
        <v>1</v>
      </c>
      <c r="AA1689">
        <v>1</v>
      </c>
      <c r="AB1689" t="s">
        <v>432</v>
      </c>
      <c r="AC1689">
        <v>195</v>
      </c>
      <c r="AE1689">
        <v>390</v>
      </c>
      <c r="AG1689">
        <v>1946</v>
      </c>
      <c r="AH1689">
        <v>2.5910646069999999</v>
      </c>
      <c r="AI1689">
        <v>2.2999999999999998</v>
      </c>
      <c r="AJ1689" t="s">
        <v>442</v>
      </c>
      <c r="AK1689" t="s">
        <v>40</v>
      </c>
      <c r="AL1689" s="25" t="s">
        <v>60</v>
      </c>
      <c r="AM1689" t="s">
        <v>61</v>
      </c>
      <c r="AN1689">
        <v>0.47029703</v>
      </c>
      <c r="AO1689">
        <v>0.14728764799999999</v>
      </c>
      <c r="AP1689">
        <v>0.235148515</v>
      </c>
      <c r="AQ1689">
        <v>4.9111637999999999E-2</v>
      </c>
      <c r="AR1689" t="s">
        <v>94</v>
      </c>
      <c r="AS1689">
        <f t="shared" si="165"/>
        <v>-0.69314718055994529</v>
      </c>
      <c r="AT1689">
        <f t="shared" si="166"/>
        <v>0.14170161361334138</v>
      </c>
      <c r="AW1689" s="28" t="e">
        <f t="shared" si="167"/>
        <v>#DIV/0!</v>
      </c>
      <c r="AX1689">
        <f t="shared" si="168"/>
        <v>4</v>
      </c>
      <c r="AY1689" s="62" t="e">
        <f t="shared" si="169"/>
        <v>#DIV/0!</v>
      </c>
      <c r="AZ1689" s="68" t="e">
        <f t="shared" si="170"/>
        <v>#DIV/0!</v>
      </c>
      <c r="BA1689" s="68" t="e">
        <f t="shared" si="171"/>
        <v>#DIV/0!</v>
      </c>
    </row>
    <row r="1690" spans="1:53" hidden="1">
      <c r="A1690" t="s">
        <v>908</v>
      </c>
      <c r="B1690" t="s">
        <v>443</v>
      </c>
      <c r="C1690" t="s">
        <v>427</v>
      </c>
      <c r="D1690" s="25">
        <v>29</v>
      </c>
      <c r="E1690" s="25">
        <v>219</v>
      </c>
      <c r="F1690" t="s">
        <v>1241</v>
      </c>
      <c r="G1690" t="s">
        <v>428</v>
      </c>
      <c r="H1690" s="3" t="s">
        <v>832</v>
      </c>
      <c r="I1690">
        <v>2018</v>
      </c>
      <c r="J1690" t="s">
        <v>429</v>
      </c>
      <c r="K1690" t="s">
        <v>430</v>
      </c>
      <c r="L1690" t="s">
        <v>431</v>
      </c>
      <c r="M1690" s="25" t="s">
        <v>35</v>
      </c>
      <c r="N1690" t="s">
        <v>36</v>
      </c>
      <c r="O1690" t="s">
        <v>47</v>
      </c>
      <c r="P1690" t="s">
        <v>60</v>
      </c>
      <c r="Q1690" t="s">
        <v>899</v>
      </c>
      <c r="R1690" t="s">
        <v>834</v>
      </c>
      <c r="S1690" t="s">
        <v>833</v>
      </c>
      <c r="T1690">
        <v>-68.583332999999996</v>
      </c>
      <c r="U1690">
        <v>77.966667000000001</v>
      </c>
      <c r="V1690" t="s">
        <v>905</v>
      </c>
      <c r="W1690" s="25" t="s">
        <v>38</v>
      </c>
      <c r="X1690">
        <v>10</v>
      </c>
      <c r="Y1690" t="s">
        <v>95</v>
      </c>
      <c r="Z1690">
        <v>1</v>
      </c>
      <c r="AA1690">
        <v>1</v>
      </c>
      <c r="AB1690" t="s">
        <v>432</v>
      </c>
      <c r="AC1690">
        <v>195</v>
      </c>
      <c r="AE1690">
        <v>780</v>
      </c>
      <c r="AG1690">
        <v>1946</v>
      </c>
      <c r="AH1690">
        <v>2.8920946029999999</v>
      </c>
      <c r="AI1690">
        <v>2.2999999999999998</v>
      </c>
      <c r="AJ1690" t="s">
        <v>442</v>
      </c>
      <c r="AK1690" t="s">
        <v>40</v>
      </c>
      <c r="AL1690" s="25" t="s">
        <v>60</v>
      </c>
      <c r="AM1690" t="s">
        <v>61</v>
      </c>
      <c r="AN1690">
        <v>0.47029703</v>
      </c>
      <c r="AO1690">
        <v>0.14728764799999999</v>
      </c>
      <c r="AP1690">
        <v>0.32797029700000002</v>
      </c>
      <c r="AQ1690">
        <v>6.8497811000000006E-2</v>
      </c>
      <c r="AR1690" t="s">
        <v>94</v>
      </c>
      <c r="AS1690">
        <f t="shared" si="165"/>
        <v>-0.36044142745635421</v>
      </c>
      <c r="AT1690">
        <f t="shared" si="166"/>
        <v>0.14170161381040572</v>
      </c>
      <c r="AW1690" s="28" t="e">
        <f t="shared" si="167"/>
        <v>#DIV/0!</v>
      </c>
      <c r="AX1690">
        <f t="shared" si="168"/>
        <v>4</v>
      </c>
      <c r="AY1690" s="62" t="e">
        <f t="shared" si="169"/>
        <v>#DIV/0!</v>
      </c>
      <c r="AZ1690" s="68" t="e">
        <f t="shared" si="170"/>
        <v>#DIV/0!</v>
      </c>
      <c r="BA1690" s="68" t="e">
        <f t="shared" si="171"/>
        <v>#DIV/0!</v>
      </c>
    </row>
    <row r="1691" spans="1:53" hidden="1">
      <c r="A1691" t="s">
        <v>908</v>
      </c>
      <c r="B1691" t="s">
        <v>444</v>
      </c>
      <c r="C1691" t="s">
        <v>427</v>
      </c>
      <c r="D1691" s="25">
        <v>29</v>
      </c>
      <c r="E1691" s="25">
        <v>220</v>
      </c>
      <c r="F1691" t="s">
        <v>1241</v>
      </c>
      <c r="G1691" t="s">
        <v>428</v>
      </c>
      <c r="H1691" s="3" t="s">
        <v>832</v>
      </c>
      <c r="I1691">
        <v>2018</v>
      </c>
      <c r="J1691" t="s">
        <v>429</v>
      </c>
      <c r="K1691" t="s">
        <v>430</v>
      </c>
      <c r="L1691" t="s">
        <v>431</v>
      </c>
      <c r="M1691" s="25" t="s">
        <v>35</v>
      </c>
      <c r="N1691" t="s">
        <v>36</v>
      </c>
      <c r="O1691" t="s">
        <v>47</v>
      </c>
      <c r="P1691" t="s">
        <v>60</v>
      </c>
      <c r="Q1691" t="s">
        <v>899</v>
      </c>
      <c r="R1691" t="s">
        <v>834</v>
      </c>
      <c r="S1691" t="s">
        <v>833</v>
      </c>
      <c r="T1691">
        <v>-68.583332999999996</v>
      </c>
      <c r="U1691">
        <v>77.966667000000001</v>
      </c>
      <c r="V1691" t="s">
        <v>905</v>
      </c>
      <c r="W1691" s="25" t="s">
        <v>38</v>
      </c>
      <c r="X1691">
        <v>10</v>
      </c>
      <c r="Y1691" t="s">
        <v>95</v>
      </c>
      <c r="Z1691">
        <v>1</v>
      </c>
      <c r="AA1691">
        <v>1</v>
      </c>
      <c r="AB1691" t="s">
        <v>433</v>
      </c>
      <c r="AC1691">
        <v>195</v>
      </c>
      <c r="AE1691">
        <v>1170</v>
      </c>
      <c r="AG1691">
        <v>1946</v>
      </c>
      <c r="AH1691">
        <v>3.068185862</v>
      </c>
      <c r="AI1691">
        <v>2.2999999999999998</v>
      </c>
      <c r="AJ1691" t="s">
        <v>442</v>
      </c>
      <c r="AK1691" t="s">
        <v>40</v>
      </c>
      <c r="AL1691" s="25" t="s">
        <v>60</v>
      </c>
      <c r="AM1691" t="s">
        <v>61</v>
      </c>
      <c r="AN1691">
        <v>0.47029703</v>
      </c>
      <c r="AO1691">
        <v>0.14728764799999999</v>
      </c>
      <c r="AP1691">
        <v>0.27846534699999997</v>
      </c>
      <c r="AQ1691">
        <v>5.8158518999999999E-2</v>
      </c>
      <c r="AR1691" t="s">
        <v>94</v>
      </c>
      <c r="AS1691">
        <f t="shared" si="165"/>
        <v>-0.52407084947647931</v>
      </c>
      <c r="AT1691">
        <f t="shared" si="166"/>
        <v>0.14170161399634773</v>
      </c>
      <c r="AW1691" s="28" t="e">
        <f t="shared" si="167"/>
        <v>#DIV/0!</v>
      </c>
      <c r="AX1691">
        <f t="shared" si="168"/>
        <v>4</v>
      </c>
      <c r="AY1691" s="62" t="e">
        <f t="shared" si="169"/>
        <v>#DIV/0!</v>
      </c>
      <c r="AZ1691" s="68" t="e">
        <f t="shared" si="170"/>
        <v>#DIV/0!</v>
      </c>
      <c r="BA1691" s="68" t="e">
        <f t="shared" si="171"/>
        <v>#DIV/0!</v>
      </c>
    </row>
    <row r="1692" spans="1:53" hidden="1">
      <c r="A1692" t="s">
        <v>908</v>
      </c>
      <c r="B1692" t="s">
        <v>445</v>
      </c>
      <c r="C1692" t="s">
        <v>427</v>
      </c>
      <c r="D1692" s="25">
        <v>29</v>
      </c>
      <c r="E1692" s="25">
        <v>221</v>
      </c>
      <c r="F1692" t="s">
        <v>1241</v>
      </c>
      <c r="G1692" t="s">
        <v>428</v>
      </c>
      <c r="H1692" s="3" t="s">
        <v>832</v>
      </c>
      <c r="I1692">
        <v>2018</v>
      </c>
      <c r="J1692" t="s">
        <v>429</v>
      </c>
      <c r="K1692" t="s">
        <v>430</v>
      </c>
      <c r="L1692" t="s">
        <v>431</v>
      </c>
      <c r="M1692" s="25" t="s">
        <v>35</v>
      </c>
      <c r="N1692" t="s">
        <v>36</v>
      </c>
      <c r="O1692" t="s">
        <v>47</v>
      </c>
      <c r="P1692" t="s">
        <v>60</v>
      </c>
      <c r="Q1692" t="s">
        <v>899</v>
      </c>
      <c r="R1692" t="s">
        <v>834</v>
      </c>
      <c r="S1692" t="s">
        <v>833</v>
      </c>
      <c r="T1692">
        <v>-68.583332999999996</v>
      </c>
      <c r="U1692">
        <v>77.966667000000001</v>
      </c>
      <c r="V1692" t="s">
        <v>905</v>
      </c>
      <c r="W1692" s="25" t="s">
        <v>38</v>
      </c>
      <c r="X1692">
        <v>10</v>
      </c>
      <c r="Y1692" t="s">
        <v>95</v>
      </c>
      <c r="Z1692">
        <v>1</v>
      </c>
      <c r="AA1692">
        <v>1</v>
      </c>
      <c r="AB1692" t="s">
        <v>434</v>
      </c>
      <c r="AC1692">
        <v>195</v>
      </c>
      <c r="AE1692">
        <v>1170</v>
      </c>
      <c r="AG1692">
        <v>1946</v>
      </c>
      <c r="AH1692">
        <v>3.068185862</v>
      </c>
      <c r="AI1692">
        <v>2.2999999999999998</v>
      </c>
      <c r="AJ1692" t="s">
        <v>442</v>
      </c>
      <c r="AK1692" t="s">
        <v>40</v>
      </c>
      <c r="AL1692" s="25" t="s">
        <v>60</v>
      </c>
      <c r="AM1692" t="s">
        <v>61</v>
      </c>
      <c r="AN1692">
        <v>0.47029703</v>
      </c>
      <c r="AO1692">
        <v>0.14728764799999999</v>
      </c>
      <c r="AP1692">
        <v>0.235148515</v>
      </c>
      <c r="AQ1692">
        <v>4.9111637999999999E-2</v>
      </c>
      <c r="AR1692" t="s">
        <v>94</v>
      </c>
      <c r="AS1692">
        <f t="shared" si="165"/>
        <v>-0.69314718055994529</v>
      </c>
      <c r="AT1692">
        <f t="shared" si="166"/>
        <v>0.14170161361334138</v>
      </c>
      <c r="AW1692" s="28" t="e">
        <f t="shared" si="167"/>
        <v>#DIV/0!</v>
      </c>
      <c r="AX1692">
        <f t="shared" si="168"/>
        <v>4</v>
      </c>
      <c r="AY1692" s="62" t="e">
        <f t="shared" si="169"/>
        <v>#DIV/0!</v>
      </c>
      <c r="AZ1692" s="68" t="e">
        <f t="shared" si="170"/>
        <v>#DIV/0!</v>
      </c>
      <c r="BA1692" s="68" t="e">
        <f t="shared" si="171"/>
        <v>#DIV/0!</v>
      </c>
    </row>
    <row r="1693" spans="1:53" hidden="1">
      <c r="A1693" t="s">
        <v>908</v>
      </c>
      <c r="B1693" t="s">
        <v>446</v>
      </c>
      <c r="C1693" t="s">
        <v>427</v>
      </c>
      <c r="D1693" s="25">
        <v>29</v>
      </c>
      <c r="E1693" s="25">
        <v>222</v>
      </c>
      <c r="F1693" t="s">
        <v>1241</v>
      </c>
      <c r="G1693" t="s">
        <v>428</v>
      </c>
      <c r="H1693" s="3" t="s">
        <v>832</v>
      </c>
      <c r="I1693">
        <v>2018</v>
      </c>
      <c r="J1693" t="s">
        <v>429</v>
      </c>
      <c r="K1693" t="s">
        <v>430</v>
      </c>
      <c r="L1693" t="s">
        <v>431</v>
      </c>
      <c r="M1693" s="25" t="s">
        <v>35</v>
      </c>
      <c r="N1693" t="s">
        <v>36</v>
      </c>
      <c r="O1693" t="s">
        <v>47</v>
      </c>
      <c r="P1693" t="s">
        <v>60</v>
      </c>
      <c r="Q1693" t="s">
        <v>899</v>
      </c>
      <c r="R1693" t="s">
        <v>834</v>
      </c>
      <c r="S1693" t="s">
        <v>833</v>
      </c>
      <c r="T1693">
        <v>-68.583332999999996</v>
      </c>
      <c r="U1693">
        <v>77.966667000000001</v>
      </c>
      <c r="V1693" t="s">
        <v>905</v>
      </c>
      <c r="W1693" s="25" t="s">
        <v>38</v>
      </c>
      <c r="X1693">
        <v>10</v>
      </c>
      <c r="Y1693" t="s">
        <v>95</v>
      </c>
      <c r="Z1693">
        <v>1</v>
      </c>
      <c r="AA1693">
        <v>1</v>
      </c>
      <c r="AB1693" t="s">
        <v>432</v>
      </c>
      <c r="AC1693">
        <v>195</v>
      </c>
      <c r="AE1693">
        <v>1560</v>
      </c>
      <c r="AG1693">
        <v>1946</v>
      </c>
      <c r="AH1693">
        <v>3.1931245979999998</v>
      </c>
      <c r="AI1693">
        <v>2.2999999999999998</v>
      </c>
      <c r="AJ1693" t="s">
        <v>442</v>
      </c>
      <c r="AK1693" t="s">
        <v>40</v>
      </c>
      <c r="AL1693" s="25" t="s">
        <v>60</v>
      </c>
      <c r="AM1693" t="s">
        <v>61</v>
      </c>
      <c r="AN1693">
        <v>0.47029703</v>
      </c>
      <c r="AO1693">
        <v>0.14728764799999999</v>
      </c>
      <c r="AP1693">
        <v>9.2821782000000005E-2</v>
      </c>
      <c r="AQ1693">
        <v>1.9386173E-2</v>
      </c>
      <c r="AR1693" t="s">
        <v>94</v>
      </c>
      <c r="AS1693">
        <f t="shared" si="165"/>
        <v>-1.6226831417356999</v>
      </c>
      <c r="AT1693">
        <f t="shared" si="166"/>
        <v>0.14170161430963532</v>
      </c>
      <c r="AW1693" s="28" t="e">
        <f t="shared" si="167"/>
        <v>#DIV/0!</v>
      </c>
      <c r="AX1693">
        <f t="shared" si="168"/>
        <v>4</v>
      </c>
      <c r="AY1693" s="62" t="e">
        <f t="shared" si="169"/>
        <v>#DIV/0!</v>
      </c>
      <c r="AZ1693" s="68" t="e">
        <f t="shared" si="170"/>
        <v>#DIV/0!</v>
      </c>
      <c r="BA1693" s="68" t="e">
        <f t="shared" si="171"/>
        <v>#DIV/0!</v>
      </c>
    </row>
    <row r="1694" spans="1:53" hidden="1">
      <c r="A1694" t="s">
        <v>908</v>
      </c>
      <c r="B1694" t="s">
        <v>447</v>
      </c>
      <c r="C1694" t="s">
        <v>427</v>
      </c>
      <c r="D1694" s="25">
        <v>29</v>
      </c>
      <c r="E1694" s="25">
        <v>223</v>
      </c>
      <c r="F1694" t="s">
        <v>1241</v>
      </c>
      <c r="G1694" t="s">
        <v>428</v>
      </c>
      <c r="H1694" s="3" t="s">
        <v>832</v>
      </c>
      <c r="I1694">
        <v>2018</v>
      </c>
      <c r="J1694" t="s">
        <v>429</v>
      </c>
      <c r="K1694" t="s">
        <v>430</v>
      </c>
      <c r="L1694" t="s">
        <v>431</v>
      </c>
      <c r="M1694" s="25" t="s">
        <v>35</v>
      </c>
      <c r="N1694" t="s">
        <v>36</v>
      </c>
      <c r="O1694" t="s">
        <v>47</v>
      </c>
      <c r="P1694" t="s">
        <v>60</v>
      </c>
      <c r="Q1694" t="s">
        <v>899</v>
      </c>
      <c r="R1694" t="s">
        <v>834</v>
      </c>
      <c r="S1694" t="s">
        <v>833</v>
      </c>
      <c r="T1694">
        <v>-68.583332999999996</v>
      </c>
      <c r="U1694">
        <v>77.966667000000001</v>
      </c>
      <c r="V1694" t="s">
        <v>905</v>
      </c>
      <c r="W1694" s="25" t="s">
        <v>38</v>
      </c>
      <c r="X1694">
        <v>10</v>
      </c>
      <c r="Y1694" t="s">
        <v>95</v>
      </c>
      <c r="Z1694">
        <v>1</v>
      </c>
      <c r="AA1694">
        <v>1</v>
      </c>
      <c r="AB1694" t="s">
        <v>435</v>
      </c>
      <c r="AC1694">
        <v>195</v>
      </c>
      <c r="AE1694">
        <v>390</v>
      </c>
      <c r="AG1694">
        <v>1947</v>
      </c>
      <c r="AH1694">
        <v>2.5910646069999999</v>
      </c>
      <c r="AI1694">
        <v>2.2999999999999998</v>
      </c>
      <c r="AJ1694" t="s">
        <v>442</v>
      </c>
      <c r="AK1694" t="s">
        <v>40</v>
      </c>
      <c r="AL1694" s="25" t="s">
        <v>60</v>
      </c>
      <c r="AM1694" t="s">
        <v>61</v>
      </c>
      <c r="AN1694">
        <v>10.76923077</v>
      </c>
      <c r="AO1694">
        <v>3.372708238</v>
      </c>
      <c r="AP1694">
        <v>13.79487179</v>
      </c>
      <c r="AQ1694">
        <v>2.881110075</v>
      </c>
      <c r="AR1694" t="s">
        <v>94</v>
      </c>
      <c r="AS1694">
        <f t="shared" si="165"/>
        <v>0.24760384845978178</v>
      </c>
      <c r="AT1694">
        <f t="shared" si="166"/>
        <v>0.14170161396419462</v>
      </c>
      <c r="AW1694" s="28" t="e">
        <f t="shared" si="167"/>
        <v>#DIV/0!</v>
      </c>
      <c r="AX1694">
        <f t="shared" si="168"/>
        <v>4</v>
      </c>
      <c r="AY1694" s="62" t="e">
        <f t="shared" si="169"/>
        <v>#DIV/0!</v>
      </c>
      <c r="AZ1694" s="68" t="e">
        <f t="shared" si="170"/>
        <v>#DIV/0!</v>
      </c>
      <c r="BA1694" s="68" t="e">
        <f t="shared" si="171"/>
        <v>#DIV/0!</v>
      </c>
    </row>
    <row r="1695" spans="1:53" hidden="1">
      <c r="A1695" t="s">
        <v>908</v>
      </c>
      <c r="B1695" t="s">
        <v>448</v>
      </c>
      <c r="C1695" t="s">
        <v>427</v>
      </c>
      <c r="D1695" s="25">
        <v>29</v>
      </c>
      <c r="E1695" s="25">
        <v>224</v>
      </c>
      <c r="F1695" t="s">
        <v>1241</v>
      </c>
      <c r="G1695" t="s">
        <v>428</v>
      </c>
      <c r="H1695" s="3" t="s">
        <v>832</v>
      </c>
      <c r="I1695">
        <v>2018</v>
      </c>
      <c r="J1695" t="s">
        <v>429</v>
      </c>
      <c r="K1695" t="s">
        <v>430</v>
      </c>
      <c r="L1695" t="s">
        <v>431</v>
      </c>
      <c r="M1695" s="25" t="s">
        <v>35</v>
      </c>
      <c r="N1695" t="s">
        <v>36</v>
      </c>
      <c r="O1695" t="s">
        <v>47</v>
      </c>
      <c r="P1695" t="s">
        <v>60</v>
      </c>
      <c r="Q1695" t="s">
        <v>899</v>
      </c>
      <c r="R1695" t="s">
        <v>834</v>
      </c>
      <c r="S1695" t="s">
        <v>833</v>
      </c>
      <c r="T1695">
        <v>-68.583332999999996</v>
      </c>
      <c r="U1695">
        <v>77.966667000000001</v>
      </c>
      <c r="V1695" t="s">
        <v>905</v>
      </c>
      <c r="W1695" s="25" t="s">
        <v>38</v>
      </c>
      <c r="X1695">
        <v>10</v>
      </c>
      <c r="Y1695" t="s">
        <v>95</v>
      </c>
      <c r="Z1695">
        <v>1</v>
      </c>
      <c r="AA1695">
        <v>1</v>
      </c>
      <c r="AB1695" t="s">
        <v>435</v>
      </c>
      <c r="AC1695">
        <v>195</v>
      </c>
      <c r="AE1695">
        <v>780</v>
      </c>
      <c r="AG1695">
        <v>1947</v>
      </c>
      <c r="AH1695">
        <v>2.8920946029999999</v>
      </c>
      <c r="AI1695">
        <v>2.2999999999999998</v>
      </c>
      <c r="AJ1695" t="s">
        <v>442</v>
      </c>
      <c r="AK1695" t="s">
        <v>40</v>
      </c>
      <c r="AL1695" s="25" t="s">
        <v>60</v>
      </c>
      <c r="AM1695" t="s">
        <v>61</v>
      </c>
      <c r="AN1695">
        <v>10.76923077</v>
      </c>
      <c r="AO1695">
        <v>3.372708238</v>
      </c>
      <c r="AP1695">
        <v>20.358974360000001</v>
      </c>
      <c r="AQ1695">
        <v>4.2520472119999999</v>
      </c>
      <c r="AR1695" t="s">
        <v>94</v>
      </c>
      <c r="AS1695">
        <f t="shared" si="165"/>
        <v>0.63682874994867111</v>
      </c>
      <c r="AT1695">
        <f t="shared" si="166"/>
        <v>0.14170161394828687</v>
      </c>
      <c r="AW1695" s="28" t="e">
        <f t="shared" si="167"/>
        <v>#DIV/0!</v>
      </c>
      <c r="AX1695">
        <f t="shared" si="168"/>
        <v>4</v>
      </c>
      <c r="AY1695" s="62" t="e">
        <f t="shared" si="169"/>
        <v>#DIV/0!</v>
      </c>
      <c r="AZ1695" s="68" t="e">
        <f t="shared" si="170"/>
        <v>#DIV/0!</v>
      </c>
      <c r="BA1695" s="68" t="e">
        <f t="shared" si="171"/>
        <v>#DIV/0!</v>
      </c>
    </row>
    <row r="1696" spans="1:53" hidden="1">
      <c r="A1696" t="s">
        <v>908</v>
      </c>
      <c r="B1696" t="s">
        <v>449</v>
      </c>
      <c r="C1696" t="s">
        <v>427</v>
      </c>
      <c r="D1696" s="25">
        <v>29</v>
      </c>
      <c r="E1696" s="25">
        <v>225</v>
      </c>
      <c r="F1696" t="s">
        <v>1241</v>
      </c>
      <c r="G1696" t="s">
        <v>428</v>
      </c>
      <c r="H1696" s="3" t="s">
        <v>832</v>
      </c>
      <c r="I1696">
        <v>2018</v>
      </c>
      <c r="J1696" t="s">
        <v>429</v>
      </c>
      <c r="K1696" t="s">
        <v>430</v>
      </c>
      <c r="L1696" t="s">
        <v>431</v>
      </c>
      <c r="M1696" s="25" t="s">
        <v>35</v>
      </c>
      <c r="N1696" t="s">
        <v>36</v>
      </c>
      <c r="O1696" t="s">
        <v>47</v>
      </c>
      <c r="P1696" t="s">
        <v>60</v>
      </c>
      <c r="Q1696" t="s">
        <v>899</v>
      </c>
      <c r="R1696" t="s">
        <v>834</v>
      </c>
      <c r="S1696" t="s">
        <v>833</v>
      </c>
      <c r="T1696">
        <v>-68.583332999999996</v>
      </c>
      <c r="U1696">
        <v>77.966667000000001</v>
      </c>
      <c r="V1696" t="s">
        <v>905</v>
      </c>
      <c r="W1696" s="25" t="s">
        <v>38</v>
      </c>
      <c r="X1696">
        <v>10</v>
      </c>
      <c r="Y1696" t="s">
        <v>95</v>
      </c>
      <c r="Z1696">
        <v>1</v>
      </c>
      <c r="AA1696">
        <v>1</v>
      </c>
      <c r="AB1696" t="s">
        <v>436</v>
      </c>
      <c r="AC1696">
        <v>195</v>
      </c>
      <c r="AE1696">
        <v>1170</v>
      </c>
      <c r="AG1696">
        <v>1947</v>
      </c>
      <c r="AH1696">
        <v>3.068185862</v>
      </c>
      <c r="AI1696">
        <v>2.2999999999999998</v>
      </c>
      <c r="AJ1696" t="s">
        <v>442</v>
      </c>
      <c r="AK1696" t="s">
        <v>40</v>
      </c>
      <c r="AL1696" s="25" t="s">
        <v>60</v>
      </c>
      <c r="AM1696" t="s">
        <v>61</v>
      </c>
      <c r="AN1696">
        <v>10.76923077</v>
      </c>
      <c r="AO1696">
        <v>3.372708238</v>
      </c>
      <c r="AP1696">
        <v>12.256410259999999</v>
      </c>
      <c r="AQ1696">
        <v>2.5597966849999998</v>
      </c>
      <c r="AR1696" t="s">
        <v>94</v>
      </c>
      <c r="AS1696">
        <f t="shared" si="165"/>
        <v>0.12935602143550051</v>
      </c>
      <c r="AT1696">
        <f t="shared" si="166"/>
        <v>0.14170161395090969</v>
      </c>
      <c r="AW1696" s="28" t="e">
        <f t="shared" si="167"/>
        <v>#DIV/0!</v>
      </c>
      <c r="AX1696">
        <f t="shared" si="168"/>
        <v>4</v>
      </c>
      <c r="AY1696" s="62" t="e">
        <f t="shared" si="169"/>
        <v>#DIV/0!</v>
      </c>
      <c r="AZ1696" s="68" t="e">
        <f t="shared" si="170"/>
        <v>#DIV/0!</v>
      </c>
      <c r="BA1696" s="68" t="e">
        <f t="shared" si="171"/>
        <v>#DIV/0!</v>
      </c>
    </row>
    <row r="1697" spans="1:53" hidden="1">
      <c r="A1697" t="s">
        <v>908</v>
      </c>
      <c r="B1697" t="s">
        <v>450</v>
      </c>
      <c r="C1697" t="s">
        <v>427</v>
      </c>
      <c r="D1697" s="25">
        <v>29</v>
      </c>
      <c r="E1697" s="25">
        <v>226</v>
      </c>
      <c r="F1697" t="s">
        <v>1241</v>
      </c>
      <c r="G1697" t="s">
        <v>428</v>
      </c>
      <c r="H1697" s="3" t="s">
        <v>832</v>
      </c>
      <c r="I1697">
        <v>2018</v>
      </c>
      <c r="J1697" t="s">
        <v>429</v>
      </c>
      <c r="K1697" t="s">
        <v>430</v>
      </c>
      <c r="L1697" t="s">
        <v>431</v>
      </c>
      <c r="M1697" s="25" t="s">
        <v>35</v>
      </c>
      <c r="N1697" t="s">
        <v>36</v>
      </c>
      <c r="O1697" t="s">
        <v>47</v>
      </c>
      <c r="P1697" t="s">
        <v>60</v>
      </c>
      <c r="Q1697" t="s">
        <v>899</v>
      </c>
      <c r="R1697" t="s">
        <v>834</v>
      </c>
      <c r="S1697" t="s">
        <v>833</v>
      </c>
      <c r="T1697">
        <v>-68.583332999999996</v>
      </c>
      <c r="U1697">
        <v>77.966667000000001</v>
      </c>
      <c r="V1697" t="s">
        <v>905</v>
      </c>
      <c r="W1697" s="25" t="s">
        <v>38</v>
      </c>
      <c r="X1697">
        <v>10</v>
      </c>
      <c r="Y1697" t="s">
        <v>95</v>
      </c>
      <c r="Z1697">
        <v>1</v>
      </c>
      <c r="AA1697">
        <v>1</v>
      </c>
      <c r="AB1697" t="s">
        <v>437</v>
      </c>
      <c r="AC1697">
        <v>195</v>
      </c>
      <c r="AE1697">
        <v>1170</v>
      </c>
      <c r="AG1697">
        <v>1947</v>
      </c>
      <c r="AH1697">
        <v>3.068185862</v>
      </c>
      <c r="AI1697">
        <v>2.2999999999999998</v>
      </c>
      <c r="AJ1697" t="s">
        <v>442</v>
      </c>
      <c r="AK1697" t="s">
        <v>40</v>
      </c>
      <c r="AL1697" s="25" t="s">
        <v>60</v>
      </c>
      <c r="AM1697" t="s">
        <v>61</v>
      </c>
      <c r="AN1697">
        <v>10.76923077</v>
      </c>
      <c r="AO1697">
        <v>3.372708238</v>
      </c>
      <c r="AP1697">
        <v>12.76923077</v>
      </c>
      <c r="AQ1697">
        <v>2.666901148</v>
      </c>
      <c r="AR1697" t="s">
        <v>94</v>
      </c>
      <c r="AS1697">
        <f t="shared" si="165"/>
        <v>0.17034536573605141</v>
      </c>
      <c r="AT1697">
        <f t="shared" si="166"/>
        <v>0.14170161394478969</v>
      </c>
      <c r="AW1697" s="28" t="e">
        <f t="shared" si="167"/>
        <v>#DIV/0!</v>
      </c>
      <c r="AX1697">
        <f t="shared" si="168"/>
        <v>4</v>
      </c>
      <c r="AY1697" s="62" t="e">
        <f t="shared" si="169"/>
        <v>#DIV/0!</v>
      </c>
      <c r="AZ1697" s="68" t="e">
        <f t="shared" si="170"/>
        <v>#DIV/0!</v>
      </c>
      <c r="BA1697" s="68" t="e">
        <f t="shared" si="171"/>
        <v>#DIV/0!</v>
      </c>
    </row>
    <row r="1698" spans="1:53" hidden="1">
      <c r="A1698" t="s">
        <v>908</v>
      </c>
      <c r="B1698" t="s">
        <v>451</v>
      </c>
      <c r="C1698" t="s">
        <v>427</v>
      </c>
      <c r="D1698" s="25">
        <v>29</v>
      </c>
      <c r="E1698" s="25">
        <v>227</v>
      </c>
      <c r="F1698" t="s">
        <v>1241</v>
      </c>
      <c r="G1698" t="s">
        <v>428</v>
      </c>
      <c r="H1698" s="3" t="s">
        <v>832</v>
      </c>
      <c r="I1698">
        <v>2018</v>
      </c>
      <c r="J1698" t="s">
        <v>429</v>
      </c>
      <c r="K1698" t="s">
        <v>430</v>
      </c>
      <c r="L1698" t="s">
        <v>431</v>
      </c>
      <c r="M1698" s="25" t="s">
        <v>35</v>
      </c>
      <c r="N1698" t="s">
        <v>36</v>
      </c>
      <c r="O1698" t="s">
        <v>47</v>
      </c>
      <c r="P1698" t="s">
        <v>60</v>
      </c>
      <c r="Q1698" t="s">
        <v>899</v>
      </c>
      <c r="R1698" t="s">
        <v>834</v>
      </c>
      <c r="S1698" t="s">
        <v>833</v>
      </c>
      <c r="T1698">
        <v>-68.583332999999996</v>
      </c>
      <c r="U1698">
        <v>77.966667000000001</v>
      </c>
      <c r="V1698" t="s">
        <v>905</v>
      </c>
      <c r="W1698" s="25" t="s">
        <v>38</v>
      </c>
      <c r="X1698">
        <v>10</v>
      </c>
      <c r="Y1698" t="s">
        <v>95</v>
      </c>
      <c r="Z1698">
        <v>1</v>
      </c>
      <c r="AA1698">
        <v>1</v>
      </c>
      <c r="AB1698" t="s">
        <v>435</v>
      </c>
      <c r="AC1698">
        <v>195</v>
      </c>
      <c r="AE1698">
        <v>1560</v>
      </c>
      <c r="AG1698">
        <v>1947</v>
      </c>
      <c r="AH1698">
        <v>3.1931245979999998</v>
      </c>
      <c r="AI1698">
        <v>2.2999999999999998</v>
      </c>
      <c r="AJ1698" t="s">
        <v>442</v>
      </c>
      <c r="AK1698" t="s">
        <v>40</v>
      </c>
      <c r="AL1698" s="25" t="s">
        <v>60</v>
      </c>
      <c r="AM1698" t="s">
        <v>61</v>
      </c>
      <c r="AN1698">
        <v>10.76923077</v>
      </c>
      <c r="AO1698">
        <v>3.372708238</v>
      </c>
      <c r="AP1698">
        <v>18.256410259999999</v>
      </c>
      <c r="AQ1698">
        <v>3.8129189110000001</v>
      </c>
      <c r="AR1698" t="s">
        <v>94</v>
      </c>
      <c r="AS1698">
        <f t="shared" si="165"/>
        <v>0.52782320025976226</v>
      </c>
      <c r="AT1698">
        <f t="shared" si="166"/>
        <v>0.14170161394676625</v>
      </c>
      <c r="AW1698" s="28" t="e">
        <f t="shared" si="167"/>
        <v>#DIV/0!</v>
      </c>
      <c r="AX1698">
        <f t="shared" si="168"/>
        <v>4</v>
      </c>
      <c r="AY1698" s="62" t="e">
        <f t="shared" si="169"/>
        <v>#DIV/0!</v>
      </c>
      <c r="AZ1698" s="68" t="e">
        <f t="shared" si="170"/>
        <v>#DIV/0!</v>
      </c>
      <c r="BA1698" s="68" t="e">
        <f t="shared" si="171"/>
        <v>#DIV/0!</v>
      </c>
    </row>
    <row r="1699" spans="1:53" hidden="1">
      <c r="A1699" t="s">
        <v>908</v>
      </c>
      <c r="B1699" t="s">
        <v>452</v>
      </c>
      <c r="C1699" t="s">
        <v>427</v>
      </c>
      <c r="D1699" s="25">
        <v>29</v>
      </c>
      <c r="E1699" s="25">
        <v>228</v>
      </c>
      <c r="F1699" t="s">
        <v>1241</v>
      </c>
      <c r="G1699" t="s">
        <v>428</v>
      </c>
      <c r="H1699" s="3" t="s">
        <v>832</v>
      </c>
      <c r="I1699">
        <v>2018</v>
      </c>
      <c r="J1699" t="s">
        <v>429</v>
      </c>
      <c r="K1699" t="s">
        <v>430</v>
      </c>
      <c r="L1699" t="s">
        <v>431</v>
      </c>
      <c r="M1699" s="25" t="s">
        <v>35</v>
      </c>
      <c r="N1699" t="s">
        <v>36</v>
      </c>
      <c r="O1699" t="s">
        <v>47</v>
      </c>
      <c r="P1699" t="s">
        <v>60</v>
      </c>
      <c r="Q1699" t="s">
        <v>899</v>
      </c>
      <c r="R1699" t="s">
        <v>834</v>
      </c>
      <c r="S1699" t="s">
        <v>833</v>
      </c>
      <c r="T1699">
        <v>-68.583332999999996</v>
      </c>
      <c r="U1699">
        <v>77.966667000000001</v>
      </c>
      <c r="V1699" t="s">
        <v>905</v>
      </c>
      <c r="W1699" s="25" t="s">
        <v>38</v>
      </c>
      <c r="X1699">
        <v>10</v>
      </c>
      <c r="Y1699" t="s">
        <v>95</v>
      </c>
      <c r="Z1699">
        <v>1</v>
      </c>
      <c r="AA1699">
        <v>1</v>
      </c>
      <c r="AB1699" t="s">
        <v>438</v>
      </c>
      <c r="AC1699">
        <v>195</v>
      </c>
      <c r="AE1699">
        <v>390</v>
      </c>
      <c r="AG1699">
        <v>1948</v>
      </c>
      <c r="AH1699">
        <v>2.5910646069999999</v>
      </c>
      <c r="AI1699">
        <v>2.2999999999999998</v>
      </c>
      <c r="AJ1699" t="s">
        <v>442</v>
      </c>
      <c r="AK1699" t="s">
        <v>40</v>
      </c>
      <c r="AL1699" s="25" t="s">
        <v>60</v>
      </c>
      <c r="AM1699" t="s">
        <v>61</v>
      </c>
      <c r="AN1699">
        <v>1.92450495</v>
      </c>
      <c r="AO1699">
        <v>0.60271655800000001</v>
      </c>
      <c r="AP1699">
        <v>1.2933168319999999</v>
      </c>
      <c r="AQ1699">
        <v>0.27011401099999999</v>
      </c>
      <c r="AR1699" t="s">
        <v>94</v>
      </c>
      <c r="AS1699">
        <f t="shared" si="165"/>
        <v>-0.39745865971221245</v>
      </c>
      <c r="AT1699">
        <f t="shared" si="166"/>
        <v>0.14170161395347586</v>
      </c>
      <c r="AW1699" s="28" t="e">
        <f t="shared" si="167"/>
        <v>#DIV/0!</v>
      </c>
      <c r="AX1699">
        <f t="shared" si="168"/>
        <v>4</v>
      </c>
      <c r="AY1699" s="62" t="e">
        <f t="shared" si="169"/>
        <v>#DIV/0!</v>
      </c>
      <c r="AZ1699" s="68" t="e">
        <f t="shared" si="170"/>
        <v>#DIV/0!</v>
      </c>
      <c r="BA1699" s="68" t="e">
        <f t="shared" si="171"/>
        <v>#DIV/0!</v>
      </c>
    </row>
    <row r="1700" spans="1:53" hidden="1">
      <c r="A1700" t="s">
        <v>908</v>
      </c>
      <c r="B1700" t="s">
        <v>453</v>
      </c>
      <c r="C1700" t="s">
        <v>427</v>
      </c>
      <c r="D1700" s="25">
        <v>29</v>
      </c>
      <c r="E1700" s="25">
        <v>229</v>
      </c>
      <c r="F1700" t="s">
        <v>1241</v>
      </c>
      <c r="G1700" t="s">
        <v>428</v>
      </c>
      <c r="H1700" s="3" t="s">
        <v>832</v>
      </c>
      <c r="I1700">
        <v>2018</v>
      </c>
      <c r="J1700" t="s">
        <v>429</v>
      </c>
      <c r="K1700" t="s">
        <v>430</v>
      </c>
      <c r="L1700" t="s">
        <v>431</v>
      </c>
      <c r="M1700" s="25" t="s">
        <v>35</v>
      </c>
      <c r="N1700" t="s">
        <v>36</v>
      </c>
      <c r="O1700" t="s">
        <v>47</v>
      </c>
      <c r="P1700" t="s">
        <v>60</v>
      </c>
      <c r="Q1700" t="s">
        <v>899</v>
      </c>
      <c r="R1700" t="s">
        <v>834</v>
      </c>
      <c r="S1700" t="s">
        <v>833</v>
      </c>
      <c r="T1700">
        <v>-68.583332999999996</v>
      </c>
      <c r="U1700">
        <v>77.966667000000001</v>
      </c>
      <c r="V1700" t="s">
        <v>905</v>
      </c>
      <c r="W1700" s="25" t="s">
        <v>38</v>
      </c>
      <c r="X1700">
        <v>10</v>
      </c>
      <c r="Y1700" t="s">
        <v>95</v>
      </c>
      <c r="Z1700">
        <v>1</v>
      </c>
      <c r="AA1700">
        <v>1</v>
      </c>
      <c r="AB1700" t="s">
        <v>438</v>
      </c>
      <c r="AC1700">
        <v>195</v>
      </c>
      <c r="AE1700">
        <v>780</v>
      </c>
      <c r="AG1700">
        <v>1948</v>
      </c>
      <c r="AH1700">
        <v>2.8920946029999999</v>
      </c>
      <c r="AI1700">
        <v>2.2999999999999998</v>
      </c>
      <c r="AJ1700" t="s">
        <v>442</v>
      </c>
      <c r="AK1700" t="s">
        <v>40</v>
      </c>
      <c r="AL1700" s="25" t="s">
        <v>60</v>
      </c>
      <c r="AM1700" t="s">
        <v>61</v>
      </c>
      <c r="AN1700">
        <v>1.92450495</v>
      </c>
      <c r="AO1700">
        <v>0.60271655800000001</v>
      </c>
      <c r="AP1700">
        <v>0.94678217799999997</v>
      </c>
      <c r="AQ1700">
        <v>0.19773896499999999</v>
      </c>
      <c r="AR1700" t="s">
        <v>94</v>
      </c>
      <c r="AS1700">
        <f t="shared" si="165"/>
        <v>-0.70935499075962938</v>
      </c>
      <c r="AT1700">
        <f t="shared" si="166"/>
        <v>0.14170161399914022</v>
      </c>
      <c r="AW1700" s="28" t="e">
        <f t="shared" si="167"/>
        <v>#DIV/0!</v>
      </c>
      <c r="AX1700">
        <f t="shared" si="168"/>
        <v>4</v>
      </c>
      <c r="AY1700" s="62" t="e">
        <f t="shared" si="169"/>
        <v>#DIV/0!</v>
      </c>
      <c r="AZ1700" s="68" t="e">
        <f t="shared" si="170"/>
        <v>#DIV/0!</v>
      </c>
      <c r="BA1700" s="68" t="e">
        <f t="shared" si="171"/>
        <v>#DIV/0!</v>
      </c>
    </row>
    <row r="1701" spans="1:53" hidden="1">
      <c r="A1701" t="s">
        <v>908</v>
      </c>
      <c r="B1701" t="s">
        <v>454</v>
      </c>
      <c r="C1701" t="s">
        <v>427</v>
      </c>
      <c r="D1701" s="25">
        <v>29</v>
      </c>
      <c r="E1701" s="25">
        <v>230</v>
      </c>
      <c r="F1701" t="s">
        <v>1241</v>
      </c>
      <c r="G1701" t="s">
        <v>428</v>
      </c>
      <c r="H1701" s="3" t="s">
        <v>832</v>
      </c>
      <c r="I1701">
        <v>2018</v>
      </c>
      <c r="J1701" t="s">
        <v>429</v>
      </c>
      <c r="K1701" t="s">
        <v>430</v>
      </c>
      <c r="L1701" t="s">
        <v>431</v>
      </c>
      <c r="M1701" s="25" t="s">
        <v>35</v>
      </c>
      <c r="N1701" t="s">
        <v>36</v>
      </c>
      <c r="O1701" t="s">
        <v>47</v>
      </c>
      <c r="P1701" t="s">
        <v>60</v>
      </c>
      <c r="Q1701" t="s">
        <v>899</v>
      </c>
      <c r="R1701" t="s">
        <v>834</v>
      </c>
      <c r="S1701" t="s">
        <v>833</v>
      </c>
      <c r="T1701">
        <v>-68.583332999999996</v>
      </c>
      <c r="U1701">
        <v>77.966667000000001</v>
      </c>
      <c r="V1701" t="s">
        <v>905</v>
      </c>
      <c r="W1701" s="25" t="s">
        <v>38</v>
      </c>
      <c r="X1701">
        <v>10</v>
      </c>
      <c r="Y1701" t="s">
        <v>95</v>
      </c>
      <c r="Z1701">
        <v>1</v>
      </c>
      <c r="AA1701">
        <v>1</v>
      </c>
      <c r="AB1701" t="s">
        <v>439</v>
      </c>
      <c r="AC1701">
        <v>195</v>
      </c>
      <c r="AE1701">
        <v>1170</v>
      </c>
      <c r="AG1701">
        <v>1948</v>
      </c>
      <c r="AH1701">
        <v>3.068185862</v>
      </c>
      <c r="AI1701">
        <v>2.2999999999999998</v>
      </c>
      <c r="AJ1701" t="s">
        <v>442</v>
      </c>
      <c r="AK1701" t="s">
        <v>40</v>
      </c>
      <c r="AL1701" s="25" t="s">
        <v>60</v>
      </c>
      <c r="AM1701" t="s">
        <v>61</v>
      </c>
      <c r="AN1701">
        <v>1.92450495</v>
      </c>
      <c r="AO1701">
        <v>0.60271655800000001</v>
      </c>
      <c r="AP1701">
        <v>0.94678217799999997</v>
      </c>
      <c r="AQ1701">
        <v>0.19773896499999999</v>
      </c>
      <c r="AR1701" t="s">
        <v>94</v>
      </c>
      <c r="AS1701">
        <f t="shared" si="165"/>
        <v>-0.70935499075962938</v>
      </c>
      <c r="AT1701">
        <f t="shared" si="166"/>
        <v>0.14170161399914022</v>
      </c>
      <c r="AW1701" s="28" t="e">
        <f t="shared" si="167"/>
        <v>#DIV/0!</v>
      </c>
      <c r="AX1701">
        <f t="shared" si="168"/>
        <v>4</v>
      </c>
      <c r="AY1701" s="62" t="e">
        <f t="shared" si="169"/>
        <v>#DIV/0!</v>
      </c>
      <c r="AZ1701" s="68" t="e">
        <f t="shared" si="170"/>
        <v>#DIV/0!</v>
      </c>
      <c r="BA1701" s="68" t="e">
        <f t="shared" si="171"/>
        <v>#DIV/0!</v>
      </c>
    </row>
    <row r="1702" spans="1:53" hidden="1">
      <c r="A1702" t="s">
        <v>908</v>
      </c>
      <c r="B1702" t="s">
        <v>455</v>
      </c>
      <c r="C1702" t="s">
        <v>427</v>
      </c>
      <c r="D1702" s="25">
        <v>29</v>
      </c>
      <c r="E1702" s="25">
        <v>231</v>
      </c>
      <c r="F1702" t="s">
        <v>1241</v>
      </c>
      <c r="G1702" t="s">
        <v>428</v>
      </c>
      <c r="H1702" s="3" t="s">
        <v>832</v>
      </c>
      <c r="I1702">
        <v>2018</v>
      </c>
      <c r="J1702" t="s">
        <v>429</v>
      </c>
      <c r="K1702" t="s">
        <v>430</v>
      </c>
      <c r="L1702" t="s">
        <v>431</v>
      </c>
      <c r="M1702" s="25" t="s">
        <v>35</v>
      </c>
      <c r="N1702" t="s">
        <v>36</v>
      </c>
      <c r="O1702" t="s">
        <v>47</v>
      </c>
      <c r="P1702" t="s">
        <v>60</v>
      </c>
      <c r="Q1702" t="s">
        <v>899</v>
      </c>
      <c r="R1702" t="s">
        <v>834</v>
      </c>
      <c r="S1702" t="s">
        <v>833</v>
      </c>
      <c r="T1702">
        <v>-68.583332999999996</v>
      </c>
      <c r="U1702">
        <v>77.966667000000001</v>
      </c>
      <c r="V1702" t="s">
        <v>905</v>
      </c>
      <c r="W1702" s="25" t="s">
        <v>38</v>
      </c>
      <c r="X1702">
        <v>10</v>
      </c>
      <c r="Y1702" t="s">
        <v>95</v>
      </c>
      <c r="Z1702">
        <v>1</v>
      </c>
      <c r="AA1702">
        <v>1</v>
      </c>
      <c r="AB1702" t="s">
        <v>440</v>
      </c>
      <c r="AC1702">
        <v>195</v>
      </c>
      <c r="AE1702">
        <v>1170</v>
      </c>
      <c r="AG1702">
        <v>1948</v>
      </c>
      <c r="AH1702">
        <v>3.068185862</v>
      </c>
      <c r="AI1702">
        <v>2.2999999999999998</v>
      </c>
      <c r="AJ1702" t="s">
        <v>442</v>
      </c>
      <c r="AK1702" t="s">
        <v>40</v>
      </c>
      <c r="AL1702" s="25" t="s">
        <v>60</v>
      </c>
      <c r="AM1702" t="s">
        <v>61</v>
      </c>
      <c r="AN1702">
        <v>1.92450495</v>
      </c>
      <c r="AO1702">
        <v>0.60271655800000001</v>
      </c>
      <c r="AP1702">
        <v>1.021039604</v>
      </c>
      <c r="AQ1702">
        <v>0.21324790399999999</v>
      </c>
      <c r="AR1702" t="s">
        <v>94</v>
      </c>
      <c r="AS1702">
        <f t="shared" si="165"/>
        <v>-0.63384743798263088</v>
      </c>
      <c r="AT1702">
        <f t="shared" si="166"/>
        <v>0.14170161420831109</v>
      </c>
      <c r="AW1702" s="28" t="e">
        <f t="shared" si="167"/>
        <v>#DIV/0!</v>
      </c>
      <c r="AX1702">
        <f t="shared" si="168"/>
        <v>4</v>
      </c>
      <c r="AY1702" s="62" t="e">
        <f t="shared" si="169"/>
        <v>#DIV/0!</v>
      </c>
      <c r="AZ1702" s="68" t="e">
        <f t="shared" si="170"/>
        <v>#DIV/0!</v>
      </c>
      <c r="BA1702" s="68" t="e">
        <f t="shared" si="171"/>
        <v>#DIV/0!</v>
      </c>
    </row>
    <row r="1703" spans="1:53" hidden="1">
      <c r="A1703" t="s">
        <v>908</v>
      </c>
      <c r="B1703" t="s">
        <v>456</v>
      </c>
      <c r="C1703" t="s">
        <v>427</v>
      </c>
      <c r="D1703" s="25">
        <v>29</v>
      </c>
      <c r="E1703" s="25">
        <v>232</v>
      </c>
      <c r="F1703" t="s">
        <v>1241</v>
      </c>
      <c r="G1703" t="s">
        <v>428</v>
      </c>
      <c r="H1703" s="3" t="s">
        <v>832</v>
      </c>
      <c r="I1703">
        <v>2018</v>
      </c>
      <c r="J1703" t="s">
        <v>429</v>
      </c>
      <c r="K1703" t="s">
        <v>430</v>
      </c>
      <c r="L1703" t="s">
        <v>431</v>
      </c>
      <c r="M1703" s="25" t="s">
        <v>35</v>
      </c>
      <c r="N1703" t="s">
        <v>36</v>
      </c>
      <c r="O1703" t="s">
        <v>47</v>
      </c>
      <c r="P1703" t="s">
        <v>60</v>
      </c>
      <c r="Q1703" t="s">
        <v>899</v>
      </c>
      <c r="R1703" t="s">
        <v>834</v>
      </c>
      <c r="S1703" t="s">
        <v>833</v>
      </c>
      <c r="T1703">
        <v>-68.583332999999996</v>
      </c>
      <c r="U1703">
        <v>77.966667000000001</v>
      </c>
      <c r="V1703" t="s">
        <v>905</v>
      </c>
      <c r="W1703" s="25" t="s">
        <v>38</v>
      </c>
      <c r="X1703">
        <v>10</v>
      </c>
      <c r="Y1703" t="s">
        <v>95</v>
      </c>
      <c r="Z1703">
        <v>1</v>
      </c>
      <c r="AA1703">
        <v>1</v>
      </c>
      <c r="AB1703" t="s">
        <v>438</v>
      </c>
      <c r="AC1703">
        <v>195</v>
      </c>
      <c r="AE1703">
        <v>1560</v>
      </c>
      <c r="AG1703">
        <v>1948</v>
      </c>
      <c r="AH1703">
        <v>3.1931245979999998</v>
      </c>
      <c r="AI1703">
        <v>2.2999999999999998</v>
      </c>
      <c r="AJ1703" t="s">
        <v>442</v>
      </c>
      <c r="AK1703" t="s">
        <v>40</v>
      </c>
      <c r="AL1703" s="25" t="s">
        <v>60</v>
      </c>
      <c r="AM1703" t="s">
        <v>61</v>
      </c>
      <c r="AN1703">
        <v>1.92450495</v>
      </c>
      <c r="AO1703">
        <v>0.60271655800000001</v>
      </c>
      <c r="AP1703">
        <v>0.95297029700000002</v>
      </c>
      <c r="AQ1703">
        <v>0.19903137700000001</v>
      </c>
      <c r="AR1703" t="s">
        <v>94</v>
      </c>
      <c r="AS1703">
        <f t="shared" si="165"/>
        <v>-0.70284030953953913</v>
      </c>
      <c r="AT1703">
        <f t="shared" si="166"/>
        <v>0.14170161418519267</v>
      </c>
      <c r="AW1703" s="28" t="e">
        <f t="shared" si="167"/>
        <v>#DIV/0!</v>
      </c>
      <c r="AX1703">
        <f t="shared" si="168"/>
        <v>4</v>
      </c>
      <c r="AY1703" s="62" t="e">
        <f t="shared" si="169"/>
        <v>#DIV/0!</v>
      </c>
      <c r="AZ1703" s="68" t="e">
        <f t="shared" si="170"/>
        <v>#DIV/0!</v>
      </c>
      <c r="BA1703" s="68" t="e">
        <f t="shared" si="171"/>
        <v>#DIV/0!</v>
      </c>
    </row>
    <row r="1704" spans="1:53" hidden="1">
      <c r="A1704" t="s">
        <v>908</v>
      </c>
      <c r="B1704" t="s">
        <v>666</v>
      </c>
      <c r="C1704" t="s">
        <v>667</v>
      </c>
      <c r="D1704" s="25">
        <v>48</v>
      </c>
      <c r="E1704" s="25">
        <v>505</v>
      </c>
      <c r="F1704" t="s">
        <v>1241</v>
      </c>
      <c r="G1704" t="s">
        <v>668</v>
      </c>
      <c r="H1704" s="3" t="s">
        <v>835</v>
      </c>
      <c r="I1704">
        <v>2018</v>
      </c>
      <c r="J1704" t="s">
        <v>669</v>
      </c>
      <c r="K1704" t="s">
        <v>46</v>
      </c>
      <c r="L1704" t="s">
        <v>670</v>
      </c>
      <c r="M1704" s="25" t="s">
        <v>36</v>
      </c>
      <c r="N1704" t="s">
        <v>36</v>
      </c>
      <c r="O1704" t="s">
        <v>37</v>
      </c>
      <c r="P1704" t="s">
        <v>60</v>
      </c>
      <c r="Q1704" t="s">
        <v>899</v>
      </c>
      <c r="R1704" t="s">
        <v>828</v>
      </c>
      <c r="S1704" t="s">
        <v>836</v>
      </c>
      <c r="T1704">
        <v>63.419487199999999</v>
      </c>
      <c r="U1704">
        <v>10.401993900000001</v>
      </c>
      <c r="V1704" t="s">
        <v>905</v>
      </c>
      <c r="W1704" s="25" t="s">
        <v>38</v>
      </c>
      <c r="X1704">
        <v>62</v>
      </c>
      <c r="Y1704" t="s">
        <v>39</v>
      </c>
      <c r="Z1704">
        <v>3</v>
      </c>
      <c r="AA1704">
        <v>3</v>
      </c>
      <c r="AC1704">
        <v>400</v>
      </c>
      <c r="AE1704">
        <v>1600</v>
      </c>
      <c r="AG1704">
        <v>2297</v>
      </c>
      <c r="AH1704">
        <v>3.204119983</v>
      </c>
      <c r="AI1704">
        <v>11</v>
      </c>
      <c r="AJ1704" t="s">
        <v>671</v>
      </c>
      <c r="AK1704" t="s">
        <v>40</v>
      </c>
      <c r="AL1704" s="25" t="s">
        <v>60</v>
      </c>
      <c r="AM1704" t="s">
        <v>61</v>
      </c>
      <c r="AN1704">
        <v>0.77251199999999998</v>
      </c>
      <c r="AO1704">
        <v>5.6871999999999999E-2</v>
      </c>
      <c r="AP1704">
        <v>0.61611400000000005</v>
      </c>
      <c r="AQ1704">
        <v>5.6871999999999999E-2</v>
      </c>
      <c r="AR1704" t="s">
        <v>45</v>
      </c>
      <c r="AS1704">
        <f t="shared" si="165"/>
        <v>-0.22621553128564986</v>
      </c>
      <c r="AT1704">
        <f t="shared" si="166"/>
        <v>4.6468441554536099E-3</v>
      </c>
      <c r="AW1704" s="28">
        <f t="shared" si="167"/>
        <v>-2.7499999999999987</v>
      </c>
      <c r="AX1704">
        <f t="shared" si="168"/>
        <v>0.8</v>
      </c>
      <c r="AY1704" s="62">
        <f t="shared" si="169"/>
        <v>-2.1999999999999988</v>
      </c>
      <c r="AZ1704" s="68" t="str">
        <f t="shared" si="170"/>
        <v>No</v>
      </c>
      <c r="BA1704" s="68" t="str">
        <f t="shared" si="171"/>
        <v>No</v>
      </c>
    </row>
    <row r="1705" spans="1:53" hidden="1">
      <c r="A1705" t="s">
        <v>908</v>
      </c>
      <c r="B1705" t="s">
        <v>672</v>
      </c>
      <c r="C1705" t="s">
        <v>667</v>
      </c>
      <c r="D1705" s="25">
        <v>48</v>
      </c>
      <c r="E1705" s="25">
        <v>506</v>
      </c>
      <c r="F1705" t="s">
        <v>1241</v>
      </c>
      <c r="G1705" t="s">
        <v>668</v>
      </c>
      <c r="H1705" s="3" t="s">
        <v>835</v>
      </c>
      <c r="I1705">
        <v>2018</v>
      </c>
      <c r="J1705" t="s">
        <v>669</v>
      </c>
      <c r="K1705" t="s">
        <v>46</v>
      </c>
      <c r="L1705" t="s">
        <v>670</v>
      </c>
      <c r="M1705" s="25" t="s">
        <v>36</v>
      </c>
      <c r="N1705" t="s">
        <v>36</v>
      </c>
      <c r="O1705" t="s">
        <v>37</v>
      </c>
      <c r="P1705" t="s">
        <v>60</v>
      </c>
      <c r="Q1705" t="s">
        <v>899</v>
      </c>
      <c r="R1705" t="s">
        <v>828</v>
      </c>
      <c r="S1705" t="s">
        <v>836</v>
      </c>
      <c r="T1705">
        <v>63.419487199999999</v>
      </c>
      <c r="U1705">
        <v>10.401993900000001</v>
      </c>
      <c r="V1705" t="s">
        <v>905</v>
      </c>
      <c r="W1705" s="25" t="s">
        <v>38</v>
      </c>
      <c r="X1705">
        <v>1</v>
      </c>
      <c r="Y1705" t="s">
        <v>39</v>
      </c>
      <c r="Z1705">
        <v>3</v>
      </c>
      <c r="AA1705">
        <v>3</v>
      </c>
      <c r="AC1705">
        <v>400</v>
      </c>
      <c r="AE1705">
        <v>1600</v>
      </c>
      <c r="AG1705">
        <v>2298</v>
      </c>
      <c r="AH1705">
        <v>3.204119983</v>
      </c>
      <c r="AI1705">
        <v>11</v>
      </c>
      <c r="AJ1705" t="s">
        <v>333</v>
      </c>
      <c r="AK1705" t="s">
        <v>59</v>
      </c>
      <c r="AL1705" s="25" t="s">
        <v>60</v>
      </c>
      <c r="AM1705" t="s">
        <v>61</v>
      </c>
      <c r="AN1705">
        <v>7.22105</v>
      </c>
      <c r="AO1705">
        <v>3.1905345199999999</v>
      </c>
      <c r="AP1705">
        <v>4.8631599999999997</v>
      </c>
      <c r="AQ1705">
        <v>2.9352723599999999</v>
      </c>
      <c r="AR1705" t="s">
        <v>41</v>
      </c>
      <c r="AS1705">
        <f t="shared" si="165"/>
        <v>-0.39531193931225395</v>
      </c>
      <c r="AT1705">
        <f t="shared" si="166"/>
        <v>0.18650709484908062</v>
      </c>
      <c r="AW1705" s="28">
        <f t="shared" si="167"/>
        <v>-0.76915436761842415</v>
      </c>
      <c r="AX1705">
        <f t="shared" si="168"/>
        <v>0.8</v>
      </c>
      <c r="AY1705" s="62">
        <f t="shared" si="169"/>
        <v>-0.61532349409473941</v>
      </c>
      <c r="AZ1705" s="68" t="str">
        <f t="shared" si="170"/>
        <v>No</v>
      </c>
      <c r="BA1705" s="68" t="str">
        <f t="shared" si="171"/>
        <v>No</v>
      </c>
    </row>
    <row r="1706" spans="1:53" hidden="1">
      <c r="A1706" t="s">
        <v>908</v>
      </c>
      <c r="B1706" t="s">
        <v>673</v>
      </c>
      <c r="C1706" t="s">
        <v>667</v>
      </c>
      <c r="D1706" s="25">
        <v>48</v>
      </c>
      <c r="E1706" s="25">
        <v>507</v>
      </c>
      <c r="F1706" t="s">
        <v>1241</v>
      </c>
      <c r="G1706" t="s">
        <v>668</v>
      </c>
      <c r="H1706" s="3" t="s">
        <v>835</v>
      </c>
      <c r="I1706">
        <v>2018</v>
      </c>
      <c r="J1706" t="s">
        <v>669</v>
      </c>
      <c r="K1706" t="s">
        <v>46</v>
      </c>
      <c r="L1706" t="s">
        <v>670</v>
      </c>
      <c r="M1706" s="25" t="s">
        <v>36</v>
      </c>
      <c r="N1706" t="s">
        <v>36</v>
      </c>
      <c r="O1706" t="s">
        <v>37</v>
      </c>
      <c r="P1706" t="s">
        <v>60</v>
      </c>
      <c r="Q1706" t="s">
        <v>899</v>
      </c>
      <c r="R1706" t="s">
        <v>828</v>
      </c>
      <c r="S1706" t="s">
        <v>836</v>
      </c>
      <c r="T1706">
        <v>63.419487199999999</v>
      </c>
      <c r="U1706">
        <v>10.401993900000001</v>
      </c>
      <c r="V1706" t="s">
        <v>905</v>
      </c>
      <c r="W1706" s="25" t="s">
        <v>38</v>
      </c>
      <c r="X1706">
        <v>2</v>
      </c>
      <c r="Y1706" t="s">
        <v>39</v>
      </c>
      <c r="Z1706">
        <v>3</v>
      </c>
      <c r="AA1706">
        <v>3</v>
      </c>
      <c r="AC1706">
        <v>400</v>
      </c>
      <c r="AE1706">
        <v>1600</v>
      </c>
      <c r="AG1706">
        <v>2299</v>
      </c>
      <c r="AH1706">
        <v>3.204119983</v>
      </c>
      <c r="AI1706">
        <v>11</v>
      </c>
      <c r="AJ1706" t="s">
        <v>333</v>
      </c>
      <c r="AK1706" t="s">
        <v>59</v>
      </c>
      <c r="AL1706" s="25" t="s">
        <v>60</v>
      </c>
      <c r="AM1706" t="s">
        <v>61</v>
      </c>
      <c r="AN1706">
        <v>7.5894700000000004</v>
      </c>
      <c r="AO1706">
        <v>4.7220035600000001</v>
      </c>
      <c r="AP1706">
        <v>5.6</v>
      </c>
      <c r="AQ1706">
        <v>2.0419413999999998</v>
      </c>
      <c r="AR1706" t="s">
        <v>41</v>
      </c>
      <c r="AS1706">
        <f t="shared" si="165"/>
        <v>-0.30399516250629355</v>
      </c>
      <c r="AT1706">
        <f t="shared" si="166"/>
        <v>0.1733542072602407</v>
      </c>
      <c r="AW1706" s="28">
        <f t="shared" si="167"/>
        <v>-0.54689169412405259</v>
      </c>
      <c r="AX1706">
        <f t="shared" si="168"/>
        <v>0.8</v>
      </c>
      <c r="AY1706" s="62">
        <f t="shared" si="169"/>
        <v>-0.43751335529924207</v>
      </c>
      <c r="AZ1706" s="68" t="str">
        <f t="shared" si="170"/>
        <v>No</v>
      </c>
      <c r="BA1706" s="68" t="str">
        <f t="shared" si="171"/>
        <v>No</v>
      </c>
    </row>
    <row r="1707" spans="1:53" hidden="1">
      <c r="A1707" t="s">
        <v>908</v>
      </c>
      <c r="B1707" t="s">
        <v>674</v>
      </c>
      <c r="C1707" t="s">
        <v>667</v>
      </c>
      <c r="D1707" s="25">
        <v>48</v>
      </c>
      <c r="E1707" s="25">
        <v>508</v>
      </c>
      <c r="F1707" t="s">
        <v>1241</v>
      </c>
      <c r="G1707" t="s">
        <v>668</v>
      </c>
      <c r="H1707" s="3" t="s">
        <v>835</v>
      </c>
      <c r="I1707">
        <v>2018</v>
      </c>
      <c r="J1707" t="s">
        <v>669</v>
      </c>
      <c r="K1707" t="s">
        <v>46</v>
      </c>
      <c r="L1707" t="s">
        <v>670</v>
      </c>
      <c r="M1707" s="25" t="s">
        <v>36</v>
      </c>
      <c r="N1707" t="s">
        <v>36</v>
      </c>
      <c r="O1707" t="s">
        <v>37</v>
      </c>
      <c r="P1707" t="s">
        <v>60</v>
      </c>
      <c r="Q1707" t="s">
        <v>899</v>
      </c>
      <c r="R1707" t="s">
        <v>828</v>
      </c>
      <c r="S1707" t="s">
        <v>836</v>
      </c>
      <c r="T1707">
        <v>63.419487199999999</v>
      </c>
      <c r="U1707">
        <v>10.401993900000001</v>
      </c>
      <c r="V1707" t="s">
        <v>905</v>
      </c>
      <c r="W1707" s="25" t="s">
        <v>38</v>
      </c>
      <c r="X1707">
        <v>3</v>
      </c>
      <c r="Y1707" t="s">
        <v>39</v>
      </c>
      <c r="Z1707">
        <v>3</v>
      </c>
      <c r="AA1707">
        <v>3</v>
      </c>
      <c r="AC1707">
        <v>400</v>
      </c>
      <c r="AE1707">
        <v>1600</v>
      </c>
      <c r="AG1707">
        <v>2300</v>
      </c>
      <c r="AH1707">
        <v>3.204119983</v>
      </c>
      <c r="AI1707">
        <v>11</v>
      </c>
      <c r="AJ1707" t="s">
        <v>333</v>
      </c>
      <c r="AK1707" t="s">
        <v>59</v>
      </c>
      <c r="AL1707" s="25" t="s">
        <v>60</v>
      </c>
      <c r="AM1707" t="s">
        <v>61</v>
      </c>
      <c r="AN1707">
        <v>7.3684200000000004</v>
      </c>
      <c r="AO1707">
        <v>3.44576204</v>
      </c>
      <c r="AP1707">
        <v>7.22105</v>
      </c>
      <c r="AQ1707">
        <v>5.6154038000000002</v>
      </c>
      <c r="AR1707" t="s">
        <v>41</v>
      </c>
      <c r="AS1707">
        <f t="shared" si="165"/>
        <v>-2.0202928891919658E-2</v>
      </c>
      <c r="AT1707">
        <f t="shared" si="166"/>
        <v>0.27447203153759131</v>
      </c>
      <c r="AW1707" s="28">
        <f t="shared" si="167"/>
        <v>-3.1633629142056814E-2</v>
      </c>
      <c r="AX1707">
        <f t="shared" si="168"/>
        <v>0.8</v>
      </c>
      <c r="AY1707" s="62">
        <f t="shared" si="169"/>
        <v>-2.5306903313645452E-2</v>
      </c>
      <c r="AZ1707" s="68" t="str">
        <f t="shared" si="170"/>
        <v>No</v>
      </c>
      <c r="BA1707" s="68" t="str">
        <f t="shared" si="171"/>
        <v>No</v>
      </c>
    </row>
    <row r="1708" spans="1:53" hidden="1">
      <c r="A1708" t="s">
        <v>908</v>
      </c>
      <c r="B1708" t="s">
        <v>675</v>
      </c>
      <c r="C1708" t="s">
        <v>667</v>
      </c>
      <c r="D1708" s="25">
        <v>48</v>
      </c>
      <c r="E1708" s="25">
        <v>509</v>
      </c>
      <c r="F1708" t="s">
        <v>1241</v>
      </c>
      <c r="G1708" t="s">
        <v>668</v>
      </c>
      <c r="H1708" s="3" t="s">
        <v>835</v>
      </c>
      <c r="I1708">
        <v>2018</v>
      </c>
      <c r="J1708" t="s">
        <v>669</v>
      </c>
      <c r="K1708" t="s">
        <v>46</v>
      </c>
      <c r="L1708" t="s">
        <v>670</v>
      </c>
      <c r="M1708" s="25" t="s">
        <v>36</v>
      </c>
      <c r="N1708" t="s">
        <v>36</v>
      </c>
      <c r="O1708" t="s">
        <v>37</v>
      </c>
      <c r="P1708" t="s">
        <v>60</v>
      </c>
      <c r="Q1708" t="s">
        <v>899</v>
      </c>
      <c r="R1708" t="s">
        <v>828</v>
      </c>
      <c r="S1708" t="s">
        <v>836</v>
      </c>
      <c r="T1708">
        <v>63.419487199999999</v>
      </c>
      <c r="U1708">
        <v>10.401993900000001</v>
      </c>
      <c r="V1708" t="s">
        <v>905</v>
      </c>
      <c r="W1708" s="25" t="s">
        <v>38</v>
      </c>
      <c r="X1708">
        <v>4</v>
      </c>
      <c r="Y1708" t="s">
        <v>39</v>
      </c>
      <c r="Z1708">
        <v>3</v>
      </c>
      <c r="AA1708">
        <v>3</v>
      </c>
      <c r="AC1708">
        <v>400</v>
      </c>
      <c r="AE1708">
        <v>1600</v>
      </c>
      <c r="AG1708">
        <v>2301</v>
      </c>
      <c r="AH1708">
        <v>3.204119983</v>
      </c>
      <c r="AI1708">
        <v>11</v>
      </c>
      <c r="AJ1708" t="s">
        <v>333</v>
      </c>
      <c r="AK1708" t="s">
        <v>59</v>
      </c>
      <c r="AL1708" s="25" t="s">
        <v>60</v>
      </c>
      <c r="AM1708" t="s">
        <v>61</v>
      </c>
      <c r="AN1708">
        <v>10.3895</v>
      </c>
      <c r="AO1708">
        <v>4.5943031999999997</v>
      </c>
      <c r="AP1708">
        <v>4.2</v>
      </c>
      <c r="AQ1708">
        <v>0.89334827999999999</v>
      </c>
      <c r="AR1708" t="s">
        <v>41</v>
      </c>
      <c r="AS1708">
        <f t="shared" si="165"/>
        <v>-0.90571115546847492</v>
      </c>
      <c r="AT1708">
        <f t="shared" si="166"/>
        <v>8.0262870812779483E-2</v>
      </c>
      <c r="AW1708" s="28">
        <f t="shared" si="167"/>
        <v>-1.8702172836866022</v>
      </c>
      <c r="AX1708">
        <f t="shared" si="168"/>
        <v>0.8</v>
      </c>
      <c r="AY1708" s="62">
        <f t="shared" si="169"/>
        <v>-1.4961738269492819</v>
      </c>
      <c r="AZ1708" s="68" t="str">
        <f t="shared" si="170"/>
        <v>No</v>
      </c>
      <c r="BA1708" s="68" t="str">
        <f t="shared" si="171"/>
        <v>No</v>
      </c>
    </row>
    <row r="1709" spans="1:53" hidden="1">
      <c r="A1709" t="s">
        <v>908</v>
      </c>
      <c r="B1709" t="s">
        <v>676</v>
      </c>
      <c r="C1709" t="s">
        <v>667</v>
      </c>
      <c r="D1709" s="25">
        <v>48</v>
      </c>
      <c r="E1709" s="25">
        <v>510</v>
      </c>
      <c r="F1709" t="s">
        <v>1241</v>
      </c>
      <c r="G1709" t="s">
        <v>668</v>
      </c>
      <c r="H1709" s="3" t="s">
        <v>835</v>
      </c>
      <c r="I1709">
        <v>2018</v>
      </c>
      <c r="J1709" t="s">
        <v>669</v>
      </c>
      <c r="K1709" t="s">
        <v>46</v>
      </c>
      <c r="L1709" t="s">
        <v>670</v>
      </c>
      <c r="M1709" s="25" t="s">
        <v>36</v>
      </c>
      <c r="N1709" t="s">
        <v>36</v>
      </c>
      <c r="O1709" t="s">
        <v>37</v>
      </c>
      <c r="P1709" t="s">
        <v>60</v>
      </c>
      <c r="Q1709" t="s">
        <v>899</v>
      </c>
      <c r="R1709" t="s">
        <v>828</v>
      </c>
      <c r="S1709" t="s">
        <v>836</v>
      </c>
      <c r="T1709">
        <v>63.419487199999999</v>
      </c>
      <c r="U1709">
        <v>10.401993900000001</v>
      </c>
      <c r="V1709" t="s">
        <v>905</v>
      </c>
      <c r="W1709" s="25" t="s">
        <v>38</v>
      </c>
      <c r="X1709">
        <v>1</v>
      </c>
      <c r="Y1709" t="s">
        <v>39</v>
      </c>
      <c r="Z1709">
        <v>3</v>
      </c>
      <c r="AA1709">
        <v>3</v>
      </c>
      <c r="AC1709">
        <v>400</v>
      </c>
      <c r="AE1709">
        <v>1600</v>
      </c>
      <c r="AG1709">
        <v>2302</v>
      </c>
      <c r="AH1709">
        <v>3.204119983</v>
      </c>
      <c r="AI1709">
        <v>11</v>
      </c>
      <c r="AJ1709" t="s">
        <v>677</v>
      </c>
      <c r="AK1709" t="s">
        <v>59</v>
      </c>
      <c r="AL1709" s="25" t="s">
        <v>60</v>
      </c>
      <c r="AM1709" t="s">
        <v>61</v>
      </c>
      <c r="AN1709">
        <v>62.1053</v>
      </c>
      <c r="AO1709">
        <v>1.8231032</v>
      </c>
      <c r="AP1709">
        <v>81.578900000000004</v>
      </c>
      <c r="AQ1709">
        <v>15.4968968</v>
      </c>
      <c r="AR1709" t="s">
        <v>41</v>
      </c>
      <c r="AS1709">
        <f t="shared" si="165"/>
        <v>0.27273931858808975</v>
      </c>
      <c r="AT1709">
        <f t="shared" si="166"/>
        <v>1.2315768824897128E-2</v>
      </c>
      <c r="AW1709" s="28">
        <f t="shared" si="167"/>
        <v>1.7649475835987964</v>
      </c>
      <c r="AX1709">
        <f t="shared" si="168"/>
        <v>0.8</v>
      </c>
      <c r="AY1709" s="62">
        <f t="shared" si="169"/>
        <v>1.4119580668790372</v>
      </c>
      <c r="AZ1709" s="68" t="str">
        <f t="shared" si="170"/>
        <v>No</v>
      </c>
      <c r="BA1709" s="68" t="str">
        <f t="shared" si="171"/>
        <v>No</v>
      </c>
    </row>
    <row r="1710" spans="1:53" hidden="1">
      <c r="A1710" t="s">
        <v>908</v>
      </c>
      <c r="B1710" t="s">
        <v>678</v>
      </c>
      <c r="C1710" t="s">
        <v>667</v>
      </c>
      <c r="D1710" s="25">
        <v>48</v>
      </c>
      <c r="E1710" s="25">
        <v>511</v>
      </c>
      <c r="F1710" t="s">
        <v>1241</v>
      </c>
      <c r="G1710" t="s">
        <v>668</v>
      </c>
      <c r="H1710" s="3" t="s">
        <v>835</v>
      </c>
      <c r="I1710">
        <v>2018</v>
      </c>
      <c r="J1710" t="s">
        <v>669</v>
      </c>
      <c r="K1710" t="s">
        <v>46</v>
      </c>
      <c r="L1710" t="s">
        <v>670</v>
      </c>
      <c r="M1710" s="25" t="s">
        <v>36</v>
      </c>
      <c r="N1710" t="s">
        <v>36</v>
      </c>
      <c r="O1710" t="s">
        <v>37</v>
      </c>
      <c r="P1710" t="s">
        <v>60</v>
      </c>
      <c r="Q1710" t="s">
        <v>899</v>
      </c>
      <c r="R1710" t="s">
        <v>828</v>
      </c>
      <c r="S1710" t="s">
        <v>836</v>
      </c>
      <c r="T1710">
        <v>63.419487199999999</v>
      </c>
      <c r="U1710">
        <v>10.401993900000001</v>
      </c>
      <c r="V1710" t="s">
        <v>905</v>
      </c>
      <c r="W1710" s="25" t="s">
        <v>38</v>
      </c>
      <c r="X1710">
        <v>2</v>
      </c>
      <c r="Y1710" t="s">
        <v>39</v>
      </c>
      <c r="Z1710">
        <v>3</v>
      </c>
      <c r="AA1710">
        <v>3</v>
      </c>
      <c r="AC1710">
        <v>400</v>
      </c>
      <c r="AE1710">
        <v>1600</v>
      </c>
      <c r="AG1710">
        <v>2303</v>
      </c>
      <c r="AH1710">
        <v>3.204119983</v>
      </c>
      <c r="AI1710">
        <v>11</v>
      </c>
      <c r="AJ1710" t="s">
        <v>677</v>
      </c>
      <c r="AK1710" t="s">
        <v>59</v>
      </c>
      <c r="AL1710" s="25" t="s">
        <v>60</v>
      </c>
      <c r="AM1710" t="s">
        <v>61</v>
      </c>
      <c r="AN1710">
        <v>79.473699999999994</v>
      </c>
      <c r="AO1710">
        <v>15.4968968</v>
      </c>
      <c r="AP1710">
        <v>66.842100000000002</v>
      </c>
      <c r="AQ1710">
        <v>1.8231032</v>
      </c>
      <c r="AR1710" t="s">
        <v>41</v>
      </c>
      <c r="AS1710">
        <f t="shared" si="165"/>
        <v>-0.17309302777197022</v>
      </c>
      <c r="AT1710">
        <f t="shared" si="166"/>
        <v>1.2922194622775721E-2</v>
      </c>
      <c r="AW1710" s="28">
        <f t="shared" si="167"/>
        <v>-1.144837723738114</v>
      </c>
      <c r="AX1710">
        <f t="shared" si="168"/>
        <v>0.8</v>
      </c>
      <c r="AY1710" s="62">
        <f t="shared" si="169"/>
        <v>-0.91587017899049128</v>
      </c>
      <c r="AZ1710" s="68" t="str">
        <f t="shared" ref="AZ1710:AZ1741" si="172">IF(AY1710&gt;10,"Yes","No")</f>
        <v>No</v>
      </c>
      <c r="BA1710" s="68" t="str">
        <f t="shared" ref="BA1710:BA1741" si="173">IF(AY1710&lt;-10,"Yes","No")</f>
        <v>No</v>
      </c>
    </row>
    <row r="1711" spans="1:53" hidden="1">
      <c r="A1711" t="s">
        <v>908</v>
      </c>
      <c r="B1711" t="s">
        <v>679</v>
      </c>
      <c r="C1711" t="s">
        <v>667</v>
      </c>
      <c r="D1711" s="25">
        <v>48</v>
      </c>
      <c r="E1711" s="25">
        <v>512</v>
      </c>
      <c r="F1711" t="s">
        <v>1241</v>
      </c>
      <c r="G1711" t="s">
        <v>668</v>
      </c>
      <c r="H1711" s="3" t="s">
        <v>835</v>
      </c>
      <c r="I1711">
        <v>2018</v>
      </c>
      <c r="J1711" t="s">
        <v>669</v>
      </c>
      <c r="K1711" t="s">
        <v>46</v>
      </c>
      <c r="L1711" t="s">
        <v>670</v>
      </c>
      <c r="M1711" s="25" t="s">
        <v>36</v>
      </c>
      <c r="N1711" t="s">
        <v>36</v>
      </c>
      <c r="O1711" t="s">
        <v>37</v>
      </c>
      <c r="P1711" t="s">
        <v>60</v>
      </c>
      <c r="Q1711" t="s">
        <v>899</v>
      </c>
      <c r="R1711" t="s">
        <v>828</v>
      </c>
      <c r="S1711" t="s">
        <v>836</v>
      </c>
      <c r="T1711">
        <v>63.419487199999999</v>
      </c>
      <c r="U1711">
        <v>10.401993900000001</v>
      </c>
      <c r="V1711" t="s">
        <v>905</v>
      </c>
      <c r="W1711" s="25" t="s">
        <v>38</v>
      </c>
      <c r="X1711">
        <v>3</v>
      </c>
      <c r="Y1711" t="s">
        <v>39</v>
      </c>
      <c r="Z1711">
        <v>3</v>
      </c>
      <c r="AA1711">
        <v>3</v>
      </c>
      <c r="AC1711">
        <v>400</v>
      </c>
      <c r="AE1711">
        <v>1600</v>
      </c>
      <c r="AG1711">
        <v>2304</v>
      </c>
      <c r="AH1711">
        <v>3.204119983</v>
      </c>
      <c r="AI1711">
        <v>11</v>
      </c>
      <c r="AJ1711" t="s">
        <v>677</v>
      </c>
      <c r="AK1711" t="s">
        <v>59</v>
      </c>
      <c r="AL1711" s="25" t="s">
        <v>60</v>
      </c>
      <c r="AM1711" t="s">
        <v>61</v>
      </c>
      <c r="AN1711">
        <v>79.473699999999994</v>
      </c>
      <c r="AO1711">
        <v>16.408448400000001</v>
      </c>
      <c r="AP1711">
        <v>88.421099999999996</v>
      </c>
      <c r="AQ1711">
        <v>9.1156892000000003</v>
      </c>
      <c r="AR1711" t="s">
        <v>41</v>
      </c>
      <c r="AS1711">
        <f t="shared" si="165"/>
        <v>0.1066844796269999</v>
      </c>
      <c r="AT1711">
        <f t="shared" si="166"/>
        <v>1.775190544498715E-2</v>
      </c>
      <c r="AW1711" s="28">
        <f t="shared" si="167"/>
        <v>0.67411689170789979</v>
      </c>
      <c r="AX1711">
        <f t="shared" si="168"/>
        <v>0.8</v>
      </c>
      <c r="AY1711" s="62">
        <f t="shared" si="169"/>
        <v>0.53929351336631981</v>
      </c>
      <c r="AZ1711" s="68" t="str">
        <f t="shared" si="172"/>
        <v>No</v>
      </c>
      <c r="BA1711" s="68" t="str">
        <f t="shared" si="173"/>
        <v>No</v>
      </c>
    </row>
    <row r="1712" spans="1:53" hidden="1">
      <c r="A1712" t="s">
        <v>908</v>
      </c>
      <c r="B1712" t="s">
        <v>680</v>
      </c>
      <c r="C1712" t="s">
        <v>667</v>
      </c>
      <c r="D1712" s="25">
        <v>48</v>
      </c>
      <c r="E1712" s="25">
        <v>513</v>
      </c>
      <c r="F1712" t="s">
        <v>1241</v>
      </c>
      <c r="G1712" t="s">
        <v>668</v>
      </c>
      <c r="H1712" s="3" t="s">
        <v>835</v>
      </c>
      <c r="I1712">
        <v>2018</v>
      </c>
      <c r="J1712" t="s">
        <v>669</v>
      </c>
      <c r="K1712" t="s">
        <v>46</v>
      </c>
      <c r="L1712" t="s">
        <v>670</v>
      </c>
      <c r="M1712" s="25" t="s">
        <v>36</v>
      </c>
      <c r="N1712" t="s">
        <v>36</v>
      </c>
      <c r="O1712" t="s">
        <v>37</v>
      </c>
      <c r="P1712" t="s">
        <v>60</v>
      </c>
      <c r="Q1712" t="s">
        <v>899</v>
      </c>
      <c r="R1712" t="s">
        <v>828</v>
      </c>
      <c r="S1712" t="s">
        <v>836</v>
      </c>
      <c r="T1712">
        <v>63.419487199999999</v>
      </c>
      <c r="U1712">
        <v>10.401993900000001</v>
      </c>
      <c r="V1712" t="s">
        <v>905</v>
      </c>
      <c r="W1712" s="25" t="s">
        <v>38</v>
      </c>
      <c r="X1712">
        <v>4</v>
      </c>
      <c r="Y1712" t="s">
        <v>39</v>
      </c>
      <c r="Z1712">
        <v>3</v>
      </c>
      <c r="AA1712">
        <v>3</v>
      </c>
      <c r="AC1712">
        <v>400</v>
      </c>
      <c r="AE1712">
        <v>1600</v>
      </c>
      <c r="AG1712">
        <v>2305</v>
      </c>
      <c r="AH1712">
        <v>3.204119983</v>
      </c>
      <c r="AI1712">
        <v>11</v>
      </c>
      <c r="AJ1712" t="s">
        <v>677</v>
      </c>
      <c r="AK1712" t="s">
        <v>59</v>
      </c>
      <c r="AL1712" s="25" t="s">
        <v>60</v>
      </c>
      <c r="AM1712" t="s">
        <v>61</v>
      </c>
      <c r="AN1712">
        <v>72.1053</v>
      </c>
      <c r="AO1712">
        <v>7.292586</v>
      </c>
      <c r="AP1712">
        <v>62.631599999999999</v>
      </c>
      <c r="AQ1712">
        <v>19.143103199999999</v>
      </c>
      <c r="AR1712" t="s">
        <v>41</v>
      </c>
      <c r="AS1712">
        <f t="shared" si="165"/>
        <v>-0.14085760753097265</v>
      </c>
      <c r="AT1712">
        <f t="shared" si="166"/>
        <v>3.4549474484290035E-2</v>
      </c>
      <c r="AW1712" s="28">
        <f t="shared" si="167"/>
        <v>-0.65402760247060154</v>
      </c>
      <c r="AX1712">
        <f t="shared" si="168"/>
        <v>0.8</v>
      </c>
      <c r="AY1712" s="62">
        <f t="shared" si="169"/>
        <v>-0.52322208197648123</v>
      </c>
      <c r="AZ1712" s="68" t="str">
        <f t="shared" si="172"/>
        <v>No</v>
      </c>
      <c r="BA1712" s="68" t="str">
        <f t="shared" si="173"/>
        <v>No</v>
      </c>
    </row>
    <row r="1713" spans="1:53" hidden="1">
      <c r="A1713" t="s">
        <v>908</v>
      </c>
      <c r="B1713" t="s">
        <v>681</v>
      </c>
      <c r="C1713" t="s">
        <v>682</v>
      </c>
      <c r="D1713" s="25">
        <v>49</v>
      </c>
      <c r="E1713" s="25">
        <v>514</v>
      </c>
      <c r="F1713" t="s">
        <v>1241</v>
      </c>
      <c r="G1713" t="s">
        <v>683</v>
      </c>
      <c r="H1713" s="3" t="s">
        <v>837</v>
      </c>
      <c r="I1713">
        <v>2018</v>
      </c>
      <c r="J1713" t="s">
        <v>684</v>
      </c>
      <c r="K1713" t="s">
        <v>46</v>
      </c>
      <c r="L1713" t="s">
        <v>685</v>
      </c>
      <c r="M1713" s="25" t="s">
        <v>36</v>
      </c>
      <c r="N1713" t="s">
        <v>36</v>
      </c>
      <c r="O1713" t="s">
        <v>37</v>
      </c>
      <c r="P1713" t="s">
        <v>60</v>
      </c>
      <c r="Q1713" t="s">
        <v>899</v>
      </c>
      <c r="R1713" t="s">
        <v>839</v>
      </c>
      <c r="S1713" t="s">
        <v>838</v>
      </c>
      <c r="T1713">
        <v>60.269590299999997</v>
      </c>
      <c r="U1713">
        <v>5.2233061000000003</v>
      </c>
      <c r="V1713" t="s">
        <v>905</v>
      </c>
      <c r="W1713" s="25" t="s">
        <v>38</v>
      </c>
      <c r="X1713">
        <v>3</v>
      </c>
      <c r="Y1713" t="s">
        <v>39</v>
      </c>
      <c r="Z1713">
        <v>6</v>
      </c>
      <c r="AA1713">
        <v>6</v>
      </c>
      <c r="AC1713">
        <v>135.80000000000001</v>
      </c>
      <c r="AE1713">
        <v>389.2</v>
      </c>
      <c r="AG1713">
        <v>2312</v>
      </c>
      <c r="AH1713">
        <v>2.5901728319999999</v>
      </c>
      <c r="AI1713">
        <v>14.22</v>
      </c>
      <c r="AJ1713" t="s">
        <v>686</v>
      </c>
      <c r="AK1713" t="s">
        <v>40</v>
      </c>
      <c r="AL1713" s="25" t="s">
        <v>60</v>
      </c>
      <c r="AM1713" t="s">
        <v>61</v>
      </c>
      <c r="AN1713">
        <v>365.82278480000002</v>
      </c>
      <c r="AO1713">
        <v>102.9468485</v>
      </c>
      <c r="AP1713">
        <v>354.4303797</v>
      </c>
      <c r="AQ1713">
        <v>119.1126809</v>
      </c>
      <c r="AR1713" t="s">
        <v>48</v>
      </c>
      <c r="AS1713">
        <f t="shared" si="165"/>
        <v>-3.1637085047644398E-2</v>
      </c>
      <c r="AT1713">
        <f t="shared" si="166"/>
        <v>3.2022374839518572E-2</v>
      </c>
      <c r="AW1713" s="28">
        <f t="shared" si="167"/>
        <v>-0.10233594580748052</v>
      </c>
      <c r="AX1713">
        <f t="shared" si="168"/>
        <v>0.92307692307692313</v>
      </c>
      <c r="AY1713" s="62">
        <f t="shared" si="169"/>
        <v>-9.4463949976135872E-2</v>
      </c>
      <c r="AZ1713" s="68" t="str">
        <f t="shared" si="172"/>
        <v>No</v>
      </c>
      <c r="BA1713" s="68" t="str">
        <f t="shared" si="173"/>
        <v>No</v>
      </c>
    </row>
    <row r="1714" spans="1:53" hidden="1">
      <c r="A1714" t="s">
        <v>908</v>
      </c>
      <c r="B1714" t="s">
        <v>687</v>
      </c>
      <c r="C1714" t="s">
        <v>682</v>
      </c>
      <c r="D1714" s="25">
        <v>49</v>
      </c>
      <c r="E1714" s="25">
        <v>515</v>
      </c>
      <c r="F1714" t="s">
        <v>1241</v>
      </c>
      <c r="G1714" t="s">
        <v>683</v>
      </c>
      <c r="H1714" s="3" t="s">
        <v>837</v>
      </c>
      <c r="I1714">
        <v>2018</v>
      </c>
      <c r="J1714" t="s">
        <v>684</v>
      </c>
      <c r="K1714" t="s">
        <v>46</v>
      </c>
      <c r="L1714" t="s">
        <v>685</v>
      </c>
      <c r="M1714" s="25" t="s">
        <v>36</v>
      </c>
      <c r="N1714" t="s">
        <v>36</v>
      </c>
      <c r="O1714" t="s">
        <v>37</v>
      </c>
      <c r="P1714" t="s">
        <v>60</v>
      </c>
      <c r="Q1714" t="s">
        <v>899</v>
      </c>
      <c r="R1714" t="s">
        <v>839</v>
      </c>
      <c r="S1714" t="s">
        <v>838</v>
      </c>
      <c r="T1714">
        <v>60.269590299999997</v>
      </c>
      <c r="U1714">
        <v>5.2233061000000003</v>
      </c>
      <c r="V1714" t="s">
        <v>905</v>
      </c>
      <c r="W1714" s="25" t="s">
        <v>38</v>
      </c>
      <c r="X1714">
        <v>3</v>
      </c>
      <c r="Y1714" t="s">
        <v>39</v>
      </c>
      <c r="Z1714">
        <v>6</v>
      </c>
      <c r="AA1714">
        <v>6</v>
      </c>
      <c r="AC1714">
        <v>135.80000000000001</v>
      </c>
      <c r="AE1714">
        <v>1091</v>
      </c>
      <c r="AG1714">
        <v>2312</v>
      </c>
      <c r="AH1714">
        <v>3.037824751</v>
      </c>
      <c r="AI1714">
        <v>14.22</v>
      </c>
      <c r="AJ1714" t="s">
        <v>686</v>
      </c>
      <c r="AK1714" t="s">
        <v>40</v>
      </c>
      <c r="AL1714" s="25" t="s">
        <v>60</v>
      </c>
      <c r="AM1714" t="s">
        <v>61</v>
      </c>
      <c r="AN1714">
        <v>365.82278480000002</v>
      </c>
      <c r="AO1714">
        <v>102.9468485</v>
      </c>
      <c r="AP1714">
        <v>359.49367080000002</v>
      </c>
      <c r="AQ1714">
        <v>120.81429060000001</v>
      </c>
      <c r="AR1714" t="s">
        <v>48</v>
      </c>
      <c r="AS1714">
        <f t="shared" si="165"/>
        <v>-1.7452450162981137E-2</v>
      </c>
      <c r="AT1714">
        <f t="shared" si="166"/>
        <v>3.2022374835099836E-2</v>
      </c>
      <c r="AW1714" s="28">
        <f t="shared" si="167"/>
        <v>-5.6390778661958435E-2</v>
      </c>
      <c r="AX1714">
        <f t="shared" si="168"/>
        <v>0.92307692307692313</v>
      </c>
      <c r="AY1714" s="62">
        <f t="shared" si="169"/>
        <v>-5.2053026457192404E-2</v>
      </c>
      <c r="AZ1714" s="68" t="str">
        <f t="shared" si="172"/>
        <v>No</v>
      </c>
      <c r="BA1714" s="68" t="str">
        <f t="shared" si="173"/>
        <v>No</v>
      </c>
    </row>
    <row r="1715" spans="1:53" hidden="1">
      <c r="A1715" t="s">
        <v>908</v>
      </c>
      <c r="B1715" t="s">
        <v>688</v>
      </c>
      <c r="C1715" t="s">
        <v>682</v>
      </c>
      <c r="D1715" s="25">
        <v>49</v>
      </c>
      <c r="E1715" s="25">
        <v>516</v>
      </c>
      <c r="F1715" t="s">
        <v>1241</v>
      </c>
      <c r="G1715" t="s">
        <v>683</v>
      </c>
      <c r="H1715" s="3" t="s">
        <v>837</v>
      </c>
      <c r="I1715">
        <v>2018</v>
      </c>
      <c r="J1715" t="s">
        <v>684</v>
      </c>
      <c r="K1715" t="s">
        <v>46</v>
      </c>
      <c r="L1715" t="s">
        <v>685</v>
      </c>
      <c r="M1715" s="25" t="s">
        <v>36</v>
      </c>
      <c r="N1715" t="s">
        <v>36</v>
      </c>
      <c r="O1715" t="s">
        <v>37</v>
      </c>
      <c r="P1715" t="s">
        <v>60</v>
      </c>
      <c r="Q1715" t="s">
        <v>899</v>
      </c>
      <c r="R1715" t="s">
        <v>839</v>
      </c>
      <c r="S1715" t="s">
        <v>838</v>
      </c>
      <c r="T1715">
        <v>60.269590299999997</v>
      </c>
      <c r="U1715">
        <v>5.2233061000000003</v>
      </c>
      <c r="V1715" t="s">
        <v>905</v>
      </c>
      <c r="W1715" s="25" t="s">
        <v>38</v>
      </c>
      <c r="X1715">
        <v>4</v>
      </c>
      <c r="Y1715" t="s">
        <v>39</v>
      </c>
      <c r="Z1715">
        <v>6</v>
      </c>
      <c r="AA1715">
        <v>6</v>
      </c>
      <c r="AC1715">
        <v>135.80000000000001</v>
      </c>
      <c r="AE1715">
        <v>389.2</v>
      </c>
      <c r="AG1715">
        <v>2313</v>
      </c>
      <c r="AH1715">
        <v>2.5901728319999999</v>
      </c>
      <c r="AI1715">
        <v>14.22</v>
      </c>
      <c r="AJ1715" t="s">
        <v>686</v>
      </c>
      <c r="AK1715" t="s">
        <v>40</v>
      </c>
      <c r="AL1715" s="25" t="s">
        <v>60</v>
      </c>
      <c r="AM1715" t="s">
        <v>61</v>
      </c>
      <c r="AN1715">
        <v>539.24050629999999</v>
      </c>
      <c r="AO1715">
        <v>151.74864170000001</v>
      </c>
      <c r="AP1715">
        <v>549.36708859999999</v>
      </c>
      <c r="AQ1715">
        <v>184.62465549999999</v>
      </c>
      <c r="AR1715" t="s">
        <v>48</v>
      </c>
      <c r="AS1715">
        <f t="shared" si="165"/>
        <v>1.8605187871200357E-2</v>
      </c>
      <c r="AT1715">
        <f t="shared" si="166"/>
        <v>3.2022374851330852E-2</v>
      </c>
      <c r="AW1715" s="28">
        <f t="shared" si="167"/>
        <v>5.9924847026206138E-2</v>
      </c>
      <c r="AX1715">
        <f t="shared" si="168"/>
        <v>0.92307692307692313</v>
      </c>
      <c r="AY1715" s="62">
        <f t="shared" si="169"/>
        <v>5.531524340880567E-2</v>
      </c>
      <c r="AZ1715" s="68" t="str">
        <f t="shared" si="172"/>
        <v>No</v>
      </c>
      <c r="BA1715" s="68" t="str">
        <f t="shared" si="173"/>
        <v>No</v>
      </c>
    </row>
    <row r="1716" spans="1:53" hidden="1">
      <c r="A1716" t="s">
        <v>908</v>
      </c>
      <c r="B1716" t="s">
        <v>689</v>
      </c>
      <c r="C1716" t="s">
        <v>682</v>
      </c>
      <c r="D1716" s="25">
        <v>49</v>
      </c>
      <c r="E1716" s="25">
        <v>517</v>
      </c>
      <c r="F1716" t="s">
        <v>1241</v>
      </c>
      <c r="G1716" t="s">
        <v>683</v>
      </c>
      <c r="H1716" s="3" t="s">
        <v>837</v>
      </c>
      <c r="I1716">
        <v>2018</v>
      </c>
      <c r="J1716" t="s">
        <v>684</v>
      </c>
      <c r="K1716" t="s">
        <v>46</v>
      </c>
      <c r="L1716" t="s">
        <v>685</v>
      </c>
      <c r="M1716" s="25" t="s">
        <v>36</v>
      </c>
      <c r="N1716" t="s">
        <v>36</v>
      </c>
      <c r="O1716" t="s">
        <v>37</v>
      </c>
      <c r="P1716" t="s">
        <v>60</v>
      </c>
      <c r="Q1716" t="s">
        <v>899</v>
      </c>
      <c r="R1716" t="s">
        <v>839</v>
      </c>
      <c r="S1716" t="s">
        <v>838</v>
      </c>
      <c r="T1716">
        <v>60.269590299999997</v>
      </c>
      <c r="U1716">
        <v>5.2233061000000003</v>
      </c>
      <c r="V1716" t="s">
        <v>905</v>
      </c>
      <c r="W1716" s="25" t="s">
        <v>38</v>
      </c>
      <c r="X1716">
        <v>4</v>
      </c>
      <c r="Y1716" t="s">
        <v>39</v>
      </c>
      <c r="Z1716">
        <v>6</v>
      </c>
      <c r="AA1716">
        <v>6</v>
      </c>
      <c r="AC1716">
        <v>135.80000000000001</v>
      </c>
      <c r="AE1716">
        <v>1091</v>
      </c>
      <c r="AG1716">
        <v>2313</v>
      </c>
      <c r="AH1716">
        <v>3.037824751</v>
      </c>
      <c r="AI1716">
        <v>14.22</v>
      </c>
      <c r="AJ1716" t="s">
        <v>686</v>
      </c>
      <c r="AK1716" t="s">
        <v>40</v>
      </c>
      <c r="AL1716" s="25" t="s">
        <v>60</v>
      </c>
      <c r="AM1716" t="s">
        <v>61</v>
      </c>
      <c r="AN1716">
        <v>539.24050629999999</v>
      </c>
      <c r="AO1716">
        <v>151.74864170000001</v>
      </c>
      <c r="AP1716">
        <v>560.75949360000004</v>
      </c>
      <c r="AQ1716">
        <v>188.4532773</v>
      </c>
      <c r="AR1716" t="s">
        <v>48</v>
      </c>
      <c r="AS1716">
        <f t="shared" si="165"/>
        <v>3.9130423703345407E-2</v>
      </c>
      <c r="AT1716">
        <f t="shared" si="166"/>
        <v>3.2022374837939974E-2</v>
      </c>
      <c r="AW1716" s="28">
        <f t="shared" si="167"/>
        <v>0.125777217021809</v>
      </c>
      <c r="AX1716">
        <f t="shared" si="168"/>
        <v>0.92307692307692313</v>
      </c>
      <c r="AY1716" s="62">
        <f t="shared" si="169"/>
        <v>0.11610204648166984</v>
      </c>
      <c r="AZ1716" s="68" t="str">
        <f t="shared" si="172"/>
        <v>No</v>
      </c>
      <c r="BA1716" s="68" t="str">
        <f t="shared" si="173"/>
        <v>No</v>
      </c>
    </row>
    <row r="1717" spans="1:53" hidden="1">
      <c r="A1717" t="s">
        <v>908</v>
      </c>
      <c r="B1717" t="s">
        <v>690</v>
      </c>
      <c r="C1717" t="s">
        <v>682</v>
      </c>
      <c r="D1717" s="25">
        <v>49</v>
      </c>
      <c r="E1717" s="25">
        <v>518</v>
      </c>
      <c r="F1717" t="s">
        <v>1241</v>
      </c>
      <c r="G1717" t="s">
        <v>683</v>
      </c>
      <c r="H1717" s="3" t="s">
        <v>837</v>
      </c>
      <c r="I1717">
        <v>2018</v>
      </c>
      <c r="J1717" t="s">
        <v>684</v>
      </c>
      <c r="K1717" t="s">
        <v>46</v>
      </c>
      <c r="L1717" t="s">
        <v>685</v>
      </c>
      <c r="M1717" s="25" t="s">
        <v>36</v>
      </c>
      <c r="N1717" t="s">
        <v>36</v>
      </c>
      <c r="O1717" t="s">
        <v>37</v>
      </c>
      <c r="P1717" t="s">
        <v>60</v>
      </c>
      <c r="Q1717" t="s">
        <v>899</v>
      </c>
      <c r="R1717" t="s">
        <v>839</v>
      </c>
      <c r="S1717" t="s">
        <v>838</v>
      </c>
      <c r="T1717">
        <v>60.269590299999997</v>
      </c>
      <c r="U1717">
        <v>5.2233061000000003</v>
      </c>
      <c r="V1717" t="s">
        <v>905</v>
      </c>
      <c r="W1717" s="25" t="s">
        <v>38</v>
      </c>
      <c r="X1717">
        <v>5</v>
      </c>
      <c r="Y1717" t="s">
        <v>39</v>
      </c>
      <c r="Z1717">
        <v>6</v>
      </c>
      <c r="AA1717">
        <v>6</v>
      </c>
      <c r="AC1717">
        <v>135.80000000000001</v>
      </c>
      <c r="AE1717">
        <v>389.2</v>
      </c>
      <c r="AG1717">
        <v>2314</v>
      </c>
      <c r="AH1717">
        <v>2.5901728319999999</v>
      </c>
      <c r="AI1717">
        <v>14.22</v>
      </c>
      <c r="AJ1717" t="s">
        <v>686</v>
      </c>
      <c r="AK1717" t="s">
        <v>40</v>
      </c>
      <c r="AL1717" s="25" t="s">
        <v>60</v>
      </c>
      <c r="AM1717" t="s">
        <v>61</v>
      </c>
      <c r="AN1717">
        <v>877.21518979999996</v>
      </c>
      <c r="AO1717">
        <v>246.8587058</v>
      </c>
      <c r="AP1717">
        <v>873.41772149999997</v>
      </c>
      <c r="AQ1717">
        <v>293.52767799999998</v>
      </c>
      <c r="AR1717" t="s">
        <v>48</v>
      </c>
      <c r="AS1717">
        <f t="shared" ref="AS1717:AS1780" si="174">LN(AP1717)-LN(AN1717)</f>
        <v>-4.3384015366427775E-3</v>
      </c>
      <c r="AT1717">
        <f t="shared" ref="AT1717:AT1780" si="175">(AQ1717^2)/(AA1717*AP1717^2) + (AO1717^2)/(Z1717*AN1717^2)</f>
        <v>3.2022374832852529E-2</v>
      </c>
      <c r="AW1717" s="28">
        <f t="shared" si="167"/>
        <v>-1.4002519521087817E-2</v>
      </c>
      <c r="AX1717">
        <f t="shared" si="168"/>
        <v>0.92307692307692313</v>
      </c>
      <c r="AY1717" s="62">
        <f t="shared" si="169"/>
        <v>-1.2925402634850293E-2</v>
      </c>
      <c r="AZ1717" s="68" t="str">
        <f t="shared" si="172"/>
        <v>No</v>
      </c>
      <c r="BA1717" s="68" t="str">
        <f t="shared" si="173"/>
        <v>No</v>
      </c>
    </row>
    <row r="1718" spans="1:53" hidden="1">
      <c r="A1718" t="s">
        <v>908</v>
      </c>
      <c r="B1718" t="s">
        <v>691</v>
      </c>
      <c r="C1718" t="s">
        <v>682</v>
      </c>
      <c r="D1718" s="25">
        <v>49</v>
      </c>
      <c r="E1718" s="25">
        <v>519</v>
      </c>
      <c r="F1718" t="s">
        <v>1241</v>
      </c>
      <c r="G1718" t="s">
        <v>683</v>
      </c>
      <c r="H1718" s="3" t="s">
        <v>837</v>
      </c>
      <c r="I1718">
        <v>2018</v>
      </c>
      <c r="J1718" t="s">
        <v>684</v>
      </c>
      <c r="K1718" t="s">
        <v>46</v>
      </c>
      <c r="L1718" t="s">
        <v>685</v>
      </c>
      <c r="M1718" s="25" t="s">
        <v>36</v>
      </c>
      <c r="N1718" t="s">
        <v>36</v>
      </c>
      <c r="O1718" t="s">
        <v>37</v>
      </c>
      <c r="P1718" t="s">
        <v>60</v>
      </c>
      <c r="Q1718" t="s">
        <v>899</v>
      </c>
      <c r="R1718" t="s">
        <v>839</v>
      </c>
      <c r="S1718" t="s">
        <v>838</v>
      </c>
      <c r="T1718">
        <v>60.269590299999997</v>
      </c>
      <c r="U1718">
        <v>5.2233061000000003</v>
      </c>
      <c r="V1718" t="s">
        <v>905</v>
      </c>
      <c r="W1718" s="25" t="s">
        <v>38</v>
      </c>
      <c r="X1718">
        <v>5</v>
      </c>
      <c r="Y1718" t="s">
        <v>39</v>
      </c>
      <c r="Z1718">
        <v>6</v>
      </c>
      <c r="AA1718">
        <v>6</v>
      </c>
      <c r="AC1718">
        <v>135.80000000000001</v>
      </c>
      <c r="AE1718">
        <v>1091</v>
      </c>
      <c r="AG1718">
        <v>2314</v>
      </c>
      <c r="AH1718">
        <v>3.037824751</v>
      </c>
      <c r="AI1718">
        <v>14.22</v>
      </c>
      <c r="AJ1718" t="s">
        <v>686</v>
      </c>
      <c r="AK1718" t="s">
        <v>40</v>
      </c>
      <c r="AL1718" s="25" t="s">
        <v>60</v>
      </c>
      <c r="AM1718" t="s">
        <v>61</v>
      </c>
      <c r="AN1718">
        <v>877.21518979999996</v>
      </c>
      <c r="AO1718">
        <v>246.8587058</v>
      </c>
      <c r="AP1718">
        <v>859.49367080000002</v>
      </c>
      <c r="AQ1718">
        <v>288.84825130000002</v>
      </c>
      <c r="AR1718" t="s">
        <v>48</v>
      </c>
      <c r="AS1718">
        <f t="shared" si="174"/>
        <v>-2.0408871647659588E-2</v>
      </c>
      <c r="AT1718">
        <f t="shared" si="175"/>
        <v>3.2022374842415609E-2</v>
      </c>
      <c r="AW1718" s="28">
        <f t="shared" si="167"/>
        <v>-6.5958938013348026E-2</v>
      </c>
      <c r="AX1718">
        <f t="shared" si="168"/>
        <v>0.92307692307692313</v>
      </c>
      <c r="AY1718" s="62">
        <f t="shared" si="169"/>
        <v>-6.0885173550782795E-2</v>
      </c>
      <c r="AZ1718" s="68" t="str">
        <f t="shared" si="172"/>
        <v>No</v>
      </c>
      <c r="BA1718" s="68" t="str">
        <f t="shared" si="173"/>
        <v>No</v>
      </c>
    </row>
    <row r="1719" spans="1:53" hidden="1">
      <c r="A1719" t="s">
        <v>908</v>
      </c>
      <c r="B1719" t="s">
        <v>692</v>
      </c>
      <c r="C1719" t="s">
        <v>682</v>
      </c>
      <c r="D1719" s="25">
        <v>49</v>
      </c>
      <c r="E1719" s="25">
        <v>520</v>
      </c>
      <c r="F1719" t="s">
        <v>1241</v>
      </c>
      <c r="G1719" t="s">
        <v>683</v>
      </c>
      <c r="H1719" s="3" t="s">
        <v>837</v>
      </c>
      <c r="I1719">
        <v>2018</v>
      </c>
      <c r="J1719" t="s">
        <v>684</v>
      </c>
      <c r="K1719" t="s">
        <v>46</v>
      </c>
      <c r="L1719" t="s">
        <v>685</v>
      </c>
      <c r="M1719" s="25" t="s">
        <v>36</v>
      </c>
      <c r="N1719" t="s">
        <v>36</v>
      </c>
      <c r="O1719" t="s">
        <v>37</v>
      </c>
      <c r="P1719" t="s">
        <v>60</v>
      </c>
      <c r="Q1719" t="s">
        <v>899</v>
      </c>
      <c r="R1719" t="s">
        <v>839</v>
      </c>
      <c r="S1719" t="s">
        <v>838</v>
      </c>
      <c r="T1719">
        <v>60.269590299999997</v>
      </c>
      <c r="U1719">
        <v>5.2233061000000003</v>
      </c>
      <c r="V1719" t="s">
        <v>905</v>
      </c>
      <c r="W1719" s="25" t="s">
        <v>38</v>
      </c>
      <c r="X1719">
        <v>5</v>
      </c>
      <c r="Y1719" t="s">
        <v>90</v>
      </c>
      <c r="Z1719">
        <v>4</v>
      </c>
      <c r="AA1719">
        <v>4</v>
      </c>
      <c r="AC1719">
        <v>135.80000000000001</v>
      </c>
      <c r="AE1719">
        <v>389.2</v>
      </c>
      <c r="AG1719">
        <v>2315</v>
      </c>
      <c r="AH1719">
        <v>2.5901728319999999</v>
      </c>
      <c r="AI1719">
        <v>14.22</v>
      </c>
      <c r="AJ1719" t="s">
        <v>693</v>
      </c>
      <c r="AK1719" t="s">
        <v>59</v>
      </c>
      <c r="AL1719" s="25" t="s">
        <v>60</v>
      </c>
      <c r="AM1719" t="s">
        <v>61</v>
      </c>
      <c r="AN1719">
        <v>96.5</v>
      </c>
      <c r="AO1719">
        <v>1.44</v>
      </c>
      <c r="AP1719">
        <v>96.8</v>
      </c>
      <c r="AQ1719">
        <v>1.96</v>
      </c>
      <c r="AR1719" t="s">
        <v>110</v>
      </c>
      <c r="AS1719">
        <f t="shared" si="174"/>
        <v>3.1039859375914247E-3</v>
      </c>
      <c r="AT1719">
        <f t="shared" si="175"/>
        <v>1.5816331519897067E-4</v>
      </c>
      <c r="AW1719" s="28">
        <f t="shared" si="167"/>
        <v>0.17444219226431262</v>
      </c>
      <c r="AX1719">
        <f t="shared" si="168"/>
        <v>0.86956521739130432</v>
      </c>
      <c r="AY1719" s="62">
        <f t="shared" si="169"/>
        <v>0.15168886283853272</v>
      </c>
      <c r="AZ1719" s="68" t="str">
        <f t="shared" si="172"/>
        <v>No</v>
      </c>
      <c r="BA1719" s="68" t="str">
        <f t="shared" si="173"/>
        <v>No</v>
      </c>
    </row>
    <row r="1720" spans="1:53" hidden="1">
      <c r="A1720" t="s">
        <v>908</v>
      </c>
      <c r="B1720" t="s">
        <v>694</v>
      </c>
      <c r="C1720" t="s">
        <v>682</v>
      </c>
      <c r="D1720" s="25">
        <v>49</v>
      </c>
      <c r="E1720" s="25">
        <v>521</v>
      </c>
      <c r="F1720" t="s">
        <v>1241</v>
      </c>
      <c r="G1720" t="s">
        <v>683</v>
      </c>
      <c r="H1720" s="3" t="s">
        <v>837</v>
      </c>
      <c r="I1720">
        <v>2018</v>
      </c>
      <c r="J1720" t="s">
        <v>684</v>
      </c>
      <c r="K1720" t="s">
        <v>46</v>
      </c>
      <c r="L1720" t="s">
        <v>685</v>
      </c>
      <c r="M1720" s="25" t="s">
        <v>36</v>
      </c>
      <c r="N1720" t="s">
        <v>36</v>
      </c>
      <c r="O1720" t="s">
        <v>37</v>
      </c>
      <c r="P1720" t="s">
        <v>60</v>
      </c>
      <c r="Q1720" t="s">
        <v>899</v>
      </c>
      <c r="R1720" t="s">
        <v>839</v>
      </c>
      <c r="S1720" t="s">
        <v>838</v>
      </c>
      <c r="T1720">
        <v>60.269590299999997</v>
      </c>
      <c r="U1720">
        <v>5.2233061000000003</v>
      </c>
      <c r="V1720" t="s">
        <v>905</v>
      </c>
      <c r="W1720" s="25" t="s">
        <v>38</v>
      </c>
      <c r="X1720">
        <v>5</v>
      </c>
      <c r="Y1720" t="s">
        <v>90</v>
      </c>
      <c r="Z1720">
        <v>4</v>
      </c>
      <c r="AA1720">
        <v>4</v>
      </c>
      <c r="AC1720">
        <v>135.80000000000001</v>
      </c>
      <c r="AE1720">
        <v>1091</v>
      </c>
      <c r="AG1720">
        <v>2315</v>
      </c>
      <c r="AH1720">
        <v>3.037824751</v>
      </c>
      <c r="AI1720">
        <v>14.22</v>
      </c>
      <c r="AJ1720" t="s">
        <v>693</v>
      </c>
      <c r="AK1720" t="s">
        <v>59</v>
      </c>
      <c r="AL1720" s="25" t="s">
        <v>60</v>
      </c>
      <c r="AM1720" t="s">
        <v>61</v>
      </c>
      <c r="AN1720">
        <v>96.5</v>
      </c>
      <c r="AO1720">
        <v>1.44</v>
      </c>
      <c r="AP1720">
        <v>96</v>
      </c>
      <c r="AQ1720">
        <v>1.44</v>
      </c>
      <c r="AR1720" t="s">
        <v>110</v>
      </c>
      <c r="AS1720">
        <f t="shared" si="174"/>
        <v>-5.1948168771041026E-3</v>
      </c>
      <c r="AT1720">
        <f t="shared" si="175"/>
        <v>1.1191860855324975E-4</v>
      </c>
      <c r="AW1720" s="28">
        <f t="shared" si="167"/>
        <v>-0.34722222222222215</v>
      </c>
      <c r="AX1720">
        <f t="shared" si="168"/>
        <v>0.86956521739130432</v>
      </c>
      <c r="AY1720" s="62">
        <f t="shared" si="169"/>
        <v>-0.30193236714975841</v>
      </c>
      <c r="AZ1720" s="68" t="str">
        <f t="shared" si="172"/>
        <v>No</v>
      </c>
      <c r="BA1720" s="68" t="str">
        <f t="shared" si="173"/>
        <v>No</v>
      </c>
    </row>
    <row r="1721" spans="1:53" hidden="1">
      <c r="A1721" t="s">
        <v>908</v>
      </c>
      <c r="B1721" t="s">
        <v>695</v>
      </c>
      <c r="C1721" t="s">
        <v>682</v>
      </c>
      <c r="D1721" s="25">
        <v>49</v>
      </c>
      <c r="E1721" s="25">
        <v>522</v>
      </c>
      <c r="F1721" t="s">
        <v>1241</v>
      </c>
      <c r="G1721" t="s">
        <v>683</v>
      </c>
      <c r="H1721" s="3" t="s">
        <v>837</v>
      </c>
      <c r="I1721">
        <v>2018</v>
      </c>
      <c r="J1721" t="s">
        <v>684</v>
      </c>
      <c r="K1721" t="s">
        <v>46</v>
      </c>
      <c r="L1721" t="s">
        <v>685</v>
      </c>
      <c r="M1721" s="25" t="s">
        <v>36</v>
      </c>
      <c r="N1721" t="s">
        <v>36</v>
      </c>
      <c r="O1721" t="s">
        <v>47</v>
      </c>
      <c r="P1721" t="s">
        <v>60</v>
      </c>
      <c r="Q1721" t="s">
        <v>899</v>
      </c>
      <c r="R1721" t="s">
        <v>839</v>
      </c>
      <c r="S1721" t="s">
        <v>838</v>
      </c>
      <c r="T1721">
        <v>60.269590299999997</v>
      </c>
      <c r="U1721">
        <v>5.2233061000000003</v>
      </c>
      <c r="V1721" t="s">
        <v>905</v>
      </c>
      <c r="W1721" s="25" t="s">
        <v>38</v>
      </c>
      <c r="X1721">
        <v>2</v>
      </c>
      <c r="Y1721" t="s">
        <v>39</v>
      </c>
      <c r="Z1721">
        <v>2</v>
      </c>
      <c r="AA1721">
        <v>2</v>
      </c>
      <c r="AG1721">
        <v>2316</v>
      </c>
      <c r="AI1721">
        <v>14.22</v>
      </c>
      <c r="AJ1721" t="s">
        <v>686</v>
      </c>
      <c r="AK1721" t="s">
        <v>40</v>
      </c>
      <c r="AL1721" s="25" t="s">
        <v>60</v>
      </c>
      <c r="AM1721" t="s">
        <v>61</v>
      </c>
      <c r="AN1721">
        <v>200</v>
      </c>
      <c r="AO1721">
        <v>18.608073189999999</v>
      </c>
      <c r="AP1721">
        <v>209.2105263</v>
      </c>
      <c r="AQ1721">
        <v>20.468880510000002</v>
      </c>
      <c r="AR1721" t="s">
        <v>48</v>
      </c>
      <c r="AS1721">
        <f t="shared" si="174"/>
        <v>4.5023681298483886E-2</v>
      </c>
      <c r="AT1721">
        <f t="shared" si="175"/>
        <v>9.1144579271078361E-3</v>
      </c>
      <c r="AW1721" s="28">
        <f t="shared" si="167"/>
        <v>0.47087095495533976</v>
      </c>
      <c r="AX1721">
        <f t="shared" si="168"/>
        <v>0.5714285714285714</v>
      </c>
      <c r="AY1721" s="62">
        <f t="shared" si="169"/>
        <v>0.269069117117337</v>
      </c>
      <c r="AZ1721" s="68" t="str">
        <f t="shared" si="172"/>
        <v>No</v>
      </c>
      <c r="BA1721" s="68" t="str">
        <f t="shared" si="173"/>
        <v>No</v>
      </c>
    </row>
    <row r="1722" spans="1:53" hidden="1">
      <c r="A1722" t="s">
        <v>908</v>
      </c>
      <c r="B1722" t="s">
        <v>696</v>
      </c>
      <c r="C1722" t="s">
        <v>682</v>
      </c>
      <c r="D1722" s="25">
        <v>49</v>
      </c>
      <c r="E1722" s="25">
        <v>523</v>
      </c>
      <c r="F1722" t="s">
        <v>1241</v>
      </c>
      <c r="G1722" t="s">
        <v>683</v>
      </c>
      <c r="H1722" s="3" t="s">
        <v>837</v>
      </c>
      <c r="I1722">
        <v>2018</v>
      </c>
      <c r="J1722" t="s">
        <v>684</v>
      </c>
      <c r="K1722" t="s">
        <v>46</v>
      </c>
      <c r="L1722" t="s">
        <v>685</v>
      </c>
      <c r="M1722" s="25" t="s">
        <v>36</v>
      </c>
      <c r="N1722" t="s">
        <v>36</v>
      </c>
      <c r="O1722" t="s">
        <v>47</v>
      </c>
      <c r="P1722" t="s">
        <v>60</v>
      </c>
      <c r="Q1722" t="s">
        <v>899</v>
      </c>
      <c r="R1722" t="s">
        <v>839</v>
      </c>
      <c r="S1722" t="s">
        <v>838</v>
      </c>
      <c r="T1722">
        <v>60.269590299999997</v>
      </c>
      <c r="U1722">
        <v>5.2233061000000003</v>
      </c>
      <c r="V1722" t="s">
        <v>905</v>
      </c>
      <c r="W1722" s="25" t="s">
        <v>38</v>
      </c>
      <c r="X1722">
        <v>4</v>
      </c>
      <c r="Y1722" t="s">
        <v>39</v>
      </c>
      <c r="Z1722">
        <v>2</v>
      </c>
      <c r="AA1722">
        <v>2</v>
      </c>
      <c r="AG1722">
        <v>2317</v>
      </c>
      <c r="AI1722">
        <v>14.22</v>
      </c>
      <c r="AJ1722" t="s">
        <v>686</v>
      </c>
      <c r="AK1722" t="s">
        <v>40</v>
      </c>
      <c r="AL1722" s="25" t="s">
        <v>60</v>
      </c>
      <c r="AM1722" t="s">
        <v>61</v>
      </c>
      <c r="AN1722">
        <v>373.68421050000001</v>
      </c>
      <c r="AO1722">
        <v>18.608073189999999</v>
      </c>
      <c r="AP1722">
        <v>490.78947369999997</v>
      </c>
      <c r="AQ1722">
        <v>91.179558630000002</v>
      </c>
      <c r="AR1722" t="s">
        <v>48</v>
      </c>
      <c r="AS1722">
        <f t="shared" si="174"/>
        <v>0.27260418158520316</v>
      </c>
      <c r="AT1722">
        <f t="shared" si="175"/>
        <v>1.8497198833412793E-2</v>
      </c>
      <c r="AW1722" s="28">
        <f t="shared" si="167"/>
        <v>1.7796441073388285</v>
      </c>
      <c r="AX1722">
        <f t="shared" si="168"/>
        <v>0.5714285714285714</v>
      </c>
      <c r="AY1722" s="62">
        <f t="shared" si="169"/>
        <v>1.0169394899079018</v>
      </c>
      <c r="AZ1722" s="68" t="str">
        <f t="shared" si="172"/>
        <v>No</v>
      </c>
      <c r="BA1722" s="68" t="str">
        <f t="shared" si="173"/>
        <v>No</v>
      </c>
    </row>
    <row r="1723" spans="1:53" hidden="1">
      <c r="A1723" t="s">
        <v>908</v>
      </c>
      <c r="B1723" t="s">
        <v>697</v>
      </c>
      <c r="C1723" t="s">
        <v>682</v>
      </c>
      <c r="D1723" s="25">
        <v>49</v>
      </c>
      <c r="E1723" s="25">
        <v>524</v>
      </c>
      <c r="F1723" t="s">
        <v>1241</v>
      </c>
      <c r="G1723" t="s">
        <v>683</v>
      </c>
      <c r="H1723" s="3" t="s">
        <v>837</v>
      </c>
      <c r="I1723">
        <v>2018</v>
      </c>
      <c r="J1723" t="s">
        <v>684</v>
      </c>
      <c r="K1723" t="s">
        <v>46</v>
      </c>
      <c r="L1723" t="s">
        <v>685</v>
      </c>
      <c r="M1723" s="25" t="s">
        <v>36</v>
      </c>
      <c r="N1723" t="s">
        <v>36</v>
      </c>
      <c r="O1723" t="s">
        <v>47</v>
      </c>
      <c r="P1723" t="s">
        <v>60</v>
      </c>
      <c r="Q1723" t="s">
        <v>899</v>
      </c>
      <c r="R1723" t="s">
        <v>839</v>
      </c>
      <c r="S1723" t="s">
        <v>838</v>
      </c>
      <c r="T1723">
        <v>60.269590299999997</v>
      </c>
      <c r="U1723">
        <v>5.2233061000000003</v>
      </c>
      <c r="V1723" t="s">
        <v>905</v>
      </c>
      <c r="W1723" s="25" t="s">
        <v>38</v>
      </c>
      <c r="X1723">
        <v>6</v>
      </c>
      <c r="Y1723" t="s">
        <v>39</v>
      </c>
      <c r="Z1723">
        <v>2</v>
      </c>
      <c r="AA1723">
        <v>2</v>
      </c>
      <c r="AG1723">
        <v>2318</v>
      </c>
      <c r="AI1723">
        <v>14.22</v>
      </c>
      <c r="AJ1723" t="s">
        <v>686</v>
      </c>
      <c r="AK1723" t="s">
        <v>40</v>
      </c>
      <c r="AL1723" s="25" t="s">
        <v>60</v>
      </c>
      <c r="AM1723" t="s">
        <v>61</v>
      </c>
      <c r="AN1723">
        <v>575</v>
      </c>
      <c r="AO1723">
        <v>20.468880510000002</v>
      </c>
      <c r="AP1723">
        <v>580.26315790000001</v>
      </c>
      <c r="AQ1723">
        <v>57.685026890000003</v>
      </c>
      <c r="AR1723" t="s">
        <v>48</v>
      </c>
      <c r="AS1723">
        <f t="shared" si="174"/>
        <v>9.1116803603261687E-3</v>
      </c>
      <c r="AT1723">
        <f t="shared" si="175"/>
        <v>5.574967430630207E-3</v>
      </c>
      <c r="AW1723" s="28">
        <f t="shared" si="167"/>
        <v>0.12160358017541051</v>
      </c>
      <c r="AX1723">
        <f t="shared" si="168"/>
        <v>0.5714285714285714</v>
      </c>
      <c r="AY1723" s="62">
        <f t="shared" si="169"/>
        <v>6.9487760100234566E-2</v>
      </c>
      <c r="AZ1723" s="68" t="str">
        <f t="shared" si="172"/>
        <v>No</v>
      </c>
      <c r="BA1723" s="68" t="str">
        <f t="shared" si="173"/>
        <v>No</v>
      </c>
    </row>
    <row r="1724" spans="1:53" hidden="1">
      <c r="A1724" t="s">
        <v>908</v>
      </c>
      <c r="B1724" t="s">
        <v>698</v>
      </c>
      <c r="C1724" t="s">
        <v>682</v>
      </c>
      <c r="D1724" s="25">
        <v>49</v>
      </c>
      <c r="E1724" s="25">
        <v>525</v>
      </c>
      <c r="F1724" t="s">
        <v>1241</v>
      </c>
      <c r="G1724" t="s">
        <v>683</v>
      </c>
      <c r="H1724" s="3" t="s">
        <v>837</v>
      </c>
      <c r="I1724">
        <v>2018</v>
      </c>
      <c r="J1724" t="s">
        <v>684</v>
      </c>
      <c r="K1724" t="s">
        <v>46</v>
      </c>
      <c r="L1724" t="s">
        <v>685</v>
      </c>
      <c r="M1724" s="25" t="s">
        <v>36</v>
      </c>
      <c r="N1724" t="s">
        <v>36</v>
      </c>
      <c r="O1724" t="s">
        <v>47</v>
      </c>
      <c r="P1724" t="s">
        <v>60</v>
      </c>
      <c r="Q1724" t="s">
        <v>899</v>
      </c>
      <c r="R1724" t="s">
        <v>839</v>
      </c>
      <c r="S1724" t="s">
        <v>838</v>
      </c>
      <c r="T1724">
        <v>60.269590299999997</v>
      </c>
      <c r="U1724">
        <v>5.2233061000000003</v>
      </c>
      <c r="V1724" t="s">
        <v>905</v>
      </c>
      <c r="W1724" s="25" t="s">
        <v>38</v>
      </c>
      <c r="X1724">
        <v>8</v>
      </c>
      <c r="Y1724" t="s">
        <v>39</v>
      </c>
      <c r="Z1724">
        <v>2</v>
      </c>
      <c r="AA1724">
        <v>2</v>
      </c>
      <c r="AG1724">
        <v>2319</v>
      </c>
      <c r="AI1724">
        <v>14.22</v>
      </c>
      <c r="AJ1724" t="s">
        <v>686</v>
      </c>
      <c r="AK1724" t="s">
        <v>40</v>
      </c>
      <c r="AL1724" s="25" t="s">
        <v>60</v>
      </c>
      <c r="AM1724" t="s">
        <v>61</v>
      </c>
      <c r="AN1724">
        <v>771.05263160000004</v>
      </c>
      <c r="AO1724">
        <v>212.13203440000001</v>
      </c>
      <c r="AP1724">
        <v>268.4210526</v>
      </c>
      <c r="AQ1724">
        <v>219.5752636</v>
      </c>
      <c r="AR1724" t="s">
        <v>48</v>
      </c>
      <c r="AS1724">
        <f t="shared" si="174"/>
        <v>-1.0551997958777468</v>
      </c>
      <c r="AT1724">
        <f t="shared" si="175"/>
        <v>0.37242837220355868</v>
      </c>
      <c r="AW1724" s="28">
        <f t="shared" ref="AW1724:AW1787" si="176">(AP1724-$AN1724)/SQRT(((AA1724-1)*AQ1724*AQ1724+($Z1724-1)*$AO1724*$AO1724)/(AA1724+$Z1724-2))</f>
        <v>-2.3282297545260691</v>
      </c>
      <c r="AX1724">
        <f t="shared" ref="AX1724:AX1787" si="177">1-(3/(4*(AA1724+$Z1724-2)-1))</f>
        <v>0.5714285714285714</v>
      </c>
      <c r="AY1724" s="62">
        <f t="shared" ref="AY1724:AY1787" si="178">AX1724*AW1724</f>
        <v>-1.3304170025863251</v>
      </c>
      <c r="AZ1724" s="68" t="str">
        <f t="shared" si="172"/>
        <v>No</v>
      </c>
      <c r="BA1724" s="68" t="str">
        <f t="shared" si="173"/>
        <v>No</v>
      </c>
    </row>
    <row r="1725" spans="1:53" hidden="1">
      <c r="A1725" t="s">
        <v>908</v>
      </c>
      <c r="B1725" t="s">
        <v>699</v>
      </c>
      <c r="C1725" t="s">
        <v>682</v>
      </c>
      <c r="D1725" s="25">
        <v>49</v>
      </c>
      <c r="E1725" s="25">
        <v>526</v>
      </c>
      <c r="F1725" t="s">
        <v>1241</v>
      </c>
      <c r="G1725" t="s">
        <v>683</v>
      </c>
      <c r="H1725" s="3" t="s">
        <v>837</v>
      </c>
      <c r="I1725">
        <v>2018</v>
      </c>
      <c r="J1725" t="s">
        <v>684</v>
      </c>
      <c r="K1725" t="s">
        <v>46</v>
      </c>
      <c r="L1725" t="s">
        <v>685</v>
      </c>
      <c r="M1725" s="25" t="s">
        <v>36</v>
      </c>
      <c r="N1725" t="s">
        <v>36</v>
      </c>
      <c r="O1725" t="s">
        <v>47</v>
      </c>
      <c r="P1725" t="s">
        <v>60</v>
      </c>
      <c r="Q1725" t="s">
        <v>899</v>
      </c>
      <c r="R1725" t="s">
        <v>839</v>
      </c>
      <c r="S1725" t="s">
        <v>838</v>
      </c>
      <c r="T1725">
        <v>60.269590299999997</v>
      </c>
      <c r="U1725">
        <v>5.2233061000000003</v>
      </c>
      <c r="V1725" t="s">
        <v>905</v>
      </c>
      <c r="W1725" s="25" t="s">
        <v>38</v>
      </c>
      <c r="X1725">
        <v>10</v>
      </c>
      <c r="Y1725" t="s">
        <v>39</v>
      </c>
      <c r="Z1725">
        <v>2</v>
      </c>
      <c r="AA1725">
        <v>2</v>
      </c>
      <c r="AG1725">
        <v>2320</v>
      </c>
      <c r="AI1725">
        <v>14.22</v>
      </c>
      <c r="AJ1725" t="s">
        <v>686</v>
      </c>
      <c r="AK1725" t="s">
        <v>40</v>
      </c>
      <c r="AL1725" s="25" t="s">
        <v>60</v>
      </c>
      <c r="AM1725" t="s">
        <v>61</v>
      </c>
      <c r="AN1725">
        <v>157.8947368</v>
      </c>
      <c r="AO1725">
        <v>3.7216146380000001</v>
      </c>
      <c r="AP1725">
        <v>161.84210529999999</v>
      </c>
      <c r="AQ1725">
        <v>9.3040365949999995</v>
      </c>
      <c r="AR1725" t="s">
        <v>48</v>
      </c>
      <c r="AS1725">
        <f t="shared" si="174"/>
        <v>2.4692613084679849E-2</v>
      </c>
      <c r="AT1725">
        <f t="shared" si="175"/>
        <v>1.9302333263019563E-3</v>
      </c>
      <c r="AW1725" s="28">
        <f t="shared" si="176"/>
        <v>0.55708602564651821</v>
      </c>
      <c r="AX1725">
        <f t="shared" si="177"/>
        <v>0.5714285714285714</v>
      </c>
      <c r="AY1725" s="62">
        <f t="shared" si="178"/>
        <v>0.3183348717980104</v>
      </c>
      <c r="AZ1725" s="68" t="str">
        <f t="shared" si="172"/>
        <v>No</v>
      </c>
      <c r="BA1725" s="68" t="str">
        <f t="shared" si="173"/>
        <v>No</v>
      </c>
    </row>
    <row r="1726" spans="1:53" hidden="1">
      <c r="A1726" t="s">
        <v>908</v>
      </c>
      <c r="B1726" t="s">
        <v>700</v>
      </c>
      <c r="C1726" t="s">
        <v>682</v>
      </c>
      <c r="D1726" s="25">
        <v>49</v>
      </c>
      <c r="E1726" s="25">
        <v>527</v>
      </c>
      <c r="F1726" t="s">
        <v>1241</v>
      </c>
      <c r="G1726" t="s">
        <v>683</v>
      </c>
      <c r="H1726" s="3" t="s">
        <v>837</v>
      </c>
      <c r="I1726">
        <v>2018</v>
      </c>
      <c r="J1726" t="s">
        <v>684</v>
      </c>
      <c r="K1726" t="s">
        <v>46</v>
      </c>
      <c r="L1726" t="s">
        <v>685</v>
      </c>
      <c r="M1726" s="25" t="s">
        <v>36</v>
      </c>
      <c r="N1726" t="s">
        <v>36</v>
      </c>
      <c r="O1726" t="s">
        <v>47</v>
      </c>
      <c r="P1726" t="s">
        <v>60</v>
      </c>
      <c r="Q1726" t="s">
        <v>899</v>
      </c>
      <c r="R1726" t="s">
        <v>839</v>
      </c>
      <c r="S1726" t="s">
        <v>838</v>
      </c>
      <c r="T1726">
        <v>60.269590299999997</v>
      </c>
      <c r="U1726">
        <v>5.2233061000000003</v>
      </c>
      <c r="V1726" t="s">
        <v>905</v>
      </c>
      <c r="W1726" s="25" t="s">
        <v>38</v>
      </c>
      <c r="X1726">
        <v>12</v>
      </c>
      <c r="Y1726" t="s">
        <v>39</v>
      </c>
      <c r="Z1726">
        <v>2</v>
      </c>
      <c r="AA1726">
        <v>2</v>
      </c>
      <c r="AG1726">
        <v>2321</v>
      </c>
      <c r="AI1726">
        <v>14.22</v>
      </c>
      <c r="AJ1726" t="s">
        <v>686</v>
      </c>
      <c r="AK1726" t="s">
        <v>40</v>
      </c>
      <c r="AL1726" s="25" t="s">
        <v>60</v>
      </c>
      <c r="AM1726" t="s">
        <v>61</v>
      </c>
      <c r="AN1726">
        <v>244.73684209999999</v>
      </c>
      <c r="AO1726">
        <v>7.4432292760000003</v>
      </c>
      <c r="AP1726">
        <v>239.47368420000001</v>
      </c>
      <c r="AQ1726">
        <v>44.659375650000001</v>
      </c>
      <c r="AR1726" t="s">
        <v>48</v>
      </c>
      <c r="AS1726">
        <f t="shared" si="174"/>
        <v>-2.1739986658856125E-2</v>
      </c>
      <c r="AT1726">
        <f t="shared" si="175"/>
        <v>1.7851685412657005E-2</v>
      </c>
      <c r="AW1726" s="28">
        <f t="shared" si="176"/>
        <v>-0.16439898748346826</v>
      </c>
      <c r="AX1726">
        <f t="shared" si="177"/>
        <v>0.5714285714285714</v>
      </c>
      <c r="AY1726" s="62">
        <f t="shared" si="178"/>
        <v>-9.3942278561981854E-2</v>
      </c>
      <c r="AZ1726" s="68" t="str">
        <f t="shared" si="172"/>
        <v>No</v>
      </c>
      <c r="BA1726" s="68" t="str">
        <f t="shared" si="173"/>
        <v>No</v>
      </c>
    </row>
    <row r="1727" spans="1:53" hidden="1">
      <c r="A1727" t="s">
        <v>908</v>
      </c>
      <c r="B1727" t="s">
        <v>701</v>
      </c>
      <c r="C1727" t="s">
        <v>682</v>
      </c>
      <c r="D1727" s="25">
        <v>49</v>
      </c>
      <c r="E1727" s="25">
        <v>528</v>
      </c>
      <c r="F1727" t="s">
        <v>1241</v>
      </c>
      <c r="G1727" t="s">
        <v>683</v>
      </c>
      <c r="H1727" s="3" t="s">
        <v>837</v>
      </c>
      <c r="I1727">
        <v>2018</v>
      </c>
      <c r="J1727" t="s">
        <v>684</v>
      </c>
      <c r="K1727" t="s">
        <v>46</v>
      </c>
      <c r="L1727" t="s">
        <v>685</v>
      </c>
      <c r="M1727" s="25" t="s">
        <v>36</v>
      </c>
      <c r="N1727" t="s">
        <v>36</v>
      </c>
      <c r="O1727" t="s">
        <v>47</v>
      </c>
      <c r="P1727" t="s">
        <v>60</v>
      </c>
      <c r="Q1727" t="s">
        <v>899</v>
      </c>
      <c r="R1727" t="s">
        <v>839</v>
      </c>
      <c r="S1727" t="s">
        <v>838</v>
      </c>
      <c r="T1727">
        <v>60.269590299999997</v>
      </c>
      <c r="U1727">
        <v>5.2233061000000003</v>
      </c>
      <c r="V1727" t="s">
        <v>905</v>
      </c>
      <c r="W1727" s="25" t="s">
        <v>38</v>
      </c>
      <c r="X1727">
        <v>14</v>
      </c>
      <c r="Y1727" t="s">
        <v>39</v>
      </c>
      <c r="Z1727">
        <v>2</v>
      </c>
      <c r="AA1727">
        <v>2</v>
      </c>
      <c r="AG1727">
        <v>2322</v>
      </c>
      <c r="AI1727">
        <v>14.22</v>
      </c>
      <c r="AJ1727" t="s">
        <v>686</v>
      </c>
      <c r="AK1727" t="s">
        <v>40</v>
      </c>
      <c r="AL1727" s="25" t="s">
        <v>60</v>
      </c>
      <c r="AM1727" t="s">
        <v>61</v>
      </c>
      <c r="AN1727">
        <v>452.63157890000002</v>
      </c>
      <c r="AO1727">
        <v>29.772917100000001</v>
      </c>
      <c r="AP1727">
        <v>465.78947369999997</v>
      </c>
      <c r="AQ1727">
        <v>89.318751309999996</v>
      </c>
      <c r="AR1727" t="s">
        <v>48</v>
      </c>
      <c r="AS1727">
        <f t="shared" si="174"/>
        <v>2.8655255898925702E-2</v>
      </c>
      <c r="AT1727">
        <f t="shared" si="175"/>
        <v>2.0548852932199015E-2</v>
      </c>
      <c r="AW1727" s="28">
        <f t="shared" si="176"/>
        <v>0.19764235470649436</v>
      </c>
      <c r="AX1727">
        <f t="shared" si="177"/>
        <v>0.5714285714285714</v>
      </c>
      <c r="AY1727" s="62">
        <f t="shared" si="178"/>
        <v>0.11293848840371105</v>
      </c>
      <c r="AZ1727" s="68" t="str">
        <f t="shared" si="172"/>
        <v>No</v>
      </c>
      <c r="BA1727" s="68" t="str">
        <f t="shared" si="173"/>
        <v>No</v>
      </c>
    </row>
    <row r="1728" spans="1:53" hidden="1">
      <c r="A1728" t="s">
        <v>908</v>
      </c>
      <c r="B1728" t="s">
        <v>702</v>
      </c>
      <c r="C1728" t="s">
        <v>682</v>
      </c>
      <c r="D1728" s="25">
        <v>49</v>
      </c>
      <c r="E1728" s="25">
        <v>529</v>
      </c>
      <c r="F1728" t="s">
        <v>1241</v>
      </c>
      <c r="G1728" t="s">
        <v>683</v>
      </c>
      <c r="H1728" s="3" t="s">
        <v>837</v>
      </c>
      <c r="I1728">
        <v>2018</v>
      </c>
      <c r="J1728" t="s">
        <v>684</v>
      </c>
      <c r="K1728" t="s">
        <v>46</v>
      </c>
      <c r="L1728" t="s">
        <v>685</v>
      </c>
      <c r="M1728" s="25" t="s">
        <v>36</v>
      </c>
      <c r="N1728" t="s">
        <v>36</v>
      </c>
      <c r="O1728" t="s">
        <v>47</v>
      </c>
      <c r="P1728" t="s">
        <v>60</v>
      </c>
      <c r="Q1728" t="s">
        <v>899</v>
      </c>
      <c r="R1728" t="s">
        <v>839</v>
      </c>
      <c r="S1728" t="s">
        <v>838</v>
      </c>
      <c r="T1728">
        <v>60.269590299999997</v>
      </c>
      <c r="U1728">
        <v>5.2233061000000003</v>
      </c>
      <c r="V1728" t="s">
        <v>905</v>
      </c>
      <c r="W1728" s="25" t="s">
        <v>38</v>
      </c>
      <c r="X1728">
        <v>16</v>
      </c>
      <c r="Y1728" t="s">
        <v>39</v>
      </c>
      <c r="Z1728">
        <v>2</v>
      </c>
      <c r="AA1728">
        <v>2</v>
      </c>
      <c r="AG1728">
        <v>2323</v>
      </c>
      <c r="AI1728">
        <v>14.22</v>
      </c>
      <c r="AJ1728" t="s">
        <v>686</v>
      </c>
      <c r="AK1728" t="s">
        <v>40</v>
      </c>
      <c r="AL1728" s="25" t="s">
        <v>60</v>
      </c>
      <c r="AM1728" t="s">
        <v>61</v>
      </c>
      <c r="AN1728">
        <v>494.73684209999999</v>
      </c>
      <c r="AO1728">
        <v>137.69974160000001</v>
      </c>
      <c r="AP1728">
        <v>601.31578950000005</v>
      </c>
      <c r="AQ1728">
        <v>16.74726587</v>
      </c>
      <c r="AR1728" t="s">
        <v>48</v>
      </c>
      <c r="AS1728">
        <f t="shared" si="174"/>
        <v>0.1950942475587123</v>
      </c>
      <c r="AT1728">
        <f t="shared" si="175"/>
        <v>3.9121429879121462E-2</v>
      </c>
      <c r="AW1728" s="28">
        <f t="shared" si="176"/>
        <v>1.0865877901508418</v>
      </c>
      <c r="AX1728">
        <f t="shared" si="177"/>
        <v>0.5714285714285714</v>
      </c>
      <c r="AY1728" s="62">
        <f t="shared" si="178"/>
        <v>0.62090730865762389</v>
      </c>
      <c r="AZ1728" s="68" t="str">
        <f t="shared" si="172"/>
        <v>No</v>
      </c>
      <c r="BA1728" s="68" t="str">
        <f t="shared" si="173"/>
        <v>No</v>
      </c>
    </row>
    <row r="1729" spans="1:53" hidden="1">
      <c r="A1729" t="s">
        <v>908</v>
      </c>
      <c r="B1729" t="s">
        <v>703</v>
      </c>
      <c r="C1729" t="s">
        <v>682</v>
      </c>
      <c r="D1729" s="25">
        <v>49</v>
      </c>
      <c r="E1729" s="25">
        <v>530</v>
      </c>
      <c r="F1729" t="s">
        <v>1241</v>
      </c>
      <c r="G1729" t="s">
        <v>683</v>
      </c>
      <c r="H1729" s="3" t="s">
        <v>837</v>
      </c>
      <c r="I1729">
        <v>2018</v>
      </c>
      <c r="J1729" t="s">
        <v>684</v>
      </c>
      <c r="K1729" t="s">
        <v>46</v>
      </c>
      <c r="L1729" t="s">
        <v>685</v>
      </c>
      <c r="M1729" s="25" t="s">
        <v>36</v>
      </c>
      <c r="N1729" t="s">
        <v>36</v>
      </c>
      <c r="O1729" t="s">
        <v>47</v>
      </c>
      <c r="P1729" t="s">
        <v>60</v>
      </c>
      <c r="Q1729" t="s">
        <v>899</v>
      </c>
      <c r="R1729" t="s">
        <v>839</v>
      </c>
      <c r="S1729" t="s">
        <v>838</v>
      </c>
      <c r="T1729">
        <v>60.269590299999997</v>
      </c>
      <c r="U1729">
        <v>5.2233061000000003</v>
      </c>
      <c r="V1729" t="s">
        <v>905</v>
      </c>
      <c r="W1729" s="25" t="s">
        <v>38</v>
      </c>
      <c r="X1729">
        <v>19</v>
      </c>
      <c r="Y1729" t="s">
        <v>39</v>
      </c>
      <c r="Z1729">
        <v>2</v>
      </c>
      <c r="AA1729">
        <v>2</v>
      </c>
      <c r="AG1729">
        <v>2324</v>
      </c>
      <c r="AI1729">
        <v>14.22</v>
      </c>
      <c r="AJ1729" t="s">
        <v>686</v>
      </c>
      <c r="AK1729" t="s">
        <v>40</v>
      </c>
      <c r="AL1729" s="25" t="s">
        <v>60</v>
      </c>
      <c r="AM1729" t="s">
        <v>61</v>
      </c>
      <c r="AN1729">
        <v>313.15789469999999</v>
      </c>
      <c r="AO1729">
        <v>3.7216146380000001</v>
      </c>
      <c r="AP1729">
        <v>151.31578949999999</v>
      </c>
      <c r="AQ1729">
        <v>1.8608073190000001</v>
      </c>
      <c r="AR1729" t="s">
        <v>48</v>
      </c>
      <c r="AS1729">
        <f t="shared" si="174"/>
        <v>-0.72733854501666428</v>
      </c>
      <c r="AT1729">
        <f t="shared" si="175"/>
        <v>1.462308486207021E-4</v>
      </c>
      <c r="AW1729" s="28">
        <f t="shared" si="176"/>
        <v>-55.007272222426231</v>
      </c>
      <c r="AX1729">
        <f t="shared" si="177"/>
        <v>0.5714285714285714</v>
      </c>
      <c r="AY1729" s="62">
        <f t="shared" si="178"/>
        <v>-31.432726984243558</v>
      </c>
      <c r="AZ1729" s="68" t="str">
        <f t="shared" si="172"/>
        <v>No</v>
      </c>
      <c r="BA1729" s="68" t="str">
        <f t="shared" si="173"/>
        <v>Yes</v>
      </c>
    </row>
    <row r="1730" spans="1:53" hidden="1">
      <c r="A1730" t="s">
        <v>908</v>
      </c>
      <c r="B1730" t="s">
        <v>100</v>
      </c>
      <c r="C1730" t="s">
        <v>96</v>
      </c>
      <c r="D1730" s="25">
        <v>3</v>
      </c>
      <c r="E1730" s="25">
        <v>15</v>
      </c>
      <c r="F1730" t="s">
        <v>1241</v>
      </c>
      <c r="G1730" t="s">
        <v>97</v>
      </c>
      <c r="H1730" s="3" t="s">
        <v>840</v>
      </c>
      <c r="I1730">
        <v>2017</v>
      </c>
      <c r="J1730" t="s">
        <v>98</v>
      </c>
      <c r="K1730" t="s">
        <v>51</v>
      </c>
      <c r="L1730" t="s">
        <v>99</v>
      </c>
      <c r="M1730" s="25" t="s">
        <v>35</v>
      </c>
      <c r="N1730" t="s">
        <v>36</v>
      </c>
      <c r="O1730" t="s">
        <v>47</v>
      </c>
      <c r="P1730" t="s">
        <v>60</v>
      </c>
      <c r="Q1730" t="s">
        <v>899</v>
      </c>
      <c r="R1730" t="s">
        <v>828</v>
      </c>
      <c r="S1730" t="s">
        <v>841</v>
      </c>
      <c r="T1730">
        <v>58.248333100000004</v>
      </c>
      <c r="U1730">
        <v>11.3329731</v>
      </c>
      <c r="V1730" t="s">
        <v>905</v>
      </c>
      <c r="W1730" s="25" t="s">
        <v>38</v>
      </c>
      <c r="X1730">
        <v>57</v>
      </c>
      <c r="Y1730" t="s">
        <v>39</v>
      </c>
      <c r="Z1730">
        <v>5</v>
      </c>
      <c r="AA1730">
        <v>5</v>
      </c>
      <c r="AC1730">
        <v>400</v>
      </c>
      <c r="AE1730">
        <v>760</v>
      </c>
      <c r="AG1730">
        <v>394</v>
      </c>
      <c r="AH1730">
        <v>2.880813592</v>
      </c>
      <c r="AJ1730" t="s">
        <v>101</v>
      </c>
      <c r="AK1730" t="s">
        <v>40</v>
      </c>
      <c r="AL1730" s="25" t="s">
        <v>60</v>
      </c>
      <c r="AM1730" t="s">
        <v>61</v>
      </c>
      <c r="AN1730">
        <v>2.58</v>
      </c>
      <c r="AO1730">
        <v>0.89442719100000001</v>
      </c>
      <c r="AP1730">
        <v>3.68</v>
      </c>
      <c r="AQ1730">
        <v>0.69318107299999998</v>
      </c>
      <c r="AR1730" t="s">
        <v>71</v>
      </c>
      <c r="AS1730">
        <f t="shared" si="174"/>
        <v>0.35512335324731359</v>
      </c>
      <c r="AT1730">
        <f t="shared" si="175"/>
        <v>3.1133248102091841E-2</v>
      </c>
      <c r="AW1730" s="28">
        <f t="shared" si="176"/>
        <v>1.3747315239835043</v>
      </c>
      <c r="AX1730">
        <f t="shared" si="177"/>
        <v>0.90322580645161288</v>
      </c>
      <c r="AY1730" s="62">
        <f t="shared" si="178"/>
        <v>1.2416929894044555</v>
      </c>
      <c r="AZ1730" s="68" t="str">
        <f t="shared" si="172"/>
        <v>No</v>
      </c>
      <c r="BA1730" s="68" t="str">
        <f t="shared" si="173"/>
        <v>No</v>
      </c>
    </row>
    <row r="1731" spans="1:53" hidden="1">
      <c r="A1731" t="s">
        <v>908</v>
      </c>
      <c r="B1731" t="s">
        <v>107</v>
      </c>
      <c r="C1731" t="s">
        <v>102</v>
      </c>
      <c r="D1731" s="25">
        <v>4</v>
      </c>
      <c r="E1731" s="25">
        <v>16</v>
      </c>
      <c r="F1731" t="s">
        <v>1241</v>
      </c>
      <c r="G1731" t="s">
        <v>103</v>
      </c>
      <c r="H1731" s="3" t="s">
        <v>883</v>
      </c>
      <c r="I1731">
        <v>2017</v>
      </c>
      <c r="J1731" t="s">
        <v>104</v>
      </c>
      <c r="K1731" t="s">
        <v>105</v>
      </c>
      <c r="L1731" t="s">
        <v>106</v>
      </c>
      <c r="M1731" s="25" t="s">
        <v>35</v>
      </c>
      <c r="N1731" t="s">
        <v>36</v>
      </c>
      <c r="O1731" t="s">
        <v>37</v>
      </c>
      <c r="P1731" t="s">
        <v>60</v>
      </c>
      <c r="Q1731" t="s">
        <v>899</v>
      </c>
      <c r="R1731" t="s">
        <v>828</v>
      </c>
      <c r="S1731" t="s">
        <v>807</v>
      </c>
      <c r="T1731">
        <v>54.1777801</v>
      </c>
      <c r="U1731">
        <v>7.8920057000000003</v>
      </c>
      <c r="V1731" t="s">
        <v>905</v>
      </c>
      <c r="W1731" s="25" t="s">
        <v>38</v>
      </c>
      <c r="X1731">
        <v>25</v>
      </c>
      <c r="Y1731" t="s">
        <v>39</v>
      </c>
      <c r="Z1731">
        <v>7</v>
      </c>
      <c r="AA1731">
        <v>7</v>
      </c>
      <c r="AC1731">
        <v>200</v>
      </c>
      <c r="AE1731">
        <v>800</v>
      </c>
      <c r="AG1731">
        <v>425</v>
      </c>
      <c r="AH1731">
        <v>2.903089987</v>
      </c>
      <c r="AI1731">
        <v>18</v>
      </c>
      <c r="AJ1731" t="s">
        <v>108</v>
      </c>
      <c r="AK1731" t="s">
        <v>904</v>
      </c>
      <c r="AL1731" s="25" t="s">
        <v>60</v>
      </c>
      <c r="AM1731" t="s">
        <v>61</v>
      </c>
      <c r="AN1731">
        <v>6.1486499999999999</v>
      </c>
      <c r="AO1731">
        <v>3.7837800000000001</v>
      </c>
      <c r="AP1731">
        <v>7.6351399999999998</v>
      </c>
      <c r="AQ1731">
        <v>3.0405600000000002</v>
      </c>
      <c r="AR1731" t="s">
        <v>41</v>
      </c>
      <c r="AS1731">
        <f t="shared" si="174"/>
        <v>0.21652872958323366</v>
      </c>
      <c r="AT1731">
        <f t="shared" si="175"/>
        <v>7.6755190315100211E-2</v>
      </c>
      <c r="AW1731" s="28">
        <f t="shared" si="176"/>
        <v>0.43308281296124174</v>
      </c>
      <c r="AX1731">
        <f t="shared" si="177"/>
        <v>0.93617021276595747</v>
      </c>
      <c r="AY1731" s="62">
        <f t="shared" si="178"/>
        <v>0.40543922915520503</v>
      </c>
      <c r="AZ1731" s="68" t="str">
        <f t="shared" si="172"/>
        <v>No</v>
      </c>
      <c r="BA1731" s="68" t="str">
        <f t="shared" si="173"/>
        <v>No</v>
      </c>
    </row>
    <row r="1732" spans="1:53" hidden="1">
      <c r="A1732" t="s">
        <v>908</v>
      </c>
      <c r="B1732" t="s">
        <v>109</v>
      </c>
      <c r="C1732" t="s">
        <v>102</v>
      </c>
      <c r="D1732" s="25">
        <v>4</v>
      </c>
      <c r="E1732" s="25">
        <v>17</v>
      </c>
      <c r="F1732" t="s">
        <v>1241</v>
      </c>
      <c r="G1732" t="s">
        <v>103</v>
      </c>
      <c r="H1732" s="3" t="s">
        <v>883</v>
      </c>
      <c r="I1732">
        <v>2017</v>
      </c>
      <c r="J1732" t="s">
        <v>104</v>
      </c>
      <c r="K1732" t="s">
        <v>105</v>
      </c>
      <c r="L1732" t="s">
        <v>106</v>
      </c>
      <c r="M1732" s="25" t="s">
        <v>35</v>
      </c>
      <c r="N1732" t="s">
        <v>36</v>
      </c>
      <c r="O1732" t="s">
        <v>37</v>
      </c>
      <c r="P1732" t="s">
        <v>60</v>
      </c>
      <c r="Q1732" t="s">
        <v>899</v>
      </c>
      <c r="R1732" t="s">
        <v>828</v>
      </c>
      <c r="S1732" t="s">
        <v>879</v>
      </c>
      <c r="T1732">
        <v>54.1777801</v>
      </c>
      <c r="U1732">
        <v>7.8920057000000003</v>
      </c>
      <c r="V1732" t="s">
        <v>905</v>
      </c>
      <c r="W1732" s="25" t="s">
        <v>38</v>
      </c>
      <c r="X1732">
        <v>25</v>
      </c>
      <c r="Y1732" t="s">
        <v>39</v>
      </c>
      <c r="Z1732">
        <v>7</v>
      </c>
      <c r="AA1732">
        <v>7</v>
      </c>
      <c r="AC1732">
        <v>200</v>
      </c>
      <c r="AE1732">
        <v>800</v>
      </c>
      <c r="AG1732">
        <v>426</v>
      </c>
      <c r="AH1732">
        <v>2.903089987</v>
      </c>
      <c r="AI1732">
        <v>18</v>
      </c>
      <c r="AJ1732" t="s">
        <v>108</v>
      </c>
      <c r="AK1732" t="s">
        <v>904</v>
      </c>
      <c r="AL1732" s="25" t="s">
        <v>60</v>
      </c>
      <c r="AM1732" t="s">
        <v>61</v>
      </c>
      <c r="AN1732">
        <v>11.824299999999999</v>
      </c>
      <c r="AO1732">
        <v>3.3108</v>
      </c>
      <c r="AP1732">
        <v>13.513500000000001</v>
      </c>
      <c r="AQ1732">
        <v>4.0541</v>
      </c>
      <c r="AR1732" t="s">
        <v>41</v>
      </c>
      <c r="AS1732">
        <f t="shared" si="174"/>
        <v>0.13353244976899559</v>
      </c>
      <c r="AT1732">
        <f t="shared" si="175"/>
        <v>2.4057432939376396E-2</v>
      </c>
      <c r="AW1732" s="28">
        <f t="shared" si="176"/>
        <v>0.45639784725697785</v>
      </c>
      <c r="AX1732">
        <f t="shared" si="177"/>
        <v>0.93617021276595747</v>
      </c>
      <c r="AY1732" s="62">
        <f t="shared" si="178"/>
        <v>0.42726606977248993</v>
      </c>
      <c r="AZ1732" s="68" t="str">
        <f t="shared" si="172"/>
        <v>No</v>
      </c>
      <c r="BA1732" s="68" t="str">
        <f t="shared" si="173"/>
        <v>No</v>
      </c>
    </row>
    <row r="1733" spans="1:53" hidden="1">
      <c r="A1733" t="s">
        <v>908</v>
      </c>
      <c r="B1733" t="s">
        <v>112</v>
      </c>
      <c r="C1733" t="s">
        <v>113</v>
      </c>
      <c r="D1733" s="25">
        <v>5</v>
      </c>
      <c r="E1733" s="25">
        <v>18</v>
      </c>
      <c r="F1733" t="s">
        <v>1241</v>
      </c>
      <c r="G1733" t="s">
        <v>114</v>
      </c>
      <c r="H1733" s="3" t="s">
        <v>881</v>
      </c>
      <c r="I1733">
        <v>2017</v>
      </c>
      <c r="J1733" t="s">
        <v>115</v>
      </c>
      <c r="K1733" t="s">
        <v>51</v>
      </c>
      <c r="L1733" t="s">
        <v>116</v>
      </c>
      <c r="M1733" s="25" t="s">
        <v>35</v>
      </c>
      <c r="N1733" t="s">
        <v>36</v>
      </c>
      <c r="O1733" t="s">
        <v>47</v>
      </c>
      <c r="P1733" t="s">
        <v>60</v>
      </c>
      <c r="Q1733" t="s">
        <v>899</v>
      </c>
      <c r="R1733" t="s">
        <v>828</v>
      </c>
      <c r="S1733" t="s">
        <v>882</v>
      </c>
      <c r="T1733">
        <v>58.248333100000004</v>
      </c>
      <c r="U1733">
        <v>11.3329731</v>
      </c>
      <c r="V1733" t="s">
        <v>905</v>
      </c>
      <c r="W1733" s="25" t="s">
        <v>38</v>
      </c>
      <c r="X1733">
        <v>19</v>
      </c>
      <c r="Y1733" t="s">
        <v>39</v>
      </c>
      <c r="Z1733">
        <v>5</v>
      </c>
      <c r="AA1733">
        <v>5</v>
      </c>
      <c r="AC1733">
        <v>380</v>
      </c>
      <c r="AE1733">
        <v>760</v>
      </c>
      <c r="AG1733">
        <v>476</v>
      </c>
      <c r="AH1733">
        <v>2.880813592</v>
      </c>
      <c r="AI1733">
        <v>4</v>
      </c>
      <c r="AJ1733" t="s">
        <v>117</v>
      </c>
      <c r="AK1733" t="s">
        <v>904</v>
      </c>
      <c r="AL1733" s="25" t="s">
        <v>60</v>
      </c>
      <c r="AM1733" t="s">
        <v>61</v>
      </c>
      <c r="AN1733">
        <v>2.9565199999999998</v>
      </c>
      <c r="AO1733">
        <v>0.50241999999999998</v>
      </c>
      <c r="AP1733">
        <v>2.9758499999999999</v>
      </c>
      <c r="AQ1733">
        <v>0.13525999999999999</v>
      </c>
      <c r="AR1733" t="s">
        <v>75</v>
      </c>
      <c r="AS1733">
        <f t="shared" si="174"/>
        <v>6.5168114632638829E-3</v>
      </c>
      <c r="AT1733">
        <f t="shared" si="175"/>
        <v>6.1888546475703356E-3</v>
      </c>
      <c r="AW1733" s="28">
        <f t="shared" si="176"/>
        <v>5.2539481148186615E-2</v>
      </c>
      <c r="AX1733">
        <f t="shared" si="177"/>
        <v>0.90322580645161288</v>
      </c>
      <c r="AY1733" s="62">
        <f t="shared" si="178"/>
        <v>4.7455015230620165E-2</v>
      </c>
      <c r="AZ1733" s="68" t="str">
        <f t="shared" si="172"/>
        <v>No</v>
      </c>
      <c r="BA1733" s="68" t="str">
        <f t="shared" si="173"/>
        <v>No</v>
      </c>
    </row>
    <row r="1734" spans="1:53" hidden="1">
      <c r="A1734" t="s">
        <v>908</v>
      </c>
      <c r="B1734" t="s">
        <v>118</v>
      </c>
      <c r="C1734" t="s">
        <v>113</v>
      </c>
      <c r="D1734" s="25">
        <v>5</v>
      </c>
      <c r="E1734" s="25">
        <v>19</v>
      </c>
      <c r="F1734" t="s">
        <v>1241</v>
      </c>
      <c r="G1734" t="s">
        <v>114</v>
      </c>
      <c r="H1734" s="3" t="s">
        <v>881</v>
      </c>
      <c r="I1734">
        <v>2017</v>
      </c>
      <c r="J1734" t="s">
        <v>115</v>
      </c>
      <c r="K1734" t="s">
        <v>51</v>
      </c>
      <c r="L1734" t="s">
        <v>116</v>
      </c>
      <c r="M1734" s="25" t="s">
        <v>35</v>
      </c>
      <c r="N1734" t="s">
        <v>36</v>
      </c>
      <c r="O1734" t="s">
        <v>47</v>
      </c>
      <c r="P1734" t="s">
        <v>60</v>
      </c>
      <c r="Q1734" t="s">
        <v>899</v>
      </c>
      <c r="R1734" t="s">
        <v>828</v>
      </c>
      <c r="S1734" t="s">
        <v>882</v>
      </c>
      <c r="T1734">
        <v>58.248333100000004</v>
      </c>
      <c r="U1734">
        <v>11.3329731</v>
      </c>
      <c r="V1734" t="s">
        <v>905</v>
      </c>
      <c r="W1734" s="25" t="s">
        <v>38</v>
      </c>
      <c r="X1734">
        <v>59</v>
      </c>
      <c r="Y1734" t="s">
        <v>39</v>
      </c>
      <c r="Z1734">
        <v>5</v>
      </c>
      <c r="AA1734">
        <v>5</v>
      </c>
      <c r="AC1734">
        <v>380</v>
      </c>
      <c r="AE1734">
        <v>760</v>
      </c>
      <c r="AG1734">
        <v>477</v>
      </c>
      <c r="AH1734">
        <v>2.880813592</v>
      </c>
      <c r="AI1734">
        <v>4</v>
      </c>
      <c r="AJ1734" t="s">
        <v>117</v>
      </c>
      <c r="AK1734" t="s">
        <v>904</v>
      </c>
      <c r="AL1734" s="25" t="s">
        <v>60</v>
      </c>
      <c r="AM1734" t="s">
        <v>61</v>
      </c>
      <c r="AN1734">
        <v>0.83091800000000005</v>
      </c>
      <c r="AO1734">
        <v>0.444442</v>
      </c>
      <c r="AP1734">
        <v>1.9323699999999999</v>
      </c>
      <c r="AQ1734">
        <v>0.28985</v>
      </c>
      <c r="AR1734" t="s">
        <v>75</v>
      </c>
      <c r="AS1734">
        <f t="shared" si="174"/>
        <v>0.84397139413066169</v>
      </c>
      <c r="AT1734">
        <f t="shared" si="175"/>
        <v>6.1719301491616856E-2</v>
      </c>
      <c r="AW1734" s="28">
        <f t="shared" si="176"/>
        <v>2.9356832754371576</v>
      </c>
      <c r="AX1734">
        <f t="shared" si="177"/>
        <v>0.90322580645161288</v>
      </c>
      <c r="AY1734" s="62">
        <f t="shared" si="178"/>
        <v>2.6515848939432392</v>
      </c>
      <c r="AZ1734" s="68" t="str">
        <f t="shared" si="172"/>
        <v>No</v>
      </c>
      <c r="BA1734" s="68" t="str">
        <f t="shared" si="173"/>
        <v>No</v>
      </c>
    </row>
    <row r="1735" spans="1:53" hidden="1">
      <c r="A1735" t="s">
        <v>908</v>
      </c>
      <c r="B1735" t="s">
        <v>119</v>
      </c>
      <c r="C1735" t="s">
        <v>113</v>
      </c>
      <c r="D1735" s="25">
        <v>5</v>
      </c>
      <c r="E1735" s="25">
        <v>20</v>
      </c>
      <c r="F1735" t="s">
        <v>1241</v>
      </c>
      <c r="G1735" t="s">
        <v>114</v>
      </c>
      <c r="H1735" s="3" t="s">
        <v>881</v>
      </c>
      <c r="I1735">
        <v>2017</v>
      </c>
      <c r="J1735" t="s">
        <v>115</v>
      </c>
      <c r="K1735" t="s">
        <v>51</v>
      </c>
      <c r="L1735" t="s">
        <v>116</v>
      </c>
      <c r="M1735" s="25" t="s">
        <v>35</v>
      </c>
      <c r="N1735" t="s">
        <v>36</v>
      </c>
      <c r="O1735" t="s">
        <v>47</v>
      </c>
      <c r="P1735" t="s">
        <v>60</v>
      </c>
      <c r="Q1735" t="s">
        <v>899</v>
      </c>
      <c r="R1735" t="s">
        <v>828</v>
      </c>
      <c r="S1735" t="s">
        <v>882</v>
      </c>
      <c r="T1735">
        <v>58.248333100000004</v>
      </c>
      <c r="U1735">
        <v>11.3329731</v>
      </c>
      <c r="V1735" t="s">
        <v>905</v>
      </c>
      <c r="W1735" s="25" t="s">
        <v>38</v>
      </c>
      <c r="X1735">
        <v>19</v>
      </c>
      <c r="Y1735" t="s">
        <v>39</v>
      </c>
      <c r="Z1735">
        <v>5</v>
      </c>
      <c r="AA1735">
        <v>5</v>
      </c>
      <c r="AC1735">
        <v>380</v>
      </c>
      <c r="AE1735">
        <v>760</v>
      </c>
      <c r="AG1735">
        <v>478</v>
      </c>
      <c r="AH1735">
        <v>2.880813592</v>
      </c>
      <c r="AI1735">
        <v>4</v>
      </c>
      <c r="AJ1735" t="s">
        <v>120</v>
      </c>
      <c r="AK1735" t="s">
        <v>59</v>
      </c>
      <c r="AL1735" s="25" t="s">
        <v>60</v>
      </c>
      <c r="AM1735" t="s">
        <v>61</v>
      </c>
      <c r="AN1735">
        <v>8.953974895</v>
      </c>
      <c r="AO1735">
        <v>4.7698744770000001</v>
      </c>
      <c r="AP1735">
        <v>9.456066946</v>
      </c>
      <c r="AQ1735">
        <v>4.0167364020000003</v>
      </c>
      <c r="AR1735" t="s">
        <v>75</v>
      </c>
      <c r="AS1735">
        <f t="shared" si="174"/>
        <v>5.4558984336419591E-2</v>
      </c>
      <c r="AT1735">
        <f t="shared" si="175"/>
        <v>9.2843447741257856E-2</v>
      </c>
      <c r="AW1735" s="28">
        <f t="shared" si="176"/>
        <v>0.1138681886372428</v>
      </c>
      <c r="AX1735">
        <f t="shared" si="177"/>
        <v>0.90322580645161288</v>
      </c>
      <c r="AY1735" s="62">
        <f t="shared" si="178"/>
        <v>0.10284868651105801</v>
      </c>
      <c r="AZ1735" s="68" t="str">
        <f t="shared" si="172"/>
        <v>No</v>
      </c>
      <c r="BA1735" s="68" t="str">
        <f t="shared" si="173"/>
        <v>No</v>
      </c>
    </row>
    <row r="1736" spans="1:53" hidden="1">
      <c r="A1736" t="s">
        <v>908</v>
      </c>
      <c r="B1736" t="s">
        <v>121</v>
      </c>
      <c r="C1736" t="s">
        <v>113</v>
      </c>
      <c r="D1736" s="25">
        <v>5</v>
      </c>
      <c r="E1736" s="25">
        <v>21</v>
      </c>
      <c r="F1736" t="s">
        <v>1241</v>
      </c>
      <c r="G1736" t="s">
        <v>114</v>
      </c>
      <c r="H1736" s="3" t="s">
        <v>881</v>
      </c>
      <c r="I1736">
        <v>2017</v>
      </c>
      <c r="J1736" t="s">
        <v>115</v>
      </c>
      <c r="K1736" t="s">
        <v>51</v>
      </c>
      <c r="L1736" t="s">
        <v>116</v>
      </c>
      <c r="M1736" s="25" t="s">
        <v>35</v>
      </c>
      <c r="N1736" t="s">
        <v>36</v>
      </c>
      <c r="O1736" t="s">
        <v>47</v>
      </c>
      <c r="P1736" t="s">
        <v>60</v>
      </c>
      <c r="Q1736" t="s">
        <v>899</v>
      </c>
      <c r="R1736" t="s">
        <v>828</v>
      </c>
      <c r="S1736" t="s">
        <v>882</v>
      </c>
      <c r="T1736">
        <v>58.248333100000004</v>
      </c>
      <c r="U1736">
        <v>11.3329731</v>
      </c>
      <c r="V1736" t="s">
        <v>905</v>
      </c>
      <c r="W1736" s="25" t="s">
        <v>38</v>
      </c>
      <c r="X1736">
        <v>59</v>
      </c>
      <c r="Y1736" t="s">
        <v>39</v>
      </c>
      <c r="Z1736">
        <v>5</v>
      </c>
      <c r="AA1736">
        <v>5</v>
      </c>
      <c r="AC1736">
        <v>380</v>
      </c>
      <c r="AE1736">
        <v>760</v>
      </c>
      <c r="AG1736">
        <v>479</v>
      </c>
      <c r="AH1736">
        <v>2.880813592</v>
      </c>
      <c r="AI1736">
        <v>4</v>
      </c>
      <c r="AJ1736" t="s">
        <v>120</v>
      </c>
      <c r="AK1736" t="s">
        <v>59</v>
      </c>
      <c r="AL1736" s="25" t="s">
        <v>60</v>
      </c>
      <c r="AM1736" t="s">
        <v>61</v>
      </c>
      <c r="AN1736">
        <v>7.615062762</v>
      </c>
      <c r="AO1736">
        <v>7.0711297069999999</v>
      </c>
      <c r="AP1736">
        <v>7.4895397490000004</v>
      </c>
      <c r="AQ1736">
        <v>2.5523012550000002</v>
      </c>
      <c r="AR1736" t="s">
        <v>75</v>
      </c>
      <c r="AS1736">
        <f t="shared" si="174"/>
        <v>-1.6620881294730605E-2</v>
      </c>
      <c r="AT1736">
        <f t="shared" si="175"/>
        <v>0.19567547061782267</v>
      </c>
      <c r="AW1736" s="28">
        <f t="shared" si="176"/>
        <v>-2.3613264810096148E-2</v>
      </c>
      <c r="AX1736">
        <f t="shared" si="177"/>
        <v>0.90322580645161288</v>
      </c>
      <c r="AY1736" s="62">
        <f t="shared" si="178"/>
        <v>-2.1328110151054586E-2</v>
      </c>
      <c r="AZ1736" s="68" t="str">
        <f t="shared" si="172"/>
        <v>No</v>
      </c>
      <c r="BA1736" s="68" t="str">
        <f t="shared" si="173"/>
        <v>No</v>
      </c>
    </row>
    <row r="1737" spans="1:53" hidden="1">
      <c r="A1737" t="s">
        <v>908</v>
      </c>
      <c r="B1737" t="s">
        <v>358</v>
      </c>
      <c r="C1737" t="s">
        <v>354</v>
      </c>
      <c r="D1737" s="25">
        <v>25</v>
      </c>
      <c r="E1737" s="25">
        <v>177</v>
      </c>
      <c r="F1737" t="s">
        <v>1241</v>
      </c>
      <c r="G1737" t="s">
        <v>355</v>
      </c>
      <c r="H1737" s="3" t="s">
        <v>884</v>
      </c>
      <c r="I1737">
        <v>2017</v>
      </c>
      <c r="J1737" t="s">
        <v>356</v>
      </c>
      <c r="K1737" t="s">
        <v>34</v>
      </c>
      <c r="L1737" t="s">
        <v>357</v>
      </c>
      <c r="M1737" s="25" t="s">
        <v>74</v>
      </c>
      <c r="N1737" t="s">
        <v>36</v>
      </c>
      <c r="O1737" t="s">
        <v>47</v>
      </c>
      <c r="P1737" t="s">
        <v>60</v>
      </c>
      <c r="Q1737" t="s">
        <v>899</v>
      </c>
      <c r="R1737" t="s">
        <v>849</v>
      </c>
      <c r="S1737" t="s">
        <v>885</v>
      </c>
      <c r="T1737">
        <v>24.52</v>
      </c>
      <c r="U1737">
        <v>117.18</v>
      </c>
      <c r="V1737" t="s">
        <v>905</v>
      </c>
      <c r="W1737" s="25" t="s">
        <v>38</v>
      </c>
      <c r="X1737">
        <v>13</v>
      </c>
      <c r="Y1737" t="s">
        <v>39</v>
      </c>
      <c r="Z1737">
        <v>3</v>
      </c>
      <c r="AA1737">
        <v>3</v>
      </c>
      <c r="AC1737">
        <v>400</v>
      </c>
      <c r="AE1737">
        <v>1000</v>
      </c>
      <c r="AG1737">
        <v>1340</v>
      </c>
      <c r="AH1737">
        <v>3</v>
      </c>
      <c r="AI1737">
        <v>14.8</v>
      </c>
      <c r="AJ1737" t="s">
        <v>359</v>
      </c>
      <c r="AK1737" t="s">
        <v>904</v>
      </c>
      <c r="AL1737" s="25" t="s">
        <v>60</v>
      </c>
      <c r="AM1737" t="s">
        <v>61</v>
      </c>
      <c r="AN1737">
        <v>182.6086957</v>
      </c>
      <c r="AO1737">
        <v>47.826086959999998</v>
      </c>
      <c r="AP1737">
        <v>160.86956520000001</v>
      </c>
      <c r="AQ1737">
        <v>52.173913040000002</v>
      </c>
      <c r="AR1737" t="s">
        <v>73</v>
      </c>
      <c r="AS1737">
        <f t="shared" si="174"/>
        <v>-0.12675170600915653</v>
      </c>
      <c r="AT1737">
        <f t="shared" si="175"/>
        <v>5.7926790546528259E-2</v>
      </c>
      <c r="AW1737" s="28">
        <f t="shared" si="176"/>
        <v>-0.43437224406749714</v>
      </c>
      <c r="AX1737">
        <f t="shared" si="177"/>
        <v>0.8</v>
      </c>
      <c r="AY1737" s="62">
        <f t="shared" si="178"/>
        <v>-0.34749779525399771</v>
      </c>
      <c r="AZ1737" s="68" t="str">
        <f t="shared" si="172"/>
        <v>No</v>
      </c>
      <c r="BA1737" s="68" t="str">
        <f t="shared" si="173"/>
        <v>No</v>
      </c>
    </row>
    <row r="1738" spans="1:53" hidden="1">
      <c r="A1738" t="s">
        <v>908</v>
      </c>
      <c r="B1738" t="s">
        <v>360</v>
      </c>
      <c r="C1738" t="s">
        <v>354</v>
      </c>
      <c r="D1738" s="25">
        <v>25</v>
      </c>
      <c r="E1738" s="25">
        <v>178</v>
      </c>
      <c r="F1738" t="s">
        <v>1241</v>
      </c>
      <c r="G1738" t="s">
        <v>355</v>
      </c>
      <c r="H1738" s="3" t="s">
        <v>884</v>
      </c>
      <c r="I1738">
        <v>2017</v>
      </c>
      <c r="J1738" t="s">
        <v>356</v>
      </c>
      <c r="K1738" t="s">
        <v>34</v>
      </c>
      <c r="L1738" t="s">
        <v>357</v>
      </c>
      <c r="M1738" s="25" t="s">
        <v>74</v>
      </c>
      <c r="N1738" t="s">
        <v>36</v>
      </c>
      <c r="O1738" t="s">
        <v>47</v>
      </c>
      <c r="P1738" t="s">
        <v>60</v>
      </c>
      <c r="Q1738" t="s">
        <v>899</v>
      </c>
      <c r="R1738" t="s">
        <v>849</v>
      </c>
      <c r="S1738" t="s">
        <v>885</v>
      </c>
      <c r="T1738">
        <v>24.52</v>
      </c>
      <c r="U1738">
        <v>117.18</v>
      </c>
      <c r="V1738" t="s">
        <v>905</v>
      </c>
      <c r="W1738" s="25" t="s">
        <v>38</v>
      </c>
      <c r="X1738">
        <v>13</v>
      </c>
      <c r="Y1738" t="s">
        <v>39</v>
      </c>
      <c r="Z1738">
        <v>3</v>
      </c>
      <c r="AA1738">
        <v>3</v>
      </c>
      <c r="AC1738">
        <v>400</v>
      </c>
      <c r="AE1738">
        <v>1000</v>
      </c>
      <c r="AG1738">
        <v>1341</v>
      </c>
      <c r="AH1738">
        <v>3</v>
      </c>
      <c r="AI1738">
        <v>14.8</v>
      </c>
      <c r="AJ1738" t="s">
        <v>361</v>
      </c>
      <c r="AK1738" t="s">
        <v>904</v>
      </c>
      <c r="AL1738" s="25" t="s">
        <v>60</v>
      </c>
      <c r="AM1738" t="s">
        <v>61</v>
      </c>
      <c r="AN1738">
        <v>21.071428569999998</v>
      </c>
      <c r="AO1738">
        <v>12.14285714</v>
      </c>
      <c r="AP1738">
        <v>18.214285709999999</v>
      </c>
      <c r="AQ1738">
        <v>10</v>
      </c>
      <c r="AR1738" t="s">
        <v>73</v>
      </c>
      <c r="AS1738">
        <f t="shared" si="174"/>
        <v>-0.14571181134889111</v>
      </c>
      <c r="AT1738">
        <f t="shared" si="175"/>
        <v>0.21117033671619229</v>
      </c>
      <c r="AW1738" s="28">
        <f t="shared" si="176"/>
        <v>-0.25686451992005271</v>
      </c>
      <c r="AX1738">
        <f t="shared" si="177"/>
        <v>0.8</v>
      </c>
      <c r="AY1738" s="62">
        <f t="shared" si="178"/>
        <v>-0.20549161593604218</v>
      </c>
      <c r="AZ1738" s="68" t="str">
        <f t="shared" si="172"/>
        <v>No</v>
      </c>
      <c r="BA1738" s="68" t="str">
        <f t="shared" si="173"/>
        <v>No</v>
      </c>
    </row>
    <row r="1739" spans="1:53" hidden="1">
      <c r="A1739" t="s">
        <v>908</v>
      </c>
      <c r="B1739" t="s">
        <v>362</v>
      </c>
      <c r="C1739" t="s">
        <v>354</v>
      </c>
      <c r="D1739" s="25">
        <v>25</v>
      </c>
      <c r="E1739" s="25">
        <v>179</v>
      </c>
      <c r="F1739" t="s">
        <v>1241</v>
      </c>
      <c r="G1739" t="s">
        <v>355</v>
      </c>
      <c r="H1739" s="3" t="s">
        <v>884</v>
      </c>
      <c r="I1739">
        <v>2017</v>
      </c>
      <c r="J1739" t="s">
        <v>356</v>
      </c>
      <c r="K1739" t="s">
        <v>34</v>
      </c>
      <c r="L1739" t="s">
        <v>357</v>
      </c>
      <c r="M1739" s="25" t="s">
        <v>74</v>
      </c>
      <c r="N1739" t="s">
        <v>36</v>
      </c>
      <c r="O1739" t="s">
        <v>47</v>
      </c>
      <c r="P1739" t="s">
        <v>60</v>
      </c>
      <c r="Q1739" t="s">
        <v>899</v>
      </c>
      <c r="R1739" t="s">
        <v>849</v>
      </c>
      <c r="S1739" t="s">
        <v>885</v>
      </c>
      <c r="T1739">
        <v>24.52</v>
      </c>
      <c r="U1739">
        <v>117.18</v>
      </c>
      <c r="V1739" t="s">
        <v>905</v>
      </c>
      <c r="W1739" s="25" t="s">
        <v>38</v>
      </c>
      <c r="X1739">
        <v>13</v>
      </c>
      <c r="Y1739" t="s">
        <v>39</v>
      </c>
      <c r="Z1739">
        <v>3</v>
      </c>
      <c r="AA1739">
        <v>3</v>
      </c>
      <c r="AC1739">
        <v>400</v>
      </c>
      <c r="AE1739">
        <v>1000</v>
      </c>
      <c r="AG1739">
        <v>1342</v>
      </c>
      <c r="AH1739">
        <v>3</v>
      </c>
      <c r="AI1739">
        <v>14.8</v>
      </c>
      <c r="AJ1739" t="s">
        <v>363</v>
      </c>
      <c r="AK1739" t="s">
        <v>904</v>
      </c>
      <c r="AL1739" s="25" t="s">
        <v>60</v>
      </c>
      <c r="AM1739" t="s">
        <v>61</v>
      </c>
      <c r="AN1739">
        <v>15.10791367</v>
      </c>
      <c r="AO1739">
        <v>9.9280575540000005</v>
      </c>
      <c r="AP1739">
        <v>12.08633094</v>
      </c>
      <c r="AQ1739">
        <v>5.1798561149999998</v>
      </c>
      <c r="AR1739" t="s">
        <v>73</v>
      </c>
      <c r="AS1739">
        <f t="shared" si="174"/>
        <v>-0.22314355098325755</v>
      </c>
      <c r="AT1739">
        <f t="shared" si="175"/>
        <v>0.20517006795998477</v>
      </c>
      <c r="AW1739" s="28">
        <f t="shared" si="176"/>
        <v>-0.38159748627935947</v>
      </c>
      <c r="AX1739">
        <f t="shared" si="177"/>
        <v>0.8</v>
      </c>
      <c r="AY1739" s="62">
        <f t="shared" si="178"/>
        <v>-0.30527798902348757</v>
      </c>
      <c r="AZ1739" s="68" t="str">
        <f t="shared" si="172"/>
        <v>No</v>
      </c>
      <c r="BA1739" s="68" t="str">
        <f t="shared" si="173"/>
        <v>No</v>
      </c>
    </row>
    <row r="1740" spans="1:53" hidden="1">
      <c r="A1740" t="s">
        <v>908</v>
      </c>
      <c r="B1740" t="s">
        <v>122</v>
      </c>
      <c r="C1740" t="s">
        <v>123</v>
      </c>
      <c r="D1740" s="25">
        <v>6</v>
      </c>
      <c r="E1740" s="25">
        <v>22</v>
      </c>
      <c r="F1740" t="s">
        <v>1241</v>
      </c>
      <c r="G1740" t="s">
        <v>124</v>
      </c>
      <c r="H1740" s="3" t="s">
        <v>875</v>
      </c>
      <c r="I1740">
        <v>2016</v>
      </c>
      <c r="J1740" t="s">
        <v>125</v>
      </c>
      <c r="K1740" t="s">
        <v>111</v>
      </c>
      <c r="L1740" t="s">
        <v>126</v>
      </c>
      <c r="M1740" s="25" t="s">
        <v>35</v>
      </c>
      <c r="N1740" t="s">
        <v>36</v>
      </c>
      <c r="O1740" t="s">
        <v>47</v>
      </c>
      <c r="P1740" t="s">
        <v>60</v>
      </c>
      <c r="Q1740" t="s">
        <v>899</v>
      </c>
      <c r="R1740" t="s">
        <v>828</v>
      </c>
      <c r="S1740" t="s">
        <v>851</v>
      </c>
      <c r="T1740">
        <v>59.844528699999998</v>
      </c>
      <c r="U1740">
        <v>23.249180200000001</v>
      </c>
      <c r="V1740" t="s">
        <v>905</v>
      </c>
      <c r="W1740" s="25" t="s">
        <v>38</v>
      </c>
      <c r="X1740">
        <v>43</v>
      </c>
      <c r="Y1740" t="s">
        <v>95</v>
      </c>
      <c r="Z1740">
        <v>1</v>
      </c>
      <c r="AA1740">
        <v>1</v>
      </c>
      <c r="AC1740">
        <v>365</v>
      </c>
      <c r="AE1740">
        <v>368</v>
      </c>
      <c r="AG1740">
        <v>480</v>
      </c>
      <c r="AH1740">
        <v>2.565847819</v>
      </c>
      <c r="AI1740">
        <v>16</v>
      </c>
      <c r="AJ1740" t="s">
        <v>127</v>
      </c>
      <c r="AK1740" t="s">
        <v>59</v>
      </c>
      <c r="AL1740" s="25" t="s">
        <v>60</v>
      </c>
      <c r="AM1740" t="s">
        <v>61</v>
      </c>
      <c r="AN1740">
        <v>6.2999980000000004</v>
      </c>
      <c r="AO1740">
        <v>0.77586510600000003</v>
      </c>
      <c r="AP1740">
        <v>5.1285622000000002</v>
      </c>
      <c r="AQ1740">
        <v>0.79474300799999997</v>
      </c>
      <c r="AR1740" t="s">
        <v>44</v>
      </c>
      <c r="AS1740">
        <f t="shared" si="174"/>
        <v>-0.20572396894271505</v>
      </c>
      <c r="AT1740">
        <f t="shared" si="175"/>
        <v>3.9180589412885103E-2</v>
      </c>
      <c r="AW1740" s="28" t="e">
        <f t="shared" si="176"/>
        <v>#DIV/0!</v>
      </c>
      <c r="AX1740">
        <f t="shared" si="177"/>
        <v>4</v>
      </c>
      <c r="AY1740" s="62" t="e">
        <f t="shared" si="178"/>
        <v>#DIV/0!</v>
      </c>
      <c r="AZ1740" s="68" t="e">
        <f t="shared" si="172"/>
        <v>#DIV/0!</v>
      </c>
      <c r="BA1740" s="68" t="e">
        <f t="shared" si="173"/>
        <v>#DIV/0!</v>
      </c>
    </row>
    <row r="1741" spans="1:53" hidden="1">
      <c r="A1741" t="s">
        <v>908</v>
      </c>
      <c r="B1741" t="s">
        <v>128</v>
      </c>
      <c r="C1741" t="s">
        <v>123</v>
      </c>
      <c r="D1741" s="25">
        <v>6</v>
      </c>
      <c r="E1741" s="25">
        <v>23</v>
      </c>
      <c r="F1741" t="s">
        <v>1241</v>
      </c>
      <c r="G1741" t="s">
        <v>124</v>
      </c>
      <c r="H1741" s="3" t="s">
        <v>875</v>
      </c>
      <c r="I1741">
        <v>2016</v>
      </c>
      <c r="J1741" t="s">
        <v>125</v>
      </c>
      <c r="K1741" t="s">
        <v>111</v>
      </c>
      <c r="L1741" t="s">
        <v>126</v>
      </c>
      <c r="M1741" s="25" t="s">
        <v>35</v>
      </c>
      <c r="N1741" t="s">
        <v>36</v>
      </c>
      <c r="O1741" t="s">
        <v>47</v>
      </c>
      <c r="P1741" t="s">
        <v>60</v>
      </c>
      <c r="Q1741" t="s">
        <v>899</v>
      </c>
      <c r="R1741" t="s">
        <v>828</v>
      </c>
      <c r="S1741" t="s">
        <v>851</v>
      </c>
      <c r="T1741">
        <v>59.844528699999998</v>
      </c>
      <c r="U1741">
        <v>23.249180200000001</v>
      </c>
      <c r="V1741" t="s">
        <v>905</v>
      </c>
      <c r="W1741" s="25" t="s">
        <v>38</v>
      </c>
      <c r="X1741">
        <v>43</v>
      </c>
      <c r="Y1741" t="s">
        <v>95</v>
      </c>
      <c r="Z1741">
        <v>1</v>
      </c>
      <c r="AA1741">
        <v>1</v>
      </c>
      <c r="AC1741">
        <v>365</v>
      </c>
      <c r="AE1741">
        <v>497</v>
      </c>
      <c r="AG1741">
        <v>480</v>
      </c>
      <c r="AH1741">
        <v>2.696356389</v>
      </c>
      <c r="AI1741">
        <v>16</v>
      </c>
      <c r="AJ1741" t="s">
        <v>127</v>
      </c>
      <c r="AK1741" t="s">
        <v>59</v>
      </c>
      <c r="AL1741" s="25" t="s">
        <v>60</v>
      </c>
      <c r="AM1741" t="s">
        <v>61</v>
      </c>
      <c r="AN1741">
        <v>6.2999980000000004</v>
      </c>
      <c r="AO1741">
        <v>0.77586510600000003</v>
      </c>
      <c r="AP1741">
        <v>4.5428579999999998</v>
      </c>
      <c r="AQ1741">
        <v>0.70397988600000005</v>
      </c>
      <c r="AR1741" t="s">
        <v>44</v>
      </c>
      <c r="AS1741">
        <f t="shared" si="174"/>
        <v>-0.32699298652707376</v>
      </c>
      <c r="AT1741">
        <f t="shared" si="175"/>
        <v>3.9180589427026374E-2</v>
      </c>
      <c r="AW1741" s="28" t="e">
        <f t="shared" si="176"/>
        <v>#DIV/0!</v>
      </c>
      <c r="AX1741">
        <f t="shared" si="177"/>
        <v>4</v>
      </c>
      <c r="AY1741" s="62" t="e">
        <f t="shared" si="178"/>
        <v>#DIV/0!</v>
      </c>
      <c r="AZ1741" s="68" t="e">
        <f t="shared" si="172"/>
        <v>#DIV/0!</v>
      </c>
      <c r="BA1741" s="68" t="e">
        <f t="shared" si="173"/>
        <v>#DIV/0!</v>
      </c>
    </row>
    <row r="1742" spans="1:53" hidden="1">
      <c r="A1742" t="s">
        <v>908</v>
      </c>
      <c r="B1742" t="s">
        <v>129</v>
      </c>
      <c r="C1742" t="s">
        <v>123</v>
      </c>
      <c r="D1742" s="25">
        <v>6</v>
      </c>
      <c r="E1742" s="25">
        <v>24</v>
      </c>
      <c r="F1742" t="s">
        <v>1241</v>
      </c>
      <c r="G1742" t="s">
        <v>124</v>
      </c>
      <c r="H1742" s="3" t="s">
        <v>875</v>
      </c>
      <c r="I1742">
        <v>2016</v>
      </c>
      <c r="J1742" t="s">
        <v>125</v>
      </c>
      <c r="K1742" t="s">
        <v>111</v>
      </c>
      <c r="L1742" t="s">
        <v>126</v>
      </c>
      <c r="M1742" s="25" t="s">
        <v>35</v>
      </c>
      <c r="N1742" t="s">
        <v>36</v>
      </c>
      <c r="O1742" t="s">
        <v>47</v>
      </c>
      <c r="P1742" t="s">
        <v>60</v>
      </c>
      <c r="Q1742" t="s">
        <v>899</v>
      </c>
      <c r="R1742" t="s">
        <v>828</v>
      </c>
      <c r="S1742" t="s">
        <v>851</v>
      </c>
      <c r="T1742">
        <v>59.844528699999998</v>
      </c>
      <c r="U1742">
        <v>23.249180200000001</v>
      </c>
      <c r="V1742" t="s">
        <v>905</v>
      </c>
      <c r="W1742" s="25" t="s">
        <v>38</v>
      </c>
      <c r="X1742">
        <v>43</v>
      </c>
      <c r="Y1742" t="s">
        <v>95</v>
      </c>
      <c r="Z1742">
        <v>1</v>
      </c>
      <c r="AA1742">
        <v>1</v>
      </c>
      <c r="AC1742">
        <v>365</v>
      </c>
      <c r="AE1742">
        <v>821</v>
      </c>
      <c r="AG1742">
        <v>480</v>
      </c>
      <c r="AH1742">
        <v>2.9143431569999998</v>
      </c>
      <c r="AI1742">
        <v>16</v>
      </c>
      <c r="AJ1742" t="s">
        <v>127</v>
      </c>
      <c r="AK1742" t="s">
        <v>59</v>
      </c>
      <c r="AL1742" s="25" t="s">
        <v>60</v>
      </c>
      <c r="AM1742" t="s">
        <v>61</v>
      </c>
      <c r="AN1742">
        <v>6.2999980000000004</v>
      </c>
      <c r="AO1742">
        <v>0.77586510600000003</v>
      </c>
      <c r="AP1742">
        <v>6.1142779999999997</v>
      </c>
      <c r="AQ1742">
        <v>0.94749356600000001</v>
      </c>
      <c r="AR1742" t="s">
        <v>44</v>
      </c>
      <c r="AS1742">
        <f t="shared" si="174"/>
        <v>-2.9922624087720395E-2</v>
      </c>
      <c r="AT1742">
        <f t="shared" si="175"/>
        <v>3.9180589391759474E-2</v>
      </c>
      <c r="AW1742" s="28" t="e">
        <f t="shared" si="176"/>
        <v>#DIV/0!</v>
      </c>
      <c r="AX1742">
        <f t="shared" si="177"/>
        <v>4</v>
      </c>
      <c r="AY1742" s="62" t="e">
        <f t="shared" si="178"/>
        <v>#DIV/0!</v>
      </c>
      <c r="AZ1742" s="68" t="e">
        <f t="shared" ref="AZ1742:AZ1773" si="179">IF(AY1742&gt;10,"Yes","No")</f>
        <v>#DIV/0!</v>
      </c>
      <c r="BA1742" s="68" t="e">
        <f t="shared" ref="BA1742:BA1773" si="180">IF(AY1742&lt;-10,"Yes","No")</f>
        <v>#DIV/0!</v>
      </c>
    </row>
    <row r="1743" spans="1:53" hidden="1">
      <c r="A1743" t="s">
        <v>908</v>
      </c>
      <c r="B1743" t="s">
        <v>130</v>
      </c>
      <c r="C1743" t="s">
        <v>123</v>
      </c>
      <c r="D1743" s="25">
        <v>6</v>
      </c>
      <c r="E1743" s="25">
        <v>25</v>
      </c>
      <c r="F1743" t="s">
        <v>1241</v>
      </c>
      <c r="G1743" t="s">
        <v>124</v>
      </c>
      <c r="H1743" s="3" t="s">
        <v>875</v>
      </c>
      <c r="I1743">
        <v>2016</v>
      </c>
      <c r="J1743" t="s">
        <v>125</v>
      </c>
      <c r="K1743" t="s">
        <v>111</v>
      </c>
      <c r="L1743" t="s">
        <v>126</v>
      </c>
      <c r="M1743" s="25" t="s">
        <v>35</v>
      </c>
      <c r="N1743" t="s">
        <v>36</v>
      </c>
      <c r="O1743" t="s">
        <v>47</v>
      </c>
      <c r="P1743" t="s">
        <v>60</v>
      </c>
      <c r="Q1743" t="s">
        <v>899</v>
      </c>
      <c r="R1743" t="s">
        <v>828</v>
      </c>
      <c r="S1743" t="s">
        <v>851</v>
      </c>
      <c r="T1743">
        <v>59.844528699999998</v>
      </c>
      <c r="U1743">
        <v>23.249180200000001</v>
      </c>
      <c r="V1743" t="s">
        <v>905</v>
      </c>
      <c r="W1743" s="25" t="s">
        <v>38</v>
      </c>
      <c r="X1743">
        <v>43</v>
      </c>
      <c r="Y1743" t="s">
        <v>95</v>
      </c>
      <c r="Z1743">
        <v>1</v>
      </c>
      <c r="AA1743">
        <v>1</v>
      </c>
      <c r="AC1743">
        <v>365</v>
      </c>
      <c r="AE1743">
        <v>1007</v>
      </c>
      <c r="AG1743">
        <v>480</v>
      </c>
      <c r="AH1743">
        <v>3.0030294710000001</v>
      </c>
      <c r="AI1743">
        <v>16</v>
      </c>
      <c r="AJ1743" t="s">
        <v>127</v>
      </c>
      <c r="AK1743" t="s">
        <v>59</v>
      </c>
      <c r="AL1743" s="25" t="s">
        <v>60</v>
      </c>
      <c r="AM1743" t="s">
        <v>61</v>
      </c>
      <c r="AN1743">
        <v>6.2999980000000004</v>
      </c>
      <c r="AO1743">
        <v>0.77586510600000003</v>
      </c>
      <c r="AP1743">
        <v>5.3428519999999997</v>
      </c>
      <c r="AQ1743">
        <v>0.82795023300000004</v>
      </c>
      <c r="AR1743" t="s">
        <v>44</v>
      </c>
      <c r="AS1743">
        <f t="shared" si="174"/>
        <v>-0.16478972313925433</v>
      </c>
      <c r="AT1743">
        <f t="shared" si="175"/>
        <v>3.9180589397798546E-2</v>
      </c>
      <c r="AW1743" s="28" t="e">
        <f t="shared" si="176"/>
        <v>#DIV/0!</v>
      </c>
      <c r="AX1743">
        <f t="shared" si="177"/>
        <v>4</v>
      </c>
      <c r="AY1743" s="62" t="e">
        <f t="shared" si="178"/>
        <v>#DIV/0!</v>
      </c>
      <c r="AZ1743" s="68" t="e">
        <f t="shared" si="179"/>
        <v>#DIV/0!</v>
      </c>
      <c r="BA1743" s="68" t="e">
        <f t="shared" si="180"/>
        <v>#DIV/0!</v>
      </c>
    </row>
    <row r="1744" spans="1:53" hidden="1">
      <c r="A1744" t="s">
        <v>908</v>
      </c>
      <c r="B1744" t="s">
        <v>131</v>
      </c>
      <c r="C1744" t="s">
        <v>123</v>
      </c>
      <c r="D1744" s="25">
        <v>6</v>
      </c>
      <c r="E1744" s="25">
        <v>26</v>
      </c>
      <c r="F1744" t="s">
        <v>1241</v>
      </c>
      <c r="G1744" t="s">
        <v>124</v>
      </c>
      <c r="H1744" s="3" t="s">
        <v>875</v>
      </c>
      <c r="I1744">
        <v>2016</v>
      </c>
      <c r="J1744" t="s">
        <v>125</v>
      </c>
      <c r="K1744" t="s">
        <v>111</v>
      </c>
      <c r="L1744" t="s">
        <v>126</v>
      </c>
      <c r="M1744" s="25" t="s">
        <v>35</v>
      </c>
      <c r="N1744" t="s">
        <v>36</v>
      </c>
      <c r="O1744" t="s">
        <v>47</v>
      </c>
      <c r="P1744" t="s">
        <v>60</v>
      </c>
      <c r="Q1744" t="s">
        <v>899</v>
      </c>
      <c r="R1744" t="s">
        <v>828</v>
      </c>
      <c r="S1744" t="s">
        <v>851</v>
      </c>
      <c r="T1744">
        <v>59.844528699999998</v>
      </c>
      <c r="U1744">
        <v>23.249180200000001</v>
      </c>
      <c r="V1744" t="s">
        <v>905</v>
      </c>
      <c r="W1744" s="25" t="s">
        <v>38</v>
      </c>
      <c r="X1744">
        <v>43</v>
      </c>
      <c r="Y1744" t="s">
        <v>95</v>
      </c>
      <c r="Z1744">
        <v>1</v>
      </c>
      <c r="AA1744">
        <v>1</v>
      </c>
      <c r="AC1744">
        <v>365</v>
      </c>
      <c r="AE1744">
        <v>1231</v>
      </c>
      <c r="AG1744">
        <v>480</v>
      </c>
      <c r="AH1744">
        <v>3.0902580529999999</v>
      </c>
      <c r="AI1744">
        <v>16</v>
      </c>
      <c r="AJ1744" t="s">
        <v>127</v>
      </c>
      <c r="AK1744" t="s">
        <v>59</v>
      </c>
      <c r="AL1744" s="25" t="s">
        <v>60</v>
      </c>
      <c r="AM1744" t="s">
        <v>61</v>
      </c>
      <c r="AN1744">
        <v>6.2999980000000004</v>
      </c>
      <c r="AO1744">
        <v>0.77586510600000003</v>
      </c>
      <c r="AP1744">
        <v>4.8142860000000001</v>
      </c>
      <c r="AQ1744">
        <v>0.74604148000000003</v>
      </c>
      <c r="AR1744" t="s">
        <v>44</v>
      </c>
      <c r="AS1744">
        <f t="shared" si="174"/>
        <v>-0.26896156828693707</v>
      </c>
      <c r="AT1744">
        <f t="shared" si="175"/>
        <v>3.9180589374571681E-2</v>
      </c>
      <c r="AW1744" s="28" t="e">
        <f t="shared" si="176"/>
        <v>#DIV/0!</v>
      </c>
      <c r="AX1744">
        <f t="shared" si="177"/>
        <v>4</v>
      </c>
      <c r="AY1744" s="62" t="e">
        <f t="shared" si="178"/>
        <v>#DIV/0!</v>
      </c>
      <c r="AZ1744" s="68" t="e">
        <f t="shared" si="179"/>
        <v>#DIV/0!</v>
      </c>
      <c r="BA1744" s="68" t="e">
        <f t="shared" si="180"/>
        <v>#DIV/0!</v>
      </c>
    </row>
    <row r="1745" spans="1:53" hidden="1">
      <c r="A1745" t="s">
        <v>908</v>
      </c>
      <c r="B1745" t="s">
        <v>132</v>
      </c>
      <c r="C1745" t="s">
        <v>123</v>
      </c>
      <c r="D1745" s="25">
        <v>6</v>
      </c>
      <c r="E1745" s="25">
        <v>27</v>
      </c>
      <c r="F1745" t="s">
        <v>1241</v>
      </c>
      <c r="G1745" t="s">
        <v>124</v>
      </c>
      <c r="H1745" s="3" t="s">
        <v>875</v>
      </c>
      <c r="I1745">
        <v>2016</v>
      </c>
      <c r="J1745" t="s">
        <v>125</v>
      </c>
      <c r="K1745" t="s">
        <v>111</v>
      </c>
      <c r="L1745" t="s">
        <v>126</v>
      </c>
      <c r="M1745" s="25" t="s">
        <v>35</v>
      </c>
      <c r="N1745" t="s">
        <v>36</v>
      </c>
      <c r="O1745" t="s">
        <v>47</v>
      </c>
      <c r="P1745" t="s">
        <v>60</v>
      </c>
      <c r="Q1745" t="s">
        <v>899</v>
      </c>
      <c r="R1745" t="s">
        <v>828</v>
      </c>
      <c r="S1745" t="s">
        <v>851</v>
      </c>
      <c r="T1745">
        <v>59.844528699999998</v>
      </c>
      <c r="U1745">
        <v>23.249180200000001</v>
      </c>
      <c r="V1745" t="s">
        <v>905</v>
      </c>
      <c r="W1745" s="25" t="s">
        <v>38</v>
      </c>
      <c r="X1745">
        <v>43</v>
      </c>
      <c r="Y1745" t="s">
        <v>90</v>
      </c>
      <c r="Z1745">
        <v>1</v>
      </c>
      <c r="AA1745">
        <v>1</v>
      </c>
      <c r="AC1745">
        <v>365</v>
      </c>
      <c r="AE1745">
        <v>368</v>
      </c>
      <c r="AG1745">
        <v>481</v>
      </c>
      <c r="AH1745">
        <v>2.565847819</v>
      </c>
      <c r="AI1745">
        <v>16</v>
      </c>
      <c r="AJ1745" t="s">
        <v>133</v>
      </c>
      <c r="AK1745" t="s">
        <v>40</v>
      </c>
      <c r="AL1745" s="25" t="s">
        <v>60</v>
      </c>
      <c r="AM1745" t="s">
        <v>61</v>
      </c>
      <c r="AN1745">
        <v>0.68266660000000001</v>
      </c>
      <c r="AO1745">
        <v>6.3999799999999996E-2</v>
      </c>
      <c r="AP1745">
        <v>0.6243554</v>
      </c>
      <c r="AQ1745">
        <v>5.4044599999999998E-2</v>
      </c>
      <c r="AR1745" t="s">
        <v>44</v>
      </c>
      <c r="AS1745">
        <f t="shared" si="174"/>
        <v>-8.9286842316327442E-2</v>
      </c>
      <c r="AT1745">
        <f t="shared" si="175"/>
        <v>1.6281752847241527E-2</v>
      </c>
      <c r="AW1745" s="28" t="e">
        <f t="shared" si="176"/>
        <v>#DIV/0!</v>
      </c>
      <c r="AX1745">
        <f t="shared" si="177"/>
        <v>4</v>
      </c>
      <c r="AY1745" s="62" t="e">
        <f t="shared" si="178"/>
        <v>#DIV/0!</v>
      </c>
      <c r="AZ1745" s="68" t="e">
        <f t="shared" si="179"/>
        <v>#DIV/0!</v>
      </c>
      <c r="BA1745" s="68" t="e">
        <f t="shared" si="180"/>
        <v>#DIV/0!</v>
      </c>
    </row>
    <row r="1746" spans="1:53" hidden="1">
      <c r="A1746" t="s">
        <v>908</v>
      </c>
      <c r="B1746" t="s">
        <v>134</v>
      </c>
      <c r="C1746" t="s">
        <v>123</v>
      </c>
      <c r="D1746" s="25">
        <v>6</v>
      </c>
      <c r="E1746" s="25">
        <v>28</v>
      </c>
      <c r="F1746" t="s">
        <v>1241</v>
      </c>
      <c r="G1746" t="s">
        <v>124</v>
      </c>
      <c r="H1746" s="3" t="s">
        <v>875</v>
      </c>
      <c r="I1746">
        <v>2016</v>
      </c>
      <c r="J1746" t="s">
        <v>125</v>
      </c>
      <c r="K1746" t="s">
        <v>111</v>
      </c>
      <c r="L1746" t="s">
        <v>126</v>
      </c>
      <c r="M1746" s="25" t="s">
        <v>35</v>
      </c>
      <c r="N1746" t="s">
        <v>36</v>
      </c>
      <c r="O1746" t="s">
        <v>47</v>
      </c>
      <c r="P1746" t="s">
        <v>60</v>
      </c>
      <c r="Q1746" t="s">
        <v>899</v>
      </c>
      <c r="R1746" t="s">
        <v>828</v>
      </c>
      <c r="S1746" t="s">
        <v>851</v>
      </c>
      <c r="T1746">
        <v>59.844528699999998</v>
      </c>
      <c r="U1746">
        <v>23.249180200000001</v>
      </c>
      <c r="V1746" t="s">
        <v>905</v>
      </c>
      <c r="W1746" s="25" t="s">
        <v>38</v>
      </c>
      <c r="X1746">
        <v>43</v>
      </c>
      <c r="Y1746" t="s">
        <v>90</v>
      </c>
      <c r="Z1746">
        <v>1</v>
      </c>
      <c r="AA1746">
        <v>1</v>
      </c>
      <c r="AC1746">
        <v>365</v>
      </c>
      <c r="AE1746">
        <v>497</v>
      </c>
      <c r="AG1746">
        <v>481</v>
      </c>
      <c r="AH1746">
        <v>2.696356389</v>
      </c>
      <c r="AI1746">
        <v>16</v>
      </c>
      <c r="AJ1746" t="s">
        <v>133</v>
      </c>
      <c r="AK1746" t="s">
        <v>40</v>
      </c>
      <c r="AL1746" s="25" t="s">
        <v>60</v>
      </c>
      <c r="AM1746" t="s">
        <v>61</v>
      </c>
      <c r="AN1746">
        <v>0.68266660000000001</v>
      </c>
      <c r="AO1746">
        <v>6.3999799999999996E-2</v>
      </c>
      <c r="AP1746">
        <v>0.64782220000000001</v>
      </c>
      <c r="AQ1746">
        <v>6.11552E-2</v>
      </c>
      <c r="AR1746" t="s">
        <v>44</v>
      </c>
      <c r="AS1746">
        <f t="shared" si="174"/>
        <v>-5.239032384863318E-2</v>
      </c>
      <c r="AT1746">
        <f t="shared" si="175"/>
        <v>1.7700597867158802E-2</v>
      </c>
      <c r="AW1746" s="28" t="e">
        <f t="shared" si="176"/>
        <v>#DIV/0!</v>
      </c>
      <c r="AX1746">
        <f t="shared" si="177"/>
        <v>4</v>
      </c>
      <c r="AY1746" s="62" t="e">
        <f t="shared" si="178"/>
        <v>#DIV/0!</v>
      </c>
      <c r="AZ1746" s="68" t="e">
        <f t="shared" si="179"/>
        <v>#DIV/0!</v>
      </c>
      <c r="BA1746" s="68" t="e">
        <f t="shared" si="180"/>
        <v>#DIV/0!</v>
      </c>
    </row>
    <row r="1747" spans="1:53" hidden="1">
      <c r="A1747" t="s">
        <v>908</v>
      </c>
      <c r="B1747" t="s">
        <v>135</v>
      </c>
      <c r="C1747" t="s">
        <v>123</v>
      </c>
      <c r="D1747" s="25">
        <v>6</v>
      </c>
      <c r="E1747" s="25">
        <v>29</v>
      </c>
      <c r="F1747" t="s">
        <v>1241</v>
      </c>
      <c r="G1747" t="s">
        <v>124</v>
      </c>
      <c r="H1747" s="3" t="s">
        <v>875</v>
      </c>
      <c r="I1747">
        <v>2016</v>
      </c>
      <c r="J1747" t="s">
        <v>125</v>
      </c>
      <c r="K1747" t="s">
        <v>111</v>
      </c>
      <c r="L1747" t="s">
        <v>126</v>
      </c>
      <c r="M1747" s="25" t="s">
        <v>35</v>
      </c>
      <c r="N1747" t="s">
        <v>36</v>
      </c>
      <c r="O1747" t="s">
        <v>47</v>
      </c>
      <c r="P1747" t="s">
        <v>60</v>
      </c>
      <c r="Q1747" t="s">
        <v>899</v>
      </c>
      <c r="R1747" t="s">
        <v>828</v>
      </c>
      <c r="S1747" t="s">
        <v>851</v>
      </c>
      <c r="T1747">
        <v>59.844528699999998</v>
      </c>
      <c r="U1747">
        <v>23.249180200000001</v>
      </c>
      <c r="V1747" t="s">
        <v>905</v>
      </c>
      <c r="W1747" s="25" t="s">
        <v>38</v>
      </c>
      <c r="X1747">
        <v>43</v>
      </c>
      <c r="Y1747" t="s">
        <v>90</v>
      </c>
      <c r="Z1747">
        <v>1</v>
      </c>
      <c r="AA1747">
        <v>1</v>
      </c>
      <c r="AC1747">
        <v>365</v>
      </c>
      <c r="AE1747">
        <v>821</v>
      </c>
      <c r="AG1747">
        <v>481</v>
      </c>
      <c r="AH1747">
        <v>2.9143431569999998</v>
      </c>
      <c r="AI1747">
        <v>16</v>
      </c>
      <c r="AJ1747" t="s">
        <v>133</v>
      </c>
      <c r="AK1747" t="s">
        <v>40</v>
      </c>
      <c r="AL1747" s="25" t="s">
        <v>60</v>
      </c>
      <c r="AM1747" t="s">
        <v>61</v>
      </c>
      <c r="AN1747">
        <v>0.68266660000000001</v>
      </c>
      <c r="AO1747">
        <v>6.3999799999999996E-2</v>
      </c>
      <c r="AP1747">
        <v>0.66915559999999996</v>
      </c>
      <c r="AQ1747">
        <v>3.9111E-2</v>
      </c>
      <c r="AR1747" t="s">
        <v>44</v>
      </c>
      <c r="AS1747">
        <f t="shared" si="174"/>
        <v>-1.9989980801546292E-2</v>
      </c>
      <c r="AT1747">
        <f t="shared" si="175"/>
        <v>1.2205211790459206E-2</v>
      </c>
      <c r="AW1747" s="28" t="e">
        <f t="shared" si="176"/>
        <v>#DIV/0!</v>
      </c>
      <c r="AX1747">
        <f t="shared" si="177"/>
        <v>4</v>
      </c>
      <c r="AY1747" s="62" t="e">
        <f t="shared" si="178"/>
        <v>#DIV/0!</v>
      </c>
      <c r="AZ1747" s="68" t="e">
        <f t="shared" si="179"/>
        <v>#DIV/0!</v>
      </c>
      <c r="BA1747" s="68" t="e">
        <f t="shared" si="180"/>
        <v>#DIV/0!</v>
      </c>
    </row>
    <row r="1748" spans="1:53" hidden="1">
      <c r="A1748" t="s">
        <v>908</v>
      </c>
      <c r="B1748" t="s">
        <v>136</v>
      </c>
      <c r="C1748" t="s">
        <v>123</v>
      </c>
      <c r="D1748" s="25">
        <v>6</v>
      </c>
      <c r="E1748" s="25">
        <v>30</v>
      </c>
      <c r="F1748" t="s">
        <v>1241</v>
      </c>
      <c r="G1748" t="s">
        <v>124</v>
      </c>
      <c r="H1748" s="3" t="s">
        <v>875</v>
      </c>
      <c r="I1748">
        <v>2016</v>
      </c>
      <c r="J1748" t="s">
        <v>125</v>
      </c>
      <c r="K1748" t="s">
        <v>111</v>
      </c>
      <c r="L1748" t="s">
        <v>126</v>
      </c>
      <c r="M1748" s="25" t="s">
        <v>35</v>
      </c>
      <c r="N1748" t="s">
        <v>36</v>
      </c>
      <c r="O1748" t="s">
        <v>47</v>
      </c>
      <c r="P1748" t="s">
        <v>60</v>
      </c>
      <c r="Q1748" t="s">
        <v>899</v>
      </c>
      <c r="R1748" t="s">
        <v>828</v>
      </c>
      <c r="S1748" t="s">
        <v>851</v>
      </c>
      <c r="T1748">
        <v>59.844528699999998</v>
      </c>
      <c r="U1748">
        <v>23.249180200000001</v>
      </c>
      <c r="V1748" t="s">
        <v>905</v>
      </c>
      <c r="W1748" s="25" t="s">
        <v>38</v>
      </c>
      <c r="X1748">
        <v>43</v>
      </c>
      <c r="Y1748" t="s">
        <v>90</v>
      </c>
      <c r="Z1748">
        <v>1</v>
      </c>
      <c r="AA1748">
        <v>1</v>
      </c>
      <c r="AC1748">
        <v>365</v>
      </c>
      <c r="AE1748">
        <v>1007</v>
      </c>
      <c r="AG1748">
        <v>481</v>
      </c>
      <c r="AH1748">
        <v>3.0030294710000001</v>
      </c>
      <c r="AI1748">
        <v>16</v>
      </c>
      <c r="AJ1748" t="s">
        <v>133</v>
      </c>
      <c r="AK1748" t="s">
        <v>40</v>
      </c>
      <c r="AL1748" s="25" t="s">
        <v>60</v>
      </c>
      <c r="AM1748" t="s">
        <v>61</v>
      </c>
      <c r="AN1748">
        <v>0.68266660000000001</v>
      </c>
      <c r="AO1748">
        <v>6.3999799999999996E-2</v>
      </c>
      <c r="AP1748">
        <v>0.63217780000000001</v>
      </c>
      <c r="AQ1748">
        <v>6.1155399999999999E-2</v>
      </c>
      <c r="AR1748" t="s">
        <v>44</v>
      </c>
      <c r="AS1748">
        <f t="shared" si="174"/>
        <v>-7.6835916139867177E-2</v>
      </c>
      <c r="AT1748">
        <f t="shared" si="175"/>
        <v>1.81471838180348E-2</v>
      </c>
      <c r="AW1748" s="28" t="e">
        <f t="shared" si="176"/>
        <v>#DIV/0!</v>
      </c>
      <c r="AX1748">
        <f t="shared" si="177"/>
        <v>4</v>
      </c>
      <c r="AY1748" s="62" t="e">
        <f t="shared" si="178"/>
        <v>#DIV/0!</v>
      </c>
      <c r="AZ1748" s="68" t="e">
        <f t="shared" si="179"/>
        <v>#DIV/0!</v>
      </c>
      <c r="BA1748" s="68" t="e">
        <f t="shared" si="180"/>
        <v>#DIV/0!</v>
      </c>
    </row>
    <row r="1749" spans="1:53" hidden="1">
      <c r="A1749" t="s">
        <v>908</v>
      </c>
      <c r="B1749" t="s">
        <v>137</v>
      </c>
      <c r="C1749" t="s">
        <v>123</v>
      </c>
      <c r="D1749" s="25">
        <v>6</v>
      </c>
      <c r="E1749" s="25">
        <v>31</v>
      </c>
      <c r="F1749" t="s">
        <v>1241</v>
      </c>
      <c r="G1749" t="s">
        <v>124</v>
      </c>
      <c r="H1749" s="3" t="s">
        <v>875</v>
      </c>
      <c r="I1749">
        <v>2016</v>
      </c>
      <c r="J1749" t="s">
        <v>125</v>
      </c>
      <c r="K1749" t="s">
        <v>111</v>
      </c>
      <c r="L1749" t="s">
        <v>126</v>
      </c>
      <c r="M1749" s="25" t="s">
        <v>35</v>
      </c>
      <c r="N1749" t="s">
        <v>36</v>
      </c>
      <c r="O1749" t="s">
        <v>47</v>
      </c>
      <c r="P1749" t="s">
        <v>60</v>
      </c>
      <c r="Q1749" t="s">
        <v>899</v>
      </c>
      <c r="R1749" t="s">
        <v>828</v>
      </c>
      <c r="S1749" t="s">
        <v>851</v>
      </c>
      <c r="T1749">
        <v>59.844528699999998</v>
      </c>
      <c r="U1749">
        <v>23.249180200000001</v>
      </c>
      <c r="V1749" t="s">
        <v>905</v>
      </c>
      <c r="W1749" s="25" t="s">
        <v>38</v>
      </c>
      <c r="X1749">
        <v>43</v>
      </c>
      <c r="Y1749" t="s">
        <v>90</v>
      </c>
      <c r="Z1749">
        <v>1</v>
      </c>
      <c r="AA1749">
        <v>1</v>
      </c>
      <c r="AC1749">
        <v>365</v>
      </c>
      <c r="AE1749">
        <v>1231</v>
      </c>
      <c r="AG1749">
        <v>481</v>
      </c>
      <c r="AH1749">
        <v>3.0902580529999999</v>
      </c>
      <c r="AI1749">
        <v>16</v>
      </c>
      <c r="AJ1749" t="s">
        <v>133</v>
      </c>
      <c r="AK1749" t="s">
        <v>40</v>
      </c>
      <c r="AL1749" s="25" t="s">
        <v>60</v>
      </c>
      <c r="AM1749" t="s">
        <v>61</v>
      </c>
      <c r="AN1749">
        <v>0.68266660000000001</v>
      </c>
      <c r="AO1749">
        <v>6.3999799999999996E-2</v>
      </c>
      <c r="AP1749">
        <v>0.49706660000000003</v>
      </c>
      <c r="AQ1749">
        <v>6.3288800000000006E-2</v>
      </c>
      <c r="AR1749" t="s">
        <v>44</v>
      </c>
      <c r="AS1749">
        <f t="shared" si="174"/>
        <v>-0.3172825786919975</v>
      </c>
      <c r="AT1749">
        <f t="shared" si="175"/>
        <v>2.5000559966978832E-2</v>
      </c>
      <c r="AW1749" s="28" t="e">
        <f t="shared" si="176"/>
        <v>#DIV/0!</v>
      </c>
      <c r="AX1749">
        <f t="shared" si="177"/>
        <v>4</v>
      </c>
      <c r="AY1749" s="62" t="e">
        <f t="shared" si="178"/>
        <v>#DIV/0!</v>
      </c>
      <c r="AZ1749" s="68" t="e">
        <f t="shared" si="179"/>
        <v>#DIV/0!</v>
      </c>
      <c r="BA1749" s="68" t="e">
        <f t="shared" si="180"/>
        <v>#DIV/0!</v>
      </c>
    </row>
    <row r="1750" spans="1:53" hidden="1">
      <c r="A1750" t="s">
        <v>908</v>
      </c>
      <c r="B1750" t="s">
        <v>138</v>
      </c>
      <c r="C1750" t="s">
        <v>139</v>
      </c>
      <c r="D1750" s="25">
        <v>7</v>
      </c>
      <c r="E1750" s="25">
        <v>32</v>
      </c>
      <c r="F1750" t="s">
        <v>1241</v>
      </c>
      <c r="G1750" t="s">
        <v>140</v>
      </c>
      <c r="H1750" t="s">
        <v>886</v>
      </c>
      <c r="I1750">
        <v>2016</v>
      </c>
      <c r="J1750" t="s">
        <v>141</v>
      </c>
      <c r="K1750" t="s">
        <v>49</v>
      </c>
      <c r="L1750" t="s">
        <v>142</v>
      </c>
      <c r="M1750" s="25" t="s">
        <v>35</v>
      </c>
      <c r="N1750" t="s">
        <v>36</v>
      </c>
      <c r="O1750" t="s">
        <v>37</v>
      </c>
      <c r="P1750" t="s">
        <v>60</v>
      </c>
      <c r="Q1750" t="s">
        <v>900</v>
      </c>
      <c r="R1750" t="s">
        <v>911</v>
      </c>
      <c r="S1750" t="s">
        <v>887</v>
      </c>
      <c r="T1750">
        <v>25.733398600000001</v>
      </c>
      <c r="U1750">
        <v>-80.162447400000005</v>
      </c>
      <c r="V1750" t="s">
        <v>905</v>
      </c>
      <c r="W1750" s="25" t="s">
        <v>38</v>
      </c>
      <c r="X1750">
        <v>90</v>
      </c>
      <c r="Y1750" t="s">
        <v>143</v>
      </c>
      <c r="Z1750">
        <v>20</v>
      </c>
      <c r="AA1750">
        <v>20</v>
      </c>
      <c r="AC1750">
        <v>390</v>
      </c>
      <c r="AE1750">
        <v>900</v>
      </c>
      <c r="AG1750">
        <v>482</v>
      </c>
      <c r="AH1750">
        <v>2.9542425090000002</v>
      </c>
      <c r="AI1750">
        <v>26</v>
      </c>
      <c r="AJ1750" t="s">
        <v>144</v>
      </c>
      <c r="AK1750" t="s">
        <v>69</v>
      </c>
      <c r="AL1750" s="25" t="s">
        <v>60</v>
      </c>
      <c r="AM1750" t="s">
        <v>61</v>
      </c>
      <c r="AN1750">
        <v>5.1355529129999997</v>
      </c>
      <c r="AO1750">
        <v>0.56599286599999998</v>
      </c>
      <c r="AP1750">
        <v>5.2187871579999996</v>
      </c>
      <c r="AQ1750">
        <v>0.54934601699999996</v>
      </c>
      <c r="AR1750" t="s">
        <v>48</v>
      </c>
      <c r="AS1750">
        <f t="shared" si="174"/>
        <v>1.6077516738402409E-2</v>
      </c>
      <c r="AT1750">
        <f t="shared" si="175"/>
        <v>1.1613365078555627E-3</v>
      </c>
      <c r="AW1750" s="28">
        <f t="shared" si="176"/>
        <v>0.14923710973497487</v>
      </c>
      <c r="AX1750">
        <f t="shared" si="177"/>
        <v>0.98013245033112584</v>
      </c>
      <c r="AY1750" s="62">
        <f t="shared" si="178"/>
        <v>0.14627213404487602</v>
      </c>
      <c r="AZ1750" s="68" t="str">
        <f t="shared" si="179"/>
        <v>No</v>
      </c>
      <c r="BA1750" s="68" t="str">
        <f t="shared" si="180"/>
        <v>No</v>
      </c>
    </row>
    <row r="1751" spans="1:53" hidden="1">
      <c r="A1751" t="s">
        <v>908</v>
      </c>
      <c r="B1751" t="s">
        <v>149</v>
      </c>
      <c r="C1751" t="s">
        <v>145</v>
      </c>
      <c r="D1751" s="25">
        <v>8</v>
      </c>
      <c r="E1751" s="25">
        <v>33</v>
      </c>
      <c r="F1751" t="s">
        <v>1241</v>
      </c>
      <c r="G1751" t="s">
        <v>146</v>
      </c>
      <c r="H1751" s="3" t="s">
        <v>853</v>
      </c>
      <c r="I1751">
        <v>2016</v>
      </c>
      <c r="J1751" t="s">
        <v>147</v>
      </c>
      <c r="K1751" t="s">
        <v>51</v>
      </c>
      <c r="L1751" t="s">
        <v>148</v>
      </c>
      <c r="M1751" s="25" t="s">
        <v>35</v>
      </c>
      <c r="N1751" t="s">
        <v>36</v>
      </c>
      <c r="O1751" t="s">
        <v>47</v>
      </c>
      <c r="P1751" t="s">
        <v>60</v>
      </c>
      <c r="Q1751" t="s">
        <v>899</v>
      </c>
      <c r="R1751" t="s">
        <v>855</v>
      </c>
      <c r="S1751" t="s">
        <v>854</v>
      </c>
      <c r="T1751">
        <v>58.319167</v>
      </c>
      <c r="U1751">
        <v>11.468610999999999</v>
      </c>
      <c r="V1751" t="s">
        <v>905</v>
      </c>
      <c r="W1751" s="25" t="s">
        <v>38</v>
      </c>
      <c r="X1751">
        <v>15</v>
      </c>
      <c r="Y1751" t="s">
        <v>39</v>
      </c>
      <c r="Z1751">
        <v>5</v>
      </c>
      <c r="AA1751">
        <v>5</v>
      </c>
      <c r="AC1751">
        <v>380</v>
      </c>
      <c r="AE1751">
        <v>760</v>
      </c>
      <c r="AG1751">
        <v>566</v>
      </c>
      <c r="AH1751">
        <v>2.880813592</v>
      </c>
      <c r="AI1751">
        <v>8.4499999999999993</v>
      </c>
      <c r="AJ1751" t="s">
        <v>150</v>
      </c>
      <c r="AK1751" t="s">
        <v>40</v>
      </c>
      <c r="AL1751" s="25" t="s">
        <v>60</v>
      </c>
      <c r="AM1751" t="s">
        <v>61</v>
      </c>
      <c r="AN1751">
        <v>1.76796</v>
      </c>
      <c r="AO1751">
        <v>0.994479</v>
      </c>
      <c r="AP1751">
        <v>1.98895</v>
      </c>
      <c r="AQ1751">
        <v>0.99448000000000003</v>
      </c>
      <c r="AR1751" t="s">
        <v>41</v>
      </c>
      <c r="AS1751">
        <f t="shared" si="174"/>
        <v>0.11778052177030518</v>
      </c>
      <c r="AT1751">
        <f t="shared" si="175"/>
        <v>0.11328194367723964</v>
      </c>
      <c r="AW1751" s="28">
        <f t="shared" si="176"/>
        <v>0.22221674755484863</v>
      </c>
      <c r="AX1751">
        <f t="shared" si="177"/>
        <v>0.90322580645161288</v>
      </c>
      <c r="AY1751" s="62">
        <f t="shared" si="178"/>
        <v>0.20071190101728262</v>
      </c>
      <c r="AZ1751" s="68" t="str">
        <f t="shared" si="179"/>
        <v>No</v>
      </c>
      <c r="BA1751" s="68" t="str">
        <f t="shared" si="180"/>
        <v>No</v>
      </c>
    </row>
    <row r="1752" spans="1:53" hidden="1">
      <c r="A1752" t="s">
        <v>908</v>
      </c>
      <c r="B1752" t="s">
        <v>151</v>
      </c>
      <c r="C1752" t="s">
        <v>145</v>
      </c>
      <c r="D1752" s="25">
        <v>8</v>
      </c>
      <c r="E1752" s="25">
        <v>34</v>
      </c>
      <c r="F1752" t="s">
        <v>1241</v>
      </c>
      <c r="G1752" t="s">
        <v>146</v>
      </c>
      <c r="H1752" s="3" t="s">
        <v>853</v>
      </c>
      <c r="I1752">
        <v>2016</v>
      </c>
      <c r="J1752" t="s">
        <v>147</v>
      </c>
      <c r="K1752" t="s">
        <v>51</v>
      </c>
      <c r="L1752" t="s">
        <v>148</v>
      </c>
      <c r="M1752" s="25" t="s">
        <v>35</v>
      </c>
      <c r="N1752" t="s">
        <v>36</v>
      </c>
      <c r="O1752" t="s">
        <v>47</v>
      </c>
      <c r="P1752" t="s">
        <v>60</v>
      </c>
      <c r="Q1752" t="s">
        <v>899</v>
      </c>
      <c r="R1752" t="s">
        <v>855</v>
      </c>
      <c r="S1752" t="s">
        <v>854</v>
      </c>
      <c r="T1752">
        <v>58.319167</v>
      </c>
      <c r="U1752">
        <v>11.468610999999999</v>
      </c>
      <c r="V1752" t="s">
        <v>905</v>
      </c>
      <c r="W1752" s="25" t="s">
        <v>38</v>
      </c>
      <c r="X1752">
        <v>20</v>
      </c>
      <c r="Y1752" t="s">
        <v>39</v>
      </c>
      <c r="Z1752">
        <v>5</v>
      </c>
      <c r="AA1752">
        <v>5</v>
      </c>
      <c r="AC1752">
        <v>380</v>
      </c>
      <c r="AE1752">
        <v>760</v>
      </c>
      <c r="AG1752">
        <v>567</v>
      </c>
      <c r="AH1752">
        <v>2.880813592</v>
      </c>
      <c r="AI1752">
        <v>8.4499999999999993</v>
      </c>
      <c r="AJ1752" t="s">
        <v>150</v>
      </c>
      <c r="AK1752" t="s">
        <v>40</v>
      </c>
      <c r="AL1752" s="25" t="s">
        <v>60</v>
      </c>
      <c r="AM1752" t="s">
        <v>61</v>
      </c>
      <c r="AN1752">
        <v>1.3259700000000001</v>
      </c>
      <c r="AO1752">
        <v>0.66298000000000001</v>
      </c>
      <c r="AP1752">
        <v>1.10497</v>
      </c>
      <c r="AQ1752">
        <v>0.55249000000000004</v>
      </c>
      <c r="AR1752" t="s">
        <v>41</v>
      </c>
      <c r="AS1752">
        <f t="shared" si="174"/>
        <v>-0.18232608179344564</v>
      </c>
      <c r="AT1752">
        <f t="shared" si="175"/>
        <v>0.10000015084400921</v>
      </c>
      <c r="AW1752" s="28">
        <f t="shared" si="176"/>
        <v>-0.36215211788672097</v>
      </c>
      <c r="AX1752">
        <f t="shared" si="177"/>
        <v>0.90322580645161288</v>
      </c>
      <c r="AY1752" s="62">
        <f t="shared" si="178"/>
        <v>-0.32710513873639313</v>
      </c>
      <c r="AZ1752" s="68" t="str">
        <f t="shared" si="179"/>
        <v>No</v>
      </c>
      <c r="BA1752" s="68" t="str">
        <f t="shared" si="180"/>
        <v>No</v>
      </c>
    </row>
    <row r="1753" spans="1:53" hidden="1">
      <c r="A1753" t="s">
        <v>908</v>
      </c>
      <c r="B1753" t="s">
        <v>152</v>
      </c>
      <c r="C1753" t="s">
        <v>145</v>
      </c>
      <c r="D1753" s="25">
        <v>8</v>
      </c>
      <c r="E1753" s="25">
        <v>35</v>
      </c>
      <c r="F1753" t="s">
        <v>1241</v>
      </c>
      <c r="G1753" t="s">
        <v>146</v>
      </c>
      <c r="H1753" s="3" t="s">
        <v>853</v>
      </c>
      <c r="I1753">
        <v>2016</v>
      </c>
      <c r="J1753" t="s">
        <v>147</v>
      </c>
      <c r="K1753" t="s">
        <v>51</v>
      </c>
      <c r="L1753" t="s">
        <v>148</v>
      </c>
      <c r="M1753" s="25" t="s">
        <v>35</v>
      </c>
      <c r="N1753" t="s">
        <v>36</v>
      </c>
      <c r="O1753" t="s">
        <v>47</v>
      </c>
      <c r="P1753" t="s">
        <v>60</v>
      </c>
      <c r="Q1753" t="s">
        <v>899</v>
      </c>
      <c r="R1753" t="s">
        <v>855</v>
      </c>
      <c r="S1753" t="s">
        <v>854</v>
      </c>
      <c r="T1753">
        <v>58.319167</v>
      </c>
      <c r="U1753">
        <v>11.468610999999999</v>
      </c>
      <c r="V1753" t="s">
        <v>905</v>
      </c>
      <c r="W1753" s="25" t="s">
        <v>38</v>
      </c>
      <c r="X1753">
        <v>25</v>
      </c>
      <c r="Y1753" t="s">
        <v>39</v>
      </c>
      <c r="Z1753">
        <v>5</v>
      </c>
      <c r="AA1753">
        <v>5</v>
      </c>
      <c r="AC1753">
        <v>380</v>
      </c>
      <c r="AE1753">
        <v>760</v>
      </c>
      <c r="AG1753">
        <v>568</v>
      </c>
      <c r="AH1753">
        <v>2.880813592</v>
      </c>
      <c r="AI1753">
        <v>8.4499999999999993</v>
      </c>
      <c r="AJ1753" t="s">
        <v>150</v>
      </c>
      <c r="AK1753" t="s">
        <v>40</v>
      </c>
      <c r="AL1753" s="25" t="s">
        <v>60</v>
      </c>
      <c r="AM1753" t="s">
        <v>61</v>
      </c>
      <c r="AN1753">
        <v>0.77348099999999997</v>
      </c>
      <c r="AO1753">
        <v>0.66297899999999998</v>
      </c>
      <c r="AP1753">
        <v>0.66298299999999999</v>
      </c>
      <c r="AQ1753">
        <v>0.44198700000000002</v>
      </c>
      <c r="AR1753" t="s">
        <v>41</v>
      </c>
      <c r="AS1753">
        <f t="shared" si="174"/>
        <v>-0.15415175720832158</v>
      </c>
      <c r="AT1753">
        <f t="shared" si="175"/>
        <v>0.23582490435859615</v>
      </c>
      <c r="AW1753" s="28">
        <f t="shared" si="176"/>
        <v>-0.19611866090271096</v>
      </c>
      <c r="AX1753">
        <f t="shared" si="177"/>
        <v>0.90322580645161288</v>
      </c>
      <c r="AY1753" s="62">
        <f t="shared" si="178"/>
        <v>-0.17713943565406151</v>
      </c>
      <c r="AZ1753" s="68" t="str">
        <f t="shared" si="179"/>
        <v>No</v>
      </c>
      <c r="BA1753" s="68" t="str">
        <f t="shared" si="180"/>
        <v>No</v>
      </c>
    </row>
    <row r="1754" spans="1:53" hidden="1">
      <c r="A1754" t="s">
        <v>908</v>
      </c>
      <c r="B1754" t="s">
        <v>153</v>
      </c>
      <c r="C1754" t="s">
        <v>145</v>
      </c>
      <c r="D1754" s="25">
        <v>8</v>
      </c>
      <c r="E1754" s="25">
        <v>36</v>
      </c>
      <c r="F1754" t="s">
        <v>1241</v>
      </c>
      <c r="G1754" t="s">
        <v>146</v>
      </c>
      <c r="H1754" s="3" t="s">
        <v>853</v>
      </c>
      <c r="I1754">
        <v>2016</v>
      </c>
      <c r="J1754" t="s">
        <v>147</v>
      </c>
      <c r="K1754" t="s">
        <v>51</v>
      </c>
      <c r="L1754" t="s">
        <v>148</v>
      </c>
      <c r="M1754" s="25" t="s">
        <v>35</v>
      </c>
      <c r="N1754" t="s">
        <v>36</v>
      </c>
      <c r="O1754" t="s">
        <v>47</v>
      </c>
      <c r="P1754" t="s">
        <v>60</v>
      </c>
      <c r="Q1754" t="s">
        <v>899</v>
      </c>
      <c r="R1754" t="s">
        <v>855</v>
      </c>
      <c r="S1754" t="s">
        <v>854</v>
      </c>
      <c r="T1754">
        <v>58.319167</v>
      </c>
      <c r="U1754">
        <v>11.468610999999999</v>
      </c>
      <c r="V1754" t="s">
        <v>905</v>
      </c>
      <c r="W1754" s="25" t="s">
        <v>38</v>
      </c>
      <c r="X1754">
        <v>35</v>
      </c>
      <c r="Y1754" t="s">
        <v>39</v>
      </c>
      <c r="Z1754">
        <v>5</v>
      </c>
      <c r="AA1754">
        <v>5</v>
      </c>
      <c r="AC1754">
        <v>380</v>
      </c>
      <c r="AE1754">
        <v>760</v>
      </c>
      <c r="AG1754">
        <v>569</v>
      </c>
      <c r="AH1754">
        <v>2.880813592</v>
      </c>
      <c r="AI1754">
        <v>8.4499999999999993</v>
      </c>
      <c r="AJ1754" t="s">
        <v>150</v>
      </c>
      <c r="AK1754" t="s">
        <v>40</v>
      </c>
      <c r="AL1754" s="25" t="s">
        <v>60</v>
      </c>
      <c r="AM1754" t="s">
        <v>61</v>
      </c>
      <c r="AN1754">
        <v>2.20994</v>
      </c>
      <c r="AO1754">
        <v>1.3259700000000001</v>
      </c>
      <c r="AP1754">
        <v>1.3259700000000001</v>
      </c>
      <c r="AQ1754">
        <v>0.88398100000000002</v>
      </c>
      <c r="AR1754" t="s">
        <v>41</v>
      </c>
      <c r="AS1754">
        <f t="shared" si="174"/>
        <v>-0.51082109876649961</v>
      </c>
      <c r="AT1754">
        <f t="shared" si="175"/>
        <v>0.16088974160251132</v>
      </c>
      <c r="AW1754" s="28">
        <f t="shared" si="176"/>
        <v>-0.7844553932684194</v>
      </c>
      <c r="AX1754">
        <f t="shared" si="177"/>
        <v>0.90322580645161288</v>
      </c>
      <c r="AY1754" s="62">
        <f t="shared" si="178"/>
        <v>-0.70854035521018521</v>
      </c>
      <c r="AZ1754" s="68" t="str">
        <f t="shared" si="179"/>
        <v>No</v>
      </c>
      <c r="BA1754" s="68" t="str">
        <f t="shared" si="180"/>
        <v>No</v>
      </c>
    </row>
    <row r="1755" spans="1:53" hidden="1">
      <c r="A1755" t="s">
        <v>908</v>
      </c>
      <c r="B1755" t="s">
        <v>154</v>
      </c>
      <c r="C1755" t="s">
        <v>145</v>
      </c>
      <c r="D1755" s="25">
        <v>8</v>
      </c>
      <c r="E1755" s="25">
        <v>37</v>
      </c>
      <c r="F1755" t="s">
        <v>1241</v>
      </c>
      <c r="G1755" t="s">
        <v>146</v>
      </c>
      <c r="H1755" s="3" t="s">
        <v>853</v>
      </c>
      <c r="I1755">
        <v>2016</v>
      </c>
      <c r="J1755" t="s">
        <v>147</v>
      </c>
      <c r="K1755" t="s">
        <v>51</v>
      </c>
      <c r="L1755" t="s">
        <v>148</v>
      </c>
      <c r="M1755" s="25" t="s">
        <v>35</v>
      </c>
      <c r="N1755" t="s">
        <v>36</v>
      </c>
      <c r="O1755" t="s">
        <v>47</v>
      </c>
      <c r="P1755" t="s">
        <v>60</v>
      </c>
      <c r="Q1755" t="s">
        <v>899</v>
      </c>
      <c r="R1755" t="s">
        <v>855</v>
      </c>
      <c r="S1755" t="s">
        <v>854</v>
      </c>
      <c r="T1755">
        <v>58.319167</v>
      </c>
      <c r="U1755">
        <v>11.468610999999999</v>
      </c>
      <c r="V1755" t="s">
        <v>905</v>
      </c>
      <c r="W1755" s="25" t="s">
        <v>38</v>
      </c>
      <c r="X1755">
        <v>40</v>
      </c>
      <c r="Y1755" t="s">
        <v>39</v>
      </c>
      <c r="Z1755">
        <v>5</v>
      </c>
      <c r="AA1755">
        <v>5</v>
      </c>
      <c r="AC1755">
        <v>380</v>
      </c>
      <c r="AE1755">
        <v>760</v>
      </c>
      <c r="AG1755">
        <v>570</v>
      </c>
      <c r="AH1755">
        <v>2.880813592</v>
      </c>
      <c r="AI1755">
        <v>8.4499999999999993</v>
      </c>
      <c r="AJ1755" t="s">
        <v>150</v>
      </c>
      <c r="AK1755" t="s">
        <v>40</v>
      </c>
      <c r="AL1755" s="25" t="s">
        <v>60</v>
      </c>
      <c r="AM1755" t="s">
        <v>61</v>
      </c>
      <c r="AN1755">
        <v>8.0663</v>
      </c>
      <c r="AO1755">
        <v>5.3038999999999996</v>
      </c>
      <c r="AP1755">
        <v>4.3093899999999996</v>
      </c>
      <c r="AQ1755">
        <v>1.87845</v>
      </c>
      <c r="AR1755" t="s">
        <v>41</v>
      </c>
      <c r="AS1755">
        <f t="shared" si="174"/>
        <v>-0.62689852613933961</v>
      </c>
      <c r="AT1755">
        <f t="shared" si="175"/>
        <v>0.12447251634363868</v>
      </c>
      <c r="AW1755" s="28">
        <f t="shared" si="176"/>
        <v>-0.94425831234617841</v>
      </c>
      <c r="AX1755">
        <f t="shared" si="177"/>
        <v>0.90322580645161288</v>
      </c>
      <c r="AY1755" s="62">
        <f t="shared" si="178"/>
        <v>-0.85287847566751596</v>
      </c>
      <c r="AZ1755" s="68" t="str">
        <f t="shared" si="179"/>
        <v>No</v>
      </c>
      <c r="BA1755" s="68" t="str">
        <f t="shared" si="180"/>
        <v>No</v>
      </c>
    </row>
    <row r="1756" spans="1:53" hidden="1">
      <c r="A1756" t="s">
        <v>908</v>
      </c>
      <c r="B1756" t="s">
        <v>155</v>
      </c>
      <c r="C1756" t="s">
        <v>145</v>
      </c>
      <c r="D1756" s="25">
        <v>8</v>
      </c>
      <c r="E1756" s="25">
        <v>38</v>
      </c>
      <c r="F1756" t="s">
        <v>1241</v>
      </c>
      <c r="G1756" t="s">
        <v>146</v>
      </c>
      <c r="H1756" s="3" t="s">
        <v>853</v>
      </c>
      <c r="I1756">
        <v>2016</v>
      </c>
      <c r="J1756" t="s">
        <v>147</v>
      </c>
      <c r="K1756" t="s">
        <v>51</v>
      </c>
      <c r="L1756" t="s">
        <v>148</v>
      </c>
      <c r="M1756" s="25" t="s">
        <v>35</v>
      </c>
      <c r="N1756" t="s">
        <v>36</v>
      </c>
      <c r="O1756" t="s">
        <v>47</v>
      </c>
      <c r="P1756" t="s">
        <v>60</v>
      </c>
      <c r="Q1756" t="s">
        <v>899</v>
      </c>
      <c r="R1756" t="s">
        <v>855</v>
      </c>
      <c r="S1756" t="s">
        <v>854</v>
      </c>
      <c r="T1756">
        <v>58.319167</v>
      </c>
      <c r="U1756">
        <v>11.468610999999999</v>
      </c>
      <c r="V1756" t="s">
        <v>905</v>
      </c>
      <c r="W1756" s="25" t="s">
        <v>38</v>
      </c>
      <c r="X1756">
        <v>50</v>
      </c>
      <c r="Y1756" t="s">
        <v>39</v>
      </c>
      <c r="Z1756">
        <v>5</v>
      </c>
      <c r="AA1756">
        <v>5</v>
      </c>
      <c r="AC1756">
        <v>380</v>
      </c>
      <c r="AE1756">
        <v>760</v>
      </c>
      <c r="AG1756">
        <v>571</v>
      </c>
      <c r="AH1756">
        <v>2.880813592</v>
      </c>
      <c r="AI1756">
        <v>8.4499999999999993</v>
      </c>
      <c r="AJ1756" t="s">
        <v>150</v>
      </c>
      <c r="AK1756" t="s">
        <v>40</v>
      </c>
      <c r="AL1756" s="25" t="s">
        <v>60</v>
      </c>
      <c r="AM1756" t="s">
        <v>61</v>
      </c>
      <c r="AN1756">
        <v>11.8232</v>
      </c>
      <c r="AO1756">
        <v>8.1768000000000001</v>
      </c>
      <c r="AP1756">
        <v>5.0828699999999998</v>
      </c>
      <c r="AQ1756">
        <v>1.87846</v>
      </c>
      <c r="AR1756" t="s">
        <v>41</v>
      </c>
      <c r="AS1756">
        <f t="shared" si="174"/>
        <v>-0.84418764022808812</v>
      </c>
      <c r="AT1756">
        <f t="shared" si="175"/>
        <v>0.12297510836815206</v>
      </c>
      <c r="AW1756" s="28">
        <f t="shared" si="176"/>
        <v>-1.1361738181973069</v>
      </c>
      <c r="AX1756">
        <f t="shared" si="177"/>
        <v>0.90322580645161288</v>
      </c>
      <c r="AY1756" s="62">
        <f t="shared" si="178"/>
        <v>-1.0262215132104706</v>
      </c>
      <c r="AZ1756" s="68" t="str">
        <f t="shared" si="179"/>
        <v>No</v>
      </c>
      <c r="BA1756" s="68" t="str">
        <f t="shared" si="180"/>
        <v>No</v>
      </c>
    </row>
    <row r="1757" spans="1:53" hidden="1">
      <c r="A1757" t="s">
        <v>908</v>
      </c>
      <c r="B1757" t="s">
        <v>156</v>
      </c>
      <c r="C1757" t="s">
        <v>145</v>
      </c>
      <c r="D1757" s="25">
        <v>8</v>
      </c>
      <c r="E1757" s="25">
        <v>39</v>
      </c>
      <c r="F1757" t="s">
        <v>1241</v>
      </c>
      <c r="G1757" t="s">
        <v>146</v>
      </c>
      <c r="H1757" s="3" t="s">
        <v>853</v>
      </c>
      <c r="I1757">
        <v>2016</v>
      </c>
      <c r="J1757" t="s">
        <v>147</v>
      </c>
      <c r="K1757" t="s">
        <v>51</v>
      </c>
      <c r="L1757" t="s">
        <v>148</v>
      </c>
      <c r="M1757" s="25" t="s">
        <v>35</v>
      </c>
      <c r="N1757" t="s">
        <v>36</v>
      </c>
      <c r="O1757" t="s">
        <v>47</v>
      </c>
      <c r="P1757" t="s">
        <v>60</v>
      </c>
      <c r="Q1757" t="s">
        <v>899</v>
      </c>
      <c r="R1757" t="s">
        <v>855</v>
      </c>
      <c r="S1757" t="s">
        <v>854</v>
      </c>
      <c r="T1757">
        <v>58.319167</v>
      </c>
      <c r="U1757">
        <v>11.468610999999999</v>
      </c>
      <c r="V1757" t="s">
        <v>905</v>
      </c>
      <c r="W1757" s="25" t="s">
        <v>38</v>
      </c>
      <c r="X1757">
        <v>60</v>
      </c>
      <c r="Y1757" t="s">
        <v>39</v>
      </c>
      <c r="Z1757">
        <v>5</v>
      </c>
      <c r="AA1757">
        <v>5</v>
      </c>
      <c r="AC1757">
        <v>380</v>
      </c>
      <c r="AE1757">
        <v>760</v>
      </c>
      <c r="AG1757">
        <v>572</v>
      </c>
      <c r="AH1757">
        <v>2.880813592</v>
      </c>
      <c r="AI1757">
        <v>8.4499999999999993</v>
      </c>
      <c r="AJ1757" t="s">
        <v>150</v>
      </c>
      <c r="AK1757" t="s">
        <v>40</v>
      </c>
      <c r="AL1757" s="25" t="s">
        <v>60</v>
      </c>
      <c r="AM1757" t="s">
        <v>61</v>
      </c>
      <c r="AN1757">
        <v>14.143599999999999</v>
      </c>
      <c r="AO1757">
        <v>7.7348999999999997</v>
      </c>
      <c r="AP1757">
        <v>10.497199999999999</v>
      </c>
      <c r="AQ1757">
        <v>6.1879</v>
      </c>
      <c r="AR1757" t="s">
        <v>41</v>
      </c>
      <c r="AS1757">
        <f t="shared" si="174"/>
        <v>-0.29815367001746607</v>
      </c>
      <c r="AT1757">
        <f t="shared" si="175"/>
        <v>0.12931386069271134</v>
      </c>
      <c r="AW1757" s="28">
        <f t="shared" si="176"/>
        <v>-0.52059887597792132</v>
      </c>
      <c r="AX1757">
        <f t="shared" si="177"/>
        <v>0.90322580645161288</v>
      </c>
      <c r="AY1757" s="62">
        <f t="shared" si="178"/>
        <v>-0.47021833959296117</v>
      </c>
      <c r="AZ1757" s="68" t="str">
        <f t="shared" si="179"/>
        <v>No</v>
      </c>
      <c r="BA1757" s="68" t="str">
        <f t="shared" si="180"/>
        <v>No</v>
      </c>
    </row>
    <row r="1758" spans="1:53" hidden="1">
      <c r="A1758" t="s">
        <v>908</v>
      </c>
      <c r="B1758" t="s">
        <v>157</v>
      </c>
      <c r="C1758" t="s">
        <v>145</v>
      </c>
      <c r="D1758" s="25">
        <v>8</v>
      </c>
      <c r="E1758" s="25">
        <v>40</v>
      </c>
      <c r="F1758" t="s">
        <v>1241</v>
      </c>
      <c r="G1758" t="s">
        <v>146</v>
      </c>
      <c r="H1758" s="3" t="s">
        <v>853</v>
      </c>
      <c r="I1758">
        <v>2016</v>
      </c>
      <c r="J1758" t="s">
        <v>147</v>
      </c>
      <c r="K1758" t="s">
        <v>51</v>
      </c>
      <c r="L1758" t="s">
        <v>148</v>
      </c>
      <c r="M1758" s="25" t="s">
        <v>35</v>
      </c>
      <c r="N1758" t="s">
        <v>36</v>
      </c>
      <c r="O1758" t="s">
        <v>47</v>
      </c>
      <c r="P1758" t="s">
        <v>60</v>
      </c>
      <c r="Q1758" t="s">
        <v>899</v>
      </c>
      <c r="R1758" t="s">
        <v>855</v>
      </c>
      <c r="S1758" t="s">
        <v>854</v>
      </c>
      <c r="T1758">
        <v>58.319167</v>
      </c>
      <c r="U1758">
        <v>11.468610999999999</v>
      </c>
      <c r="V1758" t="s">
        <v>905</v>
      </c>
      <c r="W1758" s="25" t="s">
        <v>38</v>
      </c>
      <c r="X1758">
        <v>65</v>
      </c>
      <c r="Y1758" t="s">
        <v>39</v>
      </c>
      <c r="Z1758">
        <v>5</v>
      </c>
      <c r="AA1758">
        <v>5</v>
      </c>
      <c r="AC1758">
        <v>380</v>
      </c>
      <c r="AE1758">
        <v>760</v>
      </c>
      <c r="AG1758">
        <v>573</v>
      </c>
      <c r="AH1758">
        <v>2.880813592</v>
      </c>
      <c r="AI1758">
        <v>8.4499999999999993</v>
      </c>
      <c r="AJ1758" t="s">
        <v>150</v>
      </c>
      <c r="AK1758" t="s">
        <v>40</v>
      </c>
      <c r="AL1758" s="25" t="s">
        <v>60</v>
      </c>
      <c r="AM1758" t="s">
        <v>61</v>
      </c>
      <c r="AN1758">
        <v>15.5801</v>
      </c>
      <c r="AO1758">
        <v>6.5193000000000003</v>
      </c>
      <c r="AP1758">
        <v>11.6022</v>
      </c>
      <c r="AQ1758">
        <v>3.3149000000000002</v>
      </c>
      <c r="AR1758" t="s">
        <v>41</v>
      </c>
      <c r="AS1758">
        <f t="shared" si="174"/>
        <v>-0.29479972360477724</v>
      </c>
      <c r="AT1758">
        <f t="shared" si="175"/>
        <v>5.1344398653132992E-2</v>
      </c>
      <c r="AW1758" s="28">
        <f t="shared" si="176"/>
        <v>-0.76918929600404995</v>
      </c>
      <c r="AX1758">
        <f t="shared" si="177"/>
        <v>0.90322580645161288</v>
      </c>
      <c r="AY1758" s="62">
        <f t="shared" si="178"/>
        <v>-0.69475162219720643</v>
      </c>
      <c r="AZ1758" s="68" t="str">
        <f t="shared" si="179"/>
        <v>No</v>
      </c>
      <c r="BA1758" s="68" t="str">
        <f t="shared" si="180"/>
        <v>No</v>
      </c>
    </row>
    <row r="1759" spans="1:53" hidden="1">
      <c r="A1759" t="s">
        <v>908</v>
      </c>
      <c r="B1759" t="s">
        <v>158</v>
      </c>
      <c r="C1759" t="s">
        <v>145</v>
      </c>
      <c r="D1759" s="25">
        <v>8</v>
      </c>
      <c r="E1759" s="25">
        <v>41</v>
      </c>
      <c r="F1759" t="s">
        <v>1241</v>
      </c>
      <c r="G1759" t="s">
        <v>146</v>
      </c>
      <c r="H1759" s="3" t="s">
        <v>853</v>
      </c>
      <c r="I1759">
        <v>2016</v>
      </c>
      <c r="J1759" t="s">
        <v>147</v>
      </c>
      <c r="K1759" t="s">
        <v>51</v>
      </c>
      <c r="L1759" t="s">
        <v>148</v>
      </c>
      <c r="M1759" s="25" t="s">
        <v>35</v>
      </c>
      <c r="N1759" t="s">
        <v>36</v>
      </c>
      <c r="O1759" t="s">
        <v>47</v>
      </c>
      <c r="P1759" t="s">
        <v>60</v>
      </c>
      <c r="Q1759" t="s">
        <v>899</v>
      </c>
      <c r="R1759" t="s">
        <v>855</v>
      </c>
      <c r="S1759" t="s">
        <v>854</v>
      </c>
      <c r="T1759">
        <v>58.319167</v>
      </c>
      <c r="U1759">
        <v>11.468610999999999</v>
      </c>
      <c r="V1759" t="s">
        <v>905</v>
      </c>
      <c r="W1759" s="25" t="s">
        <v>38</v>
      </c>
      <c r="X1759">
        <v>75</v>
      </c>
      <c r="Y1759" t="s">
        <v>39</v>
      </c>
      <c r="Z1759">
        <v>5</v>
      </c>
      <c r="AA1759">
        <v>5</v>
      </c>
      <c r="AC1759">
        <v>380</v>
      </c>
      <c r="AE1759">
        <v>760</v>
      </c>
      <c r="AG1759">
        <v>574</v>
      </c>
      <c r="AH1759">
        <v>2.880813592</v>
      </c>
      <c r="AI1759">
        <v>8.4499999999999993</v>
      </c>
      <c r="AJ1759" t="s">
        <v>150</v>
      </c>
      <c r="AK1759" t="s">
        <v>40</v>
      </c>
      <c r="AL1759" s="25" t="s">
        <v>60</v>
      </c>
      <c r="AM1759" t="s">
        <v>61</v>
      </c>
      <c r="AN1759">
        <v>7.4033100000000003</v>
      </c>
      <c r="AO1759">
        <v>2.4309400000000001</v>
      </c>
      <c r="AP1759">
        <v>5.7458600000000004</v>
      </c>
      <c r="AQ1759">
        <v>2.4309400000000001</v>
      </c>
      <c r="AR1759" t="s">
        <v>41</v>
      </c>
      <c r="AS1759">
        <f t="shared" si="174"/>
        <v>-0.25344760201503069</v>
      </c>
      <c r="AT1759">
        <f t="shared" si="175"/>
        <v>5.7362658956789825E-2</v>
      </c>
      <c r="AW1759" s="28">
        <f t="shared" si="176"/>
        <v>-0.68181444214995013</v>
      </c>
      <c r="AX1759">
        <f t="shared" si="177"/>
        <v>0.90322580645161288</v>
      </c>
      <c r="AY1759" s="62">
        <f t="shared" si="178"/>
        <v>-0.61583239936124523</v>
      </c>
      <c r="AZ1759" s="68" t="str">
        <f t="shared" si="179"/>
        <v>No</v>
      </c>
      <c r="BA1759" s="68" t="str">
        <f t="shared" si="180"/>
        <v>No</v>
      </c>
    </row>
    <row r="1760" spans="1:53" hidden="1">
      <c r="A1760" t="s">
        <v>908</v>
      </c>
      <c r="B1760" t="s">
        <v>159</v>
      </c>
      <c r="C1760" t="s">
        <v>145</v>
      </c>
      <c r="D1760" s="25">
        <v>8</v>
      </c>
      <c r="E1760" s="25">
        <v>42</v>
      </c>
      <c r="F1760" t="s">
        <v>1241</v>
      </c>
      <c r="G1760" t="s">
        <v>146</v>
      </c>
      <c r="H1760" s="3" t="s">
        <v>853</v>
      </c>
      <c r="I1760">
        <v>2016</v>
      </c>
      <c r="J1760" t="s">
        <v>147</v>
      </c>
      <c r="K1760" t="s">
        <v>51</v>
      </c>
      <c r="L1760" t="s">
        <v>148</v>
      </c>
      <c r="M1760" s="25" t="s">
        <v>35</v>
      </c>
      <c r="N1760" t="s">
        <v>36</v>
      </c>
      <c r="O1760" t="s">
        <v>47</v>
      </c>
      <c r="P1760" t="s">
        <v>60</v>
      </c>
      <c r="Q1760" t="s">
        <v>899</v>
      </c>
      <c r="R1760" t="s">
        <v>855</v>
      </c>
      <c r="S1760" t="s">
        <v>854</v>
      </c>
      <c r="T1760">
        <v>58.319167</v>
      </c>
      <c r="U1760">
        <v>11.468610999999999</v>
      </c>
      <c r="V1760" t="s">
        <v>905</v>
      </c>
      <c r="W1760" s="25" t="s">
        <v>38</v>
      </c>
      <c r="X1760">
        <v>80</v>
      </c>
      <c r="Y1760" t="s">
        <v>39</v>
      </c>
      <c r="Z1760">
        <v>5</v>
      </c>
      <c r="AA1760">
        <v>5</v>
      </c>
      <c r="AC1760">
        <v>380</v>
      </c>
      <c r="AE1760">
        <v>760</v>
      </c>
      <c r="AG1760">
        <v>575</v>
      </c>
      <c r="AH1760">
        <v>2.880813592</v>
      </c>
      <c r="AI1760">
        <v>8.4499999999999993</v>
      </c>
      <c r="AJ1760" t="s">
        <v>150</v>
      </c>
      <c r="AK1760" t="s">
        <v>40</v>
      </c>
      <c r="AL1760" s="25" t="s">
        <v>60</v>
      </c>
      <c r="AM1760" t="s">
        <v>61</v>
      </c>
      <c r="AN1760">
        <v>17.679600000000001</v>
      </c>
      <c r="AO1760">
        <v>13.591100000000001</v>
      </c>
      <c r="AP1760">
        <v>10.276199999999999</v>
      </c>
      <c r="AQ1760">
        <v>4.5304000000000002</v>
      </c>
      <c r="AR1760" t="s">
        <v>41</v>
      </c>
      <c r="AS1760">
        <f t="shared" si="174"/>
        <v>-0.5425808906349312</v>
      </c>
      <c r="AT1760">
        <f t="shared" si="175"/>
        <v>0.15706580306760165</v>
      </c>
      <c r="AW1760" s="28">
        <f t="shared" si="176"/>
        <v>-0.730823560308832</v>
      </c>
      <c r="AX1760">
        <f t="shared" si="177"/>
        <v>0.90322580645161288</v>
      </c>
      <c r="AY1760" s="62">
        <f t="shared" si="178"/>
        <v>-0.66009869963378376</v>
      </c>
      <c r="AZ1760" s="68" t="str">
        <f t="shared" si="179"/>
        <v>No</v>
      </c>
      <c r="BA1760" s="68" t="str">
        <f t="shared" si="180"/>
        <v>No</v>
      </c>
    </row>
    <row r="1761" spans="1:53" hidden="1">
      <c r="A1761" t="s">
        <v>908</v>
      </c>
      <c r="B1761" t="s">
        <v>160</v>
      </c>
      <c r="C1761" t="s">
        <v>145</v>
      </c>
      <c r="D1761" s="25">
        <v>8</v>
      </c>
      <c r="E1761" s="25">
        <v>43</v>
      </c>
      <c r="F1761" t="s">
        <v>1241</v>
      </c>
      <c r="G1761" t="s">
        <v>146</v>
      </c>
      <c r="H1761" s="3" t="s">
        <v>853</v>
      </c>
      <c r="I1761">
        <v>2016</v>
      </c>
      <c r="J1761" t="s">
        <v>147</v>
      </c>
      <c r="K1761" t="s">
        <v>51</v>
      </c>
      <c r="L1761" t="s">
        <v>148</v>
      </c>
      <c r="M1761" s="25" t="s">
        <v>35</v>
      </c>
      <c r="N1761" t="s">
        <v>36</v>
      </c>
      <c r="O1761" t="s">
        <v>47</v>
      </c>
      <c r="P1761" t="s">
        <v>60</v>
      </c>
      <c r="Q1761" t="s">
        <v>899</v>
      </c>
      <c r="R1761" t="s">
        <v>855</v>
      </c>
      <c r="S1761" t="s">
        <v>854</v>
      </c>
      <c r="T1761">
        <v>58.319167</v>
      </c>
      <c r="U1761">
        <v>11.468610999999999</v>
      </c>
      <c r="V1761" t="s">
        <v>905</v>
      </c>
      <c r="W1761" s="25" t="s">
        <v>38</v>
      </c>
      <c r="X1761">
        <v>90</v>
      </c>
      <c r="Y1761" t="s">
        <v>39</v>
      </c>
      <c r="Z1761">
        <v>5</v>
      </c>
      <c r="AA1761">
        <v>5</v>
      </c>
      <c r="AC1761">
        <v>380</v>
      </c>
      <c r="AE1761">
        <v>760</v>
      </c>
      <c r="AG1761">
        <v>576</v>
      </c>
      <c r="AH1761">
        <v>2.880813592</v>
      </c>
      <c r="AI1761">
        <v>8.4499999999999993</v>
      </c>
      <c r="AJ1761" t="s">
        <v>150</v>
      </c>
      <c r="AK1761" t="s">
        <v>40</v>
      </c>
      <c r="AL1761" s="25" t="s">
        <v>60</v>
      </c>
      <c r="AM1761" t="s">
        <v>61</v>
      </c>
      <c r="AN1761">
        <v>15.0276</v>
      </c>
      <c r="AO1761">
        <v>5.0829000000000004</v>
      </c>
      <c r="AP1761">
        <v>14.475099999999999</v>
      </c>
      <c r="AQ1761">
        <v>9.5028000000000006</v>
      </c>
      <c r="AR1761" t="s">
        <v>41</v>
      </c>
      <c r="AS1761">
        <f t="shared" si="174"/>
        <v>-3.7458578477787441E-2</v>
      </c>
      <c r="AT1761">
        <f t="shared" si="175"/>
        <v>0.10907751930752663</v>
      </c>
      <c r="AW1761" s="28">
        <f t="shared" si="176"/>
        <v>-7.250335258740441E-2</v>
      </c>
      <c r="AX1761">
        <f t="shared" si="177"/>
        <v>0.90322580645161288</v>
      </c>
      <c r="AY1761" s="62">
        <f t="shared" si="178"/>
        <v>-6.5486899111203978E-2</v>
      </c>
      <c r="AZ1761" s="68" t="str">
        <f t="shared" si="179"/>
        <v>No</v>
      </c>
      <c r="BA1761" s="68" t="str">
        <f t="shared" si="180"/>
        <v>No</v>
      </c>
    </row>
    <row r="1762" spans="1:53" hidden="1">
      <c r="A1762" t="s">
        <v>908</v>
      </c>
      <c r="B1762" t="s">
        <v>161</v>
      </c>
      <c r="C1762" t="s">
        <v>145</v>
      </c>
      <c r="D1762" s="25">
        <v>8</v>
      </c>
      <c r="E1762" s="25">
        <v>44</v>
      </c>
      <c r="F1762" t="s">
        <v>1241</v>
      </c>
      <c r="G1762" t="s">
        <v>146</v>
      </c>
      <c r="H1762" s="3" t="s">
        <v>853</v>
      </c>
      <c r="I1762">
        <v>2016</v>
      </c>
      <c r="J1762" t="s">
        <v>147</v>
      </c>
      <c r="K1762" t="s">
        <v>51</v>
      </c>
      <c r="L1762" t="s">
        <v>148</v>
      </c>
      <c r="M1762" s="25" t="s">
        <v>35</v>
      </c>
      <c r="N1762" t="s">
        <v>36</v>
      </c>
      <c r="O1762" t="s">
        <v>47</v>
      </c>
      <c r="P1762" t="s">
        <v>60</v>
      </c>
      <c r="Q1762" t="s">
        <v>899</v>
      </c>
      <c r="R1762" t="s">
        <v>855</v>
      </c>
      <c r="S1762" t="s">
        <v>854</v>
      </c>
      <c r="T1762">
        <v>58.319167</v>
      </c>
      <c r="U1762">
        <v>11.468610999999999</v>
      </c>
      <c r="V1762" t="s">
        <v>905</v>
      </c>
      <c r="W1762" s="25" t="s">
        <v>38</v>
      </c>
      <c r="X1762">
        <v>110</v>
      </c>
      <c r="Y1762" t="s">
        <v>39</v>
      </c>
      <c r="Z1762">
        <v>5</v>
      </c>
      <c r="AA1762">
        <v>5</v>
      </c>
      <c r="AC1762">
        <v>380</v>
      </c>
      <c r="AE1762">
        <v>760</v>
      </c>
      <c r="AG1762">
        <v>577</v>
      </c>
      <c r="AH1762">
        <v>2.880813592</v>
      </c>
      <c r="AI1762">
        <v>8.4499999999999993</v>
      </c>
      <c r="AJ1762" t="s">
        <v>150</v>
      </c>
      <c r="AK1762" t="s">
        <v>40</v>
      </c>
      <c r="AL1762" s="25" t="s">
        <v>60</v>
      </c>
      <c r="AM1762" t="s">
        <v>61</v>
      </c>
      <c r="AN1762">
        <v>14.585599999999999</v>
      </c>
      <c r="AO1762">
        <v>5.4143999999999997</v>
      </c>
      <c r="AP1762">
        <v>33.812199999999997</v>
      </c>
      <c r="AQ1762">
        <v>23.314900000000002</v>
      </c>
      <c r="AR1762" t="s">
        <v>41</v>
      </c>
      <c r="AS1762">
        <f t="shared" si="174"/>
        <v>0.84078694347975613</v>
      </c>
      <c r="AT1762">
        <f t="shared" si="175"/>
        <v>0.12265355419408147</v>
      </c>
      <c r="AW1762" s="28">
        <f t="shared" si="176"/>
        <v>1.1359990498744954</v>
      </c>
      <c r="AX1762">
        <f t="shared" si="177"/>
        <v>0.90322580645161288</v>
      </c>
      <c r="AY1762" s="62">
        <f t="shared" si="178"/>
        <v>1.0260636579511571</v>
      </c>
      <c r="AZ1762" s="68" t="str">
        <f t="shared" si="179"/>
        <v>No</v>
      </c>
      <c r="BA1762" s="68" t="str">
        <f t="shared" si="180"/>
        <v>No</v>
      </c>
    </row>
    <row r="1763" spans="1:53" hidden="1">
      <c r="A1763" t="s">
        <v>908</v>
      </c>
      <c r="B1763" t="s">
        <v>167</v>
      </c>
      <c r="C1763" t="s">
        <v>163</v>
      </c>
      <c r="D1763" s="25">
        <v>9</v>
      </c>
      <c r="E1763" s="25">
        <v>45</v>
      </c>
      <c r="F1763" t="s">
        <v>1241</v>
      </c>
      <c r="G1763" t="s">
        <v>164</v>
      </c>
      <c r="H1763" s="3" t="s">
        <v>850</v>
      </c>
      <c r="I1763">
        <v>2016</v>
      </c>
      <c r="J1763" t="s">
        <v>165</v>
      </c>
      <c r="K1763" t="s">
        <v>111</v>
      </c>
      <c r="L1763" t="s">
        <v>166</v>
      </c>
      <c r="M1763" s="25" t="s">
        <v>35</v>
      </c>
      <c r="N1763" t="s">
        <v>36</v>
      </c>
      <c r="O1763" t="s">
        <v>47</v>
      </c>
      <c r="P1763" t="s">
        <v>60</v>
      </c>
      <c r="Q1763" t="s">
        <v>899</v>
      </c>
      <c r="R1763" t="s">
        <v>828</v>
      </c>
      <c r="S1763" t="s">
        <v>851</v>
      </c>
      <c r="T1763">
        <v>59.858333000000002</v>
      </c>
      <c r="U1763">
        <v>23.258333</v>
      </c>
      <c r="V1763" t="s">
        <v>905</v>
      </c>
      <c r="W1763" s="25" t="s">
        <v>38</v>
      </c>
      <c r="X1763">
        <v>29</v>
      </c>
      <c r="Y1763" t="s">
        <v>39</v>
      </c>
      <c r="Z1763">
        <v>5</v>
      </c>
      <c r="AA1763">
        <v>5</v>
      </c>
      <c r="AC1763">
        <v>286</v>
      </c>
      <c r="AE1763">
        <v>291</v>
      </c>
      <c r="AG1763">
        <v>612</v>
      </c>
      <c r="AH1763">
        <v>2.4638929890000001</v>
      </c>
      <c r="AJ1763" t="s">
        <v>168</v>
      </c>
      <c r="AK1763" t="s">
        <v>904</v>
      </c>
      <c r="AL1763" s="25" t="s">
        <v>60</v>
      </c>
      <c r="AM1763" t="s">
        <v>61</v>
      </c>
      <c r="AN1763">
        <v>15.1031</v>
      </c>
      <c r="AO1763">
        <v>3.6307035750000001</v>
      </c>
      <c r="AP1763">
        <v>15.1128</v>
      </c>
      <c r="AQ1763">
        <v>3.4070357499999999</v>
      </c>
      <c r="AR1763" t="s">
        <v>43</v>
      </c>
      <c r="AS1763">
        <f t="shared" si="174"/>
        <v>6.4204609713547356E-4</v>
      </c>
      <c r="AT1763">
        <f t="shared" si="175"/>
        <v>2.1722587277864094E-2</v>
      </c>
      <c r="AW1763" s="28">
        <f t="shared" si="176"/>
        <v>2.7551759286302976E-3</v>
      </c>
      <c r="AX1763">
        <f t="shared" si="177"/>
        <v>0.90322580645161288</v>
      </c>
      <c r="AY1763" s="62">
        <f t="shared" si="178"/>
        <v>2.4885460000531718E-3</v>
      </c>
      <c r="AZ1763" s="68" t="str">
        <f t="shared" si="179"/>
        <v>No</v>
      </c>
      <c r="BA1763" s="68" t="str">
        <f t="shared" si="180"/>
        <v>No</v>
      </c>
    </row>
    <row r="1764" spans="1:53" hidden="1">
      <c r="A1764" t="s">
        <v>908</v>
      </c>
      <c r="B1764" t="s">
        <v>169</v>
      </c>
      <c r="C1764" t="s">
        <v>163</v>
      </c>
      <c r="D1764" s="25">
        <v>9</v>
      </c>
      <c r="E1764" s="25">
        <v>46</v>
      </c>
      <c r="F1764" t="s">
        <v>1241</v>
      </c>
      <c r="G1764" t="s">
        <v>164</v>
      </c>
      <c r="H1764" s="3" t="s">
        <v>850</v>
      </c>
      <c r="I1764">
        <v>2016</v>
      </c>
      <c r="J1764" t="s">
        <v>165</v>
      </c>
      <c r="K1764" t="s">
        <v>111</v>
      </c>
      <c r="L1764" t="s">
        <v>166</v>
      </c>
      <c r="M1764" s="25" t="s">
        <v>35</v>
      </c>
      <c r="N1764" t="s">
        <v>36</v>
      </c>
      <c r="O1764" t="s">
        <v>47</v>
      </c>
      <c r="P1764" t="s">
        <v>60</v>
      </c>
      <c r="Q1764" t="s">
        <v>899</v>
      </c>
      <c r="R1764" t="s">
        <v>828</v>
      </c>
      <c r="S1764" t="s">
        <v>851</v>
      </c>
      <c r="T1764">
        <v>59.858333000000002</v>
      </c>
      <c r="U1764">
        <v>23.258333</v>
      </c>
      <c r="V1764" t="s">
        <v>905</v>
      </c>
      <c r="W1764" s="25" t="s">
        <v>38</v>
      </c>
      <c r="X1764">
        <v>29</v>
      </c>
      <c r="Y1764" t="s">
        <v>39</v>
      </c>
      <c r="Z1764">
        <v>5</v>
      </c>
      <c r="AA1764">
        <v>5</v>
      </c>
      <c r="AC1764">
        <v>286</v>
      </c>
      <c r="AE1764">
        <v>413</v>
      </c>
      <c r="AG1764">
        <v>612</v>
      </c>
      <c r="AH1764">
        <v>2.6159500520000001</v>
      </c>
      <c r="AJ1764" t="s">
        <v>168</v>
      </c>
      <c r="AK1764" t="s">
        <v>904</v>
      </c>
      <c r="AL1764" s="25" t="s">
        <v>60</v>
      </c>
      <c r="AM1764" t="s">
        <v>61</v>
      </c>
      <c r="AN1764">
        <v>15.1031</v>
      </c>
      <c r="AO1764">
        <v>3.6307035750000001</v>
      </c>
      <c r="AP1764">
        <v>13.7887</v>
      </c>
      <c r="AQ1764">
        <v>8.1258710300000008</v>
      </c>
      <c r="AR1764" t="s">
        <v>43</v>
      </c>
      <c r="AS1764">
        <f t="shared" si="174"/>
        <v>-9.1050604612992192E-2</v>
      </c>
      <c r="AT1764">
        <f t="shared" si="175"/>
        <v>8.1016060221957176E-2</v>
      </c>
      <c r="AW1764" s="28">
        <f t="shared" si="176"/>
        <v>-0.20885632828888223</v>
      </c>
      <c r="AX1764">
        <f t="shared" si="177"/>
        <v>0.90322580645161288</v>
      </c>
      <c r="AY1764" s="62">
        <f t="shared" si="178"/>
        <v>-0.18864442555124847</v>
      </c>
      <c r="AZ1764" s="68" t="str">
        <f t="shared" si="179"/>
        <v>No</v>
      </c>
      <c r="BA1764" s="68" t="str">
        <f t="shared" si="180"/>
        <v>No</v>
      </c>
    </row>
    <row r="1765" spans="1:53" hidden="1">
      <c r="A1765" t="s">
        <v>908</v>
      </c>
      <c r="B1765" t="s">
        <v>170</v>
      </c>
      <c r="C1765" t="s">
        <v>163</v>
      </c>
      <c r="D1765" s="25">
        <v>9</v>
      </c>
      <c r="E1765" s="25">
        <v>47</v>
      </c>
      <c r="F1765" t="s">
        <v>1241</v>
      </c>
      <c r="G1765" t="s">
        <v>164</v>
      </c>
      <c r="H1765" s="3" t="s">
        <v>850</v>
      </c>
      <c r="I1765">
        <v>2016</v>
      </c>
      <c r="J1765" t="s">
        <v>165</v>
      </c>
      <c r="K1765" t="s">
        <v>111</v>
      </c>
      <c r="L1765" t="s">
        <v>166</v>
      </c>
      <c r="M1765" s="25" t="s">
        <v>35</v>
      </c>
      <c r="N1765" t="s">
        <v>36</v>
      </c>
      <c r="O1765" t="s">
        <v>47</v>
      </c>
      <c r="P1765" t="s">
        <v>60</v>
      </c>
      <c r="Q1765" t="s">
        <v>899</v>
      </c>
      <c r="R1765" t="s">
        <v>828</v>
      </c>
      <c r="S1765" t="s">
        <v>851</v>
      </c>
      <c r="T1765">
        <v>59.858333000000002</v>
      </c>
      <c r="U1765">
        <v>23.258333</v>
      </c>
      <c r="V1765" t="s">
        <v>905</v>
      </c>
      <c r="W1765" s="25" t="s">
        <v>38</v>
      </c>
      <c r="X1765">
        <v>29</v>
      </c>
      <c r="Y1765" t="s">
        <v>39</v>
      </c>
      <c r="Z1765">
        <v>5</v>
      </c>
      <c r="AA1765">
        <v>5</v>
      </c>
      <c r="AC1765">
        <v>286</v>
      </c>
      <c r="AE1765">
        <v>734</v>
      </c>
      <c r="AG1765">
        <v>612</v>
      </c>
      <c r="AH1765">
        <v>2.8656960599999999</v>
      </c>
      <c r="AJ1765" t="s">
        <v>168</v>
      </c>
      <c r="AK1765" t="s">
        <v>904</v>
      </c>
      <c r="AL1765" s="25" t="s">
        <v>60</v>
      </c>
      <c r="AM1765" t="s">
        <v>61</v>
      </c>
      <c r="AN1765">
        <v>15.1031</v>
      </c>
      <c r="AO1765">
        <v>3.6307035750000001</v>
      </c>
      <c r="AP1765">
        <v>10.3866</v>
      </c>
      <c r="AQ1765">
        <v>3.8035516299999999</v>
      </c>
      <c r="AR1765" t="s">
        <v>43</v>
      </c>
      <c r="AS1765">
        <f t="shared" si="174"/>
        <v>-0.3743835069347683</v>
      </c>
      <c r="AT1765">
        <f t="shared" si="175"/>
        <v>3.8378099805086732E-2</v>
      </c>
      <c r="AW1765" s="28">
        <f t="shared" si="176"/>
        <v>-1.2685132756826403</v>
      </c>
      <c r="AX1765">
        <f t="shared" si="177"/>
        <v>0.90322580645161288</v>
      </c>
      <c r="AY1765" s="62">
        <f t="shared" si="178"/>
        <v>-1.1457539264230299</v>
      </c>
      <c r="AZ1765" s="68" t="str">
        <f t="shared" si="179"/>
        <v>No</v>
      </c>
      <c r="BA1765" s="68" t="str">
        <f t="shared" si="180"/>
        <v>No</v>
      </c>
    </row>
    <row r="1766" spans="1:53" hidden="1">
      <c r="A1766" t="s">
        <v>908</v>
      </c>
      <c r="B1766" t="s">
        <v>171</v>
      </c>
      <c r="C1766" t="s">
        <v>163</v>
      </c>
      <c r="D1766" s="25">
        <v>9</v>
      </c>
      <c r="E1766" s="25">
        <v>48</v>
      </c>
      <c r="F1766" t="s">
        <v>1241</v>
      </c>
      <c r="G1766" t="s">
        <v>164</v>
      </c>
      <c r="H1766" s="3" t="s">
        <v>850</v>
      </c>
      <c r="I1766">
        <v>2016</v>
      </c>
      <c r="J1766" t="s">
        <v>165</v>
      </c>
      <c r="K1766" t="s">
        <v>111</v>
      </c>
      <c r="L1766" t="s">
        <v>166</v>
      </c>
      <c r="M1766" s="25" t="s">
        <v>35</v>
      </c>
      <c r="N1766" t="s">
        <v>36</v>
      </c>
      <c r="O1766" t="s">
        <v>47</v>
      </c>
      <c r="P1766" t="s">
        <v>60</v>
      </c>
      <c r="Q1766" t="s">
        <v>899</v>
      </c>
      <c r="R1766" t="s">
        <v>828</v>
      </c>
      <c r="S1766" t="s">
        <v>851</v>
      </c>
      <c r="T1766">
        <v>59.858333000000002</v>
      </c>
      <c r="U1766">
        <v>23.258333</v>
      </c>
      <c r="V1766" t="s">
        <v>905</v>
      </c>
      <c r="W1766" s="25" t="s">
        <v>38</v>
      </c>
      <c r="X1766">
        <v>29</v>
      </c>
      <c r="Y1766" t="s">
        <v>39</v>
      </c>
      <c r="Z1766">
        <v>5</v>
      </c>
      <c r="AA1766">
        <v>5</v>
      </c>
      <c r="AC1766">
        <v>286</v>
      </c>
      <c r="AE1766">
        <v>892</v>
      </c>
      <c r="AG1766">
        <v>612</v>
      </c>
      <c r="AH1766">
        <v>2.950364854</v>
      </c>
      <c r="AJ1766" t="s">
        <v>168</v>
      </c>
      <c r="AK1766" t="s">
        <v>904</v>
      </c>
      <c r="AL1766" s="25" t="s">
        <v>60</v>
      </c>
      <c r="AM1766" t="s">
        <v>61</v>
      </c>
      <c r="AN1766">
        <v>15.1031</v>
      </c>
      <c r="AO1766">
        <v>3.6307035750000001</v>
      </c>
      <c r="AP1766">
        <v>13.015499999999999</v>
      </c>
      <c r="AQ1766">
        <v>2.4203199789999998</v>
      </c>
      <c r="AR1766" t="s">
        <v>43</v>
      </c>
      <c r="AS1766">
        <f t="shared" si="174"/>
        <v>-0.14875906584385312</v>
      </c>
      <c r="AT1766">
        <f t="shared" si="175"/>
        <v>1.8473894051613839E-2</v>
      </c>
      <c r="AW1766" s="28">
        <f t="shared" si="176"/>
        <v>-0.67659580621066362</v>
      </c>
      <c r="AX1766">
        <f t="shared" si="177"/>
        <v>0.90322580645161288</v>
      </c>
      <c r="AY1766" s="62">
        <f t="shared" si="178"/>
        <v>-0.61111879270640579</v>
      </c>
      <c r="AZ1766" s="68" t="str">
        <f t="shared" si="179"/>
        <v>No</v>
      </c>
      <c r="BA1766" s="68" t="str">
        <f t="shared" si="180"/>
        <v>No</v>
      </c>
    </row>
    <row r="1767" spans="1:53" hidden="1">
      <c r="A1767" t="s">
        <v>908</v>
      </c>
      <c r="B1767" t="s">
        <v>172</v>
      </c>
      <c r="C1767" t="s">
        <v>163</v>
      </c>
      <c r="D1767" s="25">
        <v>9</v>
      </c>
      <c r="E1767" s="25">
        <v>49</v>
      </c>
      <c r="F1767" t="s">
        <v>1241</v>
      </c>
      <c r="G1767" t="s">
        <v>164</v>
      </c>
      <c r="H1767" s="3" t="s">
        <v>850</v>
      </c>
      <c r="I1767">
        <v>2016</v>
      </c>
      <c r="J1767" t="s">
        <v>165</v>
      </c>
      <c r="K1767" t="s">
        <v>111</v>
      </c>
      <c r="L1767" t="s">
        <v>166</v>
      </c>
      <c r="M1767" s="25" t="s">
        <v>35</v>
      </c>
      <c r="N1767" t="s">
        <v>36</v>
      </c>
      <c r="O1767" t="s">
        <v>47</v>
      </c>
      <c r="P1767" t="s">
        <v>60</v>
      </c>
      <c r="Q1767" t="s">
        <v>899</v>
      </c>
      <c r="R1767" t="s">
        <v>828</v>
      </c>
      <c r="S1767" t="s">
        <v>851</v>
      </c>
      <c r="T1767">
        <v>59.858333000000002</v>
      </c>
      <c r="U1767">
        <v>23.258333</v>
      </c>
      <c r="V1767" t="s">
        <v>905</v>
      </c>
      <c r="W1767" s="25" t="s">
        <v>38</v>
      </c>
      <c r="X1767">
        <v>29</v>
      </c>
      <c r="Y1767" t="s">
        <v>39</v>
      </c>
      <c r="Z1767">
        <v>5</v>
      </c>
      <c r="AA1767">
        <v>5</v>
      </c>
      <c r="AC1767">
        <v>286</v>
      </c>
      <c r="AE1767">
        <v>1068</v>
      </c>
      <c r="AG1767">
        <v>612</v>
      </c>
      <c r="AH1767">
        <v>3.028571253</v>
      </c>
      <c r="AJ1767" t="s">
        <v>168</v>
      </c>
      <c r="AK1767" t="s">
        <v>904</v>
      </c>
      <c r="AL1767" s="25" t="s">
        <v>60</v>
      </c>
      <c r="AM1767" t="s">
        <v>61</v>
      </c>
      <c r="AN1767">
        <v>15.1031</v>
      </c>
      <c r="AO1767">
        <v>3.6307035750000001</v>
      </c>
      <c r="AP1767">
        <v>11.623699999999999</v>
      </c>
      <c r="AQ1767">
        <v>7.0885590949999999</v>
      </c>
      <c r="AR1767" t="s">
        <v>43</v>
      </c>
      <c r="AS1767">
        <f t="shared" si="174"/>
        <v>-0.26185390350015147</v>
      </c>
      <c r="AT1767">
        <f t="shared" si="175"/>
        <v>8.5938077331915441E-2</v>
      </c>
      <c r="AW1767" s="28">
        <f t="shared" si="176"/>
        <v>-0.61783584606512187</v>
      </c>
      <c r="AX1767">
        <f t="shared" si="177"/>
        <v>0.90322580645161288</v>
      </c>
      <c r="AY1767" s="62">
        <f t="shared" si="178"/>
        <v>-0.55804528031688427</v>
      </c>
      <c r="AZ1767" s="68" t="str">
        <f t="shared" si="179"/>
        <v>No</v>
      </c>
      <c r="BA1767" s="68" t="str">
        <f t="shared" si="180"/>
        <v>No</v>
      </c>
    </row>
    <row r="1768" spans="1:53" hidden="1">
      <c r="A1768" t="s">
        <v>908</v>
      </c>
      <c r="B1768" t="s">
        <v>173</v>
      </c>
      <c r="C1768" t="s">
        <v>163</v>
      </c>
      <c r="D1768" s="25">
        <v>9</v>
      </c>
      <c r="E1768" s="25">
        <v>50</v>
      </c>
      <c r="F1768" t="s">
        <v>1241</v>
      </c>
      <c r="G1768" t="s">
        <v>164</v>
      </c>
      <c r="H1768" s="3" t="s">
        <v>850</v>
      </c>
      <c r="I1768">
        <v>2016</v>
      </c>
      <c r="J1768" t="s">
        <v>165</v>
      </c>
      <c r="K1768" t="s">
        <v>111</v>
      </c>
      <c r="L1768" t="s">
        <v>166</v>
      </c>
      <c r="M1768" s="25" t="s">
        <v>35</v>
      </c>
      <c r="N1768" t="s">
        <v>36</v>
      </c>
      <c r="O1768" t="s">
        <v>47</v>
      </c>
      <c r="P1768" t="s">
        <v>60</v>
      </c>
      <c r="Q1768" t="s">
        <v>899</v>
      </c>
      <c r="R1768" t="s">
        <v>828</v>
      </c>
      <c r="S1768" t="s">
        <v>851</v>
      </c>
      <c r="T1768">
        <v>59.858333000000002</v>
      </c>
      <c r="U1768">
        <v>23.258333</v>
      </c>
      <c r="V1768" t="s">
        <v>905</v>
      </c>
      <c r="W1768" s="25" t="s">
        <v>38</v>
      </c>
      <c r="X1768">
        <v>29</v>
      </c>
      <c r="Y1768" t="s">
        <v>39</v>
      </c>
      <c r="Z1768">
        <v>5</v>
      </c>
      <c r="AA1768">
        <v>5</v>
      </c>
      <c r="AC1768">
        <v>286</v>
      </c>
      <c r="AE1768">
        <v>291</v>
      </c>
      <c r="AG1768">
        <v>613</v>
      </c>
      <c r="AH1768">
        <v>2.4638929890000001</v>
      </c>
      <c r="AJ1768" t="s">
        <v>174</v>
      </c>
      <c r="AK1768" t="s">
        <v>904</v>
      </c>
      <c r="AL1768" s="25" t="s">
        <v>60</v>
      </c>
      <c r="AM1768" t="s">
        <v>61</v>
      </c>
      <c r="AN1768">
        <v>2.3544299999999998</v>
      </c>
      <c r="AO1768">
        <v>1.1888055399999999</v>
      </c>
      <c r="AP1768">
        <v>3.2151900000000002</v>
      </c>
      <c r="AQ1768">
        <v>2.2643765980000001</v>
      </c>
      <c r="AR1768" t="s">
        <v>43</v>
      </c>
      <c r="AS1768">
        <f t="shared" si="174"/>
        <v>0.31158779396574909</v>
      </c>
      <c r="AT1768">
        <f t="shared" si="175"/>
        <v>0.1501899576125911</v>
      </c>
      <c r="AW1768" s="28">
        <f t="shared" si="176"/>
        <v>0.4759773514463691</v>
      </c>
      <c r="AX1768">
        <f t="shared" si="177"/>
        <v>0.90322580645161288</v>
      </c>
      <c r="AY1768" s="62">
        <f t="shared" si="178"/>
        <v>0.42991502711284951</v>
      </c>
      <c r="AZ1768" s="68" t="str">
        <f t="shared" si="179"/>
        <v>No</v>
      </c>
      <c r="BA1768" s="68" t="str">
        <f t="shared" si="180"/>
        <v>No</v>
      </c>
    </row>
    <row r="1769" spans="1:53" hidden="1">
      <c r="A1769" t="s">
        <v>908</v>
      </c>
      <c r="B1769" t="s">
        <v>175</v>
      </c>
      <c r="C1769" t="s">
        <v>163</v>
      </c>
      <c r="D1769" s="25">
        <v>9</v>
      </c>
      <c r="E1769" s="25">
        <v>51</v>
      </c>
      <c r="F1769" t="s">
        <v>1241</v>
      </c>
      <c r="G1769" t="s">
        <v>164</v>
      </c>
      <c r="H1769" s="3" t="s">
        <v>850</v>
      </c>
      <c r="I1769">
        <v>2016</v>
      </c>
      <c r="J1769" t="s">
        <v>165</v>
      </c>
      <c r="K1769" t="s">
        <v>111</v>
      </c>
      <c r="L1769" t="s">
        <v>166</v>
      </c>
      <c r="M1769" s="25" t="s">
        <v>35</v>
      </c>
      <c r="N1769" t="s">
        <v>36</v>
      </c>
      <c r="O1769" t="s">
        <v>47</v>
      </c>
      <c r="P1769" t="s">
        <v>60</v>
      </c>
      <c r="Q1769" t="s">
        <v>899</v>
      </c>
      <c r="R1769" t="s">
        <v>828</v>
      </c>
      <c r="S1769" t="s">
        <v>851</v>
      </c>
      <c r="T1769">
        <v>59.858333000000002</v>
      </c>
      <c r="U1769">
        <v>23.258333</v>
      </c>
      <c r="V1769" t="s">
        <v>905</v>
      </c>
      <c r="W1769" s="25" t="s">
        <v>38</v>
      </c>
      <c r="X1769">
        <v>29</v>
      </c>
      <c r="Y1769" t="s">
        <v>39</v>
      </c>
      <c r="Z1769">
        <v>5</v>
      </c>
      <c r="AA1769">
        <v>5</v>
      </c>
      <c r="AC1769">
        <v>286</v>
      </c>
      <c r="AE1769">
        <v>413</v>
      </c>
      <c r="AG1769">
        <v>613</v>
      </c>
      <c r="AH1769">
        <v>2.6159500520000001</v>
      </c>
      <c r="AJ1769" t="s">
        <v>174</v>
      </c>
      <c r="AK1769" t="s">
        <v>904</v>
      </c>
      <c r="AL1769" s="25" t="s">
        <v>60</v>
      </c>
      <c r="AM1769" t="s">
        <v>61</v>
      </c>
      <c r="AN1769">
        <v>2.3544299999999998</v>
      </c>
      <c r="AO1769">
        <v>1.1888055399999999</v>
      </c>
      <c r="AP1769">
        <v>3.1645599999999998</v>
      </c>
      <c r="AQ1769">
        <v>2.6606302039999998</v>
      </c>
      <c r="AR1769" t="s">
        <v>43</v>
      </c>
      <c r="AS1769">
        <f t="shared" si="174"/>
        <v>0.29571536543892007</v>
      </c>
      <c r="AT1769">
        <f t="shared" si="175"/>
        <v>0.19236433619057822</v>
      </c>
      <c r="AW1769" s="28">
        <f t="shared" si="176"/>
        <v>0.3931509295460639</v>
      </c>
      <c r="AX1769">
        <f t="shared" si="177"/>
        <v>0.90322580645161288</v>
      </c>
      <c r="AY1769" s="62">
        <f t="shared" si="178"/>
        <v>0.35510406539644479</v>
      </c>
      <c r="AZ1769" s="68" t="str">
        <f t="shared" si="179"/>
        <v>No</v>
      </c>
      <c r="BA1769" s="68" t="str">
        <f t="shared" si="180"/>
        <v>No</v>
      </c>
    </row>
    <row r="1770" spans="1:53" hidden="1">
      <c r="A1770" t="s">
        <v>908</v>
      </c>
      <c r="B1770" t="s">
        <v>176</v>
      </c>
      <c r="C1770" t="s">
        <v>163</v>
      </c>
      <c r="D1770" s="25">
        <v>9</v>
      </c>
      <c r="E1770" s="25">
        <v>52</v>
      </c>
      <c r="F1770" t="s">
        <v>1241</v>
      </c>
      <c r="G1770" t="s">
        <v>164</v>
      </c>
      <c r="H1770" s="3" t="s">
        <v>850</v>
      </c>
      <c r="I1770">
        <v>2016</v>
      </c>
      <c r="J1770" t="s">
        <v>165</v>
      </c>
      <c r="K1770" t="s">
        <v>111</v>
      </c>
      <c r="L1770" t="s">
        <v>166</v>
      </c>
      <c r="M1770" s="25" t="s">
        <v>35</v>
      </c>
      <c r="N1770" t="s">
        <v>36</v>
      </c>
      <c r="O1770" t="s">
        <v>47</v>
      </c>
      <c r="P1770" t="s">
        <v>60</v>
      </c>
      <c r="Q1770" t="s">
        <v>899</v>
      </c>
      <c r="R1770" t="s">
        <v>828</v>
      </c>
      <c r="S1770" t="s">
        <v>851</v>
      </c>
      <c r="T1770">
        <v>59.858333000000002</v>
      </c>
      <c r="U1770">
        <v>23.258333</v>
      </c>
      <c r="V1770" t="s">
        <v>905</v>
      </c>
      <c r="W1770" s="25" t="s">
        <v>38</v>
      </c>
      <c r="X1770">
        <v>29</v>
      </c>
      <c r="Y1770" t="s">
        <v>39</v>
      </c>
      <c r="Z1770">
        <v>5</v>
      </c>
      <c r="AA1770">
        <v>5</v>
      </c>
      <c r="AC1770">
        <v>286</v>
      </c>
      <c r="AE1770">
        <v>734</v>
      </c>
      <c r="AG1770">
        <v>613</v>
      </c>
      <c r="AH1770">
        <v>2.8656960599999999</v>
      </c>
      <c r="AJ1770" t="s">
        <v>174</v>
      </c>
      <c r="AK1770" t="s">
        <v>904</v>
      </c>
      <c r="AL1770" s="25" t="s">
        <v>60</v>
      </c>
      <c r="AM1770" t="s">
        <v>61</v>
      </c>
      <c r="AN1770">
        <v>2.3544299999999998</v>
      </c>
      <c r="AO1770">
        <v>1.1888055399999999</v>
      </c>
      <c r="AP1770">
        <v>1.97468</v>
      </c>
      <c r="AQ1770">
        <v>0.962358936</v>
      </c>
      <c r="AR1770" t="s">
        <v>43</v>
      </c>
      <c r="AS1770">
        <f t="shared" si="174"/>
        <v>-0.17589230004673417</v>
      </c>
      <c r="AT1770">
        <f t="shared" si="175"/>
        <v>9.8491289874318128E-2</v>
      </c>
      <c r="AW1770" s="28">
        <f t="shared" si="176"/>
        <v>-0.35112451826343521</v>
      </c>
      <c r="AX1770">
        <f t="shared" si="177"/>
        <v>0.90322580645161288</v>
      </c>
      <c r="AY1770" s="62">
        <f t="shared" si="178"/>
        <v>-0.31714472617342537</v>
      </c>
      <c r="AZ1770" s="68" t="str">
        <f t="shared" si="179"/>
        <v>No</v>
      </c>
      <c r="BA1770" s="68" t="str">
        <f t="shared" si="180"/>
        <v>No</v>
      </c>
    </row>
    <row r="1771" spans="1:53" hidden="1">
      <c r="A1771" t="s">
        <v>908</v>
      </c>
      <c r="B1771" t="s">
        <v>177</v>
      </c>
      <c r="C1771" t="s">
        <v>163</v>
      </c>
      <c r="D1771" s="25">
        <v>9</v>
      </c>
      <c r="E1771" s="25">
        <v>53</v>
      </c>
      <c r="F1771" t="s">
        <v>1241</v>
      </c>
      <c r="G1771" t="s">
        <v>164</v>
      </c>
      <c r="H1771" s="3" t="s">
        <v>850</v>
      </c>
      <c r="I1771">
        <v>2016</v>
      </c>
      <c r="J1771" t="s">
        <v>165</v>
      </c>
      <c r="K1771" t="s">
        <v>111</v>
      </c>
      <c r="L1771" t="s">
        <v>166</v>
      </c>
      <c r="M1771" s="25" t="s">
        <v>35</v>
      </c>
      <c r="N1771" t="s">
        <v>36</v>
      </c>
      <c r="O1771" t="s">
        <v>47</v>
      </c>
      <c r="P1771" t="s">
        <v>60</v>
      </c>
      <c r="Q1771" t="s">
        <v>899</v>
      </c>
      <c r="R1771" t="s">
        <v>828</v>
      </c>
      <c r="S1771" t="s">
        <v>851</v>
      </c>
      <c r="T1771">
        <v>59.858333000000002</v>
      </c>
      <c r="U1771">
        <v>23.258333</v>
      </c>
      <c r="V1771" t="s">
        <v>905</v>
      </c>
      <c r="W1771" s="25" t="s">
        <v>38</v>
      </c>
      <c r="X1771">
        <v>29</v>
      </c>
      <c r="Y1771" t="s">
        <v>39</v>
      </c>
      <c r="Z1771">
        <v>5</v>
      </c>
      <c r="AA1771">
        <v>5</v>
      </c>
      <c r="AC1771">
        <v>286</v>
      </c>
      <c r="AE1771">
        <v>892</v>
      </c>
      <c r="AG1771">
        <v>613</v>
      </c>
      <c r="AH1771">
        <v>2.950364854</v>
      </c>
      <c r="AJ1771" t="s">
        <v>174</v>
      </c>
      <c r="AK1771" t="s">
        <v>904</v>
      </c>
      <c r="AL1771" s="25" t="s">
        <v>60</v>
      </c>
      <c r="AM1771" t="s">
        <v>61</v>
      </c>
      <c r="AN1771">
        <v>2.3544299999999998</v>
      </c>
      <c r="AO1771">
        <v>1.1888055399999999</v>
      </c>
      <c r="AP1771">
        <v>3.67089</v>
      </c>
      <c r="AQ1771">
        <v>1.6982712680000001</v>
      </c>
      <c r="AR1771" t="s">
        <v>43</v>
      </c>
      <c r="AS1771">
        <f t="shared" si="174"/>
        <v>0.44413547952260013</v>
      </c>
      <c r="AT1771">
        <f t="shared" si="175"/>
        <v>9.379509762651915E-2</v>
      </c>
      <c r="AW1771" s="28">
        <f t="shared" si="176"/>
        <v>0.89809150583556541</v>
      </c>
      <c r="AX1771">
        <f t="shared" si="177"/>
        <v>0.90322580645161288</v>
      </c>
      <c r="AY1771" s="62">
        <f t="shared" si="178"/>
        <v>0.81117942462567194</v>
      </c>
      <c r="AZ1771" s="68" t="str">
        <f t="shared" si="179"/>
        <v>No</v>
      </c>
      <c r="BA1771" s="68" t="str">
        <f t="shared" si="180"/>
        <v>No</v>
      </c>
    </row>
    <row r="1772" spans="1:53" hidden="1">
      <c r="A1772" t="s">
        <v>908</v>
      </c>
      <c r="B1772" t="s">
        <v>178</v>
      </c>
      <c r="C1772" t="s">
        <v>163</v>
      </c>
      <c r="D1772" s="25">
        <v>9</v>
      </c>
      <c r="E1772" s="25">
        <v>54</v>
      </c>
      <c r="F1772" t="s">
        <v>1241</v>
      </c>
      <c r="G1772" t="s">
        <v>164</v>
      </c>
      <c r="H1772" s="3" t="s">
        <v>850</v>
      </c>
      <c r="I1772">
        <v>2016</v>
      </c>
      <c r="J1772" t="s">
        <v>165</v>
      </c>
      <c r="K1772" t="s">
        <v>111</v>
      </c>
      <c r="L1772" t="s">
        <v>166</v>
      </c>
      <c r="M1772" s="25" t="s">
        <v>35</v>
      </c>
      <c r="N1772" t="s">
        <v>36</v>
      </c>
      <c r="O1772" t="s">
        <v>47</v>
      </c>
      <c r="P1772" t="s">
        <v>60</v>
      </c>
      <c r="Q1772" t="s">
        <v>899</v>
      </c>
      <c r="R1772" t="s">
        <v>828</v>
      </c>
      <c r="S1772" t="s">
        <v>851</v>
      </c>
      <c r="T1772">
        <v>59.858333000000002</v>
      </c>
      <c r="U1772">
        <v>23.258333</v>
      </c>
      <c r="V1772" t="s">
        <v>905</v>
      </c>
      <c r="W1772" s="25" t="s">
        <v>38</v>
      </c>
      <c r="X1772">
        <v>29</v>
      </c>
      <c r="Y1772" t="s">
        <v>39</v>
      </c>
      <c r="Z1772">
        <v>5</v>
      </c>
      <c r="AA1772">
        <v>5</v>
      </c>
      <c r="AC1772">
        <v>286</v>
      </c>
      <c r="AE1772">
        <v>1068</v>
      </c>
      <c r="AG1772">
        <v>613</v>
      </c>
      <c r="AH1772">
        <v>3.028571253</v>
      </c>
      <c r="AJ1772" t="s">
        <v>174</v>
      </c>
      <c r="AK1772" t="s">
        <v>904</v>
      </c>
      <c r="AL1772" s="25" t="s">
        <v>60</v>
      </c>
      <c r="AM1772" t="s">
        <v>61</v>
      </c>
      <c r="AN1772">
        <v>2.3544299999999998</v>
      </c>
      <c r="AO1772">
        <v>1.1888055399999999</v>
      </c>
      <c r="AP1772">
        <v>3.2151900000000002</v>
      </c>
      <c r="AQ1772">
        <v>2.0945472349999998</v>
      </c>
      <c r="AR1772" t="s">
        <v>43</v>
      </c>
      <c r="AS1772">
        <f t="shared" si="174"/>
        <v>0.31158779396574909</v>
      </c>
      <c r="AT1772">
        <f t="shared" si="175"/>
        <v>0.13586778934760244</v>
      </c>
      <c r="AW1772" s="28">
        <f t="shared" si="176"/>
        <v>0.50543882564104547</v>
      </c>
      <c r="AX1772">
        <f t="shared" si="177"/>
        <v>0.90322580645161288</v>
      </c>
      <c r="AY1772" s="62">
        <f t="shared" si="178"/>
        <v>0.45652539090158945</v>
      </c>
      <c r="AZ1772" s="68" t="str">
        <f t="shared" si="179"/>
        <v>No</v>
      </c>
      <c r="BA1772" s="68" t="str">
        <f t="shared" si="180"/>
        <v>No</v>
      </c>
    </row>
    <row r="1773" spans="1:53" hidden="1">
      <c r="A1773" t="s">
        <v>908</v>
      </c>
      <c r="B1773" t="s">
        <v>179</v>
      </c>
      <c r="C1773" t="s">
        <v>163</v>
      </c>
      <c r="D1773" s="25">
        <v>9</v>
      </c>
      <c r="E1773" s="25">
        <v>55</v>
      </c>
      <c r="F1773" t="s">
        <v>1241</v>
      </c>
      <c r="G1773" t="s">
        <v>164</v>
      </c>
      <c r="H1773" s="3" t="s">
        <v>850</v>
      </c>
      <c r="I1773">
        <v>2016</v>
      </c>
      <c r="J1773" t="s">
        <v>165</v>
      </c>
      <c r="K1773" t="s">
        <v>111</v>
      </c>
      <c r="L1773" t="s">
        <v>166</v>
      </c>
      <c r="M1773" s="25" t="s">
        <v>35</v>
      </c>
      <c r="N1773" t="s">
        <v>36</v>
      </c>
      <c r="O1773" t="s">
        <v>47</v>
      </c>
      <c r="P1773" t="s">
        <v>60</v>
      </c>
      <c r="Q1773" t="s">
        <v>899</v>
      </c>
      <c r="R1773" t="s">
        <v>828</v>
      </c>
      <c r="S1773" t="s">
        <v>852</v>
      </c>
      <c r="T1773">
        <v>59.858333000000002</v>
      </c>
      <c r="U1773">
        <v>23.258333</v>
      </c>
      <c r="V1773" t="s">
        <v>905</v>
      </c>
      <c r="W1773" s="25" t="s">
        <v>38</v>
      </c>
      <c r="X1773">
        <v>29</v>
      </c>
      <c r="Y1773" t="s">
        <v>39</v>
      </c>
      <c r="Z1773">
        <v>5</v>
      </c>
      <c r="AA1773">
        <v>5</v>
      </c>
      <c r="AC1773">
        <v>286</v>
      </c>
      <c r="AE1773">
        <v>291</v>
      </c>
      <c r="AG1773">
        <v>614</v>
      </c>
      <c r="AH1773">
        <v>2.4638929890000001</v>
      </c>
      <c r="AJ1773" t="s">
        <v>180</v>
      </c>
      <c r="AK1773" t="s">
        <v>904</v>
      </c>
      <c r="AL1773" s="25" t="s">
        <v>60</v>
      </c>
      <c r="AM1773" t="s">
        <v>61</v>
      </c>
      <c r="AN1773">
        <v>15.2165</v>
      </c>
      <c r="AO1773">
        <v>8.7137333019999996</v>
      </c>
      <c r="AP1773">
        <v>11.134</v>
      </c>
      <c r="AQ1773">
        <v>4.7717690639999999</v>
      </c>
      <c r="AR1773" t="s">
        <v>43</v>
      </c>
      <c r="AS1773">
        <f t="shared" si="174"/>
        <v>-0.31237687564904926</v>
      </c>
      <c r="AT1773">
        <f t="shared" si="175"/>
        <v>0.10232121069506619</v>
      </c>
      <c r="AW1773" s="28">
        <f t="shared" si="176"/>
        <v>-0.58114562578520557</v>
      </c>
      <c r="AX1773">
        <f t="shared" si="177"/>
        <v>0.90322580645161288</v>
      </c>
      <c r="AY1773" s="62">
        <f t="shared" si="178"/>
        <v>-0.52490572651566958</v>
      </c>
      <c r="AZ1773" s="68" t="str">
        <f t="shared" si="179"/>
        <v>No</v>
      </c>
      <c r="BA1773" s="68" t="str">
        <f t="shared" si="180"/>
        <v>No</v>
      </c>
    </row>
    <row r="1774" spans="1:53" hidden="1">
      <c r="A1774" t="s">
        <v>908</v>
      </c>
      <c r="B1774" t="s">
        <v>181</v>
      </c>
      <c r="C1774" t="s">
        <v>163</v>
      </c>
      <c r="D1774" s="25">
        <v>9</v>
      </c>
      <c r="E1774" s="25">
        <v>56</v>
      </c>
      <c r="F1774" t="s">
        <v>1241</v>
      </c>
      <c r="G1774" t="s">
        <v>164</v>
      </c>
      <c r="H1774" s="3" t="s">
        <v>850</v>
      </c>
      <c r="I1774">
        <v>2016</v>
      </c>
      <c r="J1774" t="s">
        <v>165</v>
      </c>
      <c r="K1774" t="s">
        <v>111</v>
      </c>
      <c r="L1774" t="s">
        <v>166</v>
      </c>
      <c r="M1774" s="25" t="s">
        <v>35</v>
      </c>
      <c r="N1774" t="s">
        <v>36</v>
      </c>
      <c r="O1774" t="s">
        <v>47</v>
      </c>
      <c r="P1774" t="s">
        <v>60</v>
      </c>
      <c r="Q1774" t="s">
        <v>899</v>
      </c>
      <c r="R1774" t="s">
        <v>828</v>
      </c>
      <c r="S1774" t="s">
        <v>852</v>
      </c>
      <c r="T1774">
        <v>59.858333000000002</v>
      </c>
      <c r="U1774">
        <v>23.258333</v>
      </c>
      <c r="V1774" t="s">
        <v>905</v>
      </c>
      <c r="W1774" s="25" t="s">
        <v>38</v>
      </c>
      <c r="X1774">
        <v>29</v>
      </c>
      <c r="Y1774" t="s">
        <v>39</v>
      </c>
      <c r="Z1774">
        <v>5</v>
      </c>
      <c r="AA1774">
        <v>5</v>
      </c>
      <c r="AC1774">
        <v>286</v>
      </c>
      <c r="AE1774">
        <v>413</v>
      </c>
      <c r="AG1774">
        <v>614</v>
      </c>
      <c r="AH1774">
        <v>2.6159500520000001</v>
      </c>
      <c r="AJ1774" t="s">
        <v>180</v>
      </c>
      <c r="AK1774" t="s">
        <v>904</v>
      </c>
      <c r="AL1774" s="25" t="s">
        <v>60</v>
      </c>
      <c r="AM1774" t="s">
        <v>61</v>
      </c>
      <c r="AN1774">
        <v>15.2165</v>
      </c>
      <c r="AO1774">
        <v>8.7137333019999996</v>
      </c>
      <c r="AP1774">
        <v>15.402100000000001</v>
      </c>
      <c r="AQ1774">
        <v>8.9212404099999993</v>
      </c>
      <c r="AR1774" t="s">
        <v>43</v>
      </c>
      <c r="AS1774">
        <f t="shared" si="174"/>
        <v>1.212349834890647E-2</v>
      </c>
      <c r="AT1774">
        <f t="shared" si="175"/>
        <v>0.13268537733701907</v>
      </c>
      <c r="AW1774" s="28">
        <f t="shared" si="176"/>
        <v>2.1047624511814408E-2</v>
      </c>
      <c r="AX1774">
        <f t="shared" si="177"/>
        <v>0.90322580645161288</v>
      </c>
      <c r="AY1774" s="62">
        <f t="shared" si="178"/>
        <v>1.9010757623574303E-2</v>
      </c>
      <c r="AZ1774" s="68" t="str">
        <f t="shared" ref="AZ1774:AZ1805" si="181">IF(AY1774&gt;10,"Yes","No")</f>
        <v>No</v>
      </c>
      <c r="BA1774" s="68" t="str">
        <f t="shared" ref="BA1774:BA1807" si="182">IF(AY1774&lt;-10,"Yes","No")</f>
        <v>No</v>
      </c>
    </row>
    <row r="1775" spans="1:53" hidden="1">
      <c r="A1775" t="s">
        <v>908</v>
      </c>
      <c r="B1775" t="s">
        <v>182</v>
      </c>
      <c r="C1775" t="s">
        <v>163</v>
      </c>
      <c r="D1775" s="25">
        <v>9</v>
      </c>
      <c r="E1775" s="25">
        <v>57</v>
      </c>
      <c r="F1775" t="s">
        <v>1241</v>
      </c>
      <c r="G1775" t="s">
        <v>164</v>
      </c>
      <c r="H1775" s="3" t="s">
        <v>850</v>
      </c>
      <c r="I1775">
        <v>2016</v>
      </c>
      <c r="J1775" t="s">
        <v>165</v>
      </c>
      <c r="K1775" t="s">
        <v>111</v>
      </c>
      <c r="L1775" t="s">
        <v>166</v>
      </c>
      <c r="M1775" s="25" t="s">
        <v>35</v>
      </c>
      <c r="N1775" t="s">
        <v>36</v>
      </c>
      <c r="O1775" t="s">
        <v>47</v>
      </c>
      <c r="P1775" t="s">
        <v>60</v>
      </c>
      <c r="Q1775" t="s">
        <v>899</v>
      </c>
      <c r="R1775" t="s">
        <v>828</v>
      </c>
      <c r="S1775" t="s">
        <v>852</v>
      </c>
      <c r="T1775">
        <v>59.858333000000002</v>
      </c>
      <c r="U1775">
        <v>23.258333</v>
      </c>
      <c r="V1775" t="s">
        <v>905</v>
      </c>
      <c r="W1775" s="25" t="s">
        <v>38</v>
      </c>
      <c r="X1775">
        <v>29</v>
      </c>
      <c r="Y1775" t="s">
        <v>39</v>
      </c>
      <c r="Z1775">
        <v>5</v>
      </c>
      <c r="AA1775">
        <v>5</v>
      </c>
      <c r="AC1775">
        <v>286</v>
      </c>
      <c r="AE1775">
        <v>734</v>
      </c>
      <c r="AG1775">
        <v>614</v>
      </c>
      <c r="AH1775">
        <v>2.8656960599999999</v>
      </c>
      <c r="AJ1775" t="s">
        <v>180</v>
      </c>
      <c r="AK1775" t="s">
        <v>904</v>
      </c>
      <c r="AL1775" s="25" t="s">
        <v>60</v>
      </c>
      <c r="AM1775" t="s">
        <v>61</v>
      </c>
      <c r="AN1775">
        <v>15.2165</v>
      </c>
      <c r="AO1775">
        <v>8.7137333019999996</v>
      </c>
      <c r="AP1775">
        <v>13.4536</v>
      </c>
      <c r="AQ1775">
        <v>5.1867832810000003</v>
      </c>
      <c r="AR1775" t="s">
        <v>43</v>
      </c>
      <c r="AS1775">
        <f t="shared" si="174"/>
        <v>-0.1231336371839622</v>
      </c>
      <c r="AT1775">
        <f t="shared" si="175"/>
        <v>9.5312542986626558E-2</v>
      </c>
      <c r="AW1775" s="28">
        <f t="shared" si="176"/>
        <v>-0.24585486763965225</v>
      </c>
      <c r="AX1775">
        <f t="shared" si="177"/>
        <v>0.90322580645161288</v>
      </c>
      <c r="AY1775" s="62">
        <f t="shared" si="178"/>
        <v>-0.22206246109387945</v>
      </c>
      <c r="AZ1775" s="68" t="str">
        <f t="shared" si="181"/>
        <v>No</v>
      </c>
      <c r="BA1775" s="68" t="str">
        <f t="shared" si="182"/>
        <v>No</v>
      </c>
    </row>
    <row r="1776" spans="1:53" hidden="1">
      <c r="A1776" t="s">
        <v>908</v>
      </c>
      <c r="B1776" t="s">
        <v>183</v>
      </c>
      <c r="C1776" t="s">
        <v>163</v>
      </c>
      <c r="D1776" s="25">
        <v>9</v>
      </c>
      <c r="E1776" s="25">
        <v>58</v>
      </c>
      <c r="F1776" t="s">
        <v>1241</v>
      </c>
      <c r="G1776" t="s">
        <v>164</v>
      </c>
      <c r="H1776" s="3" t="s">
        <v>850</v>
      </c>
      <c r="I1776">
        <v>2016</v>
      </c>
      <c r="J1776" t="s">
        <v>165</v>
      </c>
      <c r="K1776" t="s">
        <v>111</v>
      </c>
      <c r="L1776" t="s">
        <v>166</v>
      </c>
      <c r="M1776" s="25" t="s">
        <v>35</v>
      </c>
      <c r="N1776" t="s">
        <v>36</v>
      </c>
      <c r="O1776" t="s">
        <v>47</v>
      </c>
      <c r="P1776" t="s">
        <v>60</v>
      </c>
      <c r="Q1776" t="s">
        <v>899</v>
      </c>
      <c r="R1776" t="s">
        <v>828</v>
      </c>
      <c r="S1776" t="s">
        <v>852</v>
      </c>
      <c r="T1776">
        <v>59.858333000000002</v>
      </c>
      <c r="U1776">
        <v>23.258333</v>
      </c>
      <c r="V1776" t="s">
        <v>905</v>
      </c>
      <c r="W1776" s="25" t="s">
        <v>38</v>
      </c>
      <c r="X1776">
        <v>29</v>
      </c>
      <c r="Y1776" t="s">
        <v>39</v>
      </c>
      <c r="Z1776">
        <v>5</v>
      </c>
      <c r="AA1776">
        <v>5</v>
      </c>
      <c r="AC1776">
        <v>286</v>
      </c>
      <c r="AE1776">
        <v>892</v>
      </c>
      <c r="AG1776">
        <v>614</v>
      </c>
      <c r="AH1776">
        <v>2.950364854</v>
      </c>
      <c r="AJ1776" t="s">
        <v>180</v>
      </c>
      <c r="AK1776" t="s">
        <v>904</v>
      </c>
      <c r="AL1776" s="25" t="s">
        <v>60</v>
      </c>
      <c r="AM1776" t="s">
        <v>61</v>
      </c>
      <c r="AN1776">
        <v>15.2165</v>
      </c>
      <c r="AO1776">
        <v>8.7137333019999996</v>
      </c>
      <c r="AP1776">
        <v>13.0825</v>
      </c>
      <c r="AQ1776">
        <v>4.9792761719999996</v>
      </c>
      <c r="AR1776" t="s">
        <v>43</v>
      </c>
      <c r="AS1776">
        <f t="shared" si="174"/>
        <v>-0.15110490614613958</v>
      </c>
      <c r="AT1776">
        <f t="shared" si="175"/>
        <v>9.4557837632176622E-2</v>
      </c>
      <c r="AW1776" s="28">
        <f t="shared" si="176"/>
        <v>-0.30070905864817821</v>
      </c>
      <c r="AX1776">
        <f t="shared" si="177"/>
        <v>0.90322580645161288</v>
      </c>
      <c r="AY1776" s="62">
        <f t="shared" si="178"/>
        <v>-0.27160818200480613</v>
      </c>
      <c r="AZ1776" s="68" t="str">
        <f t="shared" si="181"/>
        <v>No</v>
      </c>
      <c r="BA1776" s="68" t="str">
        <f t="shared" si="182"/>
        <v>No</v>
      </c>
    </row>
    <row r="1777" spans="1:53" hidden="1">
      <c r="A1777" t="s">
        <v>908</v>
      </c>
      <c r="B1777" t="s">
        <v>184</v>
      </c>
      <c r="C1777" t="s">
        <v>163</v>
      </c>
      <c r="D1777" s="25">
        <v>9</v>
      </c>
      <c r="E1777" s="25">
        <v>59</v>
      </c>
      <c r="F1777" t="s">
        <v>1241</v>
      </c>
      <c r="G1777" t="s">
        <v>164</v>
      </c>
      <c r="H1777" s="3" t="s">
        <v>850</v>
      </c>
      <c r="I1777">
        <v>2016</v>
      </c>
      <c r="J1777" t="s">
        <v>165</v>
      </c>
      <c r="K1777" t="s">
        <v>111</v>
      </c>
      <c r="L1777" t="s">
        <v>166</v>
      </c>
      <c r="M1777" s="25" t="s">
        <v>35</v>
      </c>
      <c r="N1777" t="s">
        <v>36</v>
      </c>
      <c r="O1777" t="s">
        <v>47</v>
      </c>
      <c r="P1777" t="s">
        <v>60</v>
      </c>
      <c r="Q1777" t="s">
        <v>899</v>
      </c>
      <c r="R1777" t="s">
        <v>828</v>
      </c>
      <c r="S1777" t="s">
        <v>852</v>
      </c>
      <c r="T1777">
        <v>59.858333000000002</v>
      </c>
      <c r="U1777">
        <v>23.258333</v>
      </c>
      <c r="V1777" t="s">
        <v>905</v>
      </c>
      <c r="W1777" s="25" t="s">
        <v>38</v>
      </c>
      <c r="X1777">
        <v>29</v>
      </c>
      <c r="Y1777" t="s">
        <v>39</v>
      </c>
      <c r="Z1777">
        <v>5</v>
      </c>
      <c r="AA1777">
        <v>5</v>
      </c>
      <c r="AC1777">
        <v>286</v>
      </c>
      <c r="AE1777">
        <v>1068</v>
      </c>
      <c r="AG1777">
        <v>614</v>
      </c>
      <c r="AH1777">
        <v>3.028571253</v>
      </c>
      <c r="AJ1777" t="s">
        <v>180</v>
      </c>
      <c r="AK1777" t="s">
        <v>904</v>
      </c>
      <c r="AL1777" s="25" t="s">
        <v>60</v>
      </c>
      <c r="AM1777" t="s">
        <v>61</v>
      </c>
      <c r="AN1777">
        <v>15.2165</v>
      </c>
      <c r="AO1777">
        <v>8.7137333019999996</v>
      </c>
      <c r="AP1777">
        <v>15.030900000000001</v>
      </c>
      <c r="AQ1777">
        <v>5.6017974969999997</v>
      </c>
      <c r="AR1777" t="s">
        <v>43</v>
      </c>
      <c r="AS1777">
        <f t="shared" si="174"/>
        <v>-1.2272283198710987E-2</v>
      </c>
      <c r="AT1777">
        <f t="shared" si="175"/>
        <v>9.3364560012876768E-2</v>
      </c>
      <c r="AW1777" s="28">
        <f t="shared" si="176"/>
        <v>-2.5338116151949645E-2</v>
      </c>
      <c r="AX1777">
        <f t="shared" si="177"/>
        <v>0.90322580645161288</v>
      </c>
      <c r="AY1777" s="62">
        <f t="shared" si="178"/>
        <v>-2.2886040395309355E-2</v>
      </c>
      <c r="AZ1777" s="68" t="str">
        <f t="shared" si="181"/>
        <v>No</v>
      </c>
      <c r="BA1777" s="68" t="str">
        <f t="shared" si="182"/>
        <v>No</v>
      </c>
    </row>
    <row r="1778" spans="1:53" hidden="1">
      <c r="A1778" t="s">
        <v>908</v>
      </c>
      <c r="B1778" t="s">
        <v>185</v>
      </c>
      <c r="C1778" t="s">
        <v>163</v>
      </c>
      <c r="D1778" s="25">
        <v>9</v>
      </c>
      <c r="E1778" s="25">
        <v>60</v>
      </c>
      <c r="F1778" t="s">
        <v>1241</v>
      </c>
      <c r="G1778" t="s">
        <v>164</v>
      </c>
      <c r="H1778" s="3" t="s">
        <v>850</v>
      </c>
      <c r="I1778">
        <v>2016</v>
      </c>
      <c r="J1778" t="s">
        <v>165</v>
      </c>
      <c r="K1778" t="s">
        <v>111</v>
      </c>
      <c r="L1778" t="s">
        <v>166</v>
      </c>
      <c r="M1778" s="25" t="s">
        <v>35</v>
      </c>
      <c r="N1778" t="s">
        <v>36</v>
      </c>
      <c r="O1778" t="s">
        <v>47</v>
      </c>
      <c r="P1778" t="s">
        <v>60</v>
      </c>
      <c r="Q1778" t="s">
        <v>899</v>
      </c>
      <c r="R1778" t="s">
        <v>828</v>
      </c>
      <c r="S1778" t="s">
        <v>852</v>
      </c>
      <c r="T1778">
        <v>59.858333000000002</v>
      </c>
      <c r="U1778">
        <v>23.258333</v>
      </c>
      <c r="V1778" t="s">
        <v>905</v>
      </c>
      <c r="W1778" s="25" t="s">
        <v>38</v>
      </c>
      <c r="X1778">
        <v>29</v>
      </c>
      <c r="Y1778" t="s">
        <v>39</v>
      </c>
      <c r="Z1778">
        <v>5</v>
      </c>
      <c r="AA1778">
        <v>5</v>
      </c>
      <c r="AC1778">
        <v>286</v>
      </c>
      <c r="AE1778">
        <v>291</v>
      </c>
      <c r="AG1778">
        <v>615</v>
      </c>
      <c r="AH1778">
        <v>2.4638929890000001</v>
      </c>
      <c r="AJ1778" t="s">
        <v>186</v>
      </c>
      <c r="AK1778" t="s">
        <v>904</v>
      </c>
      <c r="AL1778" s="25" t="s">
        <v>60</v>
      </c>
      <c r="AM1778" t="s">
        <v>61</v>
      </c>
      <c r="AN1778">
        <v>3.97872</v>
      </c>
      <c r="AO1778">
        <v>2.78318909</v>
      </c>
      <c r="AP1778">
        <v>3.3723399999999999</v>
      </c>
      <c r="AQ1778">
        <v>1.1418257519999999</v>
      </c>
      <c r="AR1778" t="s">
        <v>43</v>
      </c>
      <c r="AS1778">
        <f t="shared" si="174"/>
        <v>-0.1653532941048852</v>
      </c>
      <c r="AT1778">
        <f t="shared" si="175"/>
        <v>0.12079332699274549</v>
      </c>
      <c r="AW1778" s="28">
        <f t="shared" si="176"/>
        <v>-0.28506099387352413</v>
      </c>
      <c r="AX1778">
        <f t="shared" si="177"/>
        <v>0.90322580645161288</v>
      </c>
      <c r="AY1778" s="62">
        <f t="shared" si="178"/>
        <v>-0.25747444607931208</v>
      </c>
      <c r="AZ1778" s="68" t="str">
        <f t="shared" si="181"/>
        <v>No</v>
      </c>
      <c r="BA1778" s="68" t="str">
        <f t="shared" si="182"/>
        <v>No</v>
      </c>
    </row>
    <row r="1779" spans="1:53" hidden="1">
      <c r="A1779" t="s">
        <v>908</v>
      </c>
      <c r="B1779" t="s">
        <v>187</v>
      </c>
      <c r="C1779" t="s">
        <v>163</v>
      </c>
      <c r="D1779" s="25">
        <v>9</v>
      </c>
      <c r="E1779" s="25">
        <v>61</v>
      </c>
      <c r="F1779" t="s">
        <v>1241</v>
      </c>
      <c r="G1779" t="s">
        <v>164</v>
      </c>
      <c r="H1779" s="3" t="s">
        <v>850</v>
      </c>
      <c r="I1779">
        <v>2016</v>
      </c>
      <c r="J1779" t="s">
        <v>165</v>
      </c>
      <c r="K1779" t="s">
        <v>111</v>
      </c>
      <c r="L1779" t="s">
        <v>166</v>
      </c>
      <c r="M1779" s="25" t="s">
        <v>35</v>
      </c>
      <c r="N1779" t="s">
        <v>36</v>
      </c>
      <c r="O1779" t="s">
        <v>47</v>
      </c>
      <c r="P1779" t="s">
        <v>60</v>
      </c>
      <c r="Q1779" t="s">
        <v>899</v>
      </c>
      <c r="R1779" t="s">
        <v>828</v>
      </c>
      <c r="S1779" t="s">
        <v>852</v>
      </c>
      <c r="T1779">
        <v>59.858333000000002</v>
      </c>
      <c r="U1779">
        <v>23.258333</v>
      </c>
      <c r="V1779" t="s">
        <v>905</v>
      </c>
      <c r="W1779" s="25" t="s">
        <v>38</v>
      </c>
      <c r="X1779">
        <v>29</v>
      </c>
      <c r="Y1779" t="s">
        <v>39</v>
      </c>
      <c r="Z1779">
        <v>5</v>
      </c>
      <c r="AA1779">
        <v>5</v>
      </c>
      <c r="AC1779">
        <v>286</v>
      </c>
      <c r="AE1779">
        <v>413</v>
      </c>
      <c r="AG1779">
        <v>615</v>
      </c>
      <c r="AH1779">
        <v>2.6159500520000001</v>
      </c>
      <c r="AJ1779" t="s">
        <v>186</v>
      </c>
      <c r="AK1779" t="s">
        <v>904</v>
      </c>
      <c r="AL1779" s="25" t="s">
        <v>60</v>
      </c>
      <c r="AM1779" t="s">
        <v>61</v>
      </c>
      <c r="AN1779">
        <v>3.97872</v>
      </c>
      <c r="AO1779">
        <v>2.78318909</v>
      </c>
      <c r="AP1779">
        <v>2.47872</v>
      </c>
      <c r="AQ1779">
        <v>1.926842137</v>
      </c>
      <c r="AR1779" t="s">
        <v>43</v>
      </c>
      <c r="AS1779">
        <f t="shared" si="174"/>
        <v>-0.47321786162499302</v>
      </c>
      <c r="AT1779">
        <f t="shared" si="175"/>
        <v>0.21872103738715234</v>
      </c>
      <c r="AW1779" s="28">
        <f t="shared" si="176"/>
        <v>-0.62666510141411857</v>
      </c>
      <c r="AX1779">
        <f t="shared" si="177"/>
        <v>0.90322580645161288</v>
      </c>
      <c r="AY1779" s="62">
        <f t="shared" si="178"/>
        <v>-0.56602009159984901</v>
      </c>
      <c r="AZ1779" s="68" t="str">
        <f t="shared" si="181"/>
        <v>No</v>
      </c>
      <c r="BA1779" s="68" t="str">
        <f t="shared" si="182"/>
        <v>No</v>
      </c>
    </row>
    <row r="1780" spans="1:53" hidden="1">
      <c r="A1780" t="s">
        <v>908</v>
      </c>
      <c r="B1780" t="s">
        <v>188</v>
      </c>
      <c r="C1780" t="s">
        <v>163</v>
      </c>
      <c r="D1780" s="25">
        <v>9</v>
      </c>
      <c r="E1780" s="25">
        <v>62</v>
      </c>
      <c r="F1780" t="s">
        <v>1241</v>
      </c>
      <c r="G1780" t="s">
        <v>164</v>
      </c>
      <c r="H1780" s="3" t="s">
        <v>850</v>
      </c>
      <c r="I1780">
        <v>2016</v>
      </c>
      <c r="J1780" t="s">
        <v>165</v>
      </c>
      <c r="K1780" t="s">
        <v>111</v>
      </c>
      <c r="L1780" t="s">
        <v>166</v>
      </c>
      <c r="M1780" s="25" t="s">
        <v>35</v>
      </c>
      <c r="N1780" t="s">
        <v>36</v>
      </c>
      <c r="O1780" t="s">
        <v>47</v>
      </c>
      <c r="P1780" t="s">
        <v>60</v>
      </c>
      <c r="Q1780" t="s">
        <v>899</v>
      </c>
      <c r="R1780" t="s">
        <v>828</v>
      </c>
      <c r="S1780" t="s">
        <v>852</v>
      </c>
      <c r="T1780">
        <v>59.858333000000002</v>
      </c>
      <c r="U1780">
        <v>23.258333</v>
      </c>
      <c r="V1780" t="s">
        <v>905</v>
      </c>
      <c r="W1780" s="25" t="s">
        <v>38</v>
      </c>
      <c r="X1780">
        <v>29</v>
      </c>
      <c r="Y1780" t="s">
        <v>39</v>
      </c>
      <c r="Z1780">
        <v>5</v>
      </c>
      <c r="AA1780">
        <v>5</v>
      </c>
      <c r="AC1780">
        <v>286</v>
      </c>
      <c r="AE1780">
        <v>734</v>
      </c>
      <c r="AG1780">
        <v>615</v>
      </c>
      <c r="AH1780">
        <v>2.8656960599999999</v>
      </c>
      <c r="AJ1780" t="s">
        <v>186</v>
      </c>
      <c r="AK1780" t="s">
        <v>904</v>
      </c>
      <c r="AL1780" s="25" t="s">
        <v>60</v>
      </c>
      <c r="AM1780" t="s">
        <v>61</v>
      </c>
      <c r="AN1780">
        <v>3.97872</v>
      </c>
      <c r="AO1780">
        <v>2.78318909</v>
      </c>
      <c r="AP1780">
        <v>2.4148900000000002</v>
      </c>
      <c r="AQ1780">
        <v>1.4986574800000001</v>
      </c>
      <c r="AR1780" t="s">
        <v>43</v>
      </c>
      <c r="AS1780">
        <f t="shared" si="174"/>
        <v>-0.49930642211626841</v>
      </c>
      <c r="AT1780">
        <f t="shared" si="175"/>
        <v>0.17489176731138834</v>
      </c>
      <c r="AW1780" s="28">
        <f t="shared" si="176"/>
        <v>-0.69964189891070128</v>
      </c>
      <c r="AX1780">
        <f t="shared" si="177"/>
        <v>0.90322580645161288</v>
      </c>
      <c r="AY1780" s="62">
        <f t="shared" si="178"/>
        <v>-0.63193461837095599</v>
      </c>
      <c r="AZ1780" s="68" t="str">
        <f t="shared" si="181"/>
        <v>No</v>
      </c>
      <c r="BA1780" s="68" t="str">
        <f t="shared" si="182"/>
        <v>No</v>
      </c>
    </row>
    <row r="1781" spans="1:53" hidden="1">
      <c r="A1781" t="s">
        <v>908</v>
      </c>
      <c r="B1781" t="s">
        <v>189</v>
      </c>
      <c r="C1781" t="s">
        <v>163</v>
      </c>
      <c r="D1781" s="25">
        <v>9</v>
      </c>
      <c r="E1781" s="25">
        <v>63</v>
      </c>
      <c r="F1781" t="s">
        <v>1241</v>
      </c>
      <c r="G1781" t="s">
        <v>164</v>
      </c>
      <c r="H1781" s="3" t="s">
        <v>850</v>
      </c>
      <c r="I1781">
        <v>2016</v>
      </c>
      <c r="J1781" t="s">
        <v>165</v>
      </c>
      <c r="K1781" t="s">
        <v>111</v>
      </c>
      <c r="L1781" t="s">
        <v>166</v>
      </c>
      <c r="M1781" s="25" t="s">
        <v>35</v>
      </c>
      <c r="N1781" t="s">
        <v>36</v>
      </c>
      <c r="O1781" t="s">
        <v>47</v>
      </c>
      <c r="P1781" t="s">
        <v>60</v>
      </c>
      <c r="Q1781" t="s">
        <v>899</v>
      </c>
      <c r="R1781" t="s">
        <v>828</v>
      </c>
      <c r="S1781" t="s">
        <v>852</v>
      </c>
      <c r="T1781">
        <v>59.858333000000002</v>
      </c>
      <c r="U1781">
        <v>23.258333</v>
      </c>
      <c r="V1781" t="s">
        <v>905</v>
      </c>
      <c r="W1781" s="25" t="s">
        <v>38</v>
      </c>
      <c r="X1781">
        <v>29</v>
      </c>
      <c r="Y1781" t="s">
        <v>39</v>
      </c>
      <c r="Z1781">
        <v>5</v>
      </c>
      <c r="AA1781">
        <v>5</v>
      </c>
      <c r="AC1781">
        <v>286</v>
      </c>
      <c r="AE1781">
        <v>892</v>
      </c>
      <c r="AG1781">
        <v>615</v>
      </c>
      <c r="AH1781">
        <v>2.950364854</v>
      </c>
      <c r="AJ1781" t="s">
        <v>186</v>
      </c>
      <c r="AK1781" t="s">
        <v>904</v>
      </c>
      <c r="AL1781" s="25" t="s">
        <v>60</v>
      </c>
      <c r="AM1781" t="s">
        <v>61</v>
      </c>
      <c r="AN1781">
        <v>3.97872</v>
      </c>
      <c r="AO1781">
        <v>2.78318909</v>
      </c>
      <c r="AP1781">
        <v>2.67021</v>
      </c>
      <c r="AQ1781">
        <v>1.9981950660000001</v>
      </c>
      <c r="AR1781" t="s">
        <v>43</v>
      </c>
      <c r="AS1781">
        <f t="shared" ref="AS1781:AS1844" si="183">LN(AP1781)-LN(AN1781)</f>
        <v>-0.39880303852451893</v>
      </c>
      <c r="AT1781">
        <f t="shared" ref="AT1781:AT1844" si="184">(AQ1781^2)/(AA1781*AP1781^2) + (AO1781^2)/(Z1781*AN1781^2)</f>
        <v>0.20986448663170029</v>
      </c>
      <c r="AW1781" s="28">
        <f t="shared" si="176"/>
        <v>-0.54010460389636117</v>
      </c>
      <c r="AX1781">
        <f t="shared" si="177"/>
        <v>0.90322580645161288</v>
      </c>
      <c r="AY1781" s="62">
        <f t="shared" si="178"/>
        <v>-0.48783641642251974</v>
      </c>
      <c r="AZ1781" s="68" t="str">
        <f t="shared" si="181"/>
        <v>No</v>
      </c>
      <c r="BA1781" s="68" t="str">
        <f t="shared" si="182"/>
        <v>No</v>
      </c>
    </row>
    <row r="1782" spans="1:53" hidden="1">
      <c r="A1782" t="s">
        <v>908</v>
      </c>
      <c r="B1782" t="s">
        <v>190</v>
      </c>
      <c r="C1782" t="s">
        <v>163</v>
      </c>
      <c r="D1782" s="25">
        <v>9</v>
      </c>
      <c r="E1782" s="25">
        <v>64</v>
      </c>
      <c r="F1782" t="s">
        <v>1241</v>
      </c>
      <c r="G1782" t="s">
        <v>164</v>
      </c>
      <c r="H1782" s="3" t="s">
        <v>850</v>
      </c>
      <c r="I1782">
        <v>2016</v>
      </c>
      <c r="J1782" t="s">
        <v>165</v>
      </c>
      <c r="K1782" t="s">
        <v>111</v>
      </c>
      <c r="L1782" t="s">
        <v>166</v>
      </c>
      <c r="M1782" s="25" t="s">
        <v>35</v>
      </c>
      <c r="N1782" t="s">
        <v>36</v>
      </c>
      <c r="O1782" t="s">
        <v>47</v>
      </c>
      <c r="P1782" t="s">
        <v>60</v>
      </c>
      <c r="Q1782" t="s">
        <v>899</v>
      </c>
      <c r="R1782" t="s">
        <v>828</v>
      </c>
      <c r="S1782" t="s">
        <v>852</v>
      </c>
      <c r="T1782">
        <v>59.858333000000002</v>
      </c>
      <c r="U1782">
        <v>23.258333</v>
      </c>
      <c r="V1782" t="s">
        <v>905</v>
      </c>
      <c r="W1782" s="25" t="s">
        <v>38</v>
      </c>
      <c r="X1782">
        <v>29</v>
      </c>
      <c r="Y1782" t="s">
        <v>39</v>
      </c>
      <c r="Z1782">
        <v>5</v>
      </c>
      <c r="AA1782">
        <v>5</v>
      </c>
      <c r="AC1782">
        <v>286</v>
      </c>
      <c r="AE1782">
        <v>1068</v>
      </c>
      <c r="AG1782">
        <v>615</v>
      </c>
      <c r="AH1782">
        <v>3.028571253</v>
      </c>
      <c r="AJ1782" t="s">
        <v>186</v>
      </c>
      <c r="AK1782" t="s">
        <v>904</v>
      </c>
      <c r="AL1782" s="25" t="s">
        <v>60</v>
      </c>
      <c r="AM1782" t="s">
        <v>61</v>
      </c>
      <c r="AN1782">
        <v>3.97872</v>
      </c>
      <c r="AO1782">
        <v>2.78318909</v>
      </c>
      <c r="AP1782">
        <v>3.81915</v>
      </c>
      <c r="AQ1782">
        <v>2.6404608710000002</v>
      </c>
      <c r="AR1782" t="s">
        <v>43</v>
      </c>
      <c r="AS1782">
        <f t="shared" si="183"/>
        <v>-4.0932274759420517E-2</v>
      </c>
      <c r="AT1782">
        <f t="shared" si="184"/>
        <v>0.19346487705905183</v>
      </c>
      <c r="AW1782" s="28">
        <f t="shared" si="176"/>
        <v>-5.8821928628518969E-2</v>
      </c>
      <c r="AX1782">
        <f t="shared" si="177"/>
        <v>0.90322580645161288</v>
      </c>
      <c r="AY1782" s="62">
        <f t="shared" si="178"/>
        <v>-5.3129483922533263E-2</v>
      </c>
      <c r="AZ1782" s="68" t="str">
        <f t="shared" si="181"/>
        <v>No</v>
      </c>
      <c r="BA1782" s="68" t="str">
        <f t="shared" si="182"/>
        <v>No</v>
      </c>
    </row>
    <row r="1783" spans="1:53" hidden="1">
      <c r="A1783" t="s">
        <v>908</v>
      </c>
      <c r="B1783" t="s">
        <v>196</v>
      </c>
      <c r="C1783" t="s">
        <v>191</v>
      </c>
      <c r="D1783" s="25">
        <v>10</v>
      </c>
      <c r="E1783" s="25">
        <v>65</v>
      </c>
      <c r="F1783" t="s">
        <v>1241</v>
      </c>
      <c r="G1783" t="s">
        <v>192</v>
      </c>
      <c r="H1783" s="3" t="s">
        <v>876</v>
      </c>
      <c r="I1783">
        <v>2016</v>
      </c>
      <c r="J1783" t="s">
        <v>193</v>
      </c>
      <c r="K1783" t="s">
        <v>194</v>
      </c>
      <c r="L1783" t="s">
        <v>195</v>
      </c>
      <c r="M1783" s="25" t="s">
        <v>35</v>
      </c>
      <c r="N1783" t="s">
        <v>36</v>
      </c>
      <c r="O1783" t="s">
        <v>47</v>
      </c>
      <c r="P1783" t="s">
        <v>60</v>
      </c>
      <c r="Q1783" t="s">
        <v>899</v>
      </c>
      <c r="R1783" t="s">
        <v>828</v>
      </c>
      <c r="S1783" t="s">
        <v>836</v>
      </c>
      <c r="T1783">
        <v>60.2735992</v>
      </c>
      <c r="U1783">
        <v>5.1848929999999998</v>
      </c>
      <c r="V1783" t="s">
        <v>905</v>
      </c>
      <c r="W1783" s="25" t="s">
        <v>38</v>
      </c>
      <c r="X1783">
        <v>24</v>
      </c>
      <c r="Y1783" t="s">
        <v>76</v>
      </c>
      <c r="Z1783">
        <v>1</v>
      </c>
      <c r="AA1783">
        <v>1</v>
      </c>
      <c r="AC1783">
        <v>303</v>
      </c>
      <c r="AE1783">
        <v>370</v>
      </c>
      <c r="AG1783">
        <v>619</v>
      </c>
      <c r="AH1783">
        <v>2.5682017240000001</v>
      </c>
      <c r="AI1783">
        <v>9.4700000000000006</v>
      </c>
      <c r="AJ1783" t="s">
        <v>197</v>
      </c>
      <c r="AK1783" t="s">
        <v>904</v>
      </c>
      <c r="AL1783" s="25" t="s">
        <v>60</v>
      </c>
      <c r="AM1783" t="s">
        <v>61</v>
      </c>
      <c r="AN1783">
        <v>31.48766603</v>
      </c>
      <c r="AO1783">
        <v>7.9696395000000003E-2</v>
      </c>
      <c r="AP1783">
        <v>32.022770399999999</v>
      </c>
      <c r="AQ1783">
        <v>0.55787476300000005</v>
      </c>
      <c r="AR1783" t="s">
        <v>41</v>
      </c>
      <c r="AS1783">
        <f t="shared" si="183"/>
        <v>1.6851310199378577E-2</v>
      </c>
      <c r="AT1783">
        <f t="shared" si="184"/>
        <v>3.0990399597078251E-4</v>
      </c>
      <c r="AW1783" s="28" t="e">
        <f t="shared" si="176"/>
        <v>#DIV/0!</v>
      </c>
      <c r="AX1783">
        <f t="shared" si="177"/>
        <v>4</v>
      </c>
      <c r="AY1783" s="62" t="e">
        <f t="shared" si="178"/>
        <v>#DIV/0!</v>
      </c>
      <c r="AZ1783" s="68" t="e">
        <f t="shared" si="181"/>
        <v>#DIV/0!</v>
      </c>
      <c r="BA1783" s="68" t="e">
        <f t="shared" si="182"/>
        <v>#DIV/0!</v>
      </c>
    </row>
    <row r="1784" spans="1:53" hidden="1">
      <c r="A1784" t="s">
        <v>908</v>
      </c>
      <c r="B1784" t="s">
        <v>198</v>
      </c>
      <c r="C1784" t="s">
        <v>191</v>
      </c>
      <c r="D1784" s="25">
        <v>10</v>
      </c>
      <c r="E1784" s="25">
        <v>66</v>
      </c>
      <c r="F1784" t="s">
        <v>1241</v>
      </c>
      <c r="G1784" t="s">
        <v>192</v>
      </c>
      <c r="H1784" s="3" t="s">
        <v>876</v>
      </c>
      <c r="I1784">
        <v>2016</v>
      </c>
      <c r="J1784" t="s">
        <v>193</v>
      </c>
      <c r="K1784" t="s">
        <v>194</v>
      </c>
      <c r="L1784" t="s">
        <v>195</v>
      </c>
      <c r="M1784" s="25" t="s">
        <v>35</v>
      </c>
      <c r="N1784" t="s">
        <v>36</v>
      </c>
      <c r="O1784" t="s">
        <v>47</v>
      </c>
      <c r="P1784" t="s">
        <v>60</v>
      </c>
      <c r="Q1784" t="s">
        <v>899</v>
      </c>
      <c r="R1784" t="s">
        <v>828</v>
      </c>
      <c r="S1784" t="s">
        <v>836</v>
      </c>
      <c r="T1784">
        <v>60.2735992</v>
      </c>
      <c r="U1784">
        <v>5.1848929999999998</v>
      </c>
      <c r="V1784" t="s">
        <v>905</v>
      </c>
      <c r="W1784" s="25" t="s">
        <v>38</v>
      </c>
      <c r="X1784">
        <v>24</v>
      </c>
      <c r="Y1784" t="s">
        <v>76</v>
      </c>
      <c r="Z1784">
        <v>1</v>
      </c>
      <c r="AA1784">
        <v>1</v>
      </c>
      <c r="AC1784">
        <v>303</v>
      </c>
      <c r="AE1784">
        <v>504</v>
      </c>
      <c r="AG1784">
        <v>619</v>
      </c>
      <c r="AH1784">
        <v>2.702430536</v>
      </c>
      <c r="AI1784">
        <v>9.4700000000000006</v>
      </c>
      <c r="AJ1784" t="s">
        <v>197</v>
      </c>
      <c r="AK1784" t="s">
        <v>904</v>
      </c>
      <c r="AL1784" s="25" t="s">
        <v>60</v>
      </c>
      <c r="AM1784" t="s">
        <v>61</v>
      </c>
      <c r="AN1784">
        <v>31.48766603</v>
      </c>
      <c r="AO1784">
        <v>7.9696395000000003E-2</v>
      </c>
      <c r="AP1784">
        <v>31.988614800000001</v>
      </c>
      <c r="AQ1784">
        <v>0.47817836800000002</v>
      </c>
      <c r="AR1784" t="s">
        <v>41</v>
      </c>
      <c r="AS1784">
        <f t="shared" si="183"/>
        <v>1.5784137441444912E-2</v>
      </c>
      <c r="AT1784">
        <f t="shared" si="184"/>
        <v>2.2986057668705455E-4</v>
      </c>
      <c r="AW1784" s="28" t="e">
        <f t="shared" si="176"/>
        <v>#DIV/0!</v>
      </c>
      <c r="AX1784">
        <f t="shared" si="177"/>
        <v>4</v>
      </c>
      <c r="AY1784" s="62" t="e">
        <f t="shared" si="178"/>
        <v>#DIV/0!</v>
      </c>
      <c r="AZ1784" s="68" t="e">
        <f t="shared" si="181"/>
        <v>#DIV/0!</v>
      </c>
      <c r="BA1784" s="68" t="e">
        <f t="shared" si="182"/>
        <v>#DIV/0!</v>
      </c>
    </row>
    <row r="1785" spans="1:53" hidden="1">
      <c r="A1785" t="s">
        <v>908</v>
      </c>
      <c r="B1785" t="s">
        <v>199</v>
      </c>
      <c r="C1785" t="s">
        <v>191</v>
      </c>
      <c r="D1785" s="25">
        <v>10</v>
      </c>
      <c r="E1785" s="25">
        <v>67</v>
      </c>
      <c r="F1785" t="s">
        <v>1241</v>
      </c>
      <c r="G1785" t="s">
        <v>192</v>
      </c>
      <c r="H1785" s="3" t="s">
        <v>876</v>
      </c>
      <c r="I1785">
        <v>2016</v>
      </c>
      <c r="J1785" t="s">
        <v>193</v>
      </c>
      <c r="K1785" t="s">
        <v>194</v>
      </c>
      <c r="L1785" t="s">
        <v>195</v>
      </c>
      <c r="M1785" s="25" t="s">
        <v>35</v>
      </c>
      <c r="N1785" t="s">
        <v>36</v>
      </c>
      <c r="O1785" t="s">
        <v>47</v>
      </c>
      <c r="P1785" t="s">
        <v>60</v>
      </c>
      <c r="Q1785" t="s">
        <v>899</v>
      </c>
      <c r="R1785" t="s">
        <v>828</v>
      </c>
      <c r="S1785" t="s">
        <v>836</v>
      </c>
      <c r="T1785">
        <v>60.2735992</v>
      </c>
      <c r="U1785">
        <v>5.1848929999999998</v>
      </c>
      <c r="V1785" t="s">
        <v>905</v>
      </c>
      <c r="W1785" s="25" t="s">
        <v>38</v>
      </c>
      <c r="X1785">
        <v>24</v>
      </c>
      <c r="Y1785" t="s">
        <v>76</v>
      </c>
      <c r="Z1785">
        <v>1</v>
      </c>
      <c r="AA1785">
        <v>1</v>
      </c>
      <c r="AC1785">
        <v>303</v>
      </c>
      <c r="AE1785">
        <v>683</v>
      </c>
      <c r="AG1785">
        <v>619</v>
      </c>
      <c r="AH1785">
        <v>2.8344207039999998</v>
      </c>
      <c r="AI1785">
        <v>9.4700000000000006</v>
      </c>
      <c r="AJ1785" t="s">
        <v>197</v>
      </c>
      <c r="AK1785" t="s">
        <v>904</v>
      </c>
      <c r="AL1785" s="25" t="s">
        <v>60</v>
      </c>
      <c r="AM1785" t="s">
        <v>61</v>
      </c>
      <c r="AN1785">
        <v>31.48766603</v>
      </c>
      <c r="AO1785">
        <v>7.9696395000000003E-2</v>
      </c>
      <c r="AP1785">
        <v>31.54459203</v>
      </c>
      <c r="AQ1785">
        <v>0.34155597700000001</v>
      </c>
      <c r="AR1785" t="s">
        <v>41</v>
      </c>
      <c r="AS1785">
        <f t="shared" si="183"/>
        <v>1.8062502353242138E-3</v>
      </c>
      <c r="AT1785">
        <f t="shared" si="184"/>
        <v>1.236456375460558E-4</v>
      </c>
      <c r="AW1785" s="28" t="e">
        <f t="shared" si="176"/>
        <v>#DIV/0!</v>
      </c>
      <c r="AX1785">
        <f t="shared" si="177"/>
        <v>4</v>
      </c>
      <c r="AY1785" s="62" t="e">
        <f t="shared" si="178"/>
        <v>#DIV/0!</v>
      </c>
      <c r="AZ1785" s="68" t="e">
        <f t="shared" si="181"/>
        <v>#DIV/0!</v>
      </c>
      <c r="BA1785" s="68" t="e">
        <f t="shared" si="182"/>
        <v>#DIV/0!</v>
      </c>
    </row>
    <row r="1786" spans="1:53" hidden="1">
      <c r="A1786" t="s">
        <v>908</v>
      </c>
      <c r="B1786" t="s">
        <v>200</v>
      </c>
      <c r="C1786" t="s">
        <v>191</v>
      </c>
      <c r="D1786" s="25">
        <v>10</v>
      </c>
      <c r="E1786" s="25">
        <v>68</v>
      </c>
      <c r="F1786" t="s">
        <v>1241</v>
      </c>
      <c r="G1786" t="s">
        <v>192</v>
      </c>
      <c r="H1786" s="3" t="s">
        <v>876</v>
      </c>
      <c r="I1786">
        <v>2016</v>
      </c>
      <c r="J1786" t="s">
        <v>193</v>
      </c>
      <c r="K1786" t="s">
        <v>194</v>
      </c>
      <c r="L1786" t="s">
        <v>195</v>
      </c>
      <c r="M1786" s="25" t="s">
        <v>35</v>
      </c>
      <c r="N1786" t="s">
        <v>36</v>
      </c>
      <c r="O1786" t="s">
        <v>47</v>
      </c>
      <c r="P1786" t="s">
        <v>60</v>
      </c>
      <c r="Q1786" t="s">
        <v>899</v>
      </c>
      <c r="R1786" t="s">
        <v>828</v>
      </c>
      <c r="S1786" t="s">
        <v>836</v>
      </c>
      <c r="T1786">
        <v>60.2735992</v>
      </c>
      <c r="U1786">
        <v>5.1848929999999998</v>
      </c>
      <c r="V1786" t="s">
        <v>905</v>
      </c>
      <c r="W1786" s="25" t="s">
        <v>38</v>
      </c>
      <c r="X1786">
        <v>24</v>
      </c>
      <c r="Y1786" t="s">
        <v>76</v>
      </c>
      <c r="Z1786">
        <v>1</v>
      </c>
      <c r="AA1786">
        <v>1</v>
      </c>
      <c r="AC1786">
        <v>303</v>
      </c>
      <c r="AE1786">
        <v>838</v>
      </c>
      <c r="AG1786">
        <v>619</v>
      </c>
      <c r="AH1786">
        <v>2.9232440190000002</v>
      </c>
      <c r="AI1786">
        <v>9.4700000000000006</v>
      </c>
      <c r="AJ1786" t="s">
        <v>197</v>
      </c>
      <c r="AK1786" t="s">
        <v>904</v>
      </c>
      <c r="AL1786" s="25" t="s">
        <v>60</v>
      </c>
      <c r="AM1786" t="s">
        <v>61</v>
      </c>
      <c r="AN1786">
        <v>31.48766603</v>
      </c>
      <c r="AO1786">
        <v>7.9696395000000003E-2</v>
      </c>
      <c r="AP1786">
        <v>31.328273240000001</v>
      </c>
      <c r="AQ1786">
        <v>0.51233396600000003</v>
      </c>
      <c r="AR1786" t="s">
        <v>41</v>
      </c>
      <c r="AS1786">
        <f t="shared" si="183"/>
        <v>-5.0749263307161563E-3</v>
      </c>
      <c r="AT1786">
        <f t="shared" si="184"/>
        <v>2.7385046192756506E-4</v>
      </c>
      <c r="AW1786" s="28" t="e">
        <f t="shared" si="176"/>
        <v>#DIV/0!</v>
      </c>
      <c r="AX1786">
        <f t="shared" si="177"/>
        <v>4</v>
      </c>
      <c r="AY1786" s="62" t="e">
        <f t="shared" si="178"/>
        <v>#DIV/0!</v>
      </c>
      <c r="AZ1786" s="68" t="e">
        <f t="shared" si="181"/>
        <v>#DIV/0!</v>
      </c>
      <c r="BA1786" s="68" t="e">
        <f t="shared" si="182"/>
        <v>#DIV/0!</v>
      </c>
    </row>
    <row r="1787" spans="1:53" hidden="1">
      <c r="A1787" t="s">
        <v>908</v>
      </c>
      <c r="B1787" t="s">
        <v>201</v>
      </c>
      <c r="C1787" t="s">
        <v>191</v>
      </c>
      <c r="D1787" s="25">
        <v>10</v>
      </c>
      <c r="E1787" s="25">
        <v>69</v>
      </c>
      <c r="F1787" t="s">
        <v>1241</v>
      </c>
      <c r="G1787" t="s">
        <v>192</v>
      </c>
      <c r="H1787" s="3" t="s">
        <v>876</v>
      </c>
      <c r="I1787">
        <v>2016</v>
      </c>
      <c r="J1787" t="s">
        <v>193</v>
      </c>
      <c r="K1787" t="s">
        <v>194</v>
      </c>
      <c r="L1787" t="s">
        <v>195</v>
      </c>
      <c r="M1787" s="25" t="s">
        <v>35</v>
      </c>
      <c r="N1787" t="s">
        <v>36</v>
      </c>
      <c r="O1787" t="s">
        <v>47</v>
      </c>
      <c r="P1787" t="s">
        <v>60</v>
      </c>
      <c r="Q1787" t="s">
        <v>899</v>
      </c>
      <c r="R1787" t="s">
        <v>828</v>
      </c>
      <c r="S1787" t="s">
        <v>836</v>
      </c>
      <c r="T1787">
        <v>60.2735992</v>
      </c>
      <c r="U1787">
        <v>5.1848929999999998</v>
      </c>
      <c r="V1787" t="s">
        <v>905</v>
      </c>
      <c r="W1787" s="25" t="s">
        <v>38</v>
      </c>
      <c r="X1787">
        <v>24</v>
      </c>
      <c r="Y1787" t="s">
        <v>76</v>
      </c>
      <c r="Z1787">
        <v>1</v>
      </c>
      <c r="AA1787">
        <v>1</v>
      </c>
      <c r="AC1787">
        <v>303</v>
      </c>
      <c r="AE1787">
        <v>948</v>
      </c>
      <c r="AG1787">
        <v>619</v>
      </c>
      <c r="AH1787">
        <v>2.976808337</v>
      </c>
      <c r="AI1787">
        <v>9.4700000000000006</v>
      </c>
      <c r="AJ1787" t="s">
        <v>197</v>
      </c>
      <c r="AK1787" t="s">
        <v>904</v>
      </c>
      <c r="AL1787" s="25" t="s">
        <v>60</v>
      </c>
      <c r="AM1787" t="s">
        <v>61</v>
      </c>
      <c r="AN1787">
        <v>31.48766603</v>
      </c>
      <c r="AO1787">
        <v>7.9696395000000003E-2</v>
      </c>
      <c r="AP1787">
        <v>31.35104364</v>
      </c>
      <c r="AQ1787">
        <v>0.46679316900000001</v>
      </c>
      <c r="AR1787" t="s">
        <v>41</v>
      </c>
      <c r="AS1787">
        <f t="shared" si="183"/>
        <v>-4.3483580739080985E-3</v>
      </c>
      <c r="AT1787">
        <f t="shared" si="184"/>
        <v>2.2809556579110702E-4</v>
      </c>
      <c r="AW1787" s="28" t="e">
        <f t="shared" si="176"/>
        <v>#DIV/0!</v>
      </c>
      <c r="AX1787">
        <f t="shared" si="177"/>
        <v>4</v>
      </c>
      <c r="AY1787" s="62" t="e">
        <f t="shared" si="178"/>
        <v>#DIV/0!</v>
      </c>
      <c r="AZ1787" s="68" t="e">
        <f t="shared" si="181"/>
        <v>#DIV/0!</v>
      </c>
      <c r="BA1787" s="68" t="e">
        <f t="shared" si="182"/>
        <v>#DIV/0!</v>
      </c>
    </row>
    <row r="1788" spans="1:53" hidden="1">
      <c r="A1788" t="s">
        <v>908</v>
      </c>
      <c r="B1788" t="s">
        <v>202</v>
      </c>
      <c r="C1788" t="s">
        <v>191</v>
      </c>
      <c r="D1788" s="25">
        <v>10</v>
      </c>
      <c r="E1788" s="25">
        <v>70</v>
      </c>
      <c r="F1788" t="s">
        <v>1241</v>
      </c>
      <c r="G1788" t="s">
        <v>192</v>
      </c>
      <c r="H1788" s="3" t="s">
        <v>876</v>
      </c>
      <c r="I1788">
        <v>2016</v>
      </c>
      <c r="J1788" t="s">
        <v>193</v>
      </c>
      <c r="K1788" t="s">
        <v>194</v>
      </c>
      <c r="L1788" t="s">
        <v>195</v>
      </c>
      <c r="M1788" s="25" t="s">
        <v>35</v>
      </c>
      <c r="N1788" t="s">
        <v>36</v>
      </c>
      <c r="O1788" t="s">
        <v>47</v>
      </c>
      <c r="P1788" t="s">
        <v>60</v>
      </c>
      <c r="Q1788" t="s">
        <v>899</v>
      </c>
      <c r="R1788" t="s">
        <v>828</v>
      </c>
      <c r="S1788" t="s">
        <v>836</v>
      </c>
      <c r="T1788">
        <v>60.2735992</v>
      </c>
      <c r="U1788">
        <v>5.1848929999999998</v>
      </c>
      <c r="V1788" t="s">
        <v>905</v>
      </c>
      <c r="W1788" s="25" t="s">
        <v>38</v>
      </c>
      <c r="X1788">
        <v>24</v>
      </c>
      <c r="Y1788" t="s">
        <v>76</v>
      </c>
      <c r="Z1788">
        <v>1</v>
      </c>
      <c r="AA1788">
        <v>1</v>
      </c>
      <c r="AC1788">
        <v>303</v>
      </c>
      <c r="AE1788">
        <v>1269</v>
      </c>
      <c r="AG1788">
        <v>619</v>
      </c>
      <c r="AH1788">
        <v>3.1034616220000002</v>
      </c>
      <c r="AI1788">
        <v>9.4700000000000006</v>
      </c>
      <c r="AJ1788" t="s">
        <v>197</v>
      </c>
      <c r="AK1788" t="s">
        <v>904</v>
      </c>
      <c r="AL1788" s="25" t="s">
        <v>60</v>
      </c>
      <c r="AM1788" t="s">
        <v>61</v>
      </c>
      <c r="AN1788">
        <v>31.48766603</v>
      </c>
      <c r="AO1788">
        <v>7.9696395000000003E-2</v>
      </c>
      <c r="AP1788">
        <v>31.339658440000001</v>
      </c>
      <c r="AQ1788">
        <v>0.69449715400000001</v>
      </c>
      <c r="AR1788" t="s">
        <v>41</v>
      </c>
      <c r="AS1788">
        <f t="shared" si="183"/>
        <v>-4.711576214634583E-3</v>
      </c>
      <c r="AT1788">
        <f t="shared" si="184"/>
        <v>4.9748633848518227E-4</v>
      </c>
      <c r="AW1788" s="28" t="e">
        <f t="shared" ref="AW1788:AW1807" si="185">(AP1788-$AN1788)/SQRT(((AA1788-1)*AQ1788*AQ1788+($Z1788-1)*$AO1788*$AO1788)/(AA1788+$Z1788-2))</f>
        <v>#DIV/0!</v>
      </c>
      <c r="AX1788">
        <f t="shared" ref="AX1788:AX1807" si="186">1-(3/(4*(AA1788+$Z1788-2)-1))</f>
        <v>4</v>
      </c>
      <c r="AY1788" s="62" t="e">
        <f t="shared" ref="AY1788:AY1851" si="187">AX1788*AW1788</f>
        <v>#DIV/0!</v>
      </c>
      <c r="AZ1788" s="68" t="e">
        <f t="shared" si="181"/>
        <v>#DIV/0!</v>
      </c>
      <c r="BA1788" s="68" t="e">
        <f t="shared" si="182"/>
        <v>#DIV/0!</v>
      </c>
    </row>
    <row r="1789" spans="1:53" hidden="1">
      <c r="A1789" t="s">
        <v>908</v>
      </c>
      <c r="B1789" t="s">
        <v>203</v>
      </c>
      <c r="C1789" t="s">
        <v>191</v>
      </c>
      <c r="D1789" s="25">
        <v>10</v>
      </c>
      <c r="E1789" s="25">
        <v>71</v>
      </c>
      <c r="F1789" t="s">
        <v>1241</v>
      </c>
      <c r="G1789" t="s">
        <v>192</v>
      </c>
      <c r="H1789" s="3" t="s">
        <v>876</v>
      </c>
      <c r="I1789">
        <v>2016</v>
      </c>
      <c r="J1789" t="s">
        <v>193</v>
      </c>
      <c r="K1789" t="s">
        <v>194</v>
      </c>
      <c r="L1789" t="s">
        <v>195</v>
      </c>
      <c r="M1789" s="25" t="s">
        <v>35</v>
      </c>
      <c r="N1789" t="s">
        <v>36</v>
      </c>
      <c r="O1789" t="s">
        <v>47</v>
      </c>
      <c r="P1789" t="s">
        <v>60</v>
      </c>
      <c r="Q1789" t="s">
        <v>899</v>
      </c>
      <c r="R1789" t="s">
        <v>828</v>
      </c>
      <c r="S1789" t="s">
        <v>836</v>
      </c>
      <c r="T1789">
        <v>60.2735992</v>
      </c>
      <c r="U1789">
        <v>5.1848929999999998</v>
      </c>
      <c r="V1789" t="s">
        <v>905</v>
      </c>
      <c r="W1789" s="25" t="s">
        <v>38</v>
      </c>
      <c r="X1789">
        <v>24</v>
      </c>
      <c r="Y1789" t="s">
        <v>76</v>
      </c>
      <c r="Z1789">
        <v>1</v>
      </c>
      <c r="AA1789">
        <v>1</v>
      </c>
      <c r="AC1789">
        <v>303</v>
      </c>
      <c r="AE1789">
        <v>1707</v>
      </c>
      <c r="AG1789">
        <v>619</v>
      </c>
      <c r="AH1789">
        <v>3.2322335209999999</v>
      </c>
      <c r="AI1789">
        <v>9.4700000000000006</v>
      </c>
      <c r="AJ1789" t="s">
        <v>197</v>
      </c>
      <c r="AK1789" t="s">
        <v>904</v>
      </c>
      <c r="AL1789" s="25" t="s">
        <v>60</v>
      </c>
      <c r="AM1789" t="s">
        <v>61</v>
      </c>
      <c r="AN1789">
        <v>31.48766603</v>
      </c>
      <c r="AO1789">
        <v>7.9696395000000003E-2</v>
      </c>
      <c r="AP1789">
        <v>30.08728653</v>
      </c>
      <c r="AQ1789">
        <v>1.1157495260000001</v>
      </c>
      <c r="AR1789" t="s">
        <v>41</v>
      </c>
      <c r="AS1789">
        <f t="shared" si="183"/>
        <v>-4.5493206439867429E-2</v>
      </c>
      <c r="AT1789">
        <f t="shared" si="184"/>
        <v>1.3816109352467419E-3</v>
      </c>
      <c r="AW1789" s="28" t="e">
        <f t="shared" si="185"/>
        <v>#DIV/0!</v>
      </c>
      <c r="AX1789">
        <f t="shared" si="186"/>
        <v>4</v>
      </c>
      <c r="AY1789" s="62" t="e">
        <f t="shared" si="187"/>
        <v>#DIV/0!</v>
      </c>
      <c r="AZ1789" s="68" t="e">
        <f t="shared" si="181"/>
        <v>#DIV/0!</v>
      </c>
      <c r="BA1789" s="68" t="e">
        <f t="shared" si="182"/>
        <v>#DIV/0!</v>
      </c>
    </row>
    <row r="1790" spans="1:53" hidden="1">
      <c r="A1790" t="s">
        <v>908</v>
      </c>
      <c r="B1790" t="s">
        <v>204</v>
      </c>
      <c r="C1790" t="s">
        <v>205</v>
      </c>
      <c r="D1790" s="25">
        <v>11</v>
      </c>
      <c r="E1790" s="25">
        <v>72</v>
      </c>
      <c r="F1790" t="s">
        <v>1241</v>
      </c>
      <c r="G1790" t="s">
        <v>206</v>
      </c>
      <c r="H1790" s="3" t="s">
        <v>870</v>
      </c>
      <c r="I1790">
        <v>2016</v>
      </c>
      <c r="J1790" t="s">
        <v>207</v>
      </c>
      <c r="K1790" t="s">
        <v>111</v>
      </c>
      <c r="L1790" t="s">
        <v>208</v>
      </c>
      <c r="M1790" s="25" t="s">
        <v>74</v>
      </c>
      <c r="N1790" t="s">
        <v>36</v>
      </c>
      <c r="O1790" t="s">
        <v>47</v>
      </c>
      <c r="P1790" t="s">
        <v>60</v>
      </c>
      <c r="Q1790" t="s">
        <v>899</v>
      </c>
      <c r="R1790" t="s">
        <v>828</v>
      </c>
      <c r="S1790" t="s">
        <v>852</v>
      </c>
      <c r="T1790">
        <v>59.855555559999999</v>
      </c>
      <c r="U1790">
        <v>23.26166667</v>
      </c>
      <c r="V1790" t="s">
        <v>905</v>
      </c>
      <c r="W1790" s="25" t="s">
        <v>38</v>
      </c>
      <c r="X1790">
        <v>7</v>
      </c>
      <c r="Y1790" t="s">
        <v>39</v>
      </c>
      <c r="Z1790">
        <v>4</v>
      </c>
      <c r="AA1790">
        <v>4</v>
      </c>
      <c r="AC1790">
        <v>346</v>
      </c>
      <c r="AE1790">
        <v>368</v>
      </c>
      <c r="AG1790">
        <v>620</v>
      </c>
      <c r="AH1790">
        <v>2.565847819</v>
      </c>
      <c r="AI1790">
        <v>14.15</v>
      </c>
      <c r="AJ1790" t="s">
        <v>209</v>
      </c>
      <c r="AK1790" t="s">
        <v>59</v>
      </c>
      <c r="AL1790" s="25" t="s">
        <v>60</v>
      </c>
      <c r="AM1790" t="s">
        <v>61</v>
      </c>
      <c r="AN1790">
        <v>35.2239</v>
      </c>
      <c r="AO1790">
        <v>4.3379370750000001</v>
      </c>
      <c r="AP1790">
        <v>34.328400000000002</v>
      </c>
      <c r="AQ1790">
        <v>5.319669491</v>
      </c>
      <c r="AR1790" t="s">
        <v>44</v>
      </c>
      <c r="AS1790">
        <f t="shared" si="183"/>
        <v>-2.5751829559157446E-2</v>
      </c>
      <c r="AT1790">
        <f t="shared" si="184"/>
        <v>9.7951473468488696E-3</v>
      </c>
      <c r="AW1790" s="28">
        <f t="shared" si="185"/>
        <v>-0.18449886601334881</v>
      </c>
      <c r="AX1790">
        <f t="shared" si="186"/>
        <v>0.86956521739130432</v>
      </c>
      <c r="AY1790" s="62">
        <f t="shared" si="187"/>
        <v>-0.16043379653334677</v>
      </c>
      <c r="AZ1790" s="68" t="str">
        <f t="shared" si="181"/>
        <v>No</v>
      </c>
      <c r="BA1790" s="68" t="str">
        <f t="shared" si="182"/>
        <v>No</v>
      </c>
    </row>
    <row r="1791" spans="1:53" hidden="1">
      <c r="A1791" t="s">
        <v>908</v>
      </c>
      <c r="B1791" t="s">
        <v>210</v>
      </c>
      <c r="C1791" t="s">
        <v>205</v>
      </c>
      <c r="D1791" s="25">
        <v>11</v>
      </c>
      <c r="E1791" s="25">
        <v>73</v>
      </c>
      <c r="F1791" t="s">
        <v>1241</v>
      </c>
      <c r="G1791" t="s">
        <v>206</v>
      </c>
      <c r="H1791" s="3" t="s">
        <v>870</v>
      </c>
      <c r="I1791">
        <v>2016</v>
      </c>
      <c r="J1791" t="s">
        <v>207</v>
      </c>
      <c r="K1791" t="s">
        <v>111</v>
      </c>
      <c r="L1791" t="s">
        <v>208</v>
      </c>
      <c r="M1791" s="25" t="s">
        <v>74</v>
      </c>
      <c r="N1791" t="s">
        <v>36</v>
      </c>
      <c r="O1791" t="s">
        <v>47</v>
      </c>
      <c r="P1791" t="s">
        <v>60</v>
      </c>
      <c r="Q1791" t="s">
        <v>899</v>
      </c>
      <c r="R1791" t="s">
        <v>828</v>
      </c>
      <c r="S1791" t="s">
        <v>852</v>
      </c>
      <c r="T1791">
        <v>59.855555559999999</v>
      </c>
      <c r="U1791">
        <v>23.26166667</v>
      </c>
      <c r="V1791" t="s">
        <v>905</v>
      </c>
      <c r="W1791" s="25" t="s">
        <v>38</v>
      </c>
      <c r="X1791">
        <v>7</v>
      </c>
      <c r="Y1791" t="s">
        <v>39</v>
      </c>
      <c r="Z1791">
        <v>4</v>
      </c>
      <c r="AA1791">
        <v>4</v>
      </c>
      <c r="AC1791">
        <v>346</v>
      </c>
      <c r="AE1791">
        <v>494</v>
      </c>
      <c r="AG1791">
        <v>620</v>
      </c>
      <c r="AH1791">
        <v>2.6937269490000002</v>
      </c>
      <c r="AI1791">
        <v>14.15</v>
      </c>
      <c r="AJ1791" t="s">
        <v>209</v>
      </c>
      <c r="AK1791" t="s">
        <v>59</v>
      </c>
      <c r="AL1791" s="25" t="s">
        <v>60</v>
      </c>
      <c r="AM1791" t="s">
        <v>61</v>
      </c>
      <c r="AN1791">
        <v>35.2239</v>
      </c>
      <c r="AO1791">
        <v>4.3379370750000001</v>
      </c>
      <c r="AP1791">
        <v>31.193999999999999</v>
      </c>
      <c r="AQ1791">
        <v>4.8339500270000002</v>
      </c>
      <c r="AR1791" t="s">
        <v>44</v>
      </c>
      <c r="AS1791">
        <f t="shared" si="183"/>
        <v>-0.12149906084636219</v>
      </c>
      <c r="AT1791">
        <f t="shared" si="184"/>
        <v>9.7951473471826374E-3</v>
      </c>
      <c r="AW1791" s="28">
        <f t="shared" si="185"/>
        <v>-0.87746826748679763</v>
      </c>
      <c r="AX1791">
        <f t="shared" si="186"/>
        <v>0.86956521739130432</v>
      </c>
      <c r="AY1791" s="62">
        <f t="shared" si="187"/>
        <v>-0.76301588477112836</v>
      </c>
      <c r="AZ1791" s="68" t="str">
        <f t="shared" si="181"/>
        <v>No</v>
      </c>
      <c r="BA1791" s="68" t="str">
        <f t="shared" si="182"/>
        <v>No</v>
      </c>
    </row>
    <row r="1792" spans="1:53" hidden="1">
      <c r="A1792" t="s">
        <v>908</v>
      </c>
      <c r="B1792" t="s">
        <v>211</v>
      </c>
      <c r="C1792" t="s">
        <v>205</v>
      </c>
      <c r="D1792" s="25">
        <v>11</v>
      </c>
      <c r="E1792" s="25">
        <v>74</v>
      </c>
      <c r="F1792" t="s">
        <v>1241</v>
      </c>
      <c r="G1792" t="s">
        <v>206</v>
      </c>
      <c r="H1792" s="3" t="s">
        <v>870</v>
      </c>
      <c r="I1792">
        <v>2016</v>
      </c>
      <c r="J1792" t="s">
        <v>207</v>
      </c>
      <c r="K1792" t="s">
        <v>111</v>
      </c>
      <c r="L1792" t="s">
        <v>208</v>
      </c>
      <c r="M1792" s="25" t="s">
        <v>74</v>
      </c>
      <c r="N1792" t="s">
        <v>36</v>
      </c>
      <c r="O1792" t="s">
        <v>47</v>
      </c>
      <c r="P1792" t="s">
        <v>60</v>
      </c>
      <c r="Q1792" t="s">
        <v>899</v>
      </c>
      <c r="R1792" t="s">
        <v>828</v>
      </c>
      <c r="S1792" t="s">
        <v>852</v>
      </c>
      <c r="T1792">
        <v>59.855555559999999</v>
      </c>
      <c r="U1792">
        <v>23.26166667</v>
      </c>
      <c r="V1792" t="s">
        <v>905</v>
      </c>
      <c r="W1792" s="25" t="s">
        <v>38</v>
      </c>
      <c r="X1792">
        <v>7</v>
      </c>
      <c r="Y1792" t="s">
        <v>39</v>
      </c>
      <c r="Z1792">
        <v>4</v>
      </c>
      <c r="AA1792">
        <v>4</v>
      </c>
      <c r="AC1792">
        <v>346</v>
      </c>
      <c r="AE1792">
        <v>868</v>
      </c>
      <c r="AG1792">
        <v>620</v>
      </c>
      <c r="AH1792">
        <v>2.9385197249999999</v>
      </c>
      <c r="AI1792">
        <v>14.15</v>
      </c>
      <c r="AJ1792" t="s">
        <v>209</v>
      </c>
      <c r="AK1792" t="s">
        <v>59</v>
      </c>
      <c r="AL1792" s="25" t="s">
        <v>60</v>
      </c>
      <c r="AM1792" t="s">
        <v>61</v>
      </c>
      <c r="AN1792">
        <v>35.2239</v>
      </c>
      <c r="AO1792">
        <v>4.3379370750000001</v>
      </c>
      <c r="AP1792">
        <v>27.164200000000001</v>
      </c>
      <c r="AQ1792">
        <v>4.2094757109999996</v>
      </c>
      <c r="AR1792" t="s">
        <v>44</v>
      </c>
      <c r="AS1792">
        <f t="shared" si="183"/>
        <v>-0.25982489956564736</v>
      </c>
      <c r="AT1792">
        <f t="shared" si="184"/>
        <v>9.7951473476856048E-3</v>
      </c>
      <c r="AW1792" s="28">
        <f t="shared" si="185"/>
        <v>-1.8856676512014596</v>
      </c>
      <c r="AX1792">
        <f t="shared" si="186"/>
        <v>0.86956521739130432</v>
      </c>
      <c r="AY1792" s="62">
        <f t="shared" si="187"/>
        <v>-1.6397110010447475</v>
      </c>
      <c r="AZ1792" s="68" t="str">
        <f t="shared" si="181"/>
        <v>No</v>
      </c>
      <c r="BA1792" s="68" t="str">
        <f t="shared" si="182"/>
        <v>No</v>
      </c>
    </row>
    <row r="1793" spans="1:53" hidden="1">
      <c r="A1793" t="s">
        <v>908</v>
      </c>
      <c r="B1793" t="s">
        <v>212</v>
      </c>
      <c r="C1793" t="s">
        <v>205</v>
      </c>
      <c r="D1793" s="25">
        <v>11</v>
      </c>
      <c r="E1793" s="25">
        <v>75</v>
      </c>
      <c r="F1793" t="s">
        <v>1241</v>
      </c>
      <c r="G1793" t="s">
        <v>206</v>
      </c>
      <c r="H1793" s="3" t="s">
        <v>870</v>
      </c>
      <c r="I1793">
        <v>2016</v>
      </c>
      <c r="J1793" t="s">
        <v>207</v>
      </c>
      <c r="K1793" t="s">
        <v>111</v>
      </c>
      <c r="L1793" t="s">
        <v>208</v>
      </c>
      <c r="M1793" s="25" t="s">
        <v>74</v>
      </c>
      <c r="N1793" t="s">
        <v>36</v>
      </c>
      <c r="O1793" t="s">
        <v>47</v>
      </c>
      <c r="P1793" t="s">
        <v>60</v>
      </c>
      <c r="Q1793" t="s">
        <v>899</v>
      </c>
      <c r="R1793" t="s">
        <v>828</v>
      </c>
      <c r="S1793" t="s">
        <v>852</v>
      </c>
      <c r="T1793">
        <v>59.855555559999999</v>
      </c>
      <c r="U1793">
        <v>23.26166667</v>
      </c>
      <c r="V1793" t="s">
        <v>905</v>
      </c>
      <c r="W1793" s="25" t="s">
        <v>38</v>
      </c>
      <c r="X1793">
        <v>7</v>
      </c>
      <c r="Y1793" t="s">
        <v>39</v>
      </c>
      <c r="Z1793">
        <v>4</v>
      </c>
      <c r="AA1793">
        <v>4</v>
      </c>
      <c r="AC1793">
        <v>346</v>
      </c>
      <c r="AE1793">
        <v>1075</v>
      </c>
      <c r="AG1793">
        <v>620</v>
      </c>
      <c r="AH1793">
        <v>3.0314084640000001</v>
      </c>
      <c r="AI1793">
        <v>14.15</v>
      </c>
      <c r="AJ1793" t="s">
        <v>209</v>
      </c>
      <c r="AK1793" t="s">
        <v>59</v>
      </c>
      <c r="AL1793" s="25" t="s">
        <v>60</v>
      </c>
      <c r="AM1793" t="s">
        <v>61</v>
      </c>
      <c r="AN1793">
        <v>35.2239</v>
      </c>
      <c r="AO1793">
        <v>4.3379370750000001</v>
      </c>
      <c r="AP1793">
        <v>32.313400000000001</v>
      </c>
      <c r="AQ1793">
        <v>5.007416836</v>
      </c>
      <c r="AR1793" t="s">
        <v>44</v>
      </c>
      <c r="AS1793">
        <f t="shared" si="183"/>
        <v>-8.6242824597169587E-2</v>
      </c>
      <c r="AT1793">
        <f t="shared" si="184"/>
        <v>9.7951473456239155E-3</v>
      </c>
      <c r="AW1793" s="28">
        <f t="shared" si="185"/>
        <v>-0.62128419391079437</v>
      </c>
      <c r="AX1793">
        <f t="shared" si="186"/>
        <v>0.86956521739130432</v>
      </c>
      <c r="AY1793" s="62">
        <f t="shared" si="187"/>
        <v>-0.5402471251398212</v>
      </c>
      <c r="AZ1793" s="68" t="str">
        <f t="shared" si="181"/>
        <v>No</v>
      </c>
      <c r="BA1793" s="68" t="str">
        <f t="shared" si="182"/>
        <v>No</v>
      </c>
    </row>
    <row r="1794" spans="1:53" hidden="1">
      <c r="A1794" t="s">
        <v>908</v>
      </c>
      <c r="B1794" t="s">
        <v>213</v>
      </c>
      <c r="C1794" t="s">
        <v>205</v>
      </c>
      <c r="D1794" s="25">
        <v>11</v>
      </c>
      <c r="E1794" s="25">
        <v>76</v>
      </c>
      <c r="F1794" t="s">
        <v>1241</v>
      </c>
      <c r="G1794" t="s">
        <v>206</v>
      </c>
      <c r="H1794" s="3" t="s">
        <v>870</v>
      </c>
      <c r="I1794">
        <v>2016</v>
      </c>
      <c r="J1794" t="s">
        <v>207</v>
      </c>
      <c r="K1794" t="s">
        <v>111</v>
      </c>
      <c r="L1794" t="s">
        <v>208</v>
      </c>
      <c r="M1794" s="25" t="s">
        <v>74</v>
      </c>
      <c r="N1794" t="s">
        <v>36</v>
      </c>
      <c r="O1794" t="s">
        <v>47</v>
      </c>
      <c r="P1794" t="s">
        <v>60</v>
      </c>
      <c r="Q1794" t="s">
        <v>899</v>
      </c>
      <c r="R1794" t="s">
        <v>828</v>
      </c>
      <c r="S1794" t="s">
        <v>852</v>
      </c>
      <c r="T1794">
        <v>59.855555559999999</v>
      </c>
      <c r="U1794">
        <v>23.26166667</v>
      </c>
      <c r="V1794" t="s">
        <v>905</v>
      </c>
      <c r="W1794" s="25" t="s">
        <v>38</v>
      </c>
      <c r="X1794">
        <v>7</v>
      </c>
      <c r="Y1794" t="s">
        <v>39</v>
      </c>
      <c r="Z1794">
        <v>4</v>
      </c>
      <c r="AA1794">
        <v>4</v>
      </c>
      <c r="AC1794">
        <v>346</v>
      </c>
      <c r="AE1794">
        <v>1333</v>
      </c>
      <c r="AG1794">
        <v>620</v>
      </c>
      <c r="AH1794">
        <v>3.1248301490000001</v>
      </c>
      <c r="AI1794">
        <v>14.15</v>
      </c>
      <c r="AJ1794" t="s">
        <v>209</v>
      </c>
      <c r="AK1794" t="s">
        <v>59</v>
      </c>
      <c r="AL1794" s="25" t="s">
        <v>60</v>
      </c>
      <c r="AM1794" t="s">
        <v>61</v>
      </c>
      <c r="AN1794">
        <v>35.2239</v>
      </c>
      <c r="AO1794">
        <v>4.3379370750000001</v>
      </c>
      <c r="AP1794">
        <v>30.298500000000001</v>
      </c>
      <c r="AQ1794">
        <v>4.6951796779999997</v>
      </c>
      <c r="AR1794" t="s">
        <v>44</v>
      </c>
      <c r="AS1794">
        <f t="shared" si="183"/>
        <v>-0.15062662313657782</v>
      </c>
      <c r="AT1794">
        <f t="shared" si="184"/>
        <v>9.795147345745726E-3</v>
      </c>
      <c r="AW1794" s="28">
        <f t="shared" si="185"/>
        <v>-1.0896687944248848</v>
      </c>
      <c r="AX1794">
        <f t="shared" si="186"/>
        <v>0.86956521739130432</v>
      </c>
      <c r="AY1794" s="62">
        <f t="shared" si="187"/>
        <v>-0.94753808210859547</v>
      </c>
      <c r="AZ1794" s="68" t="str">
        <f t="shared" si="181"/>
        <v>No</v>
      </c>
      <c r="BA1794" s="68" t="str">
        <f t="shared" si="182"/>
        <v>No</v>
      </c>
    </row>
    <row r="1795" spans="1:53" hidden="1">
      <c r="A1795" t="s">
        <v>908</v>
      </c>
      <c r="B1795" t="s">
        <v>214</v>
      </c>
      <c r="C1795" t="s">
        <v>205</v>
      </c>
      <c r="D1795" s="25">
        <v>11</v>
      </c>
      <c r="E1795" s="25">
        <v>77</v>
      </c>
      <c r="F1795" t="s">
        <v>1241</v>
      </c>
      <c r="G1795" t="s">
        <v>206</v>
      </c>
      <c r="H1795" s="3" t="s">
        <v>870</v>
      </c>
      <c r="I1795">
        <v>2016</v>
      </c>
      <c r="J1795" t="s">
        <v>207</v>
      </c>
      <c r="K1795" t="s">
        <v>111</v>
      </c>
      <c r="L1795" t="s">
        <v>208</v>
      </c>
      <c r="M1795" s="25" t="s">
        <v>74</v>
      </c>
      <c r="N1795" t="s">
        <v>36</v>
      </c>
      <c r="O1795" t="s">
        <v>47</v>
      </c>
      <c r="P1795" t="s">
        <v>60</v>
      </c>
      <c r="Q1795" t="s">
        <v>899</v>
      </c>
      <c r="R1795" t="s">
        <v>828</v>
      </c>
      <c r="S1795" t="s">
        <v>852</v>
      </c>
      <c r="T1795">
        <v>59.855555559999999</v>
      </c>
      <c r="U1795">
        <v>23.26166667</v>
      </c>
      <c r="V1795" t="s">
        <v>905</v>
      </c>
      <c r="W1795" s="25" t="s">
        <v>38</v>
      </c>
      <c r="X1795">
        <v>14</v>
      </c>
      <c r="Y1795" t="s">
        <v>39</v>
      </c>
      <c r="Z1795">
        <v>4</v>
      </c>
      <c r="AA1795">
        <v>4</v>
      </c>
      <c r="AC1795">
        <v>346</v>
      </c>
      <c r="AE1795">
        <v>368</v>
      </c>
      <c r="AG1795">
        <v>621</v>
      </c>
      <c r="AH1795">
        <v>2.565847819</v>
      </c>
      <c r="AI1795">
        <v>14.15</v>
      </c>
      <c r="AJ1795" t="s">
        <v>209</v>
      </c>
      <c r="AK1795" t="s">
        <v>59</v>
      </c>
      <c r="AL1795" s="25" t="s">
        <v>60</v>
      </c>
      <c r="AM1795" t="s">
        <v>61</v>
      </c>
      <c r="AN1795">
        <v>61.194000000000003</v>
      </c>
      <c r="AO1795">
        <v>7.5362387850000001</v>
      </c>
      <c r="AP1795">
        <v>51.790999999999997</v>
      </c>
      <c r="AQ1795">
        <v>8.0257455229999994</v>
      </c>
      <c r="AR1795" t="s">
        <v>44</v>
      </c>
      <c r="AS1795">
        <f t="shared" si="183"/>
        <v>-0.16683275650018503</v>
      </c>
      <c r="AT1795">
        <f t="shared" si="184"/>
        <v>9.7951473461791363E-3</v>
      </c>
      <c r="AW1795" s="28">
        <f t="shared" si="185"/>
        <v>-1.2078603130652854</v>
      </c>
      <c r="AX1795">
        <f t="shared" si="186"/>
        <v>0.86956521739130432</v>
      </c>
      <c r="AY1795" s="62">
        <f t="shared" si="187"/>
        <v>-1.0503133157089437</v>
      </c>
      <c r="AZ1795" s="68" t="str">
        <f t="shared" si="181"/>
        <v>No</v>
      </c>
      <c r="BA1795" s="68" t="str">
        <f t="shared" si="182"/>
        <v>No</v>
      </c>
    </row>
    <row r="1796" spans="1:53" hidden="1">
      <c r="A1796" t="s">
        <v>908</v>
      </c>
      <c r="B1796" t="s">
        <v>215</v>
      </c>
      <c r="C1796" t="s">
        <v>205</v>
      </c>
      <c r="D1796" s="25">
        <v>11</v>
      </c>
      <c r="E1796" s="25">
        <v>78</v>
      </c>
      <c r="F1796" t="s">
        <v>1241</v>
      </c>
      <c r="G1796" t="s">
        <v>206</v>
      </c>
      <c r="H1796" s="3" t="s">
        <v>870</v>
      </c>
      <c r="I1796">
        <v>2016</v>
      </c>
      <c r="J1796" t="s">
        <v>207</v>
      </c>
      <c r="K1796" t="s">
        <v>111</v>
      </c>
      <c r="L1796" t="s">
        <v>208</v>
      </c>
      <c r="M1796" s="25" t="s">
        <v>74</v>
      </c>
      <c r="N1796" t="s">
        <v>36</v>
      </c>
      <c r="O1796" t="s">
        <v>47</v>
      </c>
      <c r="P1796" t="s">
        <v>60</v>
      </c>
      <c r="Q1796" t="s">
        <v>899</v>
      </c>
      <c r="R1796" t="s">
        <v>828</v>
      </c>
      <c r="S1796" t="s">
        <v>852</v>
      </c>
      <c r="T1796">
        <v>59.855555559999999</v>
      </c>
      <c r="U1796">
        <v>23.26166667</v>
      </c>
      <c r="V1796" t="s">
        <v>905</v>
      </c>
      <c r="W1796" s="25" t="s">
        <v>38</v>
      </c>
      <c r="X1796">
        <v>14</v>
      </c>
      <c r="Y1796" t="s">
        <v>39</v>
      </c>
      <c r="Z1796">
        <v>4</v>
      </c>
      <c r="AA1796">
        <v>4</v>
      </c>
      <c r="AC1796">
        <v>346</v>
      </c>
      <c r="AE1796">
        <v>494</v>
      </c>
      <c r="AG1796">
        <v>621</v>
      </c>
      <c r="AH1796">
        <v>2.6937269490000002</v>
      </c>
      <c r="AI1796">
        <v>14.15</v>
      </c>
      <c r="AJ1796" t="s">
        <v>209</v>
      </c>
      <c r="AK1796" t="s">
        <v>59</v>
      </c>
      <c r="AL1796" s="25" t="s">
        <v>60</v>
      </c>
      <c r="AM1796" t="s">
        <v>61</v>
      </c>
      <c r="AN1796">
        <v>61.194000000000003</v>
      </c>
      <c r="AO1796">
        <v>7.5362387850000001</v>
      </c>
      <c r="AP1796">
        <v>61.641800000000003</v>
      </c>
      <c r="AQ1796">
        <v>9.5522658450000009</v>
      </c>
      <c r="AR1796" t="s">
        <v>44</v>
      </c>
      <c r="AS1796">
        <f t="shared" si="183"/>
        <v>7.291066346116537E-3</v>
      </c>
      <c r="AT1796">
        <f t="shared" si="184"/>
        <v>9.7951473461484004E-3</v>
      </c>
      <c r="AW1796" s="28">
        <f t="shared" si="185"/>
        <v>5.2048540350577398E-2</v>
      </c>
      <c r="AX1796">
        <f t="shared" si="186"/>
        <v>0.86956521739130432</v>
      </c>
      <c r="AY1796" s="62">
        <f t="shared" si="187"/>
        <v>4.5259600304849913E-2</v>
      </c>
      <c r="AZ1796" s="68" t="str">
        <f t="shared" si="181"/>
        <v>No</v>
      </c>
      <c r="BA1796" s="68" t="str">
        <f t="shared" si="182"/>
        <v>No</v>
      </c>
    </row>
    <row r="1797" spans="1:53" hidden="1">
      <c r="A1797" t="s">
        <v>908</v>
      </c>
      <c r="B1797" t="s">
        <v>216</v>
      </c>
      <c r="C1797" t="s">
        <v>205</v>
      </c>
      <c r="D1797" s="25">
        <v>11</v>
      </c>
      <c r="E1797" s="25">
        <v>79</v>
      </c>
      <c r="F1797" t="s">
        <v>1241</v>
      </c>
      <c r="G1797" t="s">
        <v>206</v>
      </c>
      <c r="H1797" s="3" t="s">
        <v>870</v>
      </c>
      <c r="I1797">
        <v>2016</v>
      </c>
      <c r="J1797" t="s">
        <v>207</v>
      </c>
      <c r="K1797" t="s">
        <v>111</v>
      </c>
      <c r="L1797" t="s">
        <v>208</v>
      </c>
      <c r="M1797" s="25" t="s">
        <v>74</v>
      </c>
      <c r="N1797" t="s">
        <v>36</v>
      </c>
      <c r="O1797" t="s">
        <v>47</v>
      </c>
      <c r="P1797" t="s">
        <v>60</v>
      </c>
      <c r="Q1797" t="s">
        <v>899</v>
      </c>
      <c r="R1797" t="s">
        <v>828</v>
      </c>
      <c r="S1797" t="s">
        <v>852</v>
      </c>
      <c r="T1797">
        <v>59.855555559999999</v>
      </c>
      <c r="U1797">
        <v>23.26166667</v>
      </c>
      <c r="V1797" t="s">
        <v>905</v>
      </c>
      <c r="W1797" s="25" t="s">
        <v>38</v>
      </c>
      <c r="X1797">
        <v>14</v>
      </c>
      <c r="Y1797" t="s">
        <v>39</v>
      </c>
      <c r="Z1797">
        <v>4</v>
      </c>
      <c r="AA1797">
        <v>4</v>
      </c>
      <c r="AC1797">
        <v>346</v>
      </c>
      <c r="AE1797">
        <v>868</v>
      </c>
      <c r="AG1797">
        <v>621</v>
      </c>
      <c r="AH1797">
        <v>2.9385197249999999</v>
      </c>
      <c r="AI1797">
        <v>14.15</v>
      </c>
      <c r="AJ1797" t="s">
        <v>209</v>
      </c>
      <c r="AK1797" t="s">
        <v>59</v>
      </c>
      <c r="AL1797" s="25" t="s">
        <v>60</v>
      </c>
      <c r="AM1797" t="s">
        <v>61</v>
      </c>
      <c r="AN1797">
        <v>61.194000000000003</v>
      </c>
      <c r="AO1797">
        <v>7.5362387850000001</v>
      </c>
      <c r="AP1797">
        <v>57.611899999999999</v>
      </c>
      <c r="AQ1797">
        <v>8.9277760320000006</v>
      </c>
      <c r="AR1797" t="s">
        <v>44</v>
      </c>
      <c r="AS1797">
        <f t="shared" si="183"/>
        <v>-6.0320001910635135E-2</v>
      </c>
      <c r="AT1797">
        <f t="shared" si="184"/>
        <v>9.7951473455763806E-3</v>
      </c>
      <c r="AW1797" s="28">
        <f t="shared" si="185"/>
        <v>-0.43359698204871999</v>
      </c>
      <c r="AX1797">
        <f t="shared" si="186"/>
        <v>0.86956521739130432</v>
      </c>
      <c r="AY1797" s="62">
        <f t="shared" si="187"/>
        <v>-0.37704085395540871</v>
      </c>
      <c r="AZ1797" s="68" t="str">
        <f t="shared" si="181"/>
        <v>No</v>
      </c>
      <c r="BA1797" s="68" t="str">
        <f t="shared" si="182"/>
        <v>No</v>
      </c>
    </row>
    <row r="1798" spans="1:53" hidden="1">
      <c r="A1798" t="s">
        <v>908</v>
      </c>
      <c r="B1798" t="s">
        <v>217</v>
      </c>
      <c r="C1798" t="s">
        <v>205</v>
      </c>
      <c r="D1798" s="25">
        <v>11</v>
      </c>
      <c r="E1798" s="25">
        <v>80</v>
      </c>
      <c r="F1798" t="s">
        <v>1241</v>
      </c>
      <c r="G1798" t="s">
        <v>206</v>
      </c>
      <c r="H1798" s="3" t="s">
        <v>870</v>
      </c>
      <c r="I1798">
        <v>2016</v>
      </c>
      <c r="J1798" t="s">
        <v>207</v>
      </c>
      <c r="K1798" t="s">
        <v>111</v>
      </c>
      <c r="L1798" t="s">
        <v>208</v>
      </c>
      <c r="M1798" s="25" t="s">
        <v>74</v>
      </c>
      <c r="N1798" t="s">
        <v>36</v>
      </c>
      <c r="O1798" t="s">
        <v>47</v>
      </c>
      <c r="P1798" t="s">
        <v>60</v>
      </c>
      <c r="Q1798" t="s">
        <v>899</v>
      </c>
      <c r="R1798" t="s">
        <v>828</v>
      </c>
      <c r="S1798" t="s">
        <v>852</v>
      </c>
      <c r="T1798">
        <v>59.855555559999999</v>
      </c>
      <c r="U1798">
        <v>23.26166667</v>
      </c>
      <c r="V1798" t="s">
        <v>905</v>
      </c>
      <c r="W1798" s="25" t="s">
        <v>38</v>
      </c>
      <c r="X1798">
        <v>14</v>
      </c>
      <c r="Y1798" t="s">
        <v>39</v>
      </c>
      <c r="Z1798">
        <v>4</v>
      </c>
      <c r="AA1798">
        <v>4</v>
      </c>
      <c r="AC1798">
        <v>346</v>
      </c>
      <c r="AE1798">
        <v>1075</v>
      </c>
      <c r="AG1798">
        <v>621</v>
      </c>
      <c r="AH1798">
        <v>3.0314084640000001</v>
      </c>
      <c r="AI1798">
        <v>14.15</v>
      </c>
      <c r="AJ1798" t="s">
        <v>209</v>
      </c>
      <c r="AK1798" t="s">
        <v>59</v>
      </c>
      <c r="AL1798" s="25" t="s">
        <v>60</v>
      </c>
      <c r="AM1798" t="s">
        <v>61</v>
      </c>
      <c r="AN1798">
        <v>61.194000000000003</v>
      </c>
      <c r="AO1798">
        <v>7.5362387850000001</v>
      </c>
      <c r="AP1798">
        <v>76.641800000000003</v>
      </c>
      <c r="AQ1798">
        <v>11.87672729</v>
      </c>
      <c r="AR1798" t="s">
        <v>44</v>
      </c>
      <c r="AS1798">
        <f t="shared" si="183"/>
        <v>0.22509347432043025</v>
      </c>
      <c r="AT1798">
        <f t="shared" si="184"/>
        <v>9.7951473432848699E-3</v>
      </c>
      <c r="AW1798" s="28">
        <f t="shared" si="185"/>
        <v>1.5531446737005927</v>
      </c>
      <c r="AX1798">
        <f t="shared" si="186"/>
        <v>0.86956521739130432</v>
      </c>
      <c r="AY1798" s="62">
        <f t="shared" si="187"/>
        <v>1.3505605858266023</v>
      </c>
      <c r="AZ1798" s="68" t="str">
        <f t="shared" si="181"/>
        <v>No</v>
      </c>
      <c r="BA1798" s="68" t="str">
        <f t="shared" si="182"/>
        <v>No</v>
      </c>
    </row>
    <row r="1799" spans="1:53" hidden="1">
      <c r="A1799" t="s">
        <v>908</v>
      </c>
      <c r="B1799" t="s">
        <v>218</v>
      </c>
      <c r="C1799" t="s">
        <v>205</v>
      </c>
      <c r="D1799" s="25">
        <v>11</v>
      </c>
      <c r="E1799" s="25">
        <v>81</v>
      </c>
      <c r="F1799" t="s">
        <v>1241</v>
      </c>
      <c r="G1799" t="s">
        <v>206</v>
      </c>
      <c r="H1799" s="3" t="s">
        <v>870</v>
      </c>
      <c r="I1799">
        <v>2016</v>
      </c>
      <c r="J1799" t="s">
        <v>207</v>
      </c>
      <c r="K1799" t="s">
        <v>111</v>
      </c>
      <c r="L1799" t="s">
        <v>208</v>
      </c>
      <c r="M1799" s="25" t="s">
        <v>74</v>
      </c>
      <c r="N1799" t="s">
        <v>36</v>
      </c>
      <c r="O1799" t="s">
        <v>47</v>
      </c>
      <c r="P1799" t="s">
        <v>60</v>
      </c>
      <c r="Q1799" t="s">
        <v>899</v>
      </c>
      <c r="R1799" t="s">
        <v>828</v>
      </c>
      <c r="S1799" t="s">
        <v>852</v>
      </c>
      <c r="T1799">
        <v>59.855555559999999</v>
      </c>
      <c r="U1799">
        <v>23.26166667</v>
      </c>
      <c r="V1799" t="s">
        <v>905</v>
      </c>
      <c r="W1799" s="25" t="s">
        <v>38</v>
      </c>
      <c r="X1799">
        <v>14</v>
      </c>
      <c r="Y1799" t="s">
        <v>39</v>
      </c>
      <c r="Z1799">
        <v>4</v>
      </c>
      <c r="AA1799">
        <v>4</v>
      </c>
      <c r="AC1799">
        <v>346</v>
      </c>
      <c r="AE1799">
        <v>1333</v>
      </c>
      <c r="AG1799">
        <v>621</v>
      </c>
      <c r="AH1799">
        <v>3.1248301490000001</v>
      </c>
      <c r="AI1799">
        <v>14.15</v>
      </c>
      <c r="AJ1799" t="s">
        <v>209</v>
      </c>
      <c r="AK1799" t="s">
        <v>59</v>
      </c>
      <c r="AL1799" s="25" t="s">
        <v>60</v>
      </c>
      <c r="AM1799" t="s">
        <v>61</v>
      </c>
      <c r="AN1799">
        <v>61.194000000000003</v>
      </c>
      <c r="AO1799">
        <v>7.5362387850000001</v>
      </c>
      <c r="AP1799">
        <v>56.4925</v>
      </c>
      <c r="AQ1799">
        <v>8.7543092219999998</v>
      </c>
      <c r="AR1799" t="s">
        <v>44</v>
      </c>
      <c r="AS1799">
        <f t="shared" si="183"/>
        <v>-7.9941259518052199E-2</v>
      </c>
      <c r="AT1799">
        <f t="shared" si="184"/>
        <v>9.7951473450807684E-3</v>
      </c>
      <c r="AW1799" s="28">
        <f t="shared" si="185"/>
        <v>-0.57559908895407219</v>
      </c>
      <c r="AX1799">
        <f t="shared" si="186"/>
        <v>0.86956521739130432</v>
      </c>
      <c r="AY1799" s="62">
        <f t="shared" si="187"/>
        <v>-0.50052094691658455</v>
      </c>
      <c r="AZ1799" s="68" t="str">
        <f t="shared" si="181"/>
        <v>No</v>
      </c>
      <c r="BA1799" s="68" t="str">
        <f t="shared" si="182"/>
        <v>No</v>
      </c>
    </row>
    <row r="1800" spans="1:53" hidden="1">
      <c r="A1800" t="s">
        <v>908</v>
      </c>
      <c r="B1800" t="s">
        <v>219</v>
      </c>
      <c r="C1800" t="s">
        <v>205</v>
      </c>
      <c r="D1800" s="25">
        <v>11</v>
      </c>
      <c r="E1800" s="25">
        <v>82</v>
      </c>
      <c r="F1800" t="s">
        <v>1241</v>
      </c>
      <c r="G1800" t="s">
        <v>206</v>
      </c>
      <c r="H1800" s="3" t="s">
        <v>870</v>
      </c>
      <c r="I1800">
        <v>2016</v>
      </c>
      <c r="J1800" t="s">
        <v>207</v>
      </c>
      <c r="K1800" t="s">
        <v>111</v>
      </c>
      <c r="L1800" t="s">
        <v>208</v>
      </c>
      <c r="M1800" s="25" t="s">
        <v>74</v>
      </c>
      <c r="N1800" t="s">
        <v>36</v>
      </c>
      <c r="O1800" t="s">
        <v>47</v>
      </c>
      <c r="P1800" t="s">
        <v>60</v>
      </c>
      <c r="Q1800" t="s">
        <v>899</v>
      </c>
      <c r="R1800" t="s">
        <v>828</v>
      </c>
      <c r="S1800" t="s">
        <v>4976</v>
      </c>
      <c r="T1800">
        <v>59.855555559999999</v>
      </c>
      <c r="U1800">
        <v>23.26166667</v>
      </c>
      <c r="V1800" t="s">
        <v>905</v>
      </c>
      <c r="W1800" s="25" t="s">
        <v>38</v>
      </c>
      <c r="X1800">
        <v>21</v>
      </c>
      <c r="Y1800" t="s">
        <v>39</v>
      </c>
      <c r="Z1800">
        <v>4</v>
      </c>
      <c r="AA1800">
        <v>4</v>
      </c>
      <c r="AC1800">
        <v>346</v>
      </c>
      <c r="AE1800">
        <v>368</v>
      </c>
      <c r="AG1800">
        <v>622</v>
      </c>
      <c r="AH1800">
        <v>2.565847819</v>
      </c>
      <c r="AI1800">
        <v>14.15</v>
      </c>
      <c r="AJ1800" t="s">
        <v>209</v>
      </c>
      <c r="AK1800" t="s">
        <v>59</v>
      </c>
      <c r="AL1800" s="25" t="s">
        <v>60</v>
      </c>
      <c r="AM1800" t="s">
        <v>61</v>
      </c>
      <c r="AN1800">
        <v>47.537300000000002</v>
      </c>
      <c r="AO1800">
        <v>5.8543720629999996</v>
      </c>
      <c r="AP1800">
        <v>35.671599999999998</v>
      </c>
      <c r="AQ1800">
        <v>5.5278172650000004</v>
      </c>
      <c r="AR1800" t="s">
        <v>44</v>
      </c>
      <c r="AS1800">
        <f t="shared" si="183"/>
        <v>-0.28715981205490237</v>
      </c>
      <c r="AT1800">
        <f t="shared" si="184"/>
        <v>9.7951473456769494E-3</v>
      </c>
      <c r="AW1800" s="28">
        <f t="shared" si="185"/>
        <v>-2.0841016175171876</v>
      </c>
      <c r="AX1800">
        <f t="shared" si="186"/>
        <v>0.86956521739130432</v>
      </c>
      <c r="AY1800" s="62">
        <f t="shared" si="187"/>
        <v>-1.8122622761019023</v>
      </c>
      <c r="AZ1800" s="68" t="str">
        <f t="shared" si="181"/>
        <v>No</v>
      </c>
      <c r="BA1800" s="68" t="str">
        <f t="shared" si="182"/>
        <v>No</v>
      </c>
    </row>
    <row r="1801" spans="1:53" hidden="1">
      <c r="A1801" t="s">
        <v>908</v>
      </c>
      <c r="B1801" t="s">
        <v>220</v>
      </c>
      <c r="C1801" t="s">
        <v>205</v>
      </c>
      <c r="D1801" s="25">
        <v>11</v>
      </c>
      <c r="E1801" s="25">
        <v>83</v>
      </c>
      <c r="F1801" t="s">
        <v>1241</v>
      </c>
      <c r="G1801" t="s">
        <v>206</v>
      </c>
      <c r="H1801" s="3" t="s">
        <v>870</v>
      </c>
      <c r="I1801">
        <v>2016</v>
      </c>
      <c r="J1801" t="s">
        <v>207</v>
      </c>
      <c r="K1801" t="s">
        <v>111</v>
      </c>
      <c r="L1801" t="s">
        <v>208</v>
      </c>
      <c r="M1801" s="25" t="s">
        <v>74</v>
      </c>
      <c r="N1801" t="s">
        <v>36</v>
      </c>
      <c r="O1801" t="s">
        <v>47</v>
      </c>
      <c r="P1801" t="s">
        <v>60</v>
      </c>
      <c r="Q1801" t="s">
        <v>899</v>
      </c>
      <c r="R1801" t="s">
        <v>828</v>
      </c>
      <c r="S1801" t="s">
        <v>852</v>
      </c>
      <c r="T1801">
        <v>59.855555559999999</v>
      </c>
      <c r="U1801">
        <v>23.26166667</v>
      </c>
      <c r="V1801" t="s">
        <v>905</v>
      </c>
      <c r="W1801" s="25" t="s">
        <v>38</v>
      </c>
      <c r="X1801">
        <v>21</v>
      </c>
      <c r="Y1801" t="s">
        <v>39</v>
      </c>
      <c r="Z1801">
        <v>4</v>
      </c>
      <c r="AA1801">
        <v>4</v>
      </c>
      <c r="AC1801">
        <v>346</v>
      </c>
      <c r="AE1801">
        <v>494</v>
      </c>
      <c r="AG1801">
        <v>622</v>
      </c>
      <c r="AH1801">
        <v>2.6937269490000002</v>
      </c>
      <c r="AI1801">
        <v>14.15</v>
      </c>
      <c r="AJ1801" t="s">
        <v>209</v>
      </c>
      <c r="AK1801" t="s">
        <v>59</v>
      </c>
      <c r="AL1801" s="25" t="s">
        <v>60</v>
      </c>
      <c r="AM1801" t="s">
        <v>61</v>
      </c>
      <c r="AN1801">
        <v>47.537300000000002</v>
      </c>
      <c r="AO1801">
        <v>5.8543720629999996</v>
      </c>
      <c r="AP1801">
        <v>29.402999999999999</v>
      </c>
      <c r="AQ1801">
        <v>4.5564093300000001</v>
      </c>
      <c r="AR1801" t="s">
        <v>44</v>
      </c>
      <c r="AS1801">
        <f t="shared" si="183"/>
        <v>-0.48041795608553706</v>
      </c>
      <c r="AT1801">
        <f t="shared" si="184"/>
        <v>9.795147346654513E-3</v>
      </c>
      <c r="AW1801" s="28">
        <f t="shared" si="185"/>
        <v>-3.4569900573882881</v>
      </c>
      <c r="AX1801">
        <f t="shared" si="186"/>
        <v>0.86956521739130432</v>
      </c>
      <c r="AY1801" s="62">
        <f t="shared" si="187"/>
        <v>-3.0060783107724243</v>
      </c>
      <c r="AZ1801" s="68" t="str">
        <f t="shared" si="181"/>
        <v>No</v>
      </c>
      <c r="BA1801" s="68" t="str">
        <f t="shared" si="182"/>
        <v>No</v>
      </c>
    </row>
    <row r="1802" spans="1:53" hidden="1">
      <c r="A1802" t="s">
        <v>908</v>
      </c>
      <c r="B1802" t="s">
        <v>221</v>
      </c>
      <c r="C1802" t="s">
        <v>205</v>
      </c>
      <c r="D1802" s="25">
        <v>11</v>
      </c>
      <c r="E1802" s="25">
        <v>84</v>
      </c>
      <c r="F1802" t="s">
        <v>1241</v>
      </c>
      <c r="G1802" t="s">
        <v>206</v>
      </c>
      <c r="H1802" s="3" t="s">
        <v>870</v>
      </c>
      <c r="I1802">
        <v>2016</v>
      </c>
      <c r="J1802" t="s">
        <v>207</v>
      </c>
      <c r="K1802" t="s">
        <v>111</v>
      </c>
      <c r="L1802" t="s">
        <v>208</v>
      </c>
      <c r="M1802" s="25" t="s">
        <v>74</v>
      </c>
      <c r="N1802" t="s">
        <v>36</v>
      </c>
      <c r="O1802" t="s">
        <v>47</v>
      </c>
      <c r="P1802" t="s">
        <v>60</v>
      </c>
      <c r="Q1802" t="s">
        <v>899</v>
      </c>
      <c r="R1802" t="s">
        <v>828</v>
      </c>
      <c r="S1802" t="s">
        <v>852</v>
      </c>
      <c r="T1802">
        <v>59.855555559999999</v>
      </c>
      <c r="U1802">
        <v>23.26166667</v>
      </c>
      <c r="V1802" t="s">
        <v>905</v>
      </c>
      <c r="W1802" s="25" t="s">
        <v>38</v>
      </c>
      <c r="X1802">
        <v>21</v>
      </c>
      <c r="Y1802" t="s">
        <v>39</v>
      </c>
      <c r="Z1802">
        <v>4</v>
      </c>
      <c r="AA1802">
        <v>4</v>
      </c>
      <c r="AC1802">
        <v>346</v>
      </c>
      <c r="AE1802">
        <v>868</v>
      </c>
      <c r="AG1802">
        <v>622</v>
      </c>
      <c r="AH1802">
        <v>2.9385197249999999</v>
      </c>
      <c r="AI1802">
        <v>14.15</v>
      </c>
      <c r="AJ1802" t="s">
        <v>209</v>
      </c>
      <c r="AK1802" t="s">
        <v>59</v>
      </c>
      <c r="AL1802" s="25" t="s">
        <v>60</v>
      </c>
      <c r="AM1802" t="s">
        <v>61</v>
      </c>
      <c r="AN1802">
        <v>47.537300000000002</v>
      </c>
      <c r="AO1802">
        <v>5.8543720629999996</v>
      </c>
      <c r="AP1802">
        <v>36.790999999999997</v>
      </c>
      <c r="AQ1802">
        <v>5.7012840750000002</v>
      </c>
      <c r="AR1802" t="s">
        <v>44</v>
      </c>
      <c r="AS1802">
        <f t="shared" si="183"/>
        <v>-0.2562614159941452</v>
      </c>
      <c r="AT1802">
        <f t="shared" si="184"/>
        <v>9.7951473464536042E-3</v>
      </c>
      <c r="AW1802" s="28">
        <f t="shared" si="185"/>
        <v>-1.8597571567484468</v>
      </c>
      <c r="AX1802">
        <f t="shared" si="186"/>
        <v>0.86956521739130432</v>
      </c>
      <c r="AY1802" s="62">
        <f t="shared" si="187"/>
        <v>-1.6171801363029972</v>
      </c>
      <c r="AZ1802" s="68" t="str">
        <f t="shared" si="181"/>
        <v>No</v>
      </c>
      <c r="BA1802" s="68" t="str">
        <f t="shared" si="182"/>
        <v>No</v>
      </c>
    </row>
    <row r="1803" spans="1:53" hidden="1">
      <c r="A1803" t="s">
        <v>908</v>
      </c>
      <c r="B1803" t="s">
        <v>222</v>
      </c>
      <c r="C1803" t="s">
        <v>205</v>
      </c>
      <c r="D1803" s="25">
        <v>11</v>
      </c>
      <c r="E1803" s="25">
        <v>85</v>
      </c>
      <c r="F1803" t="s">
        <v>1241</v>
      </c>
      <c r="G1803" t="s">
        <v>206</v>
      </c>
      <c r="H1803" s="3" t="s">
        <v>870</v>
      </c>
      <c r="I1803">
        <v>2016</v>
      </c>
      <c r="J1803" t="s">
        <v>207</v>
      </c>
      <c r="K1803" t="s">
        <v>111</v>
      </c>
      <c r="L1803" t="s">
        <v>208</v>
      </c>
      <c r="M1803" s="25" t="s">
        <v>74</v>
      </c>
      <c r="N1803" t="s">
        <v>36</v>
      </c>
      <c r="O1803" t="s">
        <v>47</v>
      </c>
      <c r="P1803" t="s">
        <v>60</v>
      </c>
      <c r="Q1803" t="s">
        <v>899</v>
      </c>
      <c r="R1803" t="s">
        <v>828</v>
      </c>
      <c r="S1803" t="s">
        <v>852</v>
      </c>
      <c r="T1803">
        <v>59.855555559999999</v>
      </c>
      <c r="U1803">
        <v>23.26166667</v>
      </c>
      <c r="V1803" t="s">
        <v>905</v>
      </c>
      <c r="W1803" s="25" t="s">
        <v>38</v>
      </c>
      <c r="X1803">
        <v>21</v>
      </c>
      <c r="Y1803" t="s">
        <v>39</v>
      </c>
      <c r="Z1803">
        <v>4</v>
      </c>
      <c r="AA1803">
        <v>4</v>
      </c>
      <c r="AC1803">
        <v>346</v>
      </c>
      <c r="AE1803">
        <v>1075</v>
      </c>
      <c r="AG1803">
        <v>622</v>
      </c>
      <c r="AH1803">
        <v>3.0314084640000001</v>
      </c>
      <c r="AI1803">
        <v>14.15</v>
      </c>
      <c r="AJ1803" t="s">
        <v>209</v>
      </c>
      <c r="AK1803" t="s">
        <v>59</v>
      </c>
      <c r="AL1803" s="25" t="s">
        <v>60</v>
      </c>
      <c r="AM1803" t="s">
        <v>61</v>
      </c>
      <c r="AN1803">
        <v>47.537300000000002</v>
      </c>
      <c r="AO1803">
        <v>5.8543720629999996</v>
      </c>
      <c r="AP1803">
        <v>68.134299999999996</v>
      </c>
      <c r="AQ1803">
        <v>10.55837024</v>
      </c>
      <c r="AR1803" t="s">
        <v>44</v>
      </c>
      <c r="AS1803">
        <f t="shared" si="183"/>
        <v>0.35996609138703084</v>
      </c>
      <c r="AT1803">
        <f t="shared" si="184"/>
        <v>9.7951473448638447E-3</v>
      </c>
      <c r="AW1803" s="28">
        <f t="shared" si="185"/>
        <v>2.412739490197469</v>
      </c>
      <c r="AX1803">
        <f t="shared" si="186"/>
        <v>0.86956521739130432</v>
      </c>
      <c r="AY1803" s="62">
        <f t="shared" si="187"/>
        <v>2.098034339302147</v>
      </c>
      <c r="AZ1803" s="68" t="str">
        <f t="shared" si="181"/>
        <v>No</v>
      </c>
      <c r="BA1803" s="68" t="str">
        <f t="shared" si="182"/>
        <v>No</v>
      </c>
    </row>
    <row r="1804" spans="1:53" hidden="1">
      <c r="A1804" t="s">
        <v>908</v>
      </c>
      <c r="B1804" t="s">
        <v>223</v>
      </c>
      <c r="C1804" t="s">
        <v>205</v>
      </c>
      <c r="D1804" s="25">
        <v>11</v>
      </c>
      <c r="E1804" s="25">
        <v>86</v>
      </c>
      <c r="F1804" t="s">
        <v>1241</v>
      </c>
      <c r="G1804" t="s">
        <v>206</v>
      </c>
      <c r="H1804" s="3" t="s">
        <v>870</v>
      </c>
      <c r="I1804">
        <v>2016</v>
      </c>
      <c r="J1804" t="s">
        <v>207</v>
      </c>
      <c r="K1804" t="s">
        <v>111</v>
      </c>
      <c r="L1804" t="s">
        <v>208</v>
      </c>
      <c r="M1804" s="25" t="s">
        <v>74</v>
      </c>
      <c r="N1804" t="s">
        <v>36</v>
      </c>
      <c r="O1804" t="s">
        <v>47</v>
      </c>
      <c r="P1804" t="s">
        <v>60</v>
      </c>
      <c r="Q1804" t="s">
        <v>899</v>
      </c>
      <c r="R1804" t="s">
        <v>828</v>
      </c>
      <c r="S1804" t="s">
        <v>852</v>
      </c>
      <c r="T1804">
        <v>59.855555559999999</v>
      </c>
      <c r="U1804">
        <v>23.26166667</v>
      </c>
      <c r="V1804" t="s">
        <v>905</v>
      </c>
      <c r="W1804" s="25" t="s">
        <v>38</v>
      </c>
      <c r="X1804">
        <v>21</v>
      </c>
      <c r="Y1804" t="s">
        <v>39</v>
      </c>
      <c r="Z1804">
        <v>4</v>
      </c>
      <c r="AA1804">
        <v>4</v>
      </c>
      <c r="AC1804">
        <v>346</v>
      </c>
      <c r="AE1804">
        <v>1333</v>
      </c>
      <c r="AG1804">
        <v>622</v>
      </c>
      <c r="AH1804">
        <v>3.1248301490000001</v>
      </c>
      <c r="AI1804">
        <v>14.15</v>
      </c>
      <c r="AJ1804" t="s">
        <v>209</v>
      </c>
      <c r="AK1804" t="s">
        <v>59</v>
      </c>
      <c r="AL1804" s="25" t="s">
        <v>60</v>
      </c>
      <c r="AM1804" t="s">
        <v>61</v>
      </c>
      <c r="AN1804">
        <v>47.537300000000002</v>
      </c>
      <c r="AO1804">
        <v>5.8543720629999996</v>
      </c>
      <c r="AP1804">
        <v>42.164200000000001</v>
      </c>
      <c r="AQ1804">
        <v>6.5339371579999996</v>
      </c>
      <c r="AR1804" t="s">
        <v>44</v>
      </c>
      <c r="AS1804">
        <f t="shared" si="183"/>
        <v>-0.11994314627601588</v>
      </c>
      <c r="AT1804">
        <f t="shared" si="184"/>
        <v>9.7951473456975441E-3</v>
      </c>
      <c r="AW1804" s="28">
        <f t="shared" si="185"/>
        <v>-0.86614468187748694</v>
      </c>
      <c r="AX1804">
        <f t="shared" si="186"/>
        <v>0.86956521739130432</v>
      </c>
      <c r="AY1804" s="62">
        <f t="shared" si="187"/>
        <v>-0.75316928858911902</v>
      </c>
      <c r="AZ1804" s="68" t="str">
        <f t="shared" si="181"/>
        <v>No</v>
      </c>
      <c r="BA1804" s="68" t="str">
        <f t="shared" si="182"/>
        <v>No</v>
      </c>
    </row>
    <row r="1805" spans="1:53" hidden="1">
      <c r="A1805" t="s">
        <v>908</v>
      </c>
      <c r="B1805" t="s">
        <v>224</v>
      </c>
      <c r="C1805" t="s">
        <v>205</v>
      </c>
      <c r="D1805" s="25">
        <v>11</v>
      </c>
      <c r="E1805" s="25">
        <v>87</v>
      </c>
      <c r="F1805" t="s">
        <v>1241</v>
      </c>
      <c r="G1805" t="s">
        <v>206</v>
      </c>
      <c r="H1805" s="3" t="s">
        <v>870</v>
      </c>
      <c r="I1805">
        <v>2016</v>
      </c>
      <c r="J1805" t="s">
        <v>207</v>
      </c>
      <c r="K1805" t="s">
        <v>111</v>
      </c>
      <c r="L1805" t="s">
        <v>208</v>
      </c>
      <c r="M1805" s="25" t="s">
        <v>74</v>
      </c>
      <c r="N1805" t="s">
        <v>36</v>
      </c>
      <c r="O1805" t="s">
        <v>47</v>
      </c>
      <c r="P1805" t="s">
        <v>60</v>
      </c>
      <c r="Q1805" t="s">
        <v>899</v>
      </c>
      <c r="R1805" t="s">
        <v>828</v>
      </c>
      <c r="S1805" t="s">
        <v>852</v>
      </c>
      <c r="T1805">
        <v>59.855555559999999</v>
      </c>
      <c r="U1805">
        <v>23.26166667</v>
      </c>
      <c r="V1805" t="s">
        <v>905</v>
      </c>
      <c r="W1805" s="25" t="s">
        <v>38</v>
      </c>
      <c r="X1805">
        <v>28</v>
      </c>
      <c r="Y1805" t="s">
        <v>39</v>
      </c>
      <c r="Z1805">
        <v>4</v>
      </c>
      <c r="AA1805">
        <v>4</v>
      </c>
      <c r="AC1805">
        <v>346</v>
      </c>
      <c r="AE1805">
        <v>368</v>
      </c>
      <c r="AG1805">
        <v>623</v>
      </c>
      <c r="AH1805">
        <v>2.565847819</v>
      </c>
      <c r="AI1805">
        <v>14.15</v>
      </c>
      <c r="AJ1805" t="s">
        <v>209</v>
      </c>
      <c r="AK1805" t="s">
        <v>59</v>
      </c>
      <c r="AL1805" s="25" t="s">
        <v>60</v>
      </c>
      <c r="AM1805" t="s">
        <v>61</v>
      </c>
      <c r="AN1805">
        <v>22.238800000000001</v>
      </c>
      <c r="AO1805">
        <v>2.738780062</v>
      </c>
      <c r="AP1805">
        <v>21.343299999999999</v>
      </c>
      <c r="AQ1805">
        <v>3.3074452010000002</v>
      </c>
      <c r="AR1805" t="s">
        <v>44</v>
      </c>
      <c r="AS1805">
        <f t="shared" si="183"/>
        <v>-4.1100637998666922E-2</v>
      </c>
      <c r="AT1805">
        <f t="shared" si="184"/>
        <v>9.7951473460569129E-3</v>
      </c>
      <c r="AW1805" s="28">
        <f t="shared" si="185"/>
        <v>-0.29491633928317751</v>
      </c>
      <c r="AX1805">
        <f t="shared" si="186"/>
        <v>0.86956521739130432</v>
      </c>
      <c r="AY1805" s="62">
        <f t="shared" si="187"/>
        <v>-0.25644899068102389</v>
      </c>
      <c r="AZ1805" s="68" t="str">
        <f t="shared" si="181"/>
        <v>No</v>
      </c>
      <c r="BA1805" s="68" t="str">
        <f t="shared" si="182"/>
        <v>No</v>
      </c>
    </row>
    <row r="1806" spans="1:53" hidden="1">
      <c r="A1806" t="s">
        <v>908</v>
      </c>
      <c r="B1806" t="s">
        <v>225</v>
      </c>
      <c r="C1806" t="s">
        <v>205</v>
      </c>
      <c r="D1806" s="25">
        <v>11</v>
      </c>
      <c r="E1806" s="25">
        <v>88</v>
      </c>
      <c r="F1806" t="s">
        <v>1241</v>
      </c>
      <c r="G1806" t="s">
        <v>206</v>
      </c>
      <c r="H1806" s="3" t="s">
        <v>870</v>
      </c>
      <c r="I1806">
        <v>2016</v>
      </c>
      <c r="J1806" t="s">
        <v>207</v>
      </c>
      <c r="K1806" t="s">
        <v>111</v>
      </c>
      <c r="L1806" t="s">
        <v>208</v>
      </c>
      <c r="M1806" s="25" t="s">
        <v>74</v>
      </c>
      <c r="N1806" t="s">
        <v>36</v>
      </c>
      <c r="O1806" t="s">
        <v>47</v>
      </c>
      <c r="P1806" t="s">
        <v>60</v>
      </c>
      <c r="Q1806" t="s">
        <v>899</v>
      </c>
      <c r="R1806" t="s">
        <v>828</v>
      </c>
      <c r="S1806" t="s">
        <v>852</v>
      </c>
      <c r="T1806">
        <v>59.855555559999999</v>
      </c>
      <c r="U1806">
        <v>23.26166667</v>
      </c>
      <c r="V1806" t="s">
        <v>905</v>
      </c>
      <c r="W1806" s="25" t="s">
        <v>38</v>
      </c>
      <c r="X1806">
        <v>28</v>
      </c>
      <c r="Y1806" t="s">
        <v>39</v>
      </c>
      <c r="Z1806">
        <v>4</v>
      </c>
      <c r="AA1806">
        <v>4</v>
      </c>
      <c r="AC1806">
        <v>346</v>
      </c>
      <c r="AE1806">
        <v>494</v>
      </c>
      <c r="AG1806">
        <v>623</v>
      </c>
      <c r="AH1806">
        <v>2.6937269490000002</v>
      </c>
      <c r="AI1806">
        <v>14.15</v>
      </c>
      <c r="AJ1806" t="s">
        <v>209</v>
      </c>
      <c r="AK1806" t="s">
        <v>59</v>
      </c>
      <c r="AL1806" s="25" t="s">
        <v>60</v>
      </c>
      <c r="AM1806" t="s">
        <v>61</v>
      </c>
      <c r="AN1806">
        <v>22.238800000000001</v>
      </c>
      <c r="AO1806">
        <v>2.738780062</v>
      </c>
      <c r="AP1806">
        <v>23.806000000000001</v>
      </c>
      <c r="AQ1806">
        <v>3.6890752820000001</v>
      </c>
      <c r="AR1806" t="s">
        <v>44</v>
      </c>
      <c r="AS1806">
        <f t="shared" si="183"/>
        <v>6.8099138653560765E-2</v>
      </c>
      <c r="AT1806">
        <f t="shared" si="184"/>
        <v>9.7951473477807978E-3</v>
      </c>
      <c r="AW1806" s="28">
        <f t="shared" si="185"/>
        <v>0.4823844752896137</v>
      </c>
      <c r="AX1806">
        <f t="shared" si="186"/>
        <v>0.86956521739130432</v>
      </c>
      <c r="AY1806" s="62">
        <f t="shared" si="187"/>
        <v>0.41946476112140318</v>
      </c>
      <c r="AZ1806" s="68" t="str">
        <f t="shared" ref="AZ1806:AZ1837" si="188">IF(AY1806&gt;10,"Yes","No")</f>
        <v>No</v>
      </c>
      <c r="BA1806" s="68" t="str">
        <f t="shared" si="182"/>
        <v>No</v>
      </c>
    </row>
    <row r="1807" spans="1:53" hidden="1">
      <c r="A1807" t="s">
        <v>908</v>
      </c>
      <c r="B1807" t="s">
        <v>226</v>
      </c>
      <c r="C1807" t="s">
        <v>205</v>
      </c>
      <c r="D1807" s="25">
        <v>11</v>
      </c>
      <c r="E1807" s="25">
        <v>89</v>
      </c>
      <c r="F1807" t="s">
        <v>1241</v>
      </c>
      <c r="G1807" t="s">
        <v>206</v>
      </c>
      <c r="H1807" s="3" t="s">
        <v>870</v>
      </c>
      <c r="I1807">
        <v>2016</v>
      </c>
      <c r="J1807" t="s">
        <v>207</v>
      </c>
      <c r="K1807" t="s">
        <v>111</v>
      </c>
      <c r="L1807" t="s">
        <v>208</v>
      </c>
      <c r="M1807" s="25" t="s">
        <v>74</v>
      </c>
      <c r="N1807" t="s">
        <v>36</v>
      </c>
      <c r="O1807" t="s">
        <v>47</v>
      </c>
      <c r="P1807" t="s">
        <v>60</v>
      </c>
      <c r="Q1807" t="s">
        <v>899</v>
      </c>
      <c r="R1807" t="s">
        <v>828</v>
      </c>
      <c r="S1807" t="s">
        <v>852</v>
      </c>
      <c r="T1807">
        <v>59.855555559999999</v>
      </c>
      <c r="U1807">
        <v>23.26166667</v>
      </c>
      <c r="V1807" t="s">
        <v>905</v>
      </c>
      <c r="W1807" s="25" t="s">
        <v>38</v>
      </c>
      <c r="X1807">
        <v>28</v>
      </c>
      <c r="Y1807" t="s">
        <v>39</v>
      </c>
      <c r="Z1807">
        <v>4</v>
      </c>
      <c r="AA1807">
        <v>4</v>
      </c>
      <c r="AC1807">
        <v>346</v>
      </c>
      <c r="AE1807">
        <v>868</v>
      </c>
      <c r="AG1807">
        <v>623</v>
      </c>
      <c r="AH1807">
        <v>2.9385197249999999</v>
      </c>
      <c r="AI1807">
        <v>14.15</v>
      </c>
      <c r="AJ1807" t="s">
        <v>209</v>
      </c>
      <c r="AK1807" t="s">
        <v>59</v>
      </c>
      <c r="AL1807" s="25" t="s">
        <v>60</v>
      </c>
      <c r="AM1807" t="s">
        <v>61</v>
      </c>
      <c r="AN1807">
        <v>22.238800000000001</v>
      </c>
      <c r="AO1807">
        <v>2.738780062</v>
      </c>
      <c r="AP1807">
        <v>20.895499999999998</v>
      </c>
      <c r="AQ1807">
        <v>3.2380522790000001</v>
      </c>
      <c r="AR1807" t="s">
        <v>44</v>
      </c>
      <c r="AS1807">
        <f t="shared" si="183"/>
        <v>-6.2304686308888524E-2</v>
      </c>
      <c r="AT1807">
        <f t="shared" si="184"/>
        <v>9.7951473476005808E-3</v>
      </c>
      <c r="AW1807" s="28">
        <f t="shared" si="185"/>
        <v>-0.44794216011801752</v>
      </c>
      <c r="AX1807">
        <f t="shared" si="186"/>
        <v>0.86956521739130432</v>
      </c>
      <c r="AY1807" s="62">
        <f t="shared" si="187"/>
        <v>-0.38951492184175435</v>
      </c>
      <c r="AZ1807" s="68" t="str">
        <f t="shared" si="188"/>
        <v>No</v>
      </c>
      <c r="BA1807" s="68" t="str">
        <f t="shared" si="182"/>
        <v>No</v>
      </c>
    </row>
    <row r="1808" spans="1:53" hidden="1">
      <c r="A1808" t="s">
        <v>908</v>
      </c>
      <c r="B1808" s="25" t="s">
        <v>557</v>
      </c>
      <c r="C1808" t="s">
        <v>558</v>
      </c>
      <c r="D1808" s="25">
        <v>44</v>
      </c>
      <c r="E1808" s="25">
        <v>384</v>
      </c>
      <c r="F1808" t="s">
        <v>914</v>
      </c>
      <c r="G1808" t="s">
        <v>559</v>
      </c>
      <c r="H1808" s="3" t="s">
        <v>889</v>
      </c>
      <c r="I1808">
        <v>2003</v>
      </c>
      <c r="J1808" t="s">
        <v>560</v>
      </c>
      <c r="K1808" t="s">
        <v>162</v>
      </c>
      <c r="L1808" t="s">
        <v>561</v>
      </c>
      <c r="M1808" s="25" t="s">
        <v>35</v>
      </c>
      <c r="N1808" t="s">
        <v>36</v>
      </c>
      <c r="O1808" t="s">
        <v>37</v>
      </c>
      <c r="P1808" t="s">
        <v>60</v>
      </c>
      <c r="Q1808" t="s">
        <v>900</v>
      </c>
      <c r="R1808" t="s">
        <v>888</v>
      </c>
      <c r="S1808" t="s">
        <v>895</v>
      </c>
      <c r="T1808">
        <v>35.188951199999998</v>
      </c>
      <c r="U1808">
        <v>140.37141260000001</v>
      </c>
      <c r="V1808" t="s">
        <v>905</v>
      </c>
      <c r="W1808" s="25" t="s">
        <v>38</v>
      </c>
      <c r="X1808">
        <v>0.01</v>
      </c>
      <c r="Y1808" t="s">
        <v>39</v>
      </c>
      <c r="Z1808">
        <v>2</v>
      </c>
      <c r="AA1808">
        <v>2</v>
      </c>
      <c r="AC1808">
        <v>320</v>
      </c>
      <c r="AE1808">
        <v>10000</v>
      </c>
      <c r="AG1808">
        <v>2199</v>
      </c>
      <c r="AH1808">
        <v>4</v>
      </c>
      <c r="AI1808">
        <v>20</v>
      </c>
      <c r="AJ1808" t="s">
        <v>562</v>
      </c>
      <c r="AK1808" t="s">
        <v>69</v>
      </c>
      <c r="AL1808" s="25" t="s">
        <v>353</v>
      </c>
      <c r="AM1808" t="s">
        <v>61</v>
      </c>
      <c r="AN1808">
        <v>100</v>
      </c>
      <c r="AO1808">
        <v>4.3470700750000004</v>
      </c>
      <c r="AP1808">
        <v>100</v>
      </c>
      <c r="AQ1808">
        <v>2.1735350370000002</v>
      </c>
      <c r="AR1808" t="s">
        <v>44</v>
      </c>
      <c r="AS1808">
        <f t="shared" si="183"/>
        <v>0</v>
      </c>
      <c r="AT1808">
        <f t="shared" si="184"/>
        <v>1.181063639701355E-3</v>
      </c>
      <c r="AZ1808"/>
      <c r="BA1808"/>
    </row>
    <row r="1809" spans="1:53" hidden="1">
      <c r="A1809" t="s">
        <v>908</v>
      </c>
      <c r="B1809" s="25" t="s">
        <v>563</v>
      </c>
      <c r="C1809" t="s">
        <v>558</v>
      </c>
      <c r="D1809" s="25">
        <v>44</v>
      </c>
      <c r="E1809" s="25">
        <v>385</v>
      </c>
      <c r="F1809" t="s">
        <v>914</v>
      </c>
      <c r="G1809" t="s">
        <v>559</v>
      </c>
      <c r="H1809" s="3" t="s">
        <v>889</v>
      </c>
      <c r="I1809">
        <v>2003</v>
      </c>
      <c r="J1809" t="s">
        <v>560</v>
      </c>
      <c r="K1809" t="s">
        <v>162</v>
      </c>
      <c r="L1809" t="s">
        <v>561</v>
      </c>
      <c r="M1809" s="25" t="s">
        <v>35</v>
      </c>
      <c r="N1809" t="s">
        <v>36</v>
      </c>
      <c r="O1809" t="s">
        <v>37</v>
      </c>
      <c r="P1809" t="s">
        <v>60</v>
      </c>
      <c r="Q1809" t="s">
        <v>900</v>
      </c>
      <c r="R1809" t="s">
        <v>888</v>
      </c>
      <c r="S1809" t="s">
        <v>895</v>
      </c>
      <c r="T1809">
        <v>35.188951199999998</v>
      </c>
      <c r="U1809">
        <v>140.37141260000001</v>
      </c>
      <c r="V1809" t="s">
        <v>905</v>
      </c>
      <c r="W1809" s="25" t="s">
        <v>38</v>
      </c>
      <c r="X1809">
        <v>0.01</v>
      </c>
      <c r="Y1809" t="s">
        <v>39</v>
      </c>
      <c r="Z1809">
        <v>2</v>
      </c>
      <c r="AA1809">
        <v>2</v>
      </c>
      <c r="AC1809">
        <v>320</v>
      </c>
      <c r="AE1809">
        <v>20000</v>
      </c>
      <c r="AG1809">
        <v>2199</v>
      </c>
      <c r="AH1809">
        <v>4.3010299959999996</v>
      </c>
      <c r="AI1809">
        <v>20</v>
      </c>
      <c r="AJ1809" t="s">
        <v>562</v>
      </c>
      <c r="AK1809" t="s">
        <v>69</v>
      </c>
      <c r="AL1809" s="25" t="s">
        <v>353</v>
      </c>
      <c r="AM1809" t="s">
        <v>61</v>
      </c>
      <c r="AN1809">
        <v>100</v>
      </c>
      <c r="AO1809">
        <v>4.3470700750000004</v>
      </c>
      <c r="AP1809">
        <v>61.254564420000001</v>
      </c>
      <c r="AQ1809">
        <v>15.214745260000001</v>
      </c>
      <c r="AR1809" t="s">
        <v>44</v>
      </c>
      <c r="AS1809">
        <f t="shared" si="183"/>
        <v>-0.49013181819696072</v>
      </c>
      <c r="AT1809">
        <f t="shared" si="184"/>
        <v>3.1792527794716557E-2</v>
      </c>
      <c r="AZ1809"/>
      <c r="BA1809"/>
    </row>
    <row r="1810" spans="1:53" hidden="1">
      <c r="A1810" t="s">
        <v>908</v>
      </c>
      <c r="B1810" s="25" t="s">
        <v>564</v>
      </c>
      <c r="C1810" t="s">
        <v>558</v>
      </c>
      <c r="D1810" s="25">
        <v>44</v>
      </c>
      <c r="E1810" s="25">
        <v>386</v>
      </c>
      <c r="F1810" t="s">
        <v>914</v>
      </c>
      <c r="G1810" t="s">
        <v>559</v>
      </c>
      <c r="H1810" s="3" t="s">
        <v>889</v>
      </c>
      <c r="I1810">
        <v>2003</v>
      </c>
      <c r="J1810" t="s">
        <v>560</v>
      </c>
      <c r="K1810" t="s">
        <v>162</v>
      </c>
      <c r="L1810" t="s">
        <v>561</v>
      </c>
      <c r="M1810" s="25" t="s">
        <v>35</v>
      </c>
      <c r="N1810" t="s">
        <v>36</v>
      </c>
      <c r="O1810" t="s">
        <v>37</v>
      </c>
      <c r="P1810" t="s">
        <v>60</v>
      </c>
      <c r="Q1810" t="s">
        <v>900</v>
      </c>
      <c r="R1810" t="s">
        <v>888</v>
      </c>
      <c r="S1810" t="s">
        <v>895</v>
      </c>
      <c r="T1810">
        <v>35.188951199999998</v>
      </c>
      <c r="U1810">
        <v>140.37141260000001</v>
      </c>
      <c r="V1810" t="s">
        <v>905</v>
      </c>
      <c r="W1810" s="25" t="s">
        <v>38</v>
      </c>
      <c r="X1810">
        <v>0.01</v>
      </c>
      <c r="Y1810" t="s">
        <v>39</v>
      </c>
      <c r="Z1810">
        <v>2</v>
      </c>
      <c r="AA1810">
        <v>2</v>
      </c>
      <c r="AC1810">
        <v>320</v>
      </c>
      <c r="AE1810">
        <v>30000</v>
      </c>
      <c r="AG1810">
        <v>2199</v>
      </c>
      <c r="AH1810">
        <v>4.4771212550000001</v>
      </c>
      <c r="AI1810">
        <v>20</v>
      </c>
      <c r="AJ1810" t="s">
        <v>562</v>
      </c>
      <c r="AK1810" t="s">
        <v>69</v>
      </c>
      <c r="AL1810" s="25" t="s">
        <v>353</v>
      </c>
      <c r="AM1810" t="s">
        <v>61</v>
      </c>
      <c r="AN1810">
        <v>100</v>
      </c>
      <c r="AO1810">
        <v>4.3470700750000004</v>
      </c>
      <c r="AP1810">
        <v>28.108155100000001</v>
      </c>
      <c r="AQ1810">
        <v>15.75812902</v>
      </c>
      <c r="AR1810" t="s">
        <v>44</v>
      </c>
      <c r="AS1810">
        <f t="shared" si="183"/>
        <v>-1.2691104346713722</v>
      </c>
      <c r="AT1810">
        <f t="shared" si="184"/>
        <v>0.15809493786291165</v>
      </c>
      <c r="AZ1810"/>
      <c r="BA1810"/>
    </row>
    <row r="1811" spans="1:53" hidden="1">
      <c r="A1811" t="s">
        <v>908</v>
      </c>
      <c r="B1811" t="s">
        <v>227</v>
      </c>
      <c r="C1811" t="s">
        <v>205</v>
      </c>
      <c r="D1811" s="25">
        <v>11</v>
      </c>
      <c r="E1811" s="25">
        <v>90</v>
      </c>
      <c r="F1811" t="s">
        <v>1241</v>
      </c>
      <c r="G1811" t="s">
        <v>206</v>
      </c>
      <c r="H1811" s="3" t="s">
        <v>870</v>
      </c>
      <c r="I1811">
        <v>2016</v>
      </c>
      <c r="J1811" t="s">
        <v>207</v>
      </c>
      <c r="K1811" t="s">
        <v>111</v>
      </c>
      <c r="L1811" t="s">
        <v>208</v>
      </c>
      <c r="M1811" s="25" t="s">
        <v>74</v>
      </c>
      <c r="N1811" t="s">
        <v>36</v>
      </c>
      <c r="O1811" t="s">
        <v>47</v>
      </c>
      <c r="P1811" t="s">
        <v>60</v>
      </c>
      <c r="Q1811" t="s">
        <v>899</v>
      </c>
      <c r="R1811" t="s">
        <v>828</v>
      </c>
      <c r="S1811" t="s">
        <v>852</v>
      </c>
      <c r="T1811">
        <v>59.855555559999999</v>
      </c>
      <c r="U1811">
        <v>23.26166667</v>
      </c>
      <c r="V1811" t="s">
        <v>905</v>
      </c>
      <c r="W1811" s="25" t="s">
        <v>38</v>
      </c>
      <c r="X1811">
        <v>28</v>
      </c>
      <c r="Y1811" t="s">
        <v>39</v>
      </c>
      <c r="Z1811">
        <v>4</v>
      </c>
      <c r="AA1811">
        <v>4</v>
      </c>
      <c r="AC1811">
        <v>346</v>
      </c>
      <c r="AE1811">
        <v>1075</v>
      </c>
      <c r="AG1811">
        <v>623</v>
      </c>
      <c r="AH1811">
        <v>3.0314084640000001</v>
      </c>
      <c r="AI1811">
        <v>14.15</v>
      </c>
      <c r="AJ1811" t="s">
        <v>209</v>
      </c>
      <c r="AK1811" t="s">
        <v>59</v>
      </c>
      <c r="AL1811" s="25" t="s">
        <v>60</v>
      </c>
      <c r="AM1811" t="s">
        <v>61</v>
      </c>
      <c r="AN1811">
        <v>22.238800000000001</v>
      </c>
      <c r="AO1811">
        <v>2.738780062</v>
      </c>
      <c r="AP1811">
        <v>24.477599999999999</v>
      </c>
      <c r="AQ1811">
        <v>3.7931491689999999</v>
      </c>
      <c r="AR1811" t="s">
        <v>44</v>
      </c>
      <c r="AS1811">
        <f t="shared" si="183"/>
        <v>9.5919902530154033E-2</v>
      </c>
      <c r="AT1811">
        <f t="shared" si="184"/>
        <v>9.7951473470535705E-3</v>
      </c>
      <c r="AW1811" s="28">
        <f t="shared" ref="AW1811:AW1834" si="189">(AP1811-$AN1811)/SQRT(((AA1811-1)*AQ1811*AQ1811+($Z1811-1)*$AO1811*$AO1811)/(AA1811+$Z1811-2))</f>
        <v>0.67673456441116508</v>
      </c>
      <c r="AX1811">
        <f t="shared" ref="AX1811:AX1834" si="190">1-(3/(4*(AA1811+$Z1811-2)-1))</f>
        <v>0.86956521739130432</v>
      </c>
      <c r="AY1811" s="62">
        <f t="shared" ref="AY1811:AY1834" si="191">AX1811*AW1811</f>
        <v>0.58846483861840437</v>
      </c>
      <c r="AZ1811" s="68" t="str">
        <f t="shared" ref="AZ1811:AZ1834" si="192">IF(AY1811&gt;10,"Yes","No")</f>
        <v>No</v>
      </c>
      <c r="BA1811" s="68" t="str">
        <f t="shared" ref="BA1811:BA1834" si="193">IF(AY1811&lt;-10,"Yes","No")</f>
        <v>No</v>
      </c>
    </row>
    <row r="1812" spans="1:53" hidden="1">
      <c r="A1812" t="s">
        <v>908</v>
      </c>
      <c r="B1812" t="s">
        <v>228</v>
      </c>
      <c r="C1812" t="s">
        <v>205</v>
      </c>
      <c r="D1812" s="25">
        <v>11</v>
      </c>
      <c r="E1812" s="25">
        <v>91</v>
      </c>
      <c r="F1812" t="s">
        <v>1241</v>
      </c>
      <c r="G1812" t="s">
        <v>206</v>
      </c>
      <c r="H1812" s="3" t="s">
        <v>870</v>
      </c>
      <c r="I1812">
        <v>2016</v>
      </c>
      <c r="J1812" t="s">
        <v>207</v>
      </c>
      <c r="K1812" t="s">
        <v>111</v>
      </c>
      <c r="L1812" t="s">
        <v>208</v>
      </c>
      <c r="M1812" s="25" t="s">
        <v>74</v>
      </c>
      <c r="N1812" t="s">
        <v>36</v>
      </c>
      <c r="O1812" t="s">
        <v>47</v>
      </c>
      <c r="P1812" t="s">
        <v>60</v>
      </c>
      <c r="Q1812" t="s">
        <v>899</v>
      </c>
      <c r="R1812" t="s">
        <v>828</v>
      </c>
      <c r="S1812" t="s">
        <v>852</v>
      </c>
      <c r="T1812">
        <v>59.855555559999999</v>
      </c>
      <c r="U1812">
        <v>23.26166667</v>
      </c>
      <c r="V1812" t="s">
        <v>905</v>
      </c>
      <c r="W1812" s="25" t="s">
        <v>38</v>
      </c>
      <c r="X1812">
        <v>28</v>
      </c>
      <c r="Y1812" t="s">
        <v>39</v>
      </c>
      <c r="Z1812">
        <v>4</v>
      </c>
      <c r="AA1812">
        <v>4</v>
      </c>
      <c r="AC1812">
        <v>346</v>
      </c>
      <c r="AE1812">
        <v>1333</v>
      </c>
      <c r="AG1812">
        <v>623</v>
      </c>
      <c r="AH1812">
        <v>3.1248301490000001</v>
      </c>
      <c r="AI1812">
        <v>14.15</v>
      </c>
      <c r="AJ1812" t="s">
        <v>209</v>
      </c>
      <c r="AK1812" t="s">
        <v>59</v>
      </c>
      <c r="AL1812" s="25" t="s">
        <v>60</v>
      </c>
      <c r="AM1812" t="s">
        <v>61</v>
      </c>
      <c r="AN1812">
        <v>22.238800000000001</v>
      </c>
      <c r="AO1812">
        <v>2.738780062</v>
      </c>
      <c r="AP1812">
        <v>20</v>
      </c>
      <c r="AQ1812">
        <v>3.0992819300000001</v>
      </c>
      <c r="AR1812" t="s">
        <v>44</v>
      </c>
      <c r="AS1812">
        <f t="shared" si="183"/>
        <v>-0.10610623753813631</v>
      </c>
      <c r="AT1812">
        <f t="shared" si="184"/>
        <v>9.7951473454341385E-3</v>
      </c>
      <c r="AW1812" s="28">
        <f t="shared" si="189"/>
        <v>-0.76550875704070931</v>
      </c>
      <c r="AX1812">
        <f t="shared" si="190"/>
        <v>0.86956521739130432</v>
      </c>
      <c r="AY1812" s="62">
        <f t="shared" si="191"/>
        <v>-0.66565978873105158</v>
      </c>
      <c r="AZ1812" s="68" t="str">
        <f t="shared" si="192"/>
        <v>No</v>
      </c>
      <c r="BA1812" s="68" t="str">
        <f t="shared" si="193"/>
        <v>No</v>
      </c>
    </row>
    <row r="1813" spans="1:53" hidden="1">
      <c r="A1813" t="s">
        <v>908</v>
      </c>
      <c r="B1813" t="s">
        <v>462</v>
      </c>
      <c r="C1813" t="s">
        <v>458</v>
      </c>
      <c r="D1813" s="25">
        <v>32</v>
      </c>
      <c r="E1813" s="25">
        <v>256</v>
      </c>
      <c r="F1813" t="s">
        <v>1241</v>
      </c>
      <c r="G1813" t="s">
        <v>459</v>
      </c>
      <c r="H1813" s="3" t="s">
        <v>871</v>
      </c>
      <c r="I1813">
        <v>2016</v>
      </c>
      <c r="J1813" t="s">
        <v>460</v>
      </c>
      <c r="K1813" t="s">
        <v>430</v>
      </c>
      <c r="L1813" t="s">
        <v>457</v>
      </c>
      <c r="M1813" s="25" t="s">
        <v>35</v>
      </c>
      <c r="N1813" t="s">
        <v>36</v>
      </c>
      <c r="O1813" t="s">
        <v>37</v>
      </c>
      <c r="P1813" t="s">
        <v>60</v>
      </c>
      <c r="Q1813" t="s">
        <v>899</v>
      </c>
      <c r="R1813" t="s">
        <v>834</v>
      </c>
      <c r="S1813" t="s">
        <v>872</v>
      </c>
      <c r="T1813">
        <v>-68.583332999999996</v>
      </c>
      <c r="U1813">
        <v>77.966667000000001</v>
      </c>
      <c r="V1813" t="s">
        <v>905</v>
      </c>
      <c r="W1813" s="25" t="s">
        <v>38</v>
      </c>
      <c r="X1813">
        <v>10</v>
      </c>
      <c r="Y1813" t="s">
        <v>95</v>
      </c>
      <c r="Z1813">
        <v>1</v>
      </c>
      <c r="AA1813">
        <v>1</v>
      </c>
      <c r="AB1813" t="s">
        <v>369</v>
      </c>
      <c r="AC1813">
        <v>84</v>
      </c>
      <c r="AE1813">
        <v>643</v>
      </c>
      <c r="AG1813">
        <v>2070</v>
      </c>
      <c r="AH1813">
        <v>2.808210973</v>
      </c>
      <c r="AI1813">
        <v>1.54</v>
      </c>
      <c r="AJ1813" t="s">
        <v>463</v>
      </c>
      <c r="AK1813" t="s">
        <v>40</v>
      </c>
      <c r="AL1813" s="25" t="s">
        <v>60</v>
      </c>
      <c r="AM1813" t="s">
        <v>61</v>
      </c>
      <c r="AN1813">
        <v>470.2970297</v>
      </c>
      <c r="AO1813">
        <v>147.28764760000001</v>
      </c>
      <c r="AP1813">
        <v>237.6237624</v>
      </c>
      <c r="AQ1813">
        <v>49.628603030000001</v>
      </c>
      <c r="AR1813" t="s">
        <v>43</v>
      </c>
      <c r="AS1813">
        <f t="shared" si="183"/>
        <v>-0.68267588058633422</v>
      </c>
      <c r="AT1813">
        <f t="shared" si="184"/>
        <v>0.1417016139894848</v>
      </c>
      <c r="AW1813" s="28" t="e">
        <f t="shared" si="189"/>
        <v>#DIV/0!</v>
      </c>
      <c r="AX1813">
        <f t="shared" si="190"/>
        <v>4</v>
      </c>
      <c r="AY1813" s="62" t="e">
        <f t="shared" si="191"/>
        <v>#DIV/0!</v>
      </c>
      <c r="AZ1813" s="68" t="e">
        <f t="shared" si="192"/>
        <v>#DIV/0!</v>
      </c>
      <c r="BA1813" s="68" t="e">
        <f t="shared" si="193"/>
        <v>#DIV/0!</v>
      </c>
    </row>
    <row r="1814" spans="1:53" hidden="1">
      <c r="A1814" t="s">
        <v>908</v>
      </c>
      <c r="B1814" t="s">
        <v>464</v>
      </c>
      <c r="C1814" t="s">
        <v>458</v>
      </c>
      <c r="D1814" s="25">
        <v>32</v>
      </c>
      <c r="E1814" s="25">
        <v>257</v>
      </c>
      <c r="F1814" t="s">
        <v>1241</v>
      </c>
      <c r="G1814" t="s">
        <v>459</v>
      </c>
      <c r="H1814" s="3" t="s">
        <v>871</v>
      </c>
      <c r="I1814">
        <v>2016</v>
      </c>
      <c r="J1814" t="s">
        <v>460</v>
      </c>
      <c r="K1814" t="s">
        <v>430</v>
      </c>
      <c r="L1814" t="s">
        <v>457</v>
      </c>
      <c r="M1814" s="25" t="s">
        <v>35</v>
      </c>
      <c r="N1814" t="s">
        <v>36</v>
      </c>
      <c r="O1814" t="s">
        <v>37</v>
      </c>
      <c r="P1814" t="s">
        <v>60</v>
      </c>
      <c r="Q1814" t="s">
        <v>899</v>
      </c>
      <c r="R1814" t="s">
        <v>834</v>
      </c>
      <c r="S1814" t="s">
        <v>872</v>
      </c>
      <c r="T1814">
        <v>-68.583332999999996</v>
      </c>
      <c r="U1814">
        <v>77.966667000000001</v>
      </c>
      <c r="V1814" t="s">
        <v>905</v>
      </c>
      <c r="W1814" s="25" t="s">
        <v>38</v>
      </c>
      <c r="X1814">
        <v>10</v>
      </c>
      <c r="Y1814" t="s">
        <v>95</v>
      </c>
      <c r="Z1814">
        <v>1</v>
      </c>
      <c r="AA1814">
        <v>1</v>
      </c>
      <c r="AB1814" t="s">
        <v>369</v>
      </c>
      <c r="AC1814">
        <v>84</v>
      </c>
      <c r="AE1814">
        <v>1281</v>
      </c>
      <c r="AG1814">
        <v>2070</v>
      </c>
      <c r="AH1814">
        <v>3.1075491300000002</v>
      </c>
      <c r="AI1814">
        <v>1.54</v>
      </c>
      <c r="AJ1814" t="s">
        <v>463</v>
      </c>
      <c r="AK1814" t="s">
        <v>40</v>
      </c>
      <c r="AL1814" s="25" t="s">
        <v>60</v>
      </c>
      <c r="AM1814" t="s">
        <v>61</v>
      </c>
      <c r="AN1814">
        <v>470.2970297</v>
      </c>
      <c r="AO1814">
        <v>147.28764760000001</v>
      </c>
      <c r="AP1814">
        <v>336.63366339999999</v>
      </c>
      <c r="AQ1814">
        <v>70.307187619999993</v>
      </c>
      <c r="AR1814" t="s">
        <v>43</v>
      </c>
      <c r="AS1814">
        <f t="shared" si="183"/>
        <v>-0.33436918631811885</v>
      </c>
      <c r="AT1814">
        <f t="shared" si="184"/>
        <v>0.14170161398224657</v>
      </c>
      <c r="AW1814" s="28" t="e">
        <f t="shared" si="189"/>
        <v>#DIV/0!</v>
      </c>
      <c r="AX1814">
        <f t="shared" si="190"/>
        <v>4</v>
      </c>
      <c r="AY1814" s="62" t="e">
        <f t="shared" si="191"/>
        <v>#DIV/0!</v>
      </c>
      <c r="AZ1814" s="68" t="e">
        <f t="shared" si="192"/>
        <v>#DIV/0!</v>
      </c>
      <c r="BA1814" s="68" t="e">
        <f t="shared" si="193"/>
        <v>#DIV/0!</v>
      </c>
    </row>
    <row r="1815" spans="1:53" hidden="1">
      <c r="A1815" t="s">
        <v>908</v>
      </c>
      <c r="B1815" t="s">
        <v>465</v>
      </c>
      <c r="C1815" t="s">
        <v>458</v>
      </c>
      <c r="D1815" s="25">
        <v>32</v>
      </c>
      <c r="E1815" s="25">
        <v>258</v>
      </c>
      <c r="F1815" t="s">
        <v>1241</v>
      </c>
      <c r="G1815" t="s">
        <v>459</v>
      </c>
      <c r="H1815" s="3" t="s">
        <v>871</v>
      </c>
      <c r="I1815">
        <v>2016</v>
      </c>
      <c r="J1815" t="s">
        <v>460</v>
      </c>
      <c r="K1815" t="s">
        <v>430</v>
      </c>
      <c r="L1815" t="s">
        <v>457</v>
      </c>
      <c r="M1815" s="25" t="s">
        <v>35</v>
      </c>
      <c r="N1815" t="s">
        <v>36</v>
      </c>
      <c r="O1815" t="s">
        <v>37</v>
      </c>
      <c r="P1815" t="s">
        <v>60</v>
      </c>
      <c r="Q1815" t="s">
        <v>899</v>
      </c>
      <c r="R1815" t="s">
        <v>834</v>
      </c>
      <c r="S1815" t="s">
        <v>872</v>
      </c>
      <c r="T1815">
        <v>-68.583332999999996</v>
      </c>
      <c r="U1815">
        <v>77.966667000000001</v>
      </c>
      <c r="V1815" t="s">
        <v>905</v>
      </c>
      <c r="W1815" s="25" t="s">
        <v>38</v>
      </c>
      <c r="X1815">
        <v>10</v>
      </c>
      <c r="Y1815" t="s">
        <v>95</v>
      </c>
      <c r="Z1815">
        <v>1</v>
      </c>
      <c r="AA1815">
        <v>1</v>
      </c>
      <c r="AB1815" t="s">
        <v>369</v>
      </c>
      <c r="AC1815">
        <v>84</v>
      </c>
      <c r="AE1815">
        <v>1849</v>
      </c>
      <c r="AG1815">
        <v>2070</v>
      </c>
      <c r="AH1815">
        <v>3.2669369110000002</v>
      </c>
      <c r="AI1815">
        <v>1.54</v>
      </c>
      <c r="AJ1815" t="s">
        <v>463</v>
      </c>
      <c r="AK1815" t="s">
        <v>40</v>
      </c>
      <c r="AL1815" s="25" t="s">
        <v>60</v>
      </c>
      <c r="AM1815" t="s">
        <v>61</v>
      </c>
      <c r="AN1815">
        <v>470.2970297</v>
      </c>
      <c r="AO1815">
        <v>147.28764760000001</v>
      </c>
      <c r="AP1815">
        <v>366.33663369999999</v>
      </c>
      <c r="AQ1815">
        <v>76.510762999999997</v>
      </c>
      <c r="AR1815" t="s">
        <v>43</v>
      </c>
      <c r="AS1815">
        <f t="shared" si="183"/>
        <v>-0.24981179829005562</v>
      </c>
      <c r="AT1815">
        <f t="shared" si="184"/>
        <v>0.14170161398425876</v>
      </c>
      <c r="AW1815" s="28" t="e">
        <f t="shared" si="189"/>
        <v>#DIV/0!</v>
      </c>
      <c r="AX1815">
        <f t="shared" si="190"/>
        <v>4</v>
      </c>
      <c r="AY1815" s="62" t="e">
        <f t="shared" si="191"/>
        <v>#DIV/0!</v>
      </c>
      <c r="AZ1815" s="68" t="e">
        <f t="shared" si="192"/>
        <v>#DIV/0!</v>
      </c>
      <c r="BA1815" s="68" t="e">
        <f t="shared" si="193"/>
        <v>#DIV/0!</v>
      </c>
    </row>
    <row r="1816" spans="1:53" hidden="1">
      <c r="A1816" t="s">
        <v>908</v>
      </c>
      <c r="B1816" t="s">
        <v>466</v>
      </c>
      <c r="C1816" t="s">
        <v>458</v>
      </c>
      <c r="D1816" s="25">
        <v>32</v>
      </c>
      <c r="E1816" s="25">
        <v>259</v>
      </c>
      <c r="F1816" t="s">
        <v>1241</v>
      </c>
      <c r="G1816" t="s">
        <v>459</v>
      </c>
      <c r="H1816" s="3" t="s">
        <v>871</v>
      </c>
      <c r="I1816">
        <v>2016</v>
      </c>
      <c r="J1816" t="s">
        <v>460</v>
      </c>
      <c r="K1816" t="s">
        <v>430</v>
      </c>
      <c r="L1816" t="s">
        <v>457</v>
      </c>
      <c r="M1816" s="25" t="s">
        <v>35</v>
      </c>
      <c r="N1816" t="s">
        <v>36</v>
      </c>
      <c r="O1816" t="s">
        <v>37</v>
      </c>
      <c r="P1816" t="s">
        <v>60</v>
      </c>
      <c r="Q1816" t="s">
        <v>899</v>
      </c>
      <c r="R1816" t="s">
        <v>834</v>
      </c>
      <c r="S1816" t="s">
        <v>872</v>
      </c>
      <c r="T1816">
        <v>-68.583332999999996</v>
      </c>
      <c r="U1816">
        <v>77.966667000000001</v>
      </c>
      <c r="V1816" t="s">
        <v>905</v>
      </c>
      <c r="W1816" s="25" t="s">
        <v>38</v>
      </c>
      <c r="X1816">
        <v>10</v>
      </c>
      <c r="Y1816" t="s">
        <v>95</v>
      </c>
      <c r="Z1816">
        <v>1</v>
      </c>
      <c r="AA1816">
        <v>1</v>
      </c>
      <c r="AB1816" t="s">
        <v>369</v>
      </c>
      <c r="AC1816">
        <v>84</v>
      </c>
      <c r="AE1816">
        <v>1942</v>
      </c>
      <c r="AG1816">
        <v>2070</v>
      </c>
      <c r="AH1816">
        <v>3.288249226</v>
      </c>
      <c r="AI1816">
        <v>1.54</v>
      </c>
      <c r="AJ1816" t="s">
        <v>463</v>
      </c>
      <c r="AK1816" t="s">
        <v>40</v>
      </c>
      <c r="AL1816" s="25" t="s">
        <v>60</v>
      </c>
      <c r="AM1816" t="s">
        <v>61</v>
      </c>
      <c r="AN1816">
        <v>470.2970297</v>
      </c>
      <c r="AO1816">
        <v>147.28764760000001</v>
      </c>
      <c r="AP1816">
        <v>356.43564359999999</v>
      </c>
      <c r="AQ1816">
        <v>74.442904540000001</v>
      </c>
      <c r="AR1816" t="s">
        <v>43</v>
      </c>
      <c r="AS1816">
        <f t="shared" si="183"/>
        <v>-0.27721077247816961</v>
      </c>
      <c r="AT1816">
        <f t="shared" si="184"/>
        <v>0.1417016139836253</v>
      </c>
      <c r="AW1816" s="28" t="e">
        <f t="shared" si="189"/>
        <v>#DIV/0!</v>
      </c>
      <c r="AX1816">
        <f t="shared" si="190"/>
        <v>4</v>
      </c>
      <c r="AY1816" s="62" t="e">
        <f t="shared" si="191"/>
        <v>#DIV/0!</v>
      </c>
      <c r="AZ1816" s="68" t="e">
        <f t="shared" si="192"/>
        <v>#DIV/0!</v>
      </c>
      <c r="BA1816" s="68" t="e">
        <f t="shared" si="193"/>
        <v>#DIV/0!</v>
      </c>
    </row>
    <row r="1817" spans="1:53" hidden="1">
      <c r="A1817" t="s">
        <v>908</v>
      </c>
      <c r="B1817" t="s">
        <v>467</v>
      </c>
      <c r="C1817" t="s">
        <v>458</v>
      </c>
      <c r="D1817" s="25">
        <v>32</v>
      </c>
      <c r="E1817" s="25">
        <v>260</v>
      </c>
      <c r="F1817" t="s">
        <v>1241</v>
      </c>
      <c r="G1817" t="s">
        <v>459</v>
      </c>
      <c r="H1817" s="3" t="s">
        <v>871</v>
      </c>
      <c r="I1817">
        <v>2016</v>
      </c>
      <c r="J1817" t="s">
        <v>460</v>
      </c>
      <c r="K1817" t="s">
        <v>430</v>
      </c>
      <c r="L1817" t="s">
        <v>457</v>
      </c>
      <c r="M1817" s="25" t="s">
        <v>35</v>
      </c>
      <c r="N1817" t="s">
        <v>36</v>
      </c>
      <c r="O1817" t="s">
        <v>37</v>
      </c>
      <c r="P1817" t="s">
        <v>60</v>
      </c>
      <c r="Q1817" t="s">
        <v>899</v>
      </c>
      <c r="R1817" t="s">
        <v>834</v>
      </c>
      <c r="S1817" t="s">
        <v>872</v>
      </c>
      <c r="T1817">
        <v>-68.583332999999996</v>
      </c>
      <c r="U1817">
        <v>77.966667000000001</v>
      </c>
      <c r="V1817" t="s">
        <v>905</v>
      </c>
      <c r="W1817" s="25" t="s">
        <v>38</v>
      </c>
      <c r="X1817">
        <v>10</v>
      </c>
      <c r="Y1817" t="s">
        <v>95</v>
      </c>
      <c r="Z1817">
        <v>1</v>
      </c>
      <c r="AA1817">
        <v>1</v>
      </c>
      <c r="AB1817" t="s">
        <v>369</v>
      </c>
      <c r="AC1817">
        <v>84</v>
      </c>
      <c r="AE1817">
        <v>2423</v>
      </c>
      <c r="AG1817">
        <v>2070</v>
      </c>
      <c r="AH1817">
        <v>3.384353414</v>
      </c>
      <c r="AI1817">
        <v>1.54</v>
      </c>
      <c r="AJ1817" t="s">
        <v>463</v>
      </c>
      <c r="AK1817" t="s">
        <v>40</v>
      </c>
      <c r="AL1817" s="25" t="s">
        <v>60</v>
      </c>
      <c r="AM1817" t="s">
        <v>61</v>
      </c>
      <c r="AN1817">
        <v>470.2970297</v>
      </c>
      <c r="AO1817">
        <v>147.28764760000001</v>
      </c>
      <c r="AP1817">
        <v>94.059405940000005</v>
      </c>
      <c r="AQ1817">
        <v>19.644655360000002</v>
      </c>
      <c r="AR1817" t="s">
        <v>43</v>
      </c>
      <c r="AS1817">
        <f t="shared" si="183"/>
        <v>-1.6094379124341005</v>
      </c>
      <c r="AT1817">
        <f t="shared" si="184"/>
        <v>0.1417016139719294</v>
      </c>
      <c r="AW1817" s="28" t="e">
        <f t="shared" si="189"/>
        <v>#DIV/0!</v>
      </c>
      <c r="AX1817">
        <f t="shared" si="190"/>
        <v>4</v>
      </c>
      <c r="AY1817" s="62" t="e">
        <f t="shared" si="191"/>
        <v>#DIV/0!</v>
      </c>
      <c r="AZ1817" s="68" t="e">
        <f t="shared" si="192"/>
        <v>#DIV/0!</v>
      </c>
      <c r="BA1817" s="68" t="e">
        <f t="shared" si="193"/>
        <v>#DIV/0!</v>
      </c>
    </row>
    <row r="1818" spans="1:53" hidden="1">
      <c r="A1818" t="s">
        <v>908</v>
      </c>
      <c r="B1818" t="s">
        <v>468</v>
      </c>
      <c r="C1818" t="s">
        <v>458</v>
      </c>
      <c r="D1818" s="25">
        <v>32</v>
      </c>
      <c r="E1818" s="25">
        <v>261</v>
      </c>
      <c r="F1818" t="s">
        <v>1241</v>
      </c>
      <c r="G1818" t="s">
        <v>459</v>
      </c>
      <c r="H1818" s="3" t="s">
        <v>871</v>
      </c>
      <c r="I1818">
        <v>2016</v>
      </c>
      <c r="J1818" t="s">
        <v>460</v>
      </c>
      <c r="K1818" t="s">
        <v>430</v>
      </c>
      <c r="L1818" t="s">
        <v>457</v>
      </c>
      <c r="M1818" s="25" t="s">
        <v>35</v>
      </c>
      <c r="N1818" t="s">
        <v>36</v>
      </c>
      <c r="O1818" t="s">
        <v>37</v>
      </c>
      <c r="P1818" t="s">
        <v>60</v>
      </c>
      <c r="Q1818" t="s">
        <v>899</v>
      </c>
      <c r="R1818" t="s">
        <v>834</v>
      </c>
      <c r="S1818" t="s">
        <v>872</v>
      </c>
      <c r="T1818">
        <v>-68.583332999999996</v>
      </c>
      <c r="U1818">
        <v>77.966667000000001</v>
      </c>
      <c r="V1818" t="s">
        <v>905</v>
      </c>
      <c r="W1818" s="25" t="s">
        <v>38</v>
      </c>
      <c r="X1818">
        <v>10</v>
      </c>
      <c r="Y1818" t="s">
        <v>95</v>
      </c>
      <c r="Z1818">
        <v>1</v>
      </c>
      <c r="AA1818">
        <v>1</v>
      </c>
      <c r="AB1818" t="s">
        <v>461</v>
      </c>
      <c r="AC1818">
        <v>250</v>
      </c>
      <c r="AE1818">
        <v>474</v>
      </c>
      <c r="AG1818">
        <v>2071</v>
      </c>
      <c r="AH1818">
        <v>2.6757783420000001</v>
      </c>
      <c r="AI1818">
        <v>1.54</v>
      </c>
      <c r="AJ1818" t="s">
        <v>463</v>
      </c>
      <c r="AK1818" t="s">
        <v>40</v>
      </c>
      <c r="AL1818" s="25" t="s">
        <v>60</v>
      </c>
      <c r="AM1818" t="s">
        <v>61</v>
      </c>
      <c r="AN1818">
        <v>1925.7425740000001</v>
      </c>
      <c r="AO1818">
        <v>603.10415680000006</v>
      </c>
      <c r="AP1818">
        <v>1301.980198</v>
      </c>
      <c r="AQ1818">
        <v>271.92338740000002</v>
      </c>
      <c r="AR1818" t="s">
        <v>43</v>
      </c>
      <c r="AS1818">
        <f t="shared" si="183"/>
        <v>-0.39142531132221503</v>
      </c>
      <c r="AT1818">
        <f t="shared" si="184"/>
        <v>0.14170161394337882</v>
      </c>
      <c r="AW1818" s="28" t="e">
        <f t="shared" si="189"/>
        <v>#DIV/0!</v>
      </c>
      <c r="AX1818">
        <f t="shared" si="190"/>
        <v>4</v>
      </c>
      <c r="AY1818" s="62" t="e">
        <f t="shared" si="191"/>
        <v>#DIV/0!</v>
      </c>
      <c r="AZ1818" s="68" t="e">
        <f t="shared" si="192"/>
        <v>#DIV/0!</v>
      </c>
      <c r="BA1818" s="68" t="e">
        <f t="shared" si="193"/>
        <v>#DIV/0!</v>
      </c>
    </row>
    <row r="1819" spans="1:53" hidden="1">
      <c r="A1819" t="s">
        <v>908</v>
      </c>
      <c r="B1819" t="s">
        <v>469</v>
      </c>
      <c r="C1819" t="s">
        <v>458</v>
      </c>
      <c r="D1819" s="25">
        <v>32</v>
      </c>
      <c r="E1819" s="25">
        <v>262</v>
      </c>
      <c r="F1819" t="s">
        <v>1241</v>
      </c>
      <c r="G1819" t="s">
        <v>459</v>
      </c>
      <c r="H1819" s="3" t="s">
        <v>871</v>
      </c>
      <c r="I1819">
        <v>2016</v>
      </c>
      <c r="J1819" t="s">
        <v>460</v>
      </c>
      <c r="K1819" t="s">
        <v>430</v>
      </c>
      <c r="L1819" t="s">
        <v>457</v>
      </c>
      <c r="M1819" s="25" t="s">
        <v>35</v>
      </c>
      <c r="N1819" t="s">
        <v>36</v>
      </c>
      <c r="O1819" t="s">
        <v>37</v>
      </c>
      <c r="P1819" t="s">
        <v>60</v>
      </c>
      <c r="Q1819" t="s">
        <v>899</v>
      </c>
      <c r="R1819" t="s">
        <v>834</v>
      </c>
      <c r="S1819" t="s">
        <v>872</v>
      </c>
      <c r="T1819">
        <v>-68.583332999999996</v>
      </c>
      <c r="U1819">
        <v>77.966667000000001</v>
      </c>
      <c r="V1819" t="s">
        <v>905</v>
      </c>
      <c r="W1819" s="25" t="s">
        <v>38</v>
      </c>
      <c r="X1819">
        <v>10</v>
      </c>
      <c r="Y1819" t="s">
        <v>95</v>
      </c>
      <c r="Z1819">
        <v>1</v>
      </c>
      <c r="AA1819">
        <v>1</v>
      </c>
      <c r="AB1819" t="s">
        <v>461</v>
      </c>
      <c r="AC1819">
        <v>250</v>
      </c>
      <c r="AE1819">
        <v>864</v>
      </c>
      <c r="AG1819">
        <v>2071</v>
      </c>
      <c r="AH1819">
        <v>2.9365137419999998</v>
      </c>
      <c r="AI1819">
        <v>1.54</v>
      </c>
      <c r="AJ1819" t="s">
        <v>463</v>
      </c>
      <c r="AK1819" t="s">
        <v>40</v>
      </c>
      <c r="AL1819" s="25" t="s">
        <v>60</v>
      </c>
      <c r="AM1819" t="s">
        <v>61</v>
      </c>
      <c r="AN1819">
        <v>1925.7425740000001</v>
      </c>
      <c r="AO1819">
        <v>603.10415680000006</v>
      </c>
      <c r="AP1819">
        <v>940.59405939999999</v>
      </c>
      <c r="AQ1819">
        <v>196.44655359999999</v>
      </c>
      <c r="AR1819" t="s">
        <v>43</v>
      </c>
      <c r="AS1819">
        <f t="shared" si="183"/>
        <v>-0.71655527133059937</v>
      </c>
      <c r="AT1819">
        <f t="shared" si="184"/>
        <v>0.14170161392706826</v>
      </c>
      <c r="AW1819" s="28" t="e">
        <f t="shared" si="189"/>
        <v>#DIV/0!</v>
      </c>
      <c r="AX1819">
        <f t="shared" si="190"/>
        <v>4</v>
      </c>
      <c r="AY1819" s="62" t="e">
        <f t="shared" si="191"/>
        <v>#DIV/0!</v>
      </c>
      <c r="AZ1819" s="68" t="e">
        <f t="shared" si="192"/>
        <v>#DIV/0!</v>
      </c>
      <c r="BA1819" s="68" t="e">
        <f t="shared" si="193"/>
        <v>#DIV/0!</v>
      </c>
    </row>
    <row r="1820" spans="1:53" hidden="1">
      <c r="A1820" t="s">
        <v>908</v>
      </c>
      <c r="B1820" t="s">
        <v>470</v>
      </c>
      <c r="C1820" t="s">
        <v>458</v>
      </c>
      <c r="D1820" s="25">
        <v>32</v>
      </c>
      <c r="E1820" s="25">
        <v>263</v>
      </c>
      <c r="F1820" t="s">
        <v>1241</v>
      </c>
      <c r="G1820" t="s">
        <v>459</v>
      </c>
      <c r="H1820" s="3" t="s">
        <v>871</v>
      </c>
      <c r="I1820">
        <v>2016</v>
      </c>
      <c r="J1820" t="s">
        <v>460</v>
      </c>
      <c r="K1820" t="s">
        <v>430</v>
      </c>
      <c r="L1820" t="s">
        <v>457</v>
      </c>
      <c r="M1820" s="25" t="s">
        <v>35</v>
      </c>
      <c r="N1820" t="s">
        <v>36</v>
      </c>
      <c r="O1820" t="s">
        <v>37</v>
      </c>
      <c r="P1820" t="s">
        <v>60</v>
      </c>
      <c r="Q1820" t="s">
        <v>899</v>
      </c>
      <c r="R1820" t="s">
        <v>834</v>
      </c>
      <c r="S1820" t="s">
        <v>872</v>
      </c>
      <c r="T1820">
        <v>-68.583332999999996</v>
      </c>
      <c r="U1820">
        <v>77.966667000000001</v>
      </c>
      <c r="V1820" t="s">
        <v>905</v>
      </c>
      <c r="W1820" s="25" t="s">
        <v>38</v>
      </c>
      <c r="X1820">
        <v>10</v>
      </c>
      <c r="Y1820" t="s">
        <v>95</v>
      </c>
      <c r="Z1820">
        <v>1</v>
      </c>
      <c r="AA1820">
        <v>1</v>
      </c>
      <c r="AB1820" t="s">
        <v>461</v>
      </c>
      <c r="AC1820">
        <v>250</v>
      </c>
      <c r="AE1820">
        <v>1240</v>
      </c>
      <c r="AG1820">
        <v>2071</v>
      </c>
      <c r="AH1820">
        <v>3.093421685</v>
      </c>
      <c r="AI1820">
        <v>1.54</v>
      </c>
      <c r="AJ1820" t="s">
        <v>463</v>
      </c>
      <c r="AK1820" t="s">
        <v>40</v>
      </c>
      <c r="AL1820" s="25" t="s">
        <v>60</v>
      </c>
      <c r="AM1820" t="s">
        <v>61</v>
      </c>
      <c r="AN1820">
        <v>1925.7425740000001</v>
      </c>
      <c r="AO1820">
        <v>603.10415680000006</v>
      </c>
      <c r="AP1820">
        <v>915.84158420000006</v>
      </c>
      <c r="AQ1820">
        <v>191.27690749999999</v>
      </c>
      <c r="AR1820" t="s">
        <v>43</v>
      </c>
      <c r="AS1820">
        <f t="shared" si="183"/>
        <v>-0.74322351836103984</v>
      </c>
      <c r="AT1820">
        <f t="shared" si="184"/>
        <v>0.14170161394416048</v>
      </c>
      <c r="AW1820" s="28" t="e">
        <f t="shared" si="189"/>
        <v>#DIV/0!</v>
      </c>
      <c r="AX1820">
        <f t="shared" si="190"/>
        <v>4</v>
      </c>
      <c r="AY1820" s="62" t="e">
        <f t="shared" si="191"/>
        <v>#DIV/0!</v>
      </c>
      <c r="AZ1820" s="68" t="e">
        <f t="shared" si="192"/>
        <v>#DIV/0!</v>
      </c>
      <c r="BA1820" s="68" t="e">
        <f t="shared" si="193"/>
        <v>#DIV/0!</v>
      </c>
    </row>
    <row r="1821" spans="1:53" hidden="1">
      <c r="A1821" t="s">
        <v>908</v>
      </c>
      <c r="B1821" t="s">
        <v>471</v>
      </c>
      <c r="C1821" t="s">
        <v>458</v>
      </c>
      <c r="D1821" s="25">
        <v>32</v>
      </c>
      <c r="E1821" s="25">
        <v>264</v>
      </c>
      <c r="F1821" t="s">
        <v>1241</v>
      </c>
      <c r="G1821" t="s">
        <v>459</v>
      </c>
      <c r="H1821" s="3" t="s">
        <v>871</v>
      </c>
      <c r="I1821">
        <v>2016</v>
      </c>
      <c r="J1821" t="s">
        <v>460</v>
      </c>
      <c r="K1821" t="s">
        <v>430</v>
      </c>
      <c r="L1821" t="s">
        <v>457</v>
      </c>
      <c r="M1821" s="25" t="s">
        <v>35</v>
      </c>
      <c r="N1821" t="s">
        <v>36</v>
      </c>
      <c r="O1821" t="s">
        <v>37</v>
      </c>
      <c r="P1821" t="s">
        <v>60</v>
      </c>
      <c r="Q1821" t="s">
        <v>899</v>
      </c>
      <c r="R1821" t="s">
        <v>834</v>
      </c>
      <c r="S1821" t="s">
        <v>872</v>
      </c>
      <c r="T1821">
        <v>-68.583332999999996</v>
      </c>
      <c r="U1821">
        <v>77.966667000000001</v>
      </c>
      <c r="V1821" t="s">
        <v>905</v>
      </c>
      <c r="W1821" s="25" t="s">
        <v>38</v>
      </c>
      <c r="X1821">
        <v>10</v>
      </c>
      <c r="Y1821" t="s">
        <v>95</v>
      </c>
      <c r="Z1821">
        <v>1</v>
      </c>
      <c r="AA1821">
        <v>1</v>
      </c>
      <c r="AB1821" t="s">
        <v>461</v>
      </c>
      <c r="AC1821">
        <v>250</v>
      </c>
      <c r="AE1821">
        <v>1232</v>
      </c>
      <c r="AG1821">
        <v>2071</v>
      </c>
      <c r="AH1821">
        <v>3.0906107079999998</v>
      </c>
      <c r="AI1821">
        <v>1.54</v>
      </c>
      <c r="AJ1821" t="s">
        <v>463</v>
      </c>
      <c r="AK1821" t="s">
        <v>40</v>
      </c>
      <c r="AL1821" s="25" t="s">
        <v>60</v>
      </c>
      <c r="AM1821" t="s">
        <v>61</v>
      </c>
      <c r="AN1821">
        <v>1925.7425740000001</v>
      </c>
      <c r="AO1821">
        <v>603.10415680000006</v>
      </c>
      <c r="AP1821">
        <v>1029.7029700000001</v>
      </c>
      <c r="AQ1821">
        <v>215.05727970000001</v>
      </c>
      <c r="AR1821" t="s">
        <v>43</v>
      </c>
      <c r="AS1821">
        <f t="shared" si="183"/>
        <v>-0.62604126407191352</v>
      </c>
      <c r="AT1821">
        <f t="shared" si="184"/>
        <v>0.14170161393929936</v>
      </c>
      <c r="AW1821" s="28" t="e">
        <f t="shared" si="189"/>
        <v>#DIV/0!</v>
      </c>
      <c r="AX1821">
        <f t="shared" si="190"/>
        <v>4</v>
      </c>
      <c r="AY1821" s="62" t="e">
        <f t="shared" si="191"/>
        <v>#DIV/0!</v>
      </c>
      <c r="AZ1821" s="68" t="e">
        <f t="shared" si="192"/>
        <v>#DIV/0!</v>
      </c>
      <c r="BA1821" s="68" t="e">
        <f t="shared" si="193"/>
        <v>#DIV/0!</v>
      </c>
    </row>
    <row r="1822" spans="1:53" hidden="1">
      <c r="A1822" t="s">
        <v>908</v>
      </c>
      <c r="B1822" t="s">
        <v>472</v>
      </c>
      <c r="C1822" t="s">
        <v>458</v>
      </c>
      <c r="D1822" s="25">
        <v>32</v>
      </c>
      <c r="E1822" s="25">
        <v>265</v>
      </c>
      <c r="F1822" t="s">
        <v>1241</v>
      </c>
      <c r="G1822" t="s">
        <v>459</v>
      </c>
      <c r="H1822" s="3" t="s">
        <v>871</v>
      </c>
      <c r="I1822">
        <v>2016</v>
      </c>
      <c r="J1822" t="s">
        <v>460</v>
      </c>
      <c r="K1822" t="s">
        <v>430</v>
      </c>
      <c r="L1822" t="s">
        <v>457</v>
      </c>
      <c r="M1822" s="25" t="s">
        <v>35</v>
      </c>
      <c r="N1822" t="s">
        <v>36</v>
      </c>
      <c r="O1822" t="s">
        <v>37</v>
      </c>
      <c r="P1822" t="s">
        <v>60</v>
      </c>
      <c r="Q1822" t="s">
        <v>899</v>
      </c>
      <c r="R1822" t="s">
        <v>834</v>
      </c>
      <c r="S1822" t="s">
        <v>872</v>
      </c>
      <c r="T1822">
        <v>-68.583332999999996</v>
      </c>
      <c r="U1822">
        <v>77.966667000000001</v>
      </c>
      <c r="V1822" t="s">
        <v>905</v>
      </c>
      <c r="W1822" s="25" t="s">
        <v>38</v>
      </c>
      <c r="X1822">
        <v>10</v>
      </c>
      <c r="Y1822" t="s">
        <v>95</v>
      </c>
      <c r="Z1822">
        <v>1</v>
      </c>
      <c r="AA1822">
        <v>1</v>
      </c>
      <c r="AB1822" t="s">
        <v>461</v>
      </c>
      <c r="AC1822">
        <v>250</v>
      </c>
      <c r="AE1822">
        <v>1711</v>
      </c>
      <c r="AG1822">
        <v>2071</v>
      </c>
      <c r="AH1822">
        <v>3.2332500099999999</v>
      </c>
      <c r="AI1822">
        <v>1.54</v>
      </c>
      <c r="AJ1822" t="s">
        <v>463</v>
      </c>
      <c r="AK1822" t="s">
        <v>40</v>
      </c>
      <c r="AL1822" s="25" t="s">
        <v>60</v>
      </c>
      <c r="AM1822" t="s">
        <v>61</v>
      </c>
      <c r="AN1822">
        <v>1925.7425740000001</v>
      </c>
      <c r="AO1822">
        <v>603.10415680000006</v>
      </c>
      <c r="AP1822">
        <v>930.69306930000005</v>
      </c>
      <c r="AQ1822">
        <v>194.37869520000001</v>
      </c>
      <c r="AR1822" t="s">
        <v>43</v>
      </c>
      <c r="AS1822">
        <f t="shared" si="183"/>
        <v>-0.72713738066226785</v>
      </c>
      <c r="AT1822">
        <f t="shared" si="184"/>
        <v>0.14170161395362332</v>
      </c>
      <c r="AW1822" s="28" t="e">
        <f t="shared" si="189"/>
        <v>#DIV/0!</v>
      </c>
      <c r="AX1822">
        <f t="shared" si="190"/>
        <v>4</v>
      </c>
      <c r="AY1822" s="62" t="e">
        <f t="shared" si="191"/>
        <v>#DIV/0!</v>
      </c>
      <c r="AZ1822" s="68" t="e">
        <f t="shared" si="192"/>
        <v>#DIV/0!</v>
      </c>
      <c r="BA1822" s="68" t="e">
        <f t="shared" si="193"/>
        <v>#DIV/0!</v>
      </c>
    </row>
    <row r="1823" spans="1:53" hidden="1">
      <c r="A1823" t="s">
        <v>908</v>
      </c>
      <c r="B1823" t="s">
        <v>711</v>
      </c>
      <c r="C1823" t="s">
        <v>704</v>
      </c>
      <c r="D1823" s="25">
        <v>51</v>
      </c>
      <c r="E1823" s="25">
        <v>534</v>
      </c>
      <c r="F1823" t="s">
        <v>1241</v>
      </c>
      <c r="G1823" t="s">
        <v>705</v>
      </c>
      <c r="H1823" s="3" t="s">
        <v>873</v>
      </c>
      <c r="I1823">
        <v>2016</v>
      </c>
      <c r="J1823" t="s">
        <v>706</v>
      </c>
      <c r="K1823" t="s">
        <v>707</v>
      </c>
      <c r="L1823" t="s">
        <v>708</v>
      </c>
      <c r="M1823" s="25" t="s">
        <v>36</v>
      </c>
      <c r="N1823" t="s">
        <v>36</v>
      </c>
      <c r="O1823" t="s">
        <v>47</v>
      </c>
      <c r="P1823" t="s">
        <v>60</v>
      </c>
      <c r="Q1823" t="s">
        <v>899</v>
      </c>
      <c r="R1823" t="s">
        <v>849</v>
      </c>
      <c r="S1823" t="s">
        <v>848</v>
      </c>
      <c r="T1823">
        <v>54.3279274</v>
      </c>
      <c r="U1823">
        <v>10.179612799999999</v>
      </c>
      <c r="V1823" t="s">
        <v>905</v>
      </c>
      <c r="W1823" s="25" t="s">
        <v>38</v>
      </c>
      <c r="X1823">
        <v>14</v>
      </c>
      <c r="Y1823" t="s">
        <v>95</v>
      </c>
      <c r="Z1823">
        <v>1</v>
      </c>
      <c r="AA1823">
        <v>1</v>
      </c>
      <c r="AB1823" t="s">
        <v>709</v>
      </c>
      <c r="AC1823">
        <v>500</v>
      </c>
      <c r="AE1823">
        <v>1000</v>
      </c>
      <c r="AG1823">
        <v>2355</v>
      </c>
      <c r="AH1823">
        <v>3</v>
      </c>
      <c r="AI1823">
        <v>16.5</v>
      </c>
      <c r="AJ1823" t="s">
        <v>93</v>
      </c>
      <c r="AK1823" t="s">
        <v>40</v>
      </c>
      <c r="AL1823" s="25" t="s">
        <v>60</v>
      </c>
      <c r="AM1823" t="s">
        <v>61</v>
      </c>
      <c r="AN1823">
        <v>133.333</v>
      </c>
      <c r="AO1823">
        <v>37.521479569999997</v>
      </c>
      <c r="AP1823">
        <v>133.333</v>
      </c>
      <c r="AQ1823">
        <v>44.808944140000001</v>
      </c>
      <c r="AR1823" t="s">
        <v>44</v>
      </c>
      <c r="AS1823">
        <f t="shared" si="183"/>
        <v>0</v>
      </c>
      <c r="AT1823">
        <f t="shared" si="184"/>
        <v>0.19213424902361995</v>
      </c>
      <c r="AW1823" s="28" t="e">
        <f t="shared" si="189"/>
        <v>#DIV/0!</v>
      </c>
      <c r="AX1823">
        <f t="shared" si="190"/>
        <v>4</v>
      </c>
      <c r="AY1823" s="62" t="e">
        <f t="shared" si="191"/>
        <v>#DIV/0!</v>
      </c>
      <c r="AZ1823" s="68" t="e">
        <f t="shared" si="192"/>
        <v>#DIV/0!</v>
      </c>
      <c r="BA1823" s="68" t="e">
        <f t="shared" si="193"/>
        <v>#DIV/0!</v>
      </c>
    </row>
    <row r="1824" spans="1:53" hidden="1">
      <c r="A1824" t="s">
        <v>908</v>
      </c>
      <c r="B1824" t="s">
        <v>712</v>
      </c>
      <c r="C1824" t="s">
        <v>704</v>
      </c>
      <c r="D1824" s="25">
        <v>51</v>
      </c>
      <c r="E1824" s="25">
        <v>535</v>
      </c>
      <c r="F1824" t="s">
        <v>1241</v>
      </c>
      <c r="G1824" t="s">
        <v>705</v>
      </c>
      <c r="H1824" s="3" t="s">
        <v>873</v>
      </c>
      <c r="I1824">
        <v>2016</v>
      </c>
      <c r="J1824" t="s">
        <v>706</v>
      </c>
      <c r="K1824" t="s">
        <v>707</v>
      </c>
      <c r="L1824" t="s">
        <v>708</v>
      </c>
      <c r="M1824" s="25" t="s">
        <v>36</v>
      </c>
      <c r="N1824" t="s">
        <v>36</v>
      </c>
      <c r="O1824" t="s">
        <v>47</v>
      </c>
      <c r="P1824" t="s">
        <v>60</v>
      </c>
      <c r="Q1824" t="s">
        <v>899</v>
      </c>
      <c r="R1824" t="s">
        <v>849</v>
      </c>
      <c r="S1824" t="s">
        <v>848</v>
      </c>
      <c r="T1824">
        <v>54.3279274</v>
      </c>
      <c r="U1824">
        <v>10.179612799999999</v>
      </c>
      <c r="V1824" t="s">
        <v>905</v>
      </c>
      <c r="W1824" s="25" t="s">
        <v>38</v>
      </c>
      <c r="X1824">
        <v>14</v>
      </c>
      <c r="Y1824" t="s">
        <v>95</v>
      </c>
      <c r="Z1824">
        <v>1</v>
      </c>
      <c r="AA1824">
        <v>1</v>
      </c>
      <c r="AB1824" t="s">
        <v>709</v>
      </c>
      <c r="AC1824">
        <v>500</v>
      </c>
      <c r="AE1824">
        <v>1500</v>
      </c>
      <c r="AG1824">
        <v>2355</v>
      </c>
      <c r="AH1824">
        <v>3.1760912590000001</v>
      </c>
      <c r="AI1824">
        <v>16.5</v>
      </c>
      <c r="AJ1824" t="s">
        <v>93</v>
      </c>
      <c r="AK1824" t="s">
        <v>40</v>
      </c>
      <c r="AL1824" s="25" t="s">
        <v>60</v>
      </c>
      <c r="AM1824" t="s">
        <v>61</v>
      </c>
      <c r="AN1824">
        <v>133.333</v>
      </c>
      <c r="AO1824">
        <v>37.521479569999997</v>
      </c>
      <c r="AP1824">
        <v>84.444400000000002</v>
      </c>
      <c r="AQ1824">
        <v>28.379053970000001</v>
      </c>
      <c r="AR1824" t="s">
        <v>44</v>
      </c>
      <c r="AS1824">
        <f t="shared" si="183"/>
        <v>-0.45675642880851797</v>
      </c>
      <c r="AT1824">
        <f t="shared" si="184"/>
        <v>0.19213424905025614</v>
      </c>
      <c r="AW1824" s="28" t="e">
        <f t="shared" si="189"/>
        <v>#DIV/0!</v>
      </c>
      <c r="AX1824">
        <f t="shared" si="190"/>
        <v>4</v>
      </c>
      <c r="AY1824" s="62" t="e">
        <f t="shared" si="191"/>
        <v>#DIV/0!</v>
      </c>
      <c r="AZ1824" s="68" t="e">
        <f t="shared" si="192"/>
        <v>#DIV/0!</v>
      </c>
      <c r="BA1824" s="68" t="e">
        <f t="shared" si="193"/>
        <v>#DIV/0!</v>
      </c>
    </row>
    <row r="1825" spans="1:53" hidden="1">
      <c r="A1825" t="s">
        <v>908</v>
      </c>
      <c r="B1825" t="s">
        <v>713</v>
      </c>
      <c r="C1825" t="s">
        <v>704</v>
      </c>
      <c r="D1825" s="25">
        <v>51</v>
      </c>
      <c r="E1825" s="25">
        <v>536</v>
      </c>
      <c r="F1825" t="s">
        <v>1241</v>
      </c>
      <c r="G1825" t="s">
        <v>705</v>
      </c>
      <c r="H1825" s="3" t="s">
        <v>873</v>
      </c>
      <c r="I1825">
        <v>2016</v>
      </c>
      <c r="J1825" t="s">
        <v>706</v>
      </c>
      <c r="K1825" t="s">
        <v>707</v>
      </c>
      <c r="L1825" t="s">
        <v>708</v>
      </c>
      <c r="M1825" s="25" t="s">
        <v>36</v>
      </c>
      <c r="N1825" t="s">
        <v>36</v>
      </c>
      <c r="O1825" t="s">
        <v>47</v>
      </c>
      <c r="P1825" t="s">
        <v>60</v>
      </c>
      <c r="Q1825" t="s">
        <v>899</v>
      </c>
      <c r="R1825" t="s">
        <v>849</v>
      </c>
      <c r="S1825" t="s">
        <v>848</v>
      </c>
      <c r="T1825">
        <v>54.3279274</v>
      </c>
      <c r="U1825">
        <v>10.179612799999999</v>
      </c>
      <c r="V1825" t="s">
        <v>905</v>
      </c>
      <c r="W1825" s="25" t="s">
        <v>38</v>
      </c>
      <c r="X1825">
        <v>14</v>
      </c>
      <c r="Y1825" t="s">
        <v>95</v>
      </c>
      <c r="Z1825">
        <v>1</v>
      </c>
      <c r="AA1825">
        <v>1</v>
      </c>
      <c r="AB1825" t="s">
        <v>709</v>
      </c>
      <c r="AC1825">
        <v>500</v>
      </c>
      <c r="AE1825">
        <v>2000</v>
      </c>
      <c r="AG1825">
        <v>2355</v>
      </c>
      <c r="AH1825">
        <v>3.301029996</v>
      </c>
      <c r="AI1825">
        <v>16.5</v>
      </c>
      <c r="AJ1825" t="s">
        <v>93</v>
      </c>
      <c r="AK1825" t="s">
        <v>40</v>
      </c>
      <c r="AL1825" s="25" t="s">
        <v>60</v>
      </c>
      <c r="AM1825" t="s">
        <v>61</v>
      </c>
      <c r="AN1825">
        <v>133.333</v>
      </c>
      <c r="AO1825">
        <v>37.521479569999997</v>
      </c>
      <c r="AP1825">
        <v>105.185</v>
      </c>
      <c r="AQ1825">
        <v>35.3493043</v>
      </c>
      <c r="AR1825" t="s">
        <v>44</v>
      </c>
      <c r="AS1825">
        <f t="shared" si="183"/>
        <v>-0.23712905385075445</v>
      </c>
      <c r="AT1825">
        <f t="shared" si="184"/>
        <v>0.19213424906512333</v>
      </c>
      <c r="AW1825" s="28" t="e">
        <f t="shared" si="189"/>
        <v>#DIV/0!</v>
      </c>
      <c r="AX1825">
        <f t="shared" si="190"/>
        <v>4</v>
      </c>
      <c r="AY1825" s="62" t="e">
        <f t="shared" si="191"/>
        <v>#DIV/0!</v>
      </c>
      <c r="AZ1825" s="68" t="e">
        <f t="shared" si="192"/>
        <v>#DIV/0!</v>
      </c>
      <c r="BA1825" s="68" t="e">
        <f t="shared" si="193"/>
        <v>#DIV/0!</v>
      </c>
    </row>
    <row r="1826" spans="1:53" hidden="1">
      <c r="A1826" t="s">
        <v>908</v>
      </c>
      <c r="B1826" t="s">
        <v>714</v>
      </c>
      <c r="C1826" t="s">
        <v>704</v>
      </c>
      <c r="D1826" s="25">
        <v>51</v>
      </c>
      <c r="E1826" s="25">
        <v>537</v>
      </c>
      <c r="F1826" t="s">
        <v>1241</v>
      </c>
      <c r="G1826" t="s">
        <v>705</v>
      </c>
      <c r="H1826" s="3" t="s">
        <v>873</v>
      </c>
      <c r="I1826">
        <v>2016</v>
      </c>
      <c r="J1826" t="s">
        <v>706</v>
      </c>
      <c r="K1826" t="s">
        <v>707</v>
      </c>
      <c r="L1826" t="s">
        <v>708</v>
      </c>
      <c r="M1826" s="25" t="s">
        <v>36</v>
      </c>
      <c r="N1826" t="s">
        <v>36</v>
      </c>
      <c r="O1826" t="s">
        <v>47</v>
      </c>
      <c r="P1826" t="s">
        <v>60</v>
      </c>
      <c r="Q1826" t="s">
        <v>899</v>
      </c>
      <c r="R1826" t="s">
        <v>849</v>
      </c>
      <c r="S1826" t="s">
        <v>848</v>
      </c>
      <c r="T1826">
        <v>54.3279274</v>
      </c>
      <c r="U1826">
        <v>10.179612799999999</v>
      </c>
      <c r="V1826" t="s">
        <v>905</v>
      </c>
      <c r="W1826" s="25" t="s">
        <v>38</v>
      </c>
      <c r="X1826">
        <v>14</v>
      </c>
      <c r="Y1826" t="s">
        <v>95</v>
      </c>
      <c r="Z1826">
        <v>1</v>
      </c>
      <c r="AA1826">
        <v>1</v>
      </c>
      <c r="AB1826" t="s">
        <v>709</v>
      </c>
      <c r="AC1826">
        <v>500</v>
      </c>
      <c r="AE1826">
        <v>2500</v>
      </c>
      <c r="AG1826">
        <v>2355</v>
      </c>
      <c r="AH1826">
        <v>3.397940009</v>
      </c>
      <c r="AI1826">
        <v>16.5</v>
      </c>
      <c r="AJ1826" t="s">
        <v>93</v>
      </c>
      <c r="AK1826" t="s">
        <v>40</v>
      </c>
      <c r="AL1826" s="25" t="s">
        <v>60</v>
      </c>
      <c r="AM1826" t="s">
        <v>61</v>
      </c>
      <c r="AN1826">
        <v>133.333</v>
      </c>
      <c r="AO1826">
        <v>37.521479569999997</v>
      </c>
      <c r="AP1826">
        <v>84.444400000000002</v>
      </c>
      <c r="AQ1826">
        <v>28.379053970000001</v>
      </c>
      <c r="AR1826" t="s">
        <v>44</v>
      </c>
      <c r="AS1826">
        <f t="shared" si="183"/>
        <v>-0.45675642880851797</v>
      </c>
      <c r="AT1826">
        <f t="shared" si="184"/>
        <v>0.19213424905025614</v>
      </c>
      <c r="AW1826" s="28" t="e">
        <f t="shared" si="189"/>
        <v>#DIV/0!</v>
      </c>
      <c r="AX1826">
        <f t="shared" si="190"/>
        <v>4</v>
      </c>
      <c r="AY1826" s="62" t="e">
        <f t="shared" si="191"/>
        <v>#DIV/0!</v>
      </c>
      <c r="AZ1826" s="68" t="e">
        <f t="shared" si="192"/>
        <v>#DIV/0!</v>
      </c>
      <c r="BA1826" s="68" t="e">
        <f t="shared" si="193"/>
        <v>#DIV/0!</v>
      </c>
    </row>
    <row r="1827" spans="1:53" hidden="1">
      <c r="A1827" t="s">
        <v>908</v>
      </c>
      <c r="B1827" t="s">
        <v>715</v>
      </c>
      <c r="C1827" t="s">
        <v>704</v>
      </c>
      <c r="D1827" s="25">
        <v>51</v>
      </c>
      <c r="E1827" s="25">
        <v>538</v>
      </c>
      <c r="F1827" t="s">
        <v>1241</v>
      </c>
      <c r="G1827" t="s">
        <v>705</v>
      </c>
      <c r="H1827" s="3" t="s">
        <v>873</v>
      </c>
      <c r="I1827">
        <v>2016</v>
      </c>
      <c r="J1827" t="s">
        <v>706</v>
      </c>
      <c r="K1827" t="s">
        <v>707</v>
      </c>
      <c r="L1827" t="s">
        <v>708</v>
      </c>
      <c r="M1827" s="25" t="s">
        <v>36</v>
      </c>
      <c r="N1827" t="s">
        <v>36</v>
      </c>
      <c r="O1827" t="s">
        <v>47</v>
      </c>
      <c r="P1827" t="s">
        <v>60</v>
      </c>
      <c r="Q1827" t="s">
        <v>899</v>
      </c>
      <c r="R1827" t="s">
        <v>849</v>
      </c>
      <c r="S1827" t="s">
        <v>848</v>
      </c>
      <c r="T1827">
        <v>54.3279274</v>
      </c>
      <c r="U1827">
        <v>10.179612799999999</v>
      </c>
      <c r="V1827" t="s">
        <v>905</v>
      </c>
      <c r="W1827" s="25" t="s">
        <v>38</v>
      </c>
      <c r="X1827">
        <v>14</v>
      </c>
      <c r="Y1827" t="s">
        <v>95</v>
      </c>
      <c r="Z1827">
        <v>1</v>
      </c>
      <c r="AA1827">
        <v>1</v>
      </c>
      <c r="AB1827" t="s">
        <v>709</v>
      </c>
      <c r="AC1827">
        <v>500</v>
      </c>
      <c r="AE1827">
        <v>3000</v>
      </c>
      <c r="AG1827">
        <v>2355</v>
      </c>
      <c r="AH1827">
        <v>3.4771212550000001</v>
      </c>
      <c r="AI1827">
        <v>16.5</v>
      </c>
      <c r="AJ1827" t="s">
        <v>93</v>
      </c>
      <c r="AK1827" t="s">
        <v>40</v>
      </c>
      <c r="AL1827" s="25" t="s">
        <v>60</v>
      </c>
      <c r="AM1827" t="s">
        <v>61</v>
      </c>
      <c r="AN1827">
        <v>133.333</v>
      </c>
      <c r="AO1827">
        <v>37.521479569999997</v>
      </c>
      <c r="AP1827">
        <v>94.814800000000005</v>
      </c>
      <c r="AQ1827">
        <v>31.864212739999999</v>
      </c>
      <c r="AR1827" t="s">
        <v>44</v>
      </c>
      <c r="AS1827">
        <f t="shared" si="183"/>
        <v>-0.34092424321748016</v>
      </c>
      <c r="AT1827">
        <f t="shared" si="184"/>
        <v>0.19213424904579851</v>
      </c>
      <c r="AW1827" s="28" t="e">
        <f t="shared" si="189"/>
        <v>#DIV/0!</v>
      </c>
      <c r="AX1827">
        <f t="shared" si="190"/>
        <v>4</v>
      </c>
      <c r="AY1827" s="62" t="e">
        <f t="shared" si="191"/>
        <v>#DIV/0!</v>
      </c>
      <c r="AZ1827" s="68" t="e">
        <f t="shared" si="192"/>
        <v>#DIV/0!</v>
      </c>
      <c r="BA1827" s="68" t="e">
        <f t="shared" si="193"/>
        <v>#DIV/0!</v>
      </c>
    </row>
    <row r="1828" spans="1:53" hidden="1">
      <c r="A1828" t="s">
        <v>908</v>
      </c>
      <c r="B1828" t="s">
        <v>716</v>
      </c>
      <c r="C1828" t="s">
        <v>704</v>
      </c>
      <c r="D1828" s="25">
        <v>51</v>
      </c>
      <c r="E1828" s="25">
        <v>539</v>
      </c>
      <c r="F1828" t="s">
        <v>1241</v>
      </c>
      <c r="G1828" t="s">
        <v>705</v>
      </c>
      <c r="H1828" s="3" t="s">
        <v>873</v>
      </c>
      <c r="I1828">
        <v>2016</v>
      </c>
      <c r="J1828" t="s">
        <v>706</v>
      </c>
      <c r="K1828" t="s">
        <v>707</v>
      </c>
      <c r="L1828" t="s">
        <v>708</v>
      </c>
      <c r="M1828" s="25" t="s">
        <v>36</v>
      </c>
      <c r="N1828" t="s">
        <v>36</v>
      </c>
      <c r="O1828" t="s">
        <v>47</v>
      </c>
      <c r="P1828" t="s">
        <v>60</v>
      </c>
      <c r="Q1828" t="s">
        <v>899</v>
      </c>
      <c r="R1828" t="s">
        <v>849</v>
      </c>
      <c r="S1828" t="s">
        <v>848</v>
      </c>
      <c r="T1828">
        <v>54.3279274</v>
      </c>
      <c r="U1828">
        <v>10.179612799999999</v>
      </c>
      <c r="V1828" t="s">
        <v>905</v>
      </c>
      <c r="W1828" s="25" t="s">
        <v>38</v>
      </c>
      <c r="X1828">
        <v>14</v>
      </c>
      <c r="Y1828" t="s">
        <v>95</v>
      </c>
      <c r="Z1828">
        <v>1</v>
      </c>
      <c r="AA1828">
        <v>1</v>
      </c>
      <c r="AB1828" t="s">
        <v>710</v>
      </c>
      <c r="AC1828">
        <v>500</v>
      </c>
      <c r="AE1828">
        <v>1000</v>
      </c>
      <c r="AG1828">
        <v>2356</v>
      </c>
      <c r="AH1828">
        <v>3</v>
      </c>
      <c r="AI1828">
        <v>16.5</v>
      </c>
      <c r="AJ1828" t="s">
        <v>93</v>
      </c>
      <c r="AK1828" t="s">
        <v>40</v>
      </c>
      <c r="AL1828" s="25" t="s">
        <v>60</v>
      </c>
      <c r="AM1828" t="s">
        <v>61</v>
      </c>
      <c r="AN1828">
        <v>39.402999999999999</v>
      </c>
      <c r="AO1828">
        <v>11.08846917</v>
      </c>
      <c r="AP1828">
        <v>38.5075</v>
      </c>
      <c r="AQ1828">
        <v>12.94113548</v>
      </c>
      <c r="AR1828" t="s">
        <v>44</v>
      </c>
      <c r="AS1828">
        <f t="shared" si="183"/>
        <v>-2.2988928020727162E-2</v>
      </c>
      <c r="AT1828">
        <f t="shared" si="184"/>
        <v>0.19213424912411597</v>
      </c>
      <c r="AW1828" s="28" t="e">
        <f t="shared" si="189"/>
        <v>#DIV/0!</v>
      </c>
      <c r="AX1828">
        <f t="shared" si="190"/>
        <v>4</v>
      </c>
      <c r="AY1828" s="62" t="e">
        <f t="shared" si="191"/>
        <v>#DIV/0!</v>
      </c>
      <c r="AZ1828" s="68" t="e">
        <f t="shared" si="192"/>
        <v>#DIV/0!</v>
      </c>
      <c r="BA1828" s="68" t="e">
        <f t="shared" si="193"/>
        <v>#DIV/0!</v>
      </c>
    </row>
    <row r="1829" spans="1:53" hidden="1">
      <c r="A1829" t="s">
        <v>908</v>
      </c>
      <c r="B1829" t="s">
        <v>717</v>
      </c>
      <c r="C1829" t="s">
        <v>704</v>
      </c>
      <c r="D1829" s="25">
        <v>51</v>
      </c>
      <c r="E1829" s="25">
        <v>540</v>
      </c>
      <c r="F1829" t="s">
        <v>1241</v>
      </c>
      <c r="G1829" t="s">
        <v>705</v>
      </c>
      <c r="H1829" s="3" t="s">
        <v>873</v>
      </c>
      <c r="I1829">
        <v>2016</v>
      </c>
      <c r="J1829" t="s">
        <v>706</v>
      </c>
      <c r="K1829" t="s">
        <v>707</v>
      </c>
      <c r="L1829" t="s">
        <v>708</v>
      </c>
      <c r="M1829" s="25" t="s">
        <v>36</v>
      </c>
      <c r="N1829" t="s">
        <v>36</v>
      </c>
      <c r="O1829" t="s">
        <v>47</v>
      </c>
      <c r="P1829" t="s">
        <v>60</v>
      </c>
      <c r="Q1829" t="s">
        <v>899</v>
      </c>
      <c r="R1829" t="s">
        <v>849</v>
      </c>
      <c r="S1829" t="s">
        <v>848</v>
      </c>
      <c r="T1829">
        <v>54.3279274</v>
      </c>
      <c r="U1829">
        <v>10.179612799999999</v>
      </c>
      <c r="V1829" t="s">
        <v>905</v>
      </c>
      <c r="W1829" s="25" t="s">
        <v>38</v>
      </c>
      <c r="X1829">
        <v>14</v>
      </c>
      <c r="Y1829" t="s">
        <v>95</v>
      </c>
      <c r="Z1829">
        <v>1</v>
      </c>
      <c r="AA1829">
        <v>1</v>
      </c>
      <c r="AB1829" t="s">
        <v>710</v>
      </c>
      <c r="AC1829">
        <v>500</v>
      </c>
      <c r="AE1829">
        <v>1500</v>
      </c>
      <c r="AG1829">
        <v>2356</v>
      </c>
      <c r="AH1829">
        <v>3.1760912590000001</v>
      </c>
      <c r="AI1829">
        <v>16.5</v>
      </c>
      <c r="AJ1829" t="s">
        <v>93</v>
      </c>
      <c r="AK1829" t="s">
        <v>40</v>
      </c>
      <c r="AL1829" s="25" t="s">
        <v>60</v>
      </c>
      <c r="AM1829" t="s">
        <v>61</v>
      </c>
      <c r="AN1829">
        <v>39.402999999999999</v>
      </c>
      <c r="AO1829">
        <v>11.08846917</v>
      </c>
      <c r="AP1829">
        <v>81.492500000000007</v>
      </c>
      <c r="AQ1829">
        <v>27.38701507</v>
      </c>
      <c r="AR1829" t="s">
        <v>44</v>
      </c>
      <c r="AS1829">
        <f t="shared" si="183"/>
        <v>0.72666903593521948</v>
      </c>
      <c r="AT1829">
        <f t="shared" si="184"/>
        <v>0.19213424906074328</v>
      </c>
      <c r="AW1829" s="28" t="e">
        <f t="shared" si="189"/>
        <v>#DIV/0!</v>
      </c>
      <c r="AX1829">
        <f t="shared" si="190"/>
        <v>4</v>
      </c>
      <c r="AY1829" s="62" t="e">
        <f t="shared" si="191"/>
        <v>#DIV/0!</v>
      </c>
      <c r="AZ1829" s="68" t="e">
        <f t="shared" si="192"/>
        <v>#DIV/0!</v>
      </c>
      <c r="BA1829" s="68" t="e">
        <f t="shared" si="193"/>
        <v>#DIV/0!</v>
      </c>
    </row>
    <row r="1830" spans="1:53" hidden="1">
      <c r="A1830" t="s">
        <v>908</v>
      </c>
      <c r="B1830" t="s">
        <v>718</v>
      </c>
      <c r="C1830" t="s">
        <v>704</v>
      </c>
      <c r="D1830" s="25">
        <v>51</v>
      </c>
      <c r="E1830" s="25">
        <v>541</v>
      </c>
      <c r="F1830" t="s">
        <v>1241</v>
      </c>
      <c r="G1830" t="s">
        <v>705</v>
      </c>
      <c r="H1830" s="3" t="s">
        <v>873</v>
      </c>
      <c r="I1830">
        <v>2016</v>
      </c>
      <c r="J1830" t="s">
        <v>706</v>
      </c>
      <c r="K1830" t="s">
        <v>707</v>
      </c>
      <c r="L1830" t="s">
        <v>708</v>
      </c>
      <c r="M1830" s="25" t="s">
        <v>36</v>
      </c>
      <c r="N1830" t="s">
        <v>36</v>
      </c>
      <c r="O1830" t="s">
        <v>47</v>
      </c>
      <c r="P1830" t="s">
        <v>60</v>
      </c>
      <c r="Q1830" t="s">
        <v>899</v>
      </c>
      <c r="R1830" t="s">
        <v>849</v>
      </c>
      <c r="S1830" t="s">
        <v>848</v>
      </c>
      <c r="T1830">
        <v>54.3279274</v>
      </c>
      <c r="U1830">
        <v>10.179612799999999</v>
      </c>
      <c r="V1830" t="s">
        <v>905</v>
      </c>
      <c r="W1830" s="25" t="s">
        <v>38</v>
      </c>
      <c r="X1830">
        <v>14</v>
      </c>
      <c r="Y1830" t="s">
        <v>95</v>
      </c>
      <c r="Z1830">
        <v>1</v>
      </c>
      <c r="AA1830">
        <v>1</v>
      </c>
      <c r="AB1830" t="s">
        <v>710</v>
      </c>
      <c r="AC1830">
        <v>500</v>
      </c>
      <c r="AE1830">
        <v>2000</v>
      </c>
      <c r="AG1830">
        <v>2356</v>
      </c>
      <c r="AH1830">
        <v>3.301029996</v>
      </c>
      <c r="AI1830">
        <v>16.5</v>
      </c>
      <c r="AJ1830" t="s">
        <v>93</v>
      </c>
      <c r="AK1830" t="s">
        <v>40</v>
      </c>
      <c r="AL1830" s="25" t="s">
        <v>60</v>
      </c>
      <c r="AM1830" t="s">
        <v>61</v>
      </c>
      <c r="AN1830">
        <v>39.402999999999999</v>
      </c>
      <c r="AO1830">
        <v>11.08846917</v>
      </c>
      <c r="AP1830">
        <v>80.596999999999994</v>
      </c>
      <c r="AQ1830">
        <v>27.086066249999998</v>
      </c>
      <c r="AR1830" t="s">
        <v>44</v>
      </c>
      <c r="AS1830">
        <f t="shared" si="183"/>
        <v>0.71561947243899482</v>
      </c>
      <c r="AT1830">
        <f t="shared" si="184"/>
        <v>0.19213424908953344</v>
      </c>
      <c r="AW1830" s="28" t="e">
        <f t="shared" si="189"/>
        <v>#DIV/0!</v>
      </c>
      <c r="AX1830">
        <f t="shared" si="190"/>
        <v>4</v>
      </c>
      <c r="AY1830" s="62" t="e">
        <f t="shared" si="191"/>
        <v>#DIV/0!</v>
      </c>
      <c r="AZ1830" s="68" t="e">
        <f t="shared" si="192"/>
        <v>#DIV/0!</v>
      </c>
      <c r="BA1830" s="68" t="e">
        <f t="shared" si="193"/>
        <v>#DIV/0!</v>
      </c>
    </row>
    <row r="1831" spans="1:53" hidden="1">
      <c r="A1831" t="s">
        <v>908</v>
      </c>
      <c r="B1831" t="s">
        <v>719</v>
      </c>
      <c r="C1831" t="s">
        <v>704</v>
      </c>
      <c r="D1831" s="25">
        <v>51</v>
      </c>
      <c r="E1831" s="25">
        <v>542</v>
      </c>
      <c r="F1831" t="s">
        <v>1241</v>
      </c>
      <c r="G1831" t="s">
        <v>705</v>
      </c>
      <c r="H1831" s="3" t="s">
        <v>873</v>
      </c>
      <c r="I1831">
        <v>2016</v>
      </c>
      <c r="J1831" t="s">
        <v>706</v>
      </c>
      <c r="K1831" t="s">
        <v>707</v>
      </c>
      <c r="L1831" t="s">
        <v>708</v>
      </c>
      <c r="M1831" s="25" t="s">
        <v>36</v>
      </c>
      <c r="N1831" t="s">
        <v>36</v>
      </c>
      <c r="O1831" t="s">
        <v>47</v>
      </c>
      <c r="P1831" t="s">
        <v>60</v>
      </c>
      <c r="Q1831" t="s">
        <v>899</v>
      </c>
      <c r="R1831" t="s">
        <v>849</v>
      </c>
      <c r="S1831" t="s">
        <v>848</v>
      </c>
      <c r="T1831">
        <v>54.3279274</v>
      </c>
      <c r="U1831">
        <v>10.179612799999999</v>
      </c>
      <c r="V1831" t="s">
        <v>905</v>
      </c>
      <c r="W1831" s="25" t="s">
        <v>38</v>
      </c>
      <c r="X1831">
        <v>14</v>
      </c>
      <c r="Y1831" t="s">
        <v>95</v>
      </c>
      <c r="Z1831">
        <v>1</v>
      </c>
      <c r="AA1831">
        <v>1</v>
      </c>
      <c r="AB1831" t="s">
        <v>710</v>
      </c>
      <c r="AC1831">
        <v>500</v>
      </c>
      <c r="AE1831">
        <v>2500</v>
      </c>
      <c r="AG1831">
        <v>2356</v>
      </c>
      <c r="AH1831">
        <v>3.397940009</v>
      </c>
      <c r="AI1831">
        <v>16.5</v>
      </c>
      <c r="AJ1831" t="s">
        <v>93</v>
      </c>
      <c r="AK1831" t="s">
        <v>40</v>
      </c>
      <c r="AL1831" s="25" t="s">
        <v>60</v>
      </c>
      <c r="AM1831" t="s">
        <v>61</v>
      </c>
      <c r="AN1831">
        <v>39.402999999999999</v>
      </c>
      <c r="AO1831">
        <v>11.08846917</v>
      </c>
      <c r="AP1831">
        <v>39.402999999999999</v>
      </c>
      <c r="AQ1831">
        <v>13.2420843</v>
      </c>
      <c r="AR1831" t="s">
        <v>44</v>
      </c>
      <c r="AS1831">
        <f t="shared" si="183"/>
        <v>0</v>
      </c>
      <c r="AT1831">
        <f t="shared" si="184"/>
        <v>0.19213424906378679</v>
      </c>
      <c r="AW1831" s="28" t="e">
        <f t="shared" si="189"/>
        <v>#DIV/0!</v>
      </c>
      <c r="AX1831">
        <f t="shared" si="190"/>
        <v>4</v>
      </c>
      <c r="AY1831" s="62" t="e">
        <f t="shared" si="191"/>
        <v>#DIV/0!</v>
      </c>
      <c r="AZ1831" s="68" t="e">
        <f t="shared" si="192"/>
        <v>#DIV/0!</v>
      </c>
      <c r="BA1831" s="68" t="e">
        <f t="shared" si="193"/>
        <v>#DIV/0!</v>
      </c>
    </row>
    <row r="1832" spans="1:53" hidden="1">
      <c r="A1832" t="s">
        <v>908</v>
      </c>
      <c r="B1832" t="s">
        <v>720</v>
      </c>
      <c r="C1832" t="s">
        <v>704</v>
      </c>
      <c r="D1832" s="25">
        <v>51</v>
      </c>
      <c r="E1832" s="25">
        <v>543</v>
      </c>
      <c r="F1832" t="s">
        <v>1241</v>
      </c>
      <c r="G1832" t="s">
        <v>705</v>
      </c>
      <c r="H1832" s="3" t="s">
        <v>873</v>
      </c>
      <c r="I1832">
        <v>2016</v>
      </c>
      <c r="J1832" t="s">
        <v>706</v>
      </c>
      <c r="K1832" t="s">
        <v>707</v>
      </c>
      <c r="L1832" t="s">
        <v>708</v>
      </c>
      <c r="M1832" s="25" t="s">
        <v>36</v>
      </c>
      <c r="N1832" t="s">
        <v>36</v>
      </c>
      <c r="O1832" t="s">
        <v>47</v>
      </c>
      <c r="P1832" t="s">
        <v>60</v>
      </c>
      <c r="Q1832" t="s">
        <v>899</v>
      </c>
      <c r="R1832" t="s">
        <v>849</v>
      </c>
      <c r="S1832" t="s">
        <v>848</v>
      </c>
      <c r="T1832">
        <v>54.3279274</v>
      </c>
      <c r="U1832">
        <v>10.179612799999999</v>
      </c>
      <c r="V1832" t="s">
        <v>905</v>
      </c>
      <c r="W1832" s="25" t="s">
        <v>38</v>
      </c>
      <c r="X1832">
        <v>14</v>
      </c>
      <c r="Y1832" t="s">
        <v>95</v>
      </c>
      <c r="Z1832">
        <v>1</v>
      </c>
      <c r="AA1832">
        <v>1</v>
      </c>
      <c r="AB1832" t="s">
        <v>710</v>
      </c>
      <c r="AC1832">
        <v>500</v>
      </c>
      <c r="AE1832">
        <v>3000</v>
      </c>
      <c r="AG1832">
        <v>2356</v>
      </c>
      <c r="AH1832">
        <v>3.4771212550000001</v>
      </c>
      <c r="AI1832">
        <v>16.5</v>
      </c>
      <c r="AJ1832" t="s">
        <v>93</v>
      </c>
      <c r="AK1832" t="s">
        <v>40</v>
      </c>
      <c r="AL1832" s="25" t="s">
        <v>60</v>
      </c>
      <c r="AM1832" t="s">
        <v>61</v>
      </c>
      <c r="AN1832">
        <v>39.402999999999999</v>
      </c>
      <c r="AO1832">
        <v>11.08846917</v>
      </c>
      <c r="AP1832">
        <v>17.910399999999999</v>
      </c>
      <c r="AQ1832">
        <v>6.019110897</v>
      </c>
      <c r="AR1832" t="s">
        <v>44</v>
      </c>
      <c r="AS1832">
        <f t="shared" si="183"/>
        <v>-0.78846040582229948</v>
      </c>
      <c r="AT1832">
        <f t="shared" si="184"/>
        <v>0.19213424909023608</v>
      </c>
      <c r="AW1832" s="28" t="e">
        <f t="shared" si="189"/>
        <v>#DIV/0!</v>
      </c>
      <c r="AX1832">
        <f t="shared" si="190"/>
        <v>4</v>
      </c>
      <c r="AY1832" s="62" t="e">
        <f t="shared" si="191"/>
        <v>#DIV/0!</v>
      </c>
      <c r="AZ1832" s="68" t="e">
        <f t="shared" si="192"/>
        <v>#DIV/0!</v>
      </c>
      <c r="BA1832" s="68" t="e">
        <f t="shared" si="193"/>
        <v>#DIV/0!</v>
      </c>
    </row>
    <row r="1833" spans="1:53" hidden="1">
      <c r="A1833" t="s">
        <v>908</v>
      </c>
      <c r="B1833" t="s">
        <v>721</v>
      </c>
      <c r="C1833" t="s">
        <v>722</v>
      </c>
      <c r="D1833" s="25">
        <v>52</v>
      </c>
      <c r="E1833" s="25">
        <v>544</v>
      </c>
      <c r="F1833" t="s">
        <v>1241</v>
      </c>
      <c r="G1833" t="s">
        <v>723</v>
      </c>
      <c r="H1833" s="3" t="s">
        <v>874</v>
      </c>
      <c r="I1833">
        <v>2016</v>
      </c>
      <c r="J1833" t="s">
        <v>724</v>
      </c>
      <c r="K1833" t="s">
        <v>105</v>
      </c>
      <c r="L1833" t="s">
        <v>725</v>
      </c>
      <c r="M1833" s="25" t="s">
        <v>36</v>
      </c>
      <c r="N1833" t="s">
        <v>36</v>
      </c>
      <c r="O1833" t="s">
        <v>37</v>
      </c>
      <c r="P1833" t="s">
        <v>60</v>
      </c>
      <c r="Q1833" t="s">
        <v>899</v>
      </c>
      <c r="R1833" t="s">
        <v>855</v>
      </c>
      <c r="S1833" t="s">
        <v>726</v>
      </c>
      <c r="T1833">
        <v>54.3279274</v>
      </c>
      <c r="U1833">
        <v>10.179612799999999</v>
      </c>
      <c r="V1833" t="s">
        <v>905</v>
      </c>
      <c r="W1833" s="25" t="s">
        <v>38</v>
      </c>
      <c r="X1833">
        <v>11</v>
      </c>
      <c r="Y1833" t="s">
        <v>39</v>
      </c>
      <c r="Z1833">
        <v>3</v>
      </c>
      <c r="AA1833">
        <v>3</v>
      </c>
      <c r="AC1833">
        <v>439</v>
      </c>
      <c r="AE1833">
        <v>1040</v>
      </c>
      <c r="AG1833">
        <v>2357</v>
      </c>
      <c r="AH1833">
        <v>3.0170333390000001</v>
      </c>
      <c r="AI1833">
        <v>9</v>
      </c>
      <c r="AJ1833" t="s">
        <v>726</v>
      </c>
      <c r="AK1833" t="s">
        <v>40</v>
      </c>
      <c r="AL1833" s="25" t="s">
        <v>60</v>
      </c>
      <c r="AM1833" t="s">
        <v>61</v>
      </c>
      <c r="AN1833">
        <v>1.6</v>
      </c>
      <c r="AO1833">
        <v>0.304761905</v>
      </c>
      <c r="AP1833">
        <v>1.066666667</v>
      </c>
      <c r="AQ1833">
        <v>0.38095238100000001</v>
      </c>
      <c r="AR1833" t="s">
        <v>48</v>
      </c>
      <c r="AS1833">
        <f t="shared" si="183"/>
        <v>-0.40546510779566447</v>
      </c>
      <c r="AT1833">
        <f t="shared" si="184"/>
        <v>5.4610733185114321E-2</v>
      </c>
      <c r="AW1833" s="28">
        <f t="shared" si="189"/>
        <v>-1.5460413634923835</v>
      </c>
      <c r="AX1833">
        <f t="shared" si="190"/>
        <v>0.8</v>
      </c>
      <c r="AY1833" s="62">
        <f t="shared" si="191"/>
        <v>-1.2368330907939069</v>
      </c>
      <c r="AZ1833" s="68" t="str">
        <f t="shared" si="192"/>
        <v>No</v>
      </c>
      <c r="BA1833" s="68" t="str">
        <f t="shared" si="193"/>
        <v>No</v>
      </c>
    </row>
    <row r="1834" spans="1:53" hidden="1">
      <c r="A1834" t="s">
        <v>908</v>
      </c>
      <c r="B1834" t="s">
        <v>727</v>
      </c>
      <c r="C1834" t="s">
        <v>722</v>
      </c>
      <c r="D1834" s="25">
        <v>52</v>
      </c>
      <c r="E1834" s="25">
        <v>545</v>
      </c>
      <c r="F1834" t="s">
        <v>1241</v>
      </c>
      <c r="G1834" t="s">
        <v>723</v>
      </c>
      <c r="H1834" s="3" t="s">
        <v>874</v>
      </c>
      <c r="I1834">
        <v>2016</v>
      </c>
      <c r="J1834" t="s">
        <v>724</v>
      </c>
      <c r="K1834" t="s">
        <v>105</v>
      </c>
      <c r="L1834" t="s">
        <v>725</v>
      </c>
      <c r="M1834" s="25" t="s">
        <v>36</v>
      </c>
      <c r="N1834" t="s">
        <v>36</v>
      </c>
      <c r="O1834" t="s">
        <v>37</v>
      </c>
      <c r="P1834" t="s">
        <v>60</v>
      </c>
      <c r="Q1834" t="s">
        <v>899</v>
      </c>
      <c r="R1834" t="s">
        <v>855</v>
      </c>
      <c r="S1834" t="s">
        <v>726</v>
      </c>
      <c r="T1834">
        <v>54.3279274</v>
      </c>
      <c r="U1834">
        <v>10.179612799999999</v>
      </c>
      <c r="V1834" t="s">
        <v>905</v>
      </c>
      <c r="W1834" s="25" t="s">
        <v>38</v>
      </c>
      <c r="X1834">
        <v>14</v>
      </c>
      <c r="Y1834" t="s">
        <v>39</v>
      </c>
      <c r="Z1834">
        <v>3</v>
      </c>
      <c r="AA1834">
        <v>3</v>
      </c>
      <c r="AC1834">
        <v>439</v>
      </c>
      <c r="AE1834">
        <v>1040</v>
      </c>
      <c r="AG1834">
        <v>2358</v>
      </c>
      <c r="AH1834">
        <v>3.0170333390000001</v>
      </c>
      <c r="AI1834">
        <v>9</v>
      </c>
      <c r="AJ1834" t="s">
        <v>726</v>
      </c>
      <c r="AK1834" t="s">
        <v>40</v>
      </c>
      <c r="AL1834" s="25" t="s">
        <v>60</v>
      </c>
      <c r="AM1834" t="s">
        <v>61</v>
      </c>
      <c r="AN1834">
        <v>5.180952381</v>
      </c>
      <c r="AO1834">
        <v>2.0571428570000001</v>
      </c>
      <c r="AP1834">
        <v>4.4952380950000004</v>
      </c>
      <c r="AQ1834">
        <v>2.6666666669999999</v>
      </c>
      <c r="AR1834" t="s">
        <v>48</v>
      </c>
      <c r="AS1834">
        <f t="shared" si="183"/>
        <v>-0.14197026133254442</v>
      </c>
      <c r="AT1834">
        <f t="shared" si="184"/>
        <v>0.16985536000872928</v>
      </c>
      <c r="AW1834" s="28">
        <f t="shared" si="189"/>
        <v>-0.28793550977281168</v>
      </c>
      <c r="AX1834">
        <f t="shared" si="190"/>
        <v>0.8</v>
      </c>
      <c r="AY1834" s="62">
        <f t="shared" si="191"/>
        <v>-0.23034840781824936</v>
      </c>
      <c r="AZ1834" s="68" t="str">
        <f t="shared" si="192"/>
        <v>No</v>
      </c>
      <c r="BA1834" s="68" t="str">
        <f t="shared" si="193"/>
        <v>No</v>
      </c>
    </row>
    <row r="1835" spans="1:53" hidden="1">
      <c r="A1835" t="s">
        <v>908</v>
      </c>
      <c r="B1835" s="25" t="s">
        <v>565</v>
      </c>
      <c r="C1835" t="s">
        <v>558</v>
      </c>
      <c r="D1835" s="25">
        <v>44</v>
      </c>
      <c r="E1835" s="25">
        <v>411</v>
      </c>
      <c r="F1835" t="s">
        <v>914</v>
      </c>
      <c r="G1835" t="s">
        <v>559</v>
      </c>
      <c r="H1835" s="3" t="s">
        <v>889</v>
      </c>
      <c r="I1835">
        <v>2003</v>
      </c>
      <c r="J1835" t="s">
        <v>560</v>
      </c>
      <c r="K1835" t="s">
        <v>162</v>
      </c>
      <c r="L1835" t="s">
        <v>561</v>
      </c>
      <c r="M1835" s="25" t="s">
        <v>35</v>
      </c>
      <c r="N1835" t="s">
        <v>36</v>
      </c>
      <c r="O1835" t="s">
        <v>37</v>
      </c>
      <c r="P1835" t="s">
        <v>60</v>
      </c>
      <c r="Q1835" t="s">
        <v>900</v>
      </c>
      <c r="R1835" t="s">
        <v>888</v>
      </c>
      <c r="S1835" t="s">
        <v>890</v>
      </c>
      <c r="T1835">
        <v>35.188951199999998</v>
      </c>
      <c r="U1835">
        <v>140.37141260000001</v>
      </c>
      <c r="V1835" t="s">
        <v>905</v>
      </c>
      <c r="W1835" s="25" t="s">
        <v>38</v>
      </c>
      <c r="X1835">
        <v>0.25</v>
      </c>
      <c r="Y1835" t="s">
        <v>39</v>
      </c>
      <c r="Z1835">
        <v>2</v>
      </c>
      <c r="AA1835">
        <v>2</v>
      </c>
      <c r="AC1835">
        <v>320</v>
      </c>
      <c r="AE1835">
        <v>20000</v>
      </c>
      <c r="AG1835">
        <v>2206</v>
      </c>
      <c r="AH1835">
        <v>4.3010299959999996</v>
      </c>
      <c r="AI1835">
        <v>20</v>
      </c>
      <c r="AJ1835" t="s">
        <v>562</v>
      </c>
      <c r="AK1835" t="s">
        <v>69</v>
      </c>
      <c r="AL1835" s="25" t="s">
        <v>353</v>
      </c>
      <c r="AM1835" t="s">
        <v>61</v>
      </c>
      <c r="AN1835">
        <v>100</v>
      </c>
      <c r="AO1835">
        <v>31.318005060000001</v>
      </c>
      <c r="AP1835">
        <v>97.551055730000002</v>
      </c>
      <c r="AQ1835">
        <v>20.373899359999999</v>
      </c>
      <c r="AR1835" t="s">
        <v>44</v>
      </c>
      <c r="AS1835">
        <f t="shared" si="183"/>
        <v>-2.4794296527508308E-2</v>
      </c>
      <c r="AT1835">
        <f t="shared" si="184"/>
        <v>7.0850806973402666E-2</v>
      </c>
      <c r="AZ1835"/>
      <c r="BA1835"/>
    </row>
    <row r="1836" spans="1:53" hidden="1">
      <c r="A1836" t="s">
        <v>908</v>
      </c>
      <c r="B1836" s="25" t="s">
        <v>566</v>
      </c>
      <c r="C1836" t="s">
        <v>558</v>
      </c>
      <c r="D1836" s="25">
        <v>44</v>
      </c>
      <c r="E1836" s="25">
        <v>412</v>
      </c>
      <c r="F1836" t="s">
        <v>914</v>
      </c>
      <c r="G1836" t="s">
        <v>559</v>
      </c>
      <c r="H1836" s="3" t="s">
        <v>889</v>
      </c>
      <c r="I1836">
        <v>2003</v>
      </c>
      <c r="J1836" t="s">
        <v>560</v>
      </c>
      <c r="K1836" t="s">
        <v>162</v>
      </c>
      <c r="L1836" t="s">
        <v>561</v>
      </c>
      <c r="M1836" s="25" t="s">
        <v>35</v>
      </c>
      <c r="N1836" t="s">
        <v>36</v>
      </c>
      <c r="O1836" t="s">
        <v>37</v>
      </c>
      <c r="P1836" t="s">
        <v>60</v>
      </c>
      <c r="Q1836" t="s">
        <v>900</v>
      </c>
      <c r="R1836" t="s">
        <v>888</v>
      </c>
      <c r="S1836" t="s">
        <v>890</v>
      </c>
      <c r="T1836">
        <v>35.188951199999998</v>
      </c>
      <c r="U1836">
        <v>140.37141260000001</v>
      </c>
      <c r="V1836" t="s">
        <v>905</v>
      </c>
      <c r="W1836" s="25" t="s">
        <v>38</v>
      </c>
      <c r="X1836">
        <v>0.25</v>
      </c>
      <c r="Y1836" t="s">
        <v>39</v>
      </c>
      <c r="Z1836">
        <v>2</v>
      </c>
      <c r="AA1836">
        <v>2</v>
      </c>
      <c r="AC1836">
        <v>320</v>
      </c>
      <c r="AE1836">
        <v>30000</v>
      </c>
      <c r="AG1836">
        <v>2206</v>
      </c>
      <c r="AH1836">
        <v>4.4771212550000001</v>
      </c>
      <c r="AI1836">
        <v>20</v>
      </c>
      <c r="AJ1836" t="s">
        <v>562</v>
      </c>
      <c r="AK1836" t="s">
        <v>69</v>
      </c>
      <c r="AL1836" s="25" t="s">
        <v>353</v>
      </c>
      <c r="AM1836" t="s">
        <v>61</v>
      </c>
      <c r="AN1836">
        <v>100</v>
      </c>
      <c r="AO1836">
        <v>31.318005060000001</v>
      </c>
      <c r="AP1836">
        <v>42.384908269999997</v>
      </c>
      <c r="AQ1836">
        <v>8.8522451019999995</v>
      </c>
      <c r="AR1836" t="s">
        <v>44</v>
      </c>
      <c r="AS1836">
        <f t="shared" si="183"/>
        <v>-0.85837782413910091</v>
      </c>
      <c r="AT1836">
        <f t="shared" si="184"/>
        <v>7.0850806963553226E-2</v>
      </c>
      <c r="AZ1836"/>
      <c r="BA1836"/>
    </row>
    <row r="1837" spans="1:53" hidden="1">
      <c r="A1837" t="s">
        <v>908</v>
      </c>
      <c r="B1837" s="25" t="s">
        <v>567</v>
      </c>
      <c r="C1837" t="s">
        <v>558</v>
      </c>
      <c r="D1837" s="25">
        <v>44</v>
      </c>
      <c r="E1837" s="25">
        <v>413</v>
      </c>
      <c r="F1837" t="s">
        <v>914</v>
      </c>
      <c r="G1837" t="s">
        <v>559</v>
      </c>
      <c r="H1837" s="3" t="s">
        <v>889</v>
      </c>
      <c r="I1837">
        <v>2003</v>
      </c>
      <c r="J1837" t="s">
        <v>560</v>
      </c>
      <c r="K1837" t="s">
        <v>162</v>
      </c>
      <c r="L1837" t="s">
        <v>561</v>
      </c>
      <c r="M1837" s="25" t="s">
        <v>35</v>
      </c>
      <c r="N1837" t="s">
        <v>36</v>
      </c>
      <c r="O1837" t="s">
        <v>37</v>
      </c>
      <c r="P1837" t="s">
        <v>60</v>
      </c>
      <c r="Q1837" t="s">
        <v>900</v>
      </c>
      <c r="R1837" t="s">
        <v>888</v>
      </c>
      <c r="S1837" t="s">
        <v>890</v>
      </c>
      <c r="T1837">
        <v>35.188951199999998</v>
      </c>
      <c r="U1837">
        <v>140.37141260000001</v>
      </c>
      <c r="V1837" t="s">
        <v>905</v>
      </c>
      <c r="W1837" s="25" t="s">
        <v>38</v>
      </c>
      <c r="X1837">
        <v>0.25</v>
      </c>
      <c r="Y1837" t="s">
        <v>39</v>
      </c>
      <c r="Z1837">
        <v>2</v>
      </c>
      <c r="AA1837">
        <v>2</v>
      </c>
      <c r="AC1837">
        <v>320</v>
      </c>
      <c r="AE1837">
        <v>50000</v>
      </c>
      <c r="AG1837">
        <v>2206</v>
      </c>
      <c r="AH1837">
        <v>4.6989700040000004</v>
      </c>
      <c r="AI1837">
        <v>20</v>
      </c>
      <c r="AJ1837" t="s">
        <v>562</v>
      </c>
      <c r="AK1837" t="s">
        <v>69</v>
      </c>
      <c r="AL1837" s="25" t="s">
        <v>353</v>
      </c>
      <c r="AM1837" t="s">
        <v>61</v>
      </c>
      <c r="AN1837">
        <v>100</v>
      </c>
      <c r="AO1837">
        <v>2.7042229149999999</v>
      </c>
      <c r="AP1837">
        <v>0.34181377600000001</v>
      </c>
      <c r="AQ1837">
        <v>4.1839736930000004</v>
      </c>
      <c r="AR1837" t="s">
        <v>44</v>
      </c>
      <c r="AS1837">
        <f t="shared" si="183"/>
        <v>-5.6786593908294298</v>
      </c>
      <c r="AT1837">
        <f t="shared" si="184"/>
        <v>74.915363398538119</v>
      </c>
      <c r="AZ1837"/>
      <c r="BA1837"/>
    </row>
    <row r="1838" spans="1:53" hidden="1">
      <c r="A1838" t="s">
        <v>908</v>
      </c>
      <c r="B1838" s="25" t="s">
        <v>568</v>
      </c>
      <c r="C1838" t="s">
        <v>558</v>
      </c>
      <c r="D1838" s="25">
        <v>44</v>
      </c>
      <c r="E1838" s="25">
        <v>414</v>
      </c>
      <c r="F1838" t="s">
        <v>914</v>
      </c>
      <c r="G1838" t="s">
        <v>559</v>
      </c>
      <c r="H1838" s="3" t="s">
        <v>889</v>
      </c>
      <c r="I1838">
        <v>2003</v>
      </c>
      <c r="J1838" t="s">
        <v>560</v>
      </c>
      <c r="K1838" t="s">
        <v>162</v>
      </c>
      <c r="L1838" t="s">
        <v>561</v>
      </c>
      <c r="M1838" s="25" t="s">
        <v>35</v>
      </c>
      <c r="N1838" t="s">
        <v>36</v>
      </c>
      <c r="O1838" t="s">
        <v>37</v>
      </c>
      <c r="P1838" t="s">
        <v>60</v>
      </c>
      <c r="Q1838" t="s">
        <v>900</v>
      </c>
      <c r="R1838" t="s">
        <v>888</v>
      </c>
      <c r="S1838" t="s">
        <v>890</v>
      </c>
      <c r="T1838">
        <v>35.188951199999998</v>
      </c>
      <c r="U1838">
        <v>140.37141260000001</v>
      </c>
      <c r="V1838" t="s">
        <v>905</v>
      </c>
      <c r="W1838" s="25" t="s">
        <v>38</v>
      </c>
      <c r="X1838">
        <v>0.25</v>
      </c>
      <c r="Y1838" t="s">
        <v>39</v>
      </c>
      <c r="Z1838">
        <v>2</v>
      </c>
      <c r="AA1838">
        <v>2</v>
      </c>
      <c r="AC1838">
        <v>320</v>
      </c>
      <c r="AE1838">
        <v>10000</v>
      </c>
      <c r="AG1838">
        <v>2206</v>
      </c>
      <c r="AH1838">
        <v>4</v>
      </c>
      <c r="AI1838">
        <v>20</v>
      </c>
      <c r="AJ1838" t="s">
        <v>562</v>
      </c>
      <c r="AK1838" t="s">
        <v>69</v>
      </c>
      <c r="AL1838" s="25" t="s">
        <v>353</v>
      </c>
      <c r="AM1838" t="s">
        <v>61</v>
      </c>
      <c r="AN1838">
        <v>100</v>
      </c>
      <c r="AO1838">
        <v>2.1633783320000002</v>
      </c>
      <c r="AP1838">
        <v>99.714434060000002</v>
      </c>
      <c r="AQ1838">
        <v>0.65206051099999995</v>
      </c>
      <c r="AR1838" t="s">
        <v>44</v>
      </c>
      <c r="AS1838">
        <f t="shared" si="183"/>
        <v>-2.859744574402967E-3</v>
      </c>
      <c r="AT1838">
        <f t="shared" si="184"/>
        <v>2.553913757050079E-4</v>
      </c>
      <c r="AZ1838"/>
      <c r="BA1838"/>
    </row>
    <row r="1839" spans="1:53" hidden="1">
      <c r="A1839" t="s">
        <v>908</v>
      </c>
      <c r="B1839" s="25" t="s">
        <v>569</v>
      </c>
      <c r="C1839" t="s">
        <v>558</v>
      </c>
      <c r="D1839" s="25">
        <v>44</v>
      </c>
      <c r="E1839" s="25">
        <v>415</v>
      </c>
      <c r="F1839" t="s">
        <v>914</v>
      </c>
      <c r="G1839" t="s">
        <v>559</v>
      </c>
      <c r="H1839" s="3" t="s">
        <v>889</v>
      </c>
      <c r="I1839">
        <v>2003</v>
      </c>
      <c r="J1839" t="s">
        <v>560</v>
      </c>
      <c r="K1839" t="s">
        <v>162</v>
      </c>
      <c r="L1839" t="s">
        <v>561</v>
      </c>
      <c r="M1839" s="25" t="s">
        <v>35</v>
      </c>
      <c r="N1839" t="s">
        <v>36</v>
      </c>
      <c r="O1839" t="s">
        <v>37</v>
      </c>
      <c r="P1839" t="s">
        <v>60</v>
      </c>
      <c r="Q1839" t="s">
        <v>900</v>
      </c>
      <c r="R1839" t="s">
        <v>888</v>
      </c>
      <c r="S1839" t="s">
        <v>890</v>
      </c>
      <c r="T1839">
        <v>35.188951199999998</v>
      </c>
      <c r="U1839">
        <v>140.37141260000001</v>
      </c>
      <c r="V1839" t="s">
        <v>905</v>
      </c>
      <c r="W1839" s="25" t="s">
        <v>38</v>
      </c>
      <c r="X1839">
        <v>0.25</v>
      </c>
      <c r="Y1839" t="s">
        <v>39</v>
      </c>
      <c r="Z1839">
        <v>2</v>
      </c>
      <c r="AA1839">
        <v>2</v>
      </c>
      <c r="AC1839">
        <v>320</v>
      </c>
      <c r="AE1839">
        <v>20000</v>
      </c>
      <c r="AG1839">
        <v>2207</v>
      </c>
      <c r="AH1839">
        <v>4.3010299959999996</v>
      </c>
      <c r="AI1839">
        <v>20</v>
      </c>
      <c r="AJ1839" t="s">
        <v>562</v>
      </c>
      <c r="AK1839" t="s">
        <v>69</v>
      </c>
      <c r="AL1839" s="25" t="s">
        <v>353</v>
      </c>
      <c r="AM1839" t="s">
        <v>61</v>
      </c>
      <c r="AN1839">
        <v>100</v>
      </c>
      <c r="AO1839">
        <v>2.1633783320000002</v>
      </c>
      <c r="AP1839">
        <v>98.632744889999998</v>
      </c>
      <c r="AQ1839">
        <v>4.8676012460000004</v>
      </c>
      <c r="AR1839" t="s">
        <v>44</v>
      </c>
      <c r="AS1839">
        <f t="shared" si="183"/>
        <v>-1.376688123606673E-2</v>
      </c>
      <c r="AT1839">
        <f t="shared" si="184"/>
        <v>1.4517592091665892E-3</v>
      </c>
      <c r="AZ1839"/>
      <c r="BA1839"/>
    </row>
    <row r="1840" spans="1:53" hidden="1">
      <c r="A1840" t="s">
        <v>908</v>
      </c>
      <c r="B1840" s="25" t="s">
        <v>570</v>
      </c>
      <c r="C1840" t="s">
        <v>558</v>
      </c>
      <c r="D1840" s="25">
        <v>44</v>
      </c>
      <c r="E1840" s="25">
        <v>416</v>
      </c>
      <c r="F1840" t="s">
        <v>914</v>
      </c>
      <c r="G1840" t="s">
        <v>559</v>
      </c>
      <c r="H1840" s="3" t="s">
        <v>889</v>
      </c>
      <c r="I1840">
        <v>2003</v>
      </c>
      <c r="J1840" t="s">
        <v>560</v>
      </c>
      <c r="K1840" t="s">
        <v>162</v>
      </c>
      <c r="L1840" t="s">
        <v>561</v>
      </c>
      <c r="M1840" s="25" t="s">
        <v>35</v>
      </c>
      <c r="N1840" t="s">
        <v>36</v>
      </c>
      <c r="O1840" t="s">
        <v>37</v>
      </c>
      <c r="P1840" t="s">
        <v>60</v>
      </c>
      <c r="Q1840" t="s">
        <v>900</v>
      </c>
      <c r="R1840" t="s">
        <v>888</v>
      </c>
      <c r="S1840" t="s">
        <v>890</v>
      </c>
      <c r="T1840">
        <v>35.188951199999998</v>
      </c>
      <c r="U1840">
        <v>140.37141260000001</v>
      </c>
      <c r="V1840" t="s">
        <v>905</v>
      </c>
      <c r="W1840" s="25" t="s">
        <v>38</v>
      </c>
      <c r="X1840">
        <v>0.25</v>
      </c>
      <c r="Y1840" t="s">
        <v>39</v>
      </c>
      <c r="Z1840">
        <v>2</v>
      </c>
      <c r="AA1840">
        <v>2</v>
      </c>
      <c r="AC1840">
        <v>320</v>
      </c>
      <c r="AE1840">
        <v>30000</v>
      </c>
      <c r="AG1840">
        <v>2207</v>
      </c>
      <c r="AH1840">
        <v>4.4771212550000001</v>
      </c>
      <c r="AI1840">
        <v>20</v>
      </c>
      <c r="AJ1840" t="s">
        <v>562</v>
      </c>
      <c r="AK1840" t="s">
        <v>69</v>
      </c>
      <c r="AL1840" s="25" t="s">
        <v>353</v>
      </c>
      <c r="AM1840" t="s">
        <v>61</v>
      </c>
      <c r="AN1840">
        <v>100</v>
      </c>
      <c r="AO1840">
        <v>2.1633783320000002</v>
      </c>
      <c r="AP1840">
        <v>37.517307029999998</v>
      </c>
      <c r="AQ1840">
        <v>7.5718241610000003</v>
      </c>
      <c r="AR1840" t="s">
        <v>44</v>
      </c>
      <c r="AS1840">
        <f t="shared" si="183"/>
        <v>-0.98036783867969435</v>
      </c>
      <c r="AT1840">
        <f t="shared" si="184"/>
        <v>2.0600103601042492E-2</v>
      </c>
      <c r="AZ1840"/>
      <c r="BA1840"/>
    </row>
    <row r="1841" spans="1:53" hidden="1">
      <c r="A1841" t="s">
        <v>908</v>
      </c>
      <c r="B1841" s="25" t="s">
        <v>571</v>
      </c>
      <c r="C1841" t="s">
        <v>558</v>
      </c>
      <c r="D1841" s="25">
        <v>44</v>
      </c>
      <c r="E1841" s="25">
        <v>417</v>
      </c>
      <c r="F1841" t="s">
        <v>914</v>
      </c>
      <c r="G1841" t="s">
        <v>559</v>
      </c>
      <c r="H1841" s="3" t="s">
        <v>889</v>
      </c>
      <c r="I1841">
        <v>2003</v>
      </c>
      <c r="J1841" t="s">
        <v>560</v>
      </c>
      <c r="K1841" t="s">
        <v>162</v>
      </c>
      <c r="L1841" t="s">
        <v>561</v>
      </c>
      <c r="M1841" s="25" t="s">
        <v>35</v>
      </c>
      <c r="N1841" t="s">
        <v>36</v>
      </c>
      <c r="O1841" t="s">
        <v>37</v>
      </c>
      <c r="P1841" t="s">
        <v>60</v>
      </c>
      <c r="Q1841" t="s">
        <v>900</v>
      </c>
      <c r="R1841" t="s">
        <v>888</v>
      </c>
      <c r="S1841" t="s">
        <v>890</v>
      </c>
      <c r="T1841">
        <v>35.188951199999998</v>
      </c>
      <c r="U1841">
        <v>140.37141260000001</v>
      </c>
      <c r="V1841" t="s">
        <v>905</v>
      </c>
      <c r="W1841" s="25" t="s">
        <v>38</v>
      </c>
      <c r="X1841">
        <v>0.25</v>
      </c>
      <c r="Y1841" t="s">
        <v>39</v>
      </c>
      <c r="Z1841">
        <v>2</v>
      </c>
      <c r="AA1841">
        <v>2</v>
      </c>
      <c r="AC1841">
        <v>320</v>
      </c>
      <c r="AE1841">
        <v>50000</v>
      </c>
      <c r="AG1841">
        <v>2207</v>
      </c>
      <c r="AH1841">
        <v>4.6989700040000004</v>
      </c>
      <c r="AI1841">
        <v>20</v>
      </c>
      <c r="AJ1841" t="s">
        <v>562</v>
      </c>
      <c r="AK1841" t="s">
        <v>69</v>
      </c>
      <c r="AL1841" s="25" t="s">
        <v>353</v>
      </c>
      <c r="AM1841" t="s">
        <v>61</v>
      </c>
      <c r="AN1841">
        <v>100</v>
      </c>
      <c r="AO1841">
        <v>2.1633783320000002</v>
      </c>
      <c r="AP1841">
        <v>2.3624091379999999</v>
      </c>
      <c r="AQ1841">
        <v>2.7042229149999999</v>
      </c>
      <c r="AR1841" t="s">
        <v>44</v>
      </c>
      <c r="AS1841">
        <f t="shared" si="183"/>
        <v>-3.7454882664477598</v>
      </c>
      <c r="AT1841">
        <f t="shared" si="184"/>
        <v>0.65539005723166155</v>
      </c>
      <c r="AZ1841"/>
      <c r="BA1841"/>
    </row>
    <row r="1842" spans="1:53" hidden="1">
      <c r="A1842" t="s">
        <v>908</v>
      </c>
      <c r="B1842" s="25" t="s">
        <v>572</v>
      </c>
      <c r="C1842" t="s">
        <v>558</v>
      </c>
      <c r="D1842" s="25">
        <v>44</v>
      </c>
      <c r="E1842" s="25">
        <v>418</v>
      </c>
      <c r="F1842" t="s">
        <v>914</v>
      </c>
      <c r="G1842" t="s">
        <v>559</v>
      </c>
      <c r="H1842" s="3" t="s">
        <v>889</v>
      </c>
      <c r="I1842">
        <v>2003</v>
      </c>
      <c r="J1842" t="s">
        <v>560</v>
      </c>
      <c r="K1842" t="s">
        <v>162</v>
      </c>
      <c r="L1842" t="s">
        <v>561</v>
      </c>
      <c r="M1842" s="25" t="s">
        <v>35</v>
      </c>
      <c r="N1842" t="s">
        <v>36</v>
      </c>
      <c r="O1842" t="s">
        <v>37</v>
      </c>
      <c r="P1842" t="s">
        <v>60</v>
      </c>
      <c r="Q1842" t="s">
        <v>900</v>
      </c>
      <c r="R1842" t="s">
        <v>888</v>
      </c>
      <c r="S1842" t="s">
        <v>890</v>
      </c>
      <c r="T1842">
        <v>35.188951199999998</v>
      </c>
      <c r="U1842">
        <v>140.37141260000001</v>
      </c>
      <c r="V1842" t="s">
        <v>905</v>
      </c>
      <c r="W1842" s="25" t="s">
        <v>38</v>
      </c>
      <c r="X1842">
        <v>0.25</v>
      </c>
      <c r="Y1842" t="s">
        <v>39</v>
      </c>
      <c r="Z1842">
        <v>2</v>
      </c>
      <c r="AA1842">
        <v>2</v>
      </c>
      <c r="AC1842">
        <v>320</v>
      </c>
      <c r="AE1842">
        <v>10000</v>
      </c>
      <c r="AG1842">
        <v>2207</v>
      </c>
      <c r="AH1842">
        <v>4</v>
      </c>
      <c r="AI1842">
        <v>20</v>
      </c>
      <c r="AJ1842" t="s">
        <v>562</v>
      </c>
      <c r="AK1842" t="s">
        <v>69</v>
      </c>
      <c r="AL1842" s="25" t="s">
        <v>353</v>
      </c>
      <c r="AM1842" t="s">
        <v>61</v>
      </c>
      <c r="AN1842">
        <v>100</v>
      </c>
      <c r="AO1842">
        <v>4.8676012460000004</v>
      </c>
      <c r="AP1842">
        <v>100</v>
      </c>
      <c r="AQ1842">
        <v>3.245067497</v>
      </c>
      <c r="AR1842" t="s">
        <v>44</v>
      </c>
      <c r="AS1842">
        <f t="shared" si="183"/>
        <v>0</v>
      </c>
      <c r="AT1842">
        <f t="shared" si="184"/>
        <v>1.7112002475073301E-3</v>
      </c>
      <c r="AZ1842"/>
      <c r="BA1842"/>
    </row>
    <row r="1843" spans="1:53" hidden="1">
      <c r="A1843" t="s">
        <v>908</v>
      </c>
      <c r="B1843" s="25" t="s">
        <v>573</v>
      </c>
      <c r="C1843" t="s">
        <v>558</v>
      </c>
      <c r="D1843" s="25">
        <v>44</v>
      </c>
      <c r="E1843" s="25">
        <v>419</v>
      </c>
      <c r="F1843" t="s">
        <v>914</v>
      </c>
      <c r="G1843" t="s">
        <v>559</v>
      </c>
      <c r="H1843" s="3" t="s">
        <v>889</v>
      </c>
      <c r="I1843">
        <v>2003</v>
      </c>
      <c r="J1843" t="s">
        <v>560</v>
      </c>
      <c r="K1843" t="s">
        <v>162</v>
      </c>
      <c r="L1843" t="s">
        <v>561</v>
      </c>
      <c r="M1843" s="25" t="s">
        <v>35</v>
      </c>
      <c r="N1843" t="s">
        <v>36</v>
      </c>
      <c r="O1843" t="s">
        <v>37</v>
      </c>
      <c r="P1843" t="s">
        <v>60</v>
      </c>
      <c r="Q1843" t="s">
        <v>900</v>
      </c>
      <c r="R1843" t="s">
        <v>888</v>
      </c>
      <c r="S1843" t="s">
        <v>890</v>
      </c>
      <c r="T1843">
        <v>35.188951199999998</v>
      </c>
      <c r="U1843">
        <v>140.37141260000001</v>
      </c>
      <c r="V1843" t="s">
        <v>905</v>
      </c>
      <c r="W1843" s="25" t="s">
        <v>38</v>
      </c>
      <c r="X1843">
        <v>0.25</v>
      </c>
      <c r="Y1843" t="s">
        <v>39</v>
      </c>
      <c r="Z1843">
        <v>2</v>
      </c>
      <c r="AA1843">
        <v>2</v>
      </c>
      <c r="AC1843">
        <v>320</v>
      </c>
      <c r="AE1843">
        <v>20000</v>
      </c>
      <c r="AG1843">
        <v>2208</v>
      </c>
      <c r="AH1843">
        <v>4.3010299959999996</v>
      </c>
      <c r="AI1843">
        <v>20</v>
      </c>
      <c r="AJ1843" t="s">
        <v>562</v>
      </c>
      <c r="AK1843" t="s">
        <v>69</v>
      </c>
      <c r="AL1843" s="25" t="s">
        <v>353</v>
      </c>
      <c r="AM1843" t="s">
        <v>61</v>
      </c>
      <c r="AN1843">
        <v>100</v>
      </c>
      <c r="AO1843">
        <v>4.8676012460000004</v>
      </c>
      <c r="AP1843">
        <v>99.173589480000004</v>
      </c>
      <c r="AQ1843">
        <v>3.245067497</v>
      </c>
      <c r="AR1843" t="s">
        <v>44</v>
      </c>
      <c r="AS1843">
        <f t="shared" si="183"/>
        <v>-8.298442224760727E-3</v>
      </c>
      <c r="AT1843">
        <f t="shared" si="184"/>
        <v>1.7200118114258217E-3</v>
      </c>
      <c r="AZ1843"/>
      <c r="BA1843"/>
    </row>
    <row r="1844" spans="1:53" hidden="1">
      <c r="A1844" t="s">
        <v>908</v>
      </c>
      <c r="B1844" s="25" t="s">
        <v>574</v>
      </c>
      <c r="C1844" t="s">
        <v>558</v>
      </c>
      <c r="D1844" s="25">
        <v>44</v>
      </c>
      <c r="E1844" s="25">
        <v>420</v>
      </c>
      <c r="F1844" t="s">
        <v>914</v>
      </c>
      <c r="G1844" t="s">
        <v>559</v>
      </c>
      <c r="H1844" s="3" t="s">
        <v>889</v>
      </c>
      <c r="I1844">
        <v>2003</v>
      </c>
      <c r="J1844" t="s">
        <v>560</v>
      </c>
      <c r="K1844" t="s">
        <v>162</v>
      </c>
      <c r="L1844" t="s">
        <v>561</v>
      </c>
      <c r="M1844" s="25" t="s">
        <v>35</v>
      </c>
      <c r="N1844" t="s">
        <v>36</v>
      </c>
      <c r="O1844" t="s">
        <v>37</v>
      </c>
      <c r="P1844" t="s">
        <v>60</v>
      </c>
      <c r="Q1844" t="s">
        <v>900</v>
      </c>
      <c r="R1844" t="s">
        <v>888</v>
      </c>
      <c r="S1844" t="s">
        <v>890</v>
      </c>
      <c r="T1844">
        <v>35.188951199999998</v>
      </c>
      <c r="U1844">
        <v>140.37141260000001</v>
      </c>
      <c r="V1844" t="s">
        <v>905</v>
      </c>
      <c r="W1844" s="25" t="s">
        <v>38</v>
      </c>
      <c r="X1844">
        <v>0.25</v>
      </c>
      <c r="Y1844" t="s">
        <v>39</v>
      </c>
      <c r="Z1844">
        <v>2</v>
      </c>
      <c r="AA1844">
        <v>2</v>
      </c>
      <c r="AC1844">
        <v>320</v>
      </c>
      <c r="AE1844">
        <v>30000</v>
      </c>
      <c r="AG1844">
        <v>2208</v>
      </c>
      <c r="AH1844">
        <v>4.4771212550000001</v>
      </c>
      <c r="AI1844">
        <v>20</v>
      </c>
      <c r="AJ1844" t="s">
        <v>562</v>
      </c>
      <c r="AK1844" t="s">
        <v>69</v>
      </c>
      <c r="AL1844" s="25" t="s">
        <v>353</v>
      </c>
      <c r="AM1844" t="s">
        <v>61</v>
      </c>
      <c r="AN1844">
        <v>100</v>
      </c>
      <c r="AO1844">
        <v>4.8676012460000004</v>
      </c>
      <c r="AP1844">
        <v>96.469366559999997</v>
      </c>
      <c r="AQ1844">
        <v>4.3267566630000003</v>
      </c>
      <c r="AR1844" t="s">
        <v>44</v>
      </c>
      <c r="AS1844">
        <f t="shared" si="183"/>
        <v>-3.5944673013566408E-2</v>
      </c>
      <c r="AT1844">
        <f t="shared" si="184"/>
        <v>2.1904874274119327E-3</v>
      </c>
      <c r="AZ1844"/>
      <c r="BA1844"/>
    </row>
    <row r="1845" spans="1:53" hidden="1">
      <c r="A1845" t="s">
        <v>908</v>
      </c>
      <c r="B1845" s="25" t="s">
        <v>575</v>
      </c>
      <c r="C1845" t="s">
        <v>558</v>
      </c>
      <c r="D1845" s="25">
        <v>44</v>
      </c>
      <c r="E1845" s="25">
        <v>421</v>
      </c>
      <c r="F1845" t="s">
        <v>914</v>
      </c>
      <c r="G1845" t="s">
        <v>559</v>
      </c>
      <c r="H1845" s="3" t="s">
        <v>889</v>
      </c>
      <c r="I1845">
        <v>2003</v>
      </c>
      <c r="J1845" t="s">
        <v>560</v>
      </c>
      <c r="K1845" t="s">
        <v>162</v>
      </c>
      <c r="L1845" t="s">
        <v>561</v>
      </c>
      <c r="M1845" s="25" t="s">
        <v>35</v>
      </c>
      <c r="N1845" t="s">
        <v>36</v>
      </c>
      <c r="O1845" t="s">
        <v>37</v>
      </c>
      <c r="P1845" t="s">
        <v>60</v>
      </c>
      <c r="Q1845" t="s">
        <v>900</v>
      </c>
      <c r="R1845" t="s">
        <v>888</v>
      </c>
      <c r="S1845" t="s">
        <v>890</v>
      </c>
      <c r="T1845">
        <v>35.188951199999998</v>
      </c>
      <c r="U1845">
        <v>140.37141260000001</v>
      </c>
      <c r="V1845" t="s">
        <v>905</v>
      </c>
      <c r="W1845" s="25" t="s">
        <v>38</v>
      </c>
      <c r="X1845">
        <v>0.25</v>
      </c>
      <c r="Y1845" t="s">
        <v>39</v>
      </c>
      <c r="Z1845">
        <v>2</v>
      </c>
      <c r="AA1845">
        <v>2</v>
      </c>
      <c r="AC1845">
        <v>320</v>
      </c>
      <c r="AE1845">
        <v>50000</v>
      </c>
      <c r="AG1845">
        <v>2208</v>
      </c>
      <c r="AH1845">
        <v>4.6989700040000004</v>
      </c>
      <c r="AI1845">
        <v>20</v>
      </c>
      <c r="AJ1845" t="s">
        <v>562</v>
      </c>
      <c r="AK1845" t="s">
        <v>69</v>
      </c>
      <c r="AL1845" s="25" t="s">
        <v>353</v>
      </c>
      <c r="AM1845" t="s">
        <v>61</v>
      </c>
      <c r="AN1845">
        <v>100</v>
      </c>
      <c r="AO1845">
        <v>4.8676012460000004</v>
      </c>
      <c r="AP1845">
        <v>57.528556590000001</v>
      </c>
      <c r="AQ1845">
        <v>12.98026999</v>
      </c>
      <c r="AR1845" t="s">
        <v>44</v>
      </c>
      <c r="AS1845">
        <f t="shared" ref="AS1845:AS1908" si="194">LN(AP1845)-LN(AN1845)</f>
        <v>-0.55288872511997589</v>
      </c>
      <c r="AT1845">
        <f t="shared" ref="AT1845:AT1908" si="195">(AQ1845^2)/(AA1845*AP1845^2) + (AO1845^2)/(Z1845*AN1845^2)</f>
        <v>2.6639524679975001E-2</v>
      </c>
      <c r="AZ1845"/>
      <c r="BA1845"/>
    </row>
    <row r="1846" spans="1:53" hidden="1">
      <c r="A1846" t="s">
        <v>908</v>
      </c>
      <c r="B1846" s="25" t="s">
        <v>576</v>
      </c>
      <c r="C1846" t="s">
        <v>558</v>
      </c>
      <c r="D1846" s="25">
        <v>44</v>
      </c>
      <c r="E1846" s="25">
        <v>422</v>
      </c>
      <c r="F1846" t="s">
        <v>914</v>
      </c>
      <c r="G1846" t="s">
        <v>559</v>
      </c>
      <c r="H1846" s="3" t="s">
        <v>889</v>
      </c>
      <c r="I1846">
        <v>2003</v>
      </c>
      <c r="J1846" t="s">
        <v>560</v>
      </c>
      <c r="K1846" t="s">
        <v>162</v>
      </c>
      <c r="L1846" t="s">
        <v>561</v>
      </c>
      <c r="M1846" s="25" t="s">
        <v>35</v>
      </c>
      <c r="N1846" t="s">
        <v>36</v>
      </c>
      <c r="O1846" t="s">
        <v>37</v>
      </c>
      <c r="P1846" t="s">
        <v>60</v>
      </c>
      <c r="Q1846" t="s">
        <v>900</v>
      </c>
      <c r="R1846" t="s">
        <v>888</v>
      </c>
      <c r="S1846" t="s">
        <v>890</v>
      </c>
      <c r="T1846">
        <v>35.188951199999998</v>
      </c>
      <c r="U1846">
        <v>140.37141260000001</v>
      </c>
      <c r="V1846" t="s">
        <v>905</v>
      </c>
      <c r="W1846" s="25" t="s">
        <v>38</v>
      </c>
      <c r="X1846">
        <v>0.25</v>
      </c>
      <c r="Y1846" t="s">
        <v>39</v>
      </c>
      <c r="Z1846">
        <v>2</v>
      </c>
      <c r="AA1846">
        <v>2</v>
      </c>
      <c r="AC1846">
        <v>320</v>
      </c>
      <c r="AE1846">
        <v>70000</v>
      </c>
      <c r="AG1846">
        <v>2208</v>
      </c>
      <c r="AH1846">
        <v>4.8450980399999999</v>
      </c>
      <c r="AI1846">
        <v>20</v>
      </c>
      <c r="AJ1846" t="s">
        <v>562</v>
      </c>
      <c r="AK1846" t="s">
        <v>69</v>
      </c>
      <c r="AL1846" s="25" t="s">
        <v>353</v>
      </c>
      <c r="AM1846" t="s">
        <v>61</v>
      </c>
      <c r="AN1846">
        <v>100</v>
      </c>
      <c r="AO1846">
        <v>4.8676012460000004</v>
      </c>
      <c r="AP1846">
        <v>7.770854967</v>
      </c>
      <c r="AQ1846">
        <v>7.5718241610000003</v>
      </c>
      <c r="AR1846" t="s">
        <v>44</v>
      </c>
      <c r="AS1846">
        <f t="shared" si="194"/>
        <v>-2.5547899932989377</v>
      </c>
      <c r="AT1846">
        <f t="shared" si="195"/>
        <v>0.47590020436248276</v>
      </c>
      <c r="AZ1846"/>
      <c r="BA1846"/>
    </row>
    <row r="1847" spans="1:53" hidden="1">
      <c r="A1847" t="s">
        <v>908</v>
      </c>
      <c r="B1847" t="s">
        <v>577</v>
      </c>
      <c r="C1847" t="s">
        <v>558</v>
      </c>
      <c r="D1847" s="25">
        <v>44</v>
      </c>
      <c r="E1847" s="25">
        <v>423</v>
      </c>
      <c r="F1847" t="s">
        <v>1241</v>
      </c>
      <c r="G1847" t="s">
        <v>559</v>
      </c>
      <c r="H1847" s="3" t="s">
        <v>889</v>
      </c>
      <c r="I1847">
        <v>2003</v>
      </c>
      <c r="J1847" t="s">
        <v>560</v>
      </c>
      <c r="K1847" t="s">
        <v>162</v>
      </c>
      <c r="L1847" t="s">
        <v>561</v>
      </c>
      <c r="M1847" s="25" t="s">
        <v>35</v>
      </c>
      <c r="N1847" t="s">
        <v>36</v>
      </c>
      <c r="O1847" t="s">
        <v>37</v>
      </c>
      <c r="P1847" t="s">
        <v>60</v>
      </c>
      <c r="Q1847" t="s">
        <v>900</v>
      </c>
      <c r="R1847" t="s">
        <v>888</v>
      </c>
      <c r="S1847" t="s">
        <v>891</v>
      </c>
      <c r="T1847">
        <v>35.188951199999998</v>
      </c>
      <c r="U1847">
        <v>140.37141260000001</v>
      </c>
      <c r="V1847" t="s">
        <v>905</v>
      </c>
      <c r="W1847" s="25" t="s">
        <v>38</v>
      </c>
      <c r="X1847">
        <v>0.01</v>
      </c>
      <c r="Y1847" t="s">
        <v>39</v>
      </c>
      <c r="Z1847">
        <v>2</v>
      </c>
      <c r="AA1847">
        <v>2</v>
      </c>
      <c r="AC1847">
        <v>320</v>
      </c>
      <c r="AE1847">
        <v>10000</v>
      </c>
      <c r="AG1847">
        <v>2209</v>
      </c>
      <c r="AH1847">
        <v>4</v>
      </c>
      <c r="AI1847">
        <v>26</v>
      </c>
      <c r="AJ1847" t="s">
        <v>578</v>
      </c>
      <c r="AK1847" t="s">
        <v>69</v>
      </c>
      <c r="AL1847" s="25" t="s">
        <v>353</v>
      </c>
      <c r="AM1847" t="s">
        <v>61</v>
      </c>
      <c r="AN1847">
        <v>100</v>
      </c>
      <c r="AO1847">
        <v>4.4091710759999998</v>
      </c>
      <c r="AP1847">
        <v>96.230158729999999</v>
      </c>
      <c r="AQ1847">
        <v>4.4091710759999998</v>
      </c>
      <c r="AR1847" t="s">
        <v>48</v>
      </c>
      <c r="AS1847">
        <f t="shared" si="194"/>
        <v>-3.8427377135535679E-2</v>
      </c>
      <c r="AT1847">
        <f t="shared" si="195"/>
        <v>2.0217305417515497E-3</v>
      </c>
      <c r="AW1847" s="28">
        <f t="shared" ref="AW1847:AW1874" si="196">(AP1847-$AN1847)/SQRT(((AA1847-1)*AQ1847*AQ1847+($Z1847-1)*$AO1847*$AO1847)/(AA1847+$Z1847-2))</f>
        <v>-0.85500000000453613</v>
      </c>
      <c r="AX1847">
        <f t="shared" ref="AX1847:AX1874" si="197">1-(3/(4*(AA1847+$Z1847-2)-1))</f>
        <v>0.5714285714285714</v>
      </c>
      <c r="AY1847" s="62">
        <f t="shared" ref="AY1847:AY1874" si="198">AX1847*AW1847</f>
        <v>-0.48857142857402064</v>
      </c>
      <c r="AZ1847" s="68" t="str">
        <f t="shared" ref="AZ1847:AZ1874" si="199">IF(AY1847&gt;10,"Yes","No")</f>
        <v>No</v>
      </c>
      <c r="BA1847" s="68" t="str">
        <f t="shared" ref="BA1847:BA1874" si="200">IF(AY1847&lt;-10,"Yes","No")</f>
        <v>No</v>
      </c>
    </row>
    <row r="1848" spans="1:53" hidden="1">
      <c r="A1848" t="s">
        <v>908</v>
      </c>
      <c r="B1848" t="s">
        <v>579</v>
      </c>
      <c r="C1848" t="s">
        <v>558</v>
      </c>
      <c r="D1848" s="25">
        <v>44</v>
      </c>
      <c r="E1848" s="25">
        <v>424</v>
      </c>
      <c r="F1848" t="s">
        <v>1241</v>
      </c>
      <c r="G1848" t="s">
        <v>559</v>
      </c>
      <c r="H1848" s="3" t="s">
        <v>889</v>
      </c>
      <c r="I1848">
        <v>2003</v>
      </c>
      <c r="J1848" t="s">
        <v>560</v>
      </c>
      <c r="K1848" t="s">
        <v>162</v>
      </c>
      <c r="L1848" t="s">
        <v>561</v>
      </c>
      <c r="M1848" s="25" t="s">
        <v>35</v>
      </c>
      <c r="N1848" t="s">
        <v>36</v>
      </c>
      <c r="O1848" t="s">
        <v>37</v>
      </c>
      <c r="P1848" t="s">
        <v>60</v>
      </c>
      <c r="Q1848" t="s">
        <v>900</v>
      </c>
      <c r="R1848" t="s">
        <v>888</v>
      </c>
      <c r="S1848" t="s">
        <v>891</v>
      </c>
      <c r="T1848">
        <v>35.188951199999998</v>
      </c>
      <c r="U1848">
        <v>140.37141260000001</v>
      </c>
      <c r="V1848" t="s">
        <v>905</v>
      </c>
      <c r="W1848" s="25" t="s">
        <v>38</v>
      </c>
      <c r="X1848">
        <v>0.01</v>
      </c>
      <c r="Y1848" t="s">
        <v>39</v>
      </c>
      <c r="Z1848">
        <v>2</v>
      </c>
      <c r="AA1848">
        <v>2</v>
      </c>
      <c r="AC1848">
        <v>320</v>
      </c>
      <c r="AE1848">
        <v>20000</v>
      </c>
      <c r="AG1848">
        <v>2209</v>
      </c>
      <c r="AH1848">
        <v>4.3010299959999996</v>
      </c>
      <c r="AI1848">
        <v>26</v>
      </c>
      <c r="AJ1848" t="s">
        <v>578</v>
      </c>
      <c r="AK1848" t="s">
        <v>69</v>
      </c>
      <c r="AL1848" s="25" t="s">
        <v>353</v>
      </c>
      <c r="AM1848" t="s">
        <v>61</v>
      </c>
      <c r="AN1848">
        <v>100</v>
      </c>
      <c r="AO1848">
        <v>4.4091710759999998</v>
      </c>
      <c r="AP1848">
        <v>72.530864199999996</v>
      </c>
      <c r="AQ1848">
        <v>20.392416229999998</v>
      </c>
      <c r="AR1848" t="s">
        <v>48</v>
      </c>
      <c r="AS1848">
        <f t="shared" si="194"/>
        <v>-0.321158001614128</v>
      </c>
      <c r="AT1848">
        <f t="shared" si="195"/>
        <v>4.04961107780294E-2</v>
      </c>
      <c r="AW1848" s="28">
        <f t="shared" si="196"/>
        <v>-1.8619582389728868</v>
      </c>
      <c r="AX1848">
        <f t="shared" si="197"/>
        <v>0.5714285714285714</v>
      </c>
      <c r="AY1848" s="62">
        <f t="shared" si="198"/>
        <v>-1.0639761365559353</v>
      </c>
      <c r="AZ1848" s="68" t="str">
        <f t="shared" si="199"/>
        <v>No</v>
      </c>
      <c r="BA1848" s="68" t="str">
        <f t="shared" si="200"/>
        <v>No</v>
      </c>
    </row>
    <row r="1849" spans="1:53" hidden="1">
      <c r="A1849" t="s">
        <v>908</v>
      </c>
      <c r="B1849" t="s">
        <v>580</v>
      </c>
      <c r="C1849" t="s">
        <v>558</v>
      </c>
      <c r="D1849" s="25">
        <v>44</v>
      </c>
      <c r="E1849" s="25">
        <v>425</v>
      </c>
      <c r="F1849" t="s">
        <v>1241</v>
      </c>
      <c r="G1849" t="s">
        <v>559</v>
      </c>
      <c r="H1849" s="3" t="s">
        <v>889</v>
      </c>
      <c r="I1849">
        <v>2003</v>
      </c>
      <c r="J1849" t="s">
        <v>560</v>
      </c>
      <c r="K1849" t="s">
        <v>162</v>
      </c>
      <c r="L1849" t="s">
        <v>561</v>
      </c>
      <c r="M1849" s="25" t="s">
        <v>35</v>
      </c>
      <c r="N1849" t="s">
        <v>36</v>
      </c>
      <c r="O1849" t="s">
        <v>37</v>
      </c>
      <c r="P1849" t="s">
        <v>60</v>
      </c>
      <c r="Q1849" t="s">
        <v>900</v>
      </c>
      <c r="R1849" t="s">
        <v>888</v>
      </c>
      <c r="S1849" t="s">
        <v>891</v>
      </c>
      <c r="T1849">
        <v>35.188951199999998</v>
      </c>
      <c r="U1849">
        <v>140.37141260000001</v>
      </c>
      <c r="V1849" t="s">
        <v>905</v>
      </c>
      <c r="W1849" s="25" t="s">
        <v>38</v>
      </c>
      <c r="X1849">
        <v>0.01</v>
      </c>
      <c r="Y1849" t="s">
        <v>39</v>
      </c>
      <c r="Z1849">
        <v>2</v>
      </c>
      <c r="AA1849">
        <v>2</v>
      </c>
      <c r="AC1849">
        <v>320</v>
      </c>
      <c r="AE1849">
        <v>30000</v>
      </c>
      <c r="AG1849">
        <v>2209</v>
      </c>
      <c r="AH1849">
        <v>4.4771212550000001</v>
      </c>
      <c r="AI1849">
        <v>26</v>
      </c>
      <c r="AJ1849" t="s">
        <v>578</v>
      </c>
      <c r="AK1849" t="s">
        <v>69</v>
      </c>
      <c r="AL1849" s="25" t="s">
        <v>353</v>
      </c>
      <c r="AM1849" t="s">
        <v>61</v>
      </c>
      <c r="AN1849">
        <v>100</v>
      </c>
      <c r="AO1849">
        <v>4.4091710759999998</v>
      </c>
      <c r="AP1849">
        <v>24.581128750000001</v>
      </c>
      <c r="AQ1849">
        <v>15.43209877</v>
      </c>
      <c r="AR1849" t="s">
        <v>48</v>
      </c>
      <c r="AS1849">
        <f t="shared" si="194"/>
        <v>-1.4031911614236829</v>
      </c>
      <c r="AT1849">
        <f t="shared" si="195"/>
        <v>0.19804014871178918</v>
      </c>
      <c r="AW1849" s="28">
        <f t="shared" si="196"/>
        <v>-6.6455378682170672</v>
      </c>
      <c r="AX1849">
        <f t="shared" si="197"/>
        <v>0.5714285714285714</v>
      </c>
      <c r="AY1849" s="62">
        <f t="shared" si="198"/>
        <v>-3.7974502104097523</v>
      </c>
      <c r="AZ1849" s="68" t="str">
        <f t="shared" si="199"/>
        <v>No</v>
      </c>
      <c r="BA1849" s="68" t="str">
        <f t="shared" si="200"/>
        <v>No</v>
      </c>
    </row>
    <row r="1850" spans="1:53" hidden="1">
      <c r="A1850" t="s">
        <v>908</v>
      </c>
      <c r="B1850" t="s">
        <v>581</v>
      </c>
      <c r="C1850" t="s">
        <v>558</v>
      </c>
      <c r="D1850" s="25">
        <v>44</v>
      </c>
      <c r="E1850" s="25">
        <v>426</v>
      </c>
      <c r="F1850" t="s">
        <v>1241</v>
      </c>
      <c r="G1850" t="s">
        <v>559</v>
      </c>
      <c r="H1850" s="3" t="s">
        <v>889</v>
      </c>
      <c r="I1850">
        <v>2003</v>
      </c>
      <c r="J1850" t="s">
        <v>560</v>
      </c>
      <c r="K1850" t="s">
        <v>162</v>
      </c>
      <c r="L1850" t="s">
        <v>561</v>
      </c>
      <c r="M1850" s="25" t="s">
        <v>35</v>
      </c>
      <c r="N1850" t="s">
        <v>36</v>
      </c>
      <c r="O1850" t="s">
        <v>37</v>
      </c>
      <c r="P1850" t="s">
        <v>60</v>
      </c>
      <c r="Q1850" t="s">
        <v>900</v>
      </c>
      <c r="R1850" t="s">
        <v>888</v>
      </c>
      <c r="S1850" t="s">
        <v>891</v>
      </c>
      <c r="T1850">
        <v>35.188951199999998</v>
      </c>
      <c r="U1850">
        <v>140.37141260000001</v>
      </c>
      <c r="V1850" t="s">
        <v>905</v>
      </c>
      <c r="W1850" s="25" t="s">
        <v>38</v>
      </c>
      <c r="X1850">
        <v>0.01</v>
      </c>
      <c r="Y1850" t="s">
        <v>39</v>
      </c>
      <c r="Z1850">
        <v>2</v>
      </c>
      <c r="AA1850">
        <v>2</v>
      </c>
      <c r="AC1850">
        <v>320</v>
      </c>
      <c r="AE1850">
        <v>10000</v>
      </c>
      <c r="AG1850">
        <v>2209</v>
      </c>
      <c r="AH1850">
        <v>4</v>
      </c>
      <c r="AI1850">
        <v>26</v>
      </c>
      <c r="AJ1850" t="s">
        <v>578</v>
      </c>
      <c r="AK1850" t="s">
        <v>69</v>
      </c>
      <c r="AL1850" s="25" t="s">
        <v>353</v>
      </c>
      <c r="AM1850" t="s">
        <v>61</v>
      </c>
      <c r="AN1850">
        <v>100</v>
      </c>
      <c r="AO1850">
        <v>4.9603174599999997</v>
      </c>
      <c r="AP1850">
        <v>91.820987650000006</v>
      </c>
      <c r="AQ1850">
        <v>6.0626102289999997</v>
      </c>
      <c r="AR1850" t="s">
        <v>48</v>
      </c>
      <c r="AS1850">
        <f t="shared" si="194"/>
        <v>-8.5329290853704443E-2</v>
      </c>
      <c r="AT1850">
        <f t="shared" si="195"/>
        <v>3.4099809112029312E-3</v>
      </c>
      <c r="AW1850" s="28">
        <f t="shared" si="196"/>
        <v>-1.4766351911300259</v>
      </c>
      <c r="AX1850">
        <f t="shared" si="197"/>
        <v>0.5714285714285714</v>
      </c>
      <c r="AY1850" s="62">
        <f t="shared" si="198"/>
        <v>-0.84379153778858618</v>
      </c>
      <c r="AZ1850" s="68" t="str">
        <f t="shared" si="199"/>
        <v>No</v>
      </c>
      <c r="BA1850" s="68" t="str">
        <f t="shared" si="200"/>
        <v>No</v>
      </c>
    </row>
    <row r="1851" spans="1:53" hidden="1">
      <c r="A1851" t="s">
        <v>908</v>
      </c>
      <c r="B1851" t="s">
        <v>582</v>
      </c>
      <c r="C1851" t="s">
        <v>558</v>
      </c>
      <c r="D1851" s="25">
        <v>44</v>
      </c>
      <c r="E1851" s="25">
        <v>427</v>
      </c>
      <c r="F1851" t="s">
        <v>1241</v>
      </c>
      <c r="G1851" t="s">
        <v>559</v>
      </c>
      <c r="H1851" s="3" t="s">
        <v>889</v>
      </c>
      <c r="I1851">
        <v>2003</v>
      </c>
      <c r="J1851" t="s">
        <v>560</v>
      </c>
      <c r="K1851" t="s">
        <v>162</v>
      </c>
      <c r="L1851" t="s">
        <v>561</v>
      </c>
      <c r="M1851" s="25" t="s">
        <v>35</v>
      </c>
      <c r="N1851" t="s">
        <v>36</v>
      </c>
      <c r="O1851" t="s">
        <v>37</v>
      </c>
      <c r="P1851" t="s">
        <v>60</v>
      </c>
      <c r="Q1851" t="s">
        <v>900</v>
      </c>
      <c r="R1851" t="s">
        <v>888</v>
      </c>
      <c r="S1851" t="s">
        <v>892</v>
      </c>
      <c r="T1851">
        <v>35.188951199999998</v>
      </c>
      <c r="U1851">
        <v>140.37141260000001</v>
      </c>
      <c r="V1851" t="s">
        <v>905</v>
      </c>
      <c r="W1851" s="25" t="s">
        <v>38</v>
      </c>
      <c r="X1851">
        <v>0.01</v>
      </c>
      <c r="Y1851" t="s">
        <v>39</v>
      </c>
      <c r="Z1851">
        <v>2</v>
      </c>
      <c r="AA1851">
        <v>2</v>
      </c>
      <c r="AC1851">
        <v>320</v>
      </c>
      <c r="AE1851">
        <v>20000</v>
      </c>
      <c r="AG1851">
        <v>2210</v>
      </c>
      <c r="AH1851">
        <v>4.3010299959999996</v>
      </c>
      <c r="AI1851">
        <v>26</v>
      </c>
      <c r="AJ1851" t="s">
        <v>578</v>
      </c>
      <c r="AK1851" t="s">
        <v>69</v>
      </c>
      <c r="AL1851" s="25" t="s">
        <v>353</v>
      </c>
      <c r="AM1851" t="s">
        <v>61</v>
      </c>
      <c r="AN1851">
        <v>100</v>
      </c>
      <c r="AO1851">
        <v>4.9603174599999997</v>
      </c>
      <c r="AP1851">
        <v>44.973544969999999</v>
      </c>
      <c r="AQ1851">
        <v>27.55731922</v>
      </c>
      <c r="AR1851" t="s">
        <v>48</v>
      </c>
      <c r="AS1851">
        <f t="shared" si="194"/>
        <v>-0.79909575864814997</v>
      </c>
      <c r="AT1851">
        <f t="shared" si="195"/>
        <v>0.18895851502603186</v>
      </c>
      <c r="AW1851" s="28">
        <f t="shared" si="196"/>
        <v>-2.7792369045292693</v>
      </c>
      <c r="AX1851">
        <f t="shared" si="197"/>
        <v>0.5714285714285714</v>
      </c>
      <c r="AY1851" s="62">
        <f t="shared" si="198"/>
        <v>-1.5881353740167252</v>
      </c>
      <c r="AZ1851" s="68" t="str">
        <f t="shared" si="199"/>
        <v>No</v>
      </c>
      <c r="BA1851" s="68" t="str">
        <f t="shared" si="200"/>
        <v>No</v>
      </c>
    </row>
    <row r="1852" spans="1:53" hidden="1">
      <c r="A1852" t="s">
        <v>908</v>
      </c>
      <c r="B1852" t="s">
        <v>583</v>
      </c>
      <c r="C1852" t="s">
        <v>558</v>
      </c>
      <c r="D1852" s="25">
        <v>44</v>
      </c>
      <c r="E1852" s="25">
        <v>428</v>
      </c>
      <c r="F1852" t="s">
        <v>1241</v>
      </c>
      <c r="G1852" t="s">
        <v>559</v>
      </c>
      <c r="H1852" s="3" t="s">
        <v>889</v>
      </c>
      <c r="I1852">
        <v>2003</v>
      </c>
      <c r="J1852" t="s">
        <v>560</v>
      </c>
      <c r="K1852" t="s">
        <v>162</v>
      </c>
      <c r="L1852" t="s">
        <v>561</v>
      </c>
      <c r="M1852" s="25" t="s">
        <v>35</v>
      </c>
      <c r="N1852" t="s">
        <v>36</v>
      </c>
      <c r="O1852" t="s">
        <v>37</v>
      </c>
      <c r="P1852" t="s">
        <v>60</v>
      </c>
      <c r="Q1852" t="s">
        <v>900</v>
      </c>
      <c r="R1852" t="s">
        <v>888</v>
      </c>
      <c r="S1852" t="s">
        <v>892</v>
      </c>
      <c r="T1852">
        <v>35.188951199999998</v>
      </c>
      <c r="U1852">
        <v>140.37141260000001</v>
      </c>
      <c r="V1852" t="s">
        <v>905</v>
      </c>
      <c r="W1852" s="25" t="s">
        <v>38</v>
      </c>
      <c r="X1852">
        <v>0.01</v>
      </c>
      <c r="Y1852" t="s">
        <v>39</v>
      </c>
      <c r="Z1852">
        <v>2</v>
      </c>
      <c r="AA1852">
        <v>2</v>
      </c>
      <c r="AC1852">
        <v>320</v>
      </c>
      <c r="AE1852">
        <v>30000</v>
      </c>
      <c r="AG1852">
        <v>2210</v>
      </c>
      <c r="AH1852">
        <v>4.4771212550000001</v>
      </c>
      <c r="AI1852">
        <v>26</v>
      </c>
      <c r="AJ1852" t="s">
        <v>578</v>
      </c>
      <c r="AK1852" t="s">
        <v>69</v>
      </c>
      <c r="AL1852" s="25" t="s">
        <v>353</v>
      </c>
      <c r="AM1852" t="s">
        <v>61</v>
      </c>
      <c r="AN1852">
        <v>100</v>
      </c>
      <c r="AO1852">
        <v>4.9603174599999997</v>
      </c>
      <c r="AP1852">
        <v>0.88183421500000003</v>
      </c>
      <c r="AQ1852">
        <v>3.3068783069999999</v>
      </c>
      <c r="AR1852" t="s">
        <v>48</v>
      </c>
      <c r="AS1852">
        <f t="shared" si="194"/>
        <v>-4.7309213914836521</v>
      </c>
      <c r="AT1852">
        <f t="shared" si="195"/>
        <v>7.0324802406545732</v>
      </c>
      <c r="AW1852" s="28">
        <f t="shared" si="196"/>
        <v>-23.51301716298266</v>
      </c>
      <c r="AX1852">
        <f t="shared" si="197"/>
        <v>0.5714285714285714</v>
      </c>
      <c r="AY1852" s="62">
        <f t="shared" si="198"/>
        <v>-13.436009807418662</v>
      </c>
      <c r="AZ1852" s="68" t="str">
        <f t="shared" si="199"/>
        <v>No</v>
      </c>
      <c r="BA1852" s="68" t="str">
        <f t="shared" si="200"/>
        <v>Yes</v>
      </c>
    </row>
    <row r="1853" spans="1:53" hidden="1">
      <c r="A1853" t="s">
        <v>908</v>
      </c>
      <c r="B1853" t="s">
        <v>584</v>
      </c>
      <c r="C1853" t="s">
        <v>558</v>
      </c>
      <c r="D1853" s="25">
        <v>44</v>
      </c>
      <c r="E1853" s="25">
        <v>429</v>
      </c>
      <c r="F1853" t="s">
        <v>1241</v>
      </c>
      <c r="G1853" t="s">
        <v>559</v>
      </c>
      <c r="H1853" s="3" t="s">
        <v>889</v>
      </c>
      <c r="I1853">
        <v>2003</v>
      </c>
      <c r="J1853" t="s">
        <v>560</v>
      </c>
      <c r="K1853" t="s">
        <v>162</v>
      </c>
      <c r="L1853" t="s">
        <v>561</v>
      </c>
      <c r="M1853" s="25" t="s">
        <v>35</v>
      </c>
      <c r="N1853" t="s">
        <v>36</v>
      </c>
      <c r="O1853" t="s">
        <v>37</v>
      </c>
      <c r="P1853" t="s">
        <v>60</v>
      </c>
      <c r="Q1853" t="s">
        <v>900</v>
      </c>
      <c r="R1853" t="s">
        <v>888</v>
      </c>
      <c r="S1853" t="s">
        <v>892</v>
      </c>
      <c r="T1853">
        <v>35.188951199999998</v>
      </c>
      <c r="U1853">
        <v>140.37141260000001</v>
      </c>
      <c r="V1853" t="s">
        <v>905</v>
      </c>
      <c r="W1853" s="25" t="s">
        <v>38</v>
      </c>
      <c r="X1853">
        <v>0.01</v>
      </c>
      <c r="Y1853" t="s">
        <v>39</v>
      </c>
      <c r="Z1853">
        <v>2</v>
      </c>
      <c r="AA1853">
        <v>2</v>
      </c>
      <c r="AC1853">
        <v>320</v>
      </c>
      <c r="AE1853">
        <v>10000</v>
      </c>
      <c r="AG1853">
        <v>2210</v>
      </c>
      <c r="AH1853">
        <v>4</v>
      </c>
      <c r="AI1853">
        <v>26</v>
      </c>
      <c r="AJ1853" t="s">
        <v>578</v>
      </c>
      <c r="AK1853" t="s">
        <v>69</v>
      </c>
      <c r="AL1853" s="25" t="s">
        <v>353</v>
      </c>
      <c r="AM1853" t="s">
        <v>61</v>
      </c>
      <c r="AN1853">
        <v>100</v>
      </c>
      <c r="AO1853">
        <v>2.7557319219999998</v>
      </c>
      <c r="AP1853">
        <v>98.434744269999996</v>
      </c>
      <c r="AQ1853">
        <v>2.2045855379999999</v>
      </c>
      <c r="AR1853" t="s">
        <v>48</v>
      </c>
      <c r="AS1853">
        <f t="shared" si="194"/>
        <v>-1.5776352077459421E-2</v>
      </c>
      <c r="AT1853">
        <f t="shared" si="195"/>
        <v>6.3050265896862784E-4</v>
      </c>
      <c r="AW1853" s="28">
        <f t="shared" si="196"/>
        <v>-0.62725106738107217</v>
      </c>
      <c r="AX1853">
        <f t="shared" si="197"/>
        <v>0.5714285714285714</v>
      </c>
      <c r="AY1853" s="62">
        <f t="shared" si="198"/>
        <v>-0.35842918136061264</v>
      </c>
      <c r="AZ1853" s="68" t="str">
        <f t="shared" si="199"/>
        <v>No</v>
      </c>
      <c r="BA1853" s="68" t="str">
        <f t="shared" si="200"/>
        <v>No</v>
      </c>
    </row>
    <row r="1854" spans="1:53" hidden="1">
      <c r="A1854" t="s">
        <v>908</v>
      </c>
      <c r="B1854" t="s">
        <v>585</v>
      </c>
      <c r="C1854" t="s">
        <v>558</v>
      </c>
      <c r="D1854" s="25">
        <v>44</v>
      </c>
      <c r="E1854" s="25">
        <v>430</v>
      </c>
      <c r="F1854" t="s">
        <v>1241</v>
      </c>
      <c r="G1854" t="s">
        <v>559</v>
      </c>
      <c r="H1854" s="3" t="s">
        <v>889</v>
      </c>
      <c r="I1854">
        <v>2003</v>
      </c>
      <c r="J1854" t="s">
        <v>560</v>
      </c>
      <c r="K1854" t="s">
        <v>162</v>
      </c>
      <c r="L1854" t="s">
        <v>561</v>
      </c>
      <c r="M1854" s="25" t="s">
        <v>35</v>
      </c>
      <c r="N1854" t="s">
        <v>36</v>
      </c>
      <c r="O1854" t="s">
        <v>37</v>
      </c>
      <c r="P1854" t="s">
        <v>60</v>
      </c>
      <c r="Q1854" t="s">
        <v>900</v>
      </c>
      <c r="R1854" t="s">
        <v>888</v>
      </c>
      <c r="S1854" t="s">
        <v>892</v>
      </c>
      <c r="T1854">
        <v>35.188951199999998</v>
      </c>
      <c r="U1854">
        <v>140.37141260000001</v>
      </c>
      <c r="V1854" t="s">
        <v>905</v>
      </c>
      <c r="W1854" s="25" t="s">
        <v>38</v>
      </c>
      <c r="X1854">
        <v>0.01</v>
      </c>
      <c r="Y1854" t="s">
        <v>39</v>
      </c>
      <c r="Z1854">
        <v>2</v>
      </c>
      <c r="AA1854">
        <v>2</v>
      </c>
      <c r="AC1854">
        <v>320</v>
      </c>
      <c r="AE1854">
        <v>20000</v>
      </c>
      <c r="AG1854">
        <v>2210</v>
      </c>
      <c r="AH1854">
        <v>4.3010299959999996</v>
      </c>
      <c r="AI1854">
        <v>26</v>
      </c>
      <c r="AJ1854" t="s">
        <v>578</v>
      </c>
      <c r="AK1854" t="s">
        <v>69</v>
      </c>
      <c r="AL1854" s="25" t="s">
        <v>353</v>
      </c>
      <c r="AM1854" t="s">
        <v>61</v>
      </c>
      <c r="AN1854">
        <v>100</v>
      </c>
      <c r="AO1854">
        <v>2.7557319219999998</v>
      </c>
      <c r="AP1854">
        <v>94.025573190000003</v>
      </c>
      <c r="AQ1854">
        <v>6.0626102289999997</v>
      </c>
      <c r="AR1854" t="s">
        <v>48</v>
      </c>
      <c r="AS1854">
        <f t="shared" si="194"/>
        <v>-6.1603385505630825E-2</v>
      </c>
      <c r="AT1854">
        <f t="shared" si="195"/>
        <v>2.4584292701100709E-3</v>
      </c>
      <c r="AW1854" s="28">
        <f t="shared" si="196"/>
        <v>-1.2687260361611565</v>
      </c>
      <c r="AX1854">
        <f t="shared" si="197"/>
        <v>0.5714285714285714</v>
      </c>
      <c r="AY1854" s="62">
        <f t="shared" si="198"/>
        <v>-0.7249863063778037</v>
      </c>
      <c r="AZ1854" s="68" t="str">
        <f t="shared" si="199"/>
        <v>No</v>
      </c>
      <c r="BA1854" s="68" t="str">
        <f t="shared" si="200"/>
        <v>No</v>
      </c>
    </row>
    <row r="1855" spans="1:53" hidden="1">
      <c r="A1855" t="s">
        <v>908</v>
      </c>
      <c r="B1855" t="s">
        <v>728</v>
      </c>
      <c r="C1855" t="s">
        <v>722</v>
      </c>
      <c r="D1855" s="25">
        <v>52</v>
      </c>
      <c r="E1855" s="25">
        <v>546</v>
      </c>
      <c r="F1855" t="s">
        <v>1241</v>
      </c>
      <c r="G1855" t="s">
        <v>723</v>
      </c>
      <c r="H1855" s="3" t="s">
        <v>874</v>
      </c>
      <c r="I1855">
        <v>2016</v>
      </c>
      <c r="J1855" t="s">
        <v>724</v>
      </c>
      <c r="K1855" t="s">
        <v>105</v>
      </c>
      <c r="L1855" t="s">
        <v>725</v>
      </c>
      <c r="M1855" s="25" t="s">
        <v>36</v>
      </c>
      <c r="N1855" t="s">
        <v>36</v>
      </c>
      <c r="O1855" t="s">
        <v>37</v>
      </c>
      <c r="P1855" t="s">
        <v>60</v>
      </c>
      <c r="Q1855" t="s">
        <v>899</v>
      </c>
      <c r="R1855" t="s">
        <v>855</v>
      </c>
      <c r="S1855" t="s">
        <v>726</v>
      </c>
      <c r="T1855">
        <v>54.3279274</v>
      </c>
      <c r="U1855">
        <v>10.179612799999999</v>
      </c>
      <c r="V1855" t="s">
        <v>905</v>
      </c>
      <c r="W1855" s="25" t="s">
        <v>38</v>
      </c>
      <c r="X1855">
        <v>17</v>
      </c>
      <c r="Y1855" t="s">
        <v>39</v>
      </c>
      <c r="Z1855">
        <v>3</v>
      </c>
      <c r="AA1855">
        <v>3</v>
      </c>
      <c r="AC1855">
        <v>439</v>
      </c>
      <c r="AE1855">
        <v>1040</v>
      </c>
      <c r="AG1855">
        <v>2359</v>
      </c>
      <c r="AH1855">
        <v>3.0170333390000001</v>
      </c>
      <c r="AI1855">
        <v>9</v>
      </c>
      <c r="AJ1855" t="s">
        <v>726</v>
      </c>
      <c r="AK1855" t="s">
        <v>40</v>
      </c>
      <c r="AL1855" s="25" t="s">
        <v>60</v>
      </c>
      <c r="AM1855" t="s">
        <v>61</v>
      </c>
      <c r="AN1855">
        <v>25.980952380000002</v>
      </c>
      <c r="AO1855">
        <v>12.419047620000001</v>
      </c>
      <c r="AP1855">
        <v>24.838095240000001</v>
      </c>
      <c r="AQ1855">
        <v>8.3047619049999994</v>
      </c>
      <c r="AR1855" t="s">
        <v>48</v>
      </c>
      <c r="AS1855">
        <f t="shared" si="194"/>
        <v>-4.4985095803465214E-2</v>
      </c>
      <c r="AT1855">
        <f t="shared" si="195"/>
        <v>0.11342780899294627</v>
      </c>
      <c r="AW1855" s="28">
        <f t="shared" si="196"/>
        <v>-0.10818276661904486</v>
      </c>
      <c r="AX1855">
        <f t="shared" si="197"/>
        <v>0.8</v>
      </c>
      <c r="AY1855" s="62">
        <f t="shared" si="198"/>
        <v>-8.6546213295235888E-2</v>
      </c>
      <c r="AZ1855" s="68" t="str">
        <f t="shared" si="199"/>
        <v>No</v>
      </c>
      <c r="BA1855" s="68" t="str">
        <f t="shared" si="200"/>
        <v>No</v>
      </c>
    </row>
    <row r="1856" spans="1:53" hidden="1">
      <c r="A1856" t="s">
        <v>908</v>
      </c>
      <c r="B1856" t="s">
        <v>729</v>
      </c>
      <c r="C1856" t="s">
        <v>722</v>
      </c>
      <c r="D1856" s="25">
        <v>52</v>
      </c>
      <c r="E1856" s="25">
        <v>547</v>
      </c>
      <c r="F1856" t="s">
        <v>1241</v>
      </c>
      <c r="G1856" t="s">
        <v>723</v>
      </c>
      <c r="H1856" s="3" t="s">
        <v>874</v>
      </c>
      <c r="I1856">
        <v>2016</v>
      </c>
      <c r="J1856" t="s">
        <v>724</v>
      </c>
      <c r="K1856" t="s">
        <v>105</v>
      </c>
      <c r="L1856" t="s">
        <v>725</v>
      </c>
      <c r="M1856" s="25" t="s">
        <v>36</v>
      </c>
      <c r="N1856" t="s">
        <v>36</v>
      </c>
      <c r="O1856" t="s">
        <v>37</v>
      </c>
      <c r="P1856" t="s">
        <v>60</v>
      </c>
      <c r="Q1856" t="s">
        <v>899</v>
      </c>
      <c r="R1856" t="s">
        <v>855</v>
      </c>
      <c r="S1856" t="s">
        <v>726</v>
      </c>
      <c r="T1856">
        <v>54.3279274</v>
      </c>
      <c r="U1856">
        <v>10.179612799999999</v>
      </c>
      <c r="V1856" t="s">
        <v>905</v>
      </c>
      <c r="W1856" s="25" t="s">
        <v>38</v>
      </c>
      <c r="X1856">
        <v>21</v>
      </c>
      <c r="Y1856" t="s">
        <v>39</v>
      </c>
      <c r="Z1856">
        <v>3</v>
      </c>
      <c r="AA1856">
        <v>3</v>
      </c>
      <c r="AC1856">
        <v>439</v>
      </c>
      <c r="AE1856">
        <v>1040</v>
      </c>
      <c r="AG1856">
        <v>2360</v>
      </c>
      <c r="AH1856">
        <v>3.0170333390000001</v>
      </c>
      <c r="AI1856">
        <v>9</v>
      </c>
      <c r="AJ1856" t="s">
        <v>726</v>
      </c>
      <c r="AK1856" t="s">
        <v>40</v>
      </c>
      <c r="AL1856" s="25" t="s">
        <v>60</v>
      </c>
      <c r="AM1856" t="s">
        <v>61</v>
      </c>
      <c r="AN1856">
        <v>19.352380950000001</v>
      </c>
      <c r="AO1856">
        <v>2.0571428570000001</v>
      </c>
      <c r="AP1856">
        <v>17.14285714</v>
      </c>
      <c r="AQ1856">
        <v>0.304761905</v>
      </c>
      <c r="AR1856" t="s">
        <v>48</v>
      </c>
      <c r="AS1856">
        <f t="shared" si="194"/>
        <v>-0.12123386485775134</v>
      </c>
      <c r="AT1856">
        <f t="shared" si="195"/>
        <v>3.8718573278571475E-3</v>
      </c>
      <c r="AW1856" s="28">
        <f t="shared" si="196"/>
        <v>-1.5025705048381586</v>
      </c>
      <c r="AX1856">
        <f t="shared" si="197"/>
        <v>0.8</v>
      </c>
      <c r="AY1856" s="62">
        <f t="shared" si="198"/>
        <v>-1.202056403870527</v>
      </c>
      <c r="AZ1856" s="68" t="str">
        <f t="shared" si="199"/>
        <v>No</v>
      </c>
      <c r="BA1856" s="68" t="str">
        <f t="shared" si="200"/>
        <v>No</v>
      </c>
    </row>
    <row r="1857" spans="1:53" hidden="1">
      <c r="A1857" t="s">
        <v>908</v>
      </c>
      <c r="B1857" t="s">
        <v>730</v>
      </c>
      <c r="C1857" t="s">
        <v>722</v>
      </c>
      <c r="D1857" s="25">
        <v>52</v>
      </c>
      <c r="E1857" s="25">
        <v>548</v>
      </c>
      <c r="F1857" t="s">
        <v>1241</v>
      </c>
      <c r="G1857" t="s">
        <v>723</v>
      </c>
      <c r="H1857" s="3" t="s">
        <v>874</v>
      </c>
      <c r="I1857">
        <v>2016</v>
      </c>
      <c r="J1857" t="s">
        <v>724</v>
      </c>
      <c r="K1857" t="s">
        <v>105</v>
      </c>
      <c r="L1857" t="s">
        <v>725</v>
      </c>
      <c r="M1857" s="25" t="s">
        <v>36</v>
      </c>
      <c r="N1857" t="s">
        <v>36</v>
      </c>
      <c r="O1857" t="s">
        <v>37</v>
      </c>
      <c r="P1857" t="s">
        <v>60</v>
      </c>
      <c r="Q1857" t="s">
        <v>899</v>
      </c>
      <c r="R1857" t="s">
        <v>855</v>
      </c>
      <c r="S1857" t="s">
        <v>726</v>
      </c>
      <c r="T1857">
        <v>54.3279274</v>
      </c>
      <c r="U1857">
        <v>10.179612799999999</v>
      </c>
      <c r="V1857" t="s">
        <v>905</v>
      </c>
      <c r="W1857" s="25" t="s">
        <v>38</v>
      </c>
      <c r="X1857">
        <v>7</v>
      </c>
      <c r="Y1857" t="s">
        <v>39</v>
      </c>
      <c r="Z1857">
        <v>3</v>
      </c>
      <c r="AA1857">
        <v>3</v>
      </c>
      <c r="AC1857">
        <v>439</v>
      </c>
      <c r="AE1857">
        <v>1040</v>
      </c>
      <c r="AG1857">
        <v>2361</v>
      </c>
      <c r="AH1857">
        <v>3.0170333390000001</v>
      </c>
      <c r="AI1857">
        <v>9</v>
      </c>
      <c r="AJ1857" t="s">
        <v>726</v>
      </c>
      <c r="AK1857" t="s">
        <v>40</v>
      </c>
      <c r="AL1857" s="25" t="s">
        <v>60</v>
      </c>
      <c r="AM1857" t="s">
        <v>61</v>
      </c>
      <c r="AN1857">
        <v>1.447619048</v>
      </c>
      <c r="AO1857">
        <v>0.304761905</v>
      </c>
      <c r="AP1857">
        <v>1.8285714289999999</v>
      </c>
      <c r="AQ1857">
        <v>1.1428571430000001</v>
      </c>
      <c r="AR1857" t="s">
        <v>48</v>
      </c>
      <c r="AS1857">
        <f t="shared" si="194"/>
        <v>0.23361485115272229</v>
      </c>
      <c r="AT1857">
        <f t="shared" si="195"/>
        <v>0.14498210986678836</v>
      </c>
      <c r="AW1857" s="28">
        <f t="shared" si="196"/>
        <v>0.45548751865443199</v>
      </c>
      <c r="AX1857">
        <f t="shared" si="197"/>
        <v>0.8</v>
      </c>
      <c r="AY1857" s="62">
        <f t="shared" si="198"/>
        <v>0.36439001492354561</v>
      </c>
      <c r="AZ1857" s="68" t="str">
        <f t="shared" si="199"/>
        <v>No</v>
      </c>
      <c r="BA1857" s="68" t="str">
        <f t="shared" si="200"/>
        <v>No</v>
      </c>
    </row>
    <row r="1858" spans="1:53" hidden="1">
      <c r="A1858" t="s">
        <v>908</v>
      </c>
      <c r="B1858" t="s">
        <v>731</v>
      </c>
      <c r="C1858" t="s">
        <v>722</v>
      </c>
      <c r="D1858" s="25">
        <v>52</v>
      </c>
      <c r="E1858" s="25">
        <v>549</v>
      </c>
      <c r="F1858" t="s">
        <v>1241</v>
      </c>
      <c r="G1858" t="s">
        <v>723</v>
      </c>
      <c r="H1858" s="3" t="s">
        <v>874</v>
      </c>
      <c r="I1858">
        <v>2016</v>
      </c>
      <c r="J1858" t="s">
        <v>724</v>
      </c>
      <c r="K1858" t="s">
        <v>105</v>
      </c>
      <c r="L1858" t="s">
        <v>725</v>
      </c>
      <c r="M1858" s="25" t="s">
        <v>36</v>
      </c>
      <c r="N1858" t="s">
        <v>36</v>
      </c>
      <c r="O1858" t="s">
        <v>37</v>
      </c>
      <c r="P1858" t="s">
        <v>60</v>
      </c>
      <c r="Q1858" t="s">
        <v>899</v>
      </c>
      <c r="R1858" t="s">
        <v>855</v>
      </c>
      <c r="S1858" t="s">
        <v>726</v>
      </c>
      <c r="T1858">
        <v>54.3279274</v>
      </c>
      <c r="U1858">
        <v>10.179612799999999</v>
      </c>
      <c r="V1858" t="s">
        <v>905</v>
      </c>
      <c r="W1858" s="25" t="s">
        <v>38</v>
      </c>
      <c r="X1858">
        <v>11</v>
      </c>
      <c r="Y1858" t="s">
        <v>39</v>
      </c>
      <c r="Z1858">
        <v>3</v>
      </c>
      <c r="AA1858">
        <v>3</v>
      </c>
      <c r="AC1858">
        <v>439</v>
      </c>
      <c r="AE1858">
        <v>1040</v>
      </c>
      <c r="AG1858">
        <v>2362</v>
      </c>
      <c r="AH1858">
        <v>3.0170333390000001</v>
      </c>
      <c r="AI1858">
        <v>9</v>
      </c>
      <c r="AJ1858" t="s">
        <v>726</v>
      </c>
      <c r="AK1858" t="s">
        <v>40</v>
      </c>
      <c r="AL1858" s="25" t="s">
        <v>60</v>
      </c>
      <c r="AM1858" t="s">
        <v>61</v>
      </c>
      <c r="AN1858">
        <v>22.704761900000001</v>
      </c>
      <c r="AO1858">
        <v>8.5333333329999999</v>
      </c>
      <c r="AP1858">
        <v>16.076190480000001</v>
      </c>
      <c r="AQ1858">
        <v>5.1047619050000002</v>
      </c>
      <c r="AR1858" t="s">
        <v>48</v>
      </c>
      <c r="AS1858">
        <f t="shared" si="194"/>
        <v>-0.34523535258263971</v>
      </c>
      <c r="AT1858">
        <f t="shared" si="195"/>
        <v>8.0694573597109992E-2</v>
      </c>
      <c r="AW1858" s="28">
        <f t="shared" si="196"/>
        <v>-0.94273292843342282</v>
      </c>
      <c r="AX1858">
        <f t="shared" si="197"/>
        <v>0.8</v>
      </c>
      <c r="AY1858" s="62">
        <f t="shared" si="198"/>
        <v>-0.75418634274673835</v>
      </c>
      <c r="AZ1858" s="68" t="str">
        <f t="shared" si="199"/>
        <v>No</v>
      </c>
      <c r="BA1858" s="68" t="str">
        <f t="shared" si="200"/>
        <v>No</v>
      </c>
    </row>
    <row r="1859" spans="1:53" hidden="1">
      <c r="A1859" t="s">
        <v>908</v>
      </c>
      <c r="B1859" t="s">
        <v>732</v>
      </c>
      <c r="C1859" t="s">
        <v>722</v>
      </c>
      <c r="D1859" s="25">
        <v>52</v>
      </c>
      <c r="E1859" s="25">
        <v>550</v>
      </c>
      <c r="F1859" t="s">
        <v>1241</v>
      </c>
      <c r="G1859" t="s">
        <v>723</v>
      </c>
      <c r="H1859" s="3" t="s">
        <v>874</v>
      </c>
      <c r="I1859">
        <v>2016</v>
      </c>
      <c r="J1859" t="s">
        <v>724</v>
      </c>
      <c r="K1859" t="s">
        <v>105</v>
      </c>
      <c r="L1859" t="s">
        <v>725</v>
      </c>
      <c r="M1859" s="25" t="s">
        <v>36</v>
      </c>
      <c r="N1859" t="s">
        <v>36</v>
      </c>
      <c r="O1859" t="s">
        <v>37</v>
      </c>
      <c r="P1859" t="s">
        <v>60</v>
      </c>
      <c r="Q1859" t="s">
        <v>899</v>
      </c>
      <c r="R1859" t="s">
        <v>855</v>
      </c>
      <c r="S1859" t="s">
        <v>726</v>
      </c>
      <c r="T1859">
        <v>54.3279274</v>
      </c>
      <c r="U1859">
        <v>10.179612799999999</v>
      </c>
      <c r="V1859" t="s">
        <v>905</v>
      </c>
      <c r="W1859" s="25" t="s">
        <v>38</v>
      </c>
      <c r="X1859">
        <v>14</v>
      </c>
      <c r="Y1859" t="s">
        <v>39</v>
      </c>
      <c r="Z1859">
        <v>3</v>
      </c>
      <c r="AA1859">
        <v>3</v>
      </c>
      <c r="AC1859">
        <v>439</v>
      </c>
      <c r="AE1859">
        <v>1040</v>
      </c>
      <c r="AG1859">
        <v>2363</v>
      </c>
      <c r="AH1859">
        <v>3.0170333390000001</v>
      </c>
      <c r="AI1859">
        <v>9</v>
      </c>
      <c r="AJ1859" t="s">
        <v>726</v>
      </c>
      <c r="AK1859" t="s">
        <v>40</v>
      </c>
      <c r="AL1859" s="25" t="s">
        <v>60</v>
      </c>
      <c r="AM1859" t="s">
        <v>61</v>
      </c>
      <c r="AN1859">
        <v>4.4190476189999996</v>
      </c>
      <c r="AO1859">
        <v>0.38095238100000001</v>
      </c>
      <c r="AP1859">
        <v>5.3333333329999997</v>
      </c>
      <c r="AQ1859">
        <v>3.0476190480000001</v>
      </c>
      <c r="AR1859" t="s">
        <v>48</v>
      </c>
      <c r="AS1859">
        <f t="shared" si="194"/>
        <v>0.18805223145121563</v>
      </c>
      <c r="AT1859">
        <f t="shared" si="195"/>
        <v>0.11132074712748156</v>
      </c>
      <c r="AW1859" s="28">
        <f t="shared" si="196"/>
        <v>0.42098784908319181</v>
      </c>
      <c r="AX1859">
        <f t="shared" si="197"/>
        <v>0.8</v>
      </c>
      <c r="AY1859" s="62">
        <f t="shared" si="198"/>
        <v>0.33679027926655347</v>
      </c>
      <c r="AZ1859" s="68" t="str">
        <f t="shared" si="199"/>
        <v>No</v>
      </c>
      <c r="BA1859" s="68" t="str">
        <f t="shared" si="200"/>
        <v>No</v>
      </c>
    </row>
    <row r="1860" spans="1:53" hidden="1">
      <c r="A1860" t="s">
        <v>908</v>
      </c>
      <c r="B1860" t="s">
        <v>733</v>
      </c>
      <c r="C1860" t="s">
        <v>722</v>
      </c>
      <c r="D1860" s="25">
        <v>52</v>
      </c>
      <c r="E1860" s="25">
        <v>551</v>
      </c>
      <c r="F1860" t="s">
        <v>1241</v>
      </c>
      <c r="G1860" t="s">
        <v>723</v>
      </c>
      <c r="H1860" s="3" t="s">
        <v>874</v>
      </c>
      <c r="I1860">
        <v>2016</v>
      </c>
      <c r="J1860" t="s">
        <v>724</v>
      </c>
      <c r="K1860" t="s">
        <v>105</v>
      </c>
      <c r="L1860" t="s">
        <v>725</v>
      </c>
      <c r="M1860" s="25" t="s">
        <v>36</v>
      </c>
      <c r="N1860" t="s">
        <v>36</v>
      </c>
      <c r="O1860" t="s">
        <v>37</v>
      </c>
      <c r="P1860" t="s">
        <v>60</v>
      </c>
      <c r="Q1860" t="s">
        <v>899</v>
      </c>
      <c r="R1860" t="s">
        <v>855</v>
      </c>
      <c r="S1860" t="s">
        <v>726</v>
      </c>
      <c r="T1860">
        <v>54.3279274</v>
      </c>
      <c r="U1860">
        <v>10.179612799999999</v>
      </c>
      <c r="V1860" t="s">
        <v>905</v>
      </c>
      <c r="W1860" s="25" t="s">
        <v>38</v>
      </c>
      <c r="X1860">
        <v>17</v>
      </c>
      <c r="Y1860" t="s">
        <v>39</v>
      </c>
      <c r="Z1860">
        <v>3</v>
      </c>
      <c r="AA1860">
        <v>3</v>
      </c>
      <c r="AC1860">
        <v>439</v>
      </c>
      <c r="AE1860">
        <v>1040</v>
      </c>
      <c r="AG1860">
        <v>2364</v>
      </c>
      <c r="AH1860">
        <v>3.0170333390000001</v>
      </c>
      <c r="AI1860">
        <v>9</v>
      </c>
      <c r="AJ1860" t="s">
        <v>726</v>
      </c>
      <c r="AK1860" t="s">
        <v>40</v>
      </c>
      <c r="AL1860" s="25" t="s">
        <v>60</v>
      </c>
      <c r="AM1860" t="s">
        <v>61</v>
      </c>
      <c r="AN1860">
        <v>2.6666666669999999</v>
      </c>
      <c r="AO1860">
        <v>2.1333333329999999</v>
      </c>
      <c r="AP1860">
        <v>7.3142857140000004</v>
      </c>
      <c r="AQ1860">
        <v>5.8666666669999996</v>
      </c>
      <c r="AR1860" t="s">
        <v>48</v>
      </c>
      <c r="AS1860">
        <f t="shared" si="194"/>
        <v>1.00900012981436</v>
      </c>
      <c r="AT1860">
        <f t="shared" si="195"/>
        <v>0.42777922445815941</v>
      </c>
      <c r="AW1860" s="28">
        <f t="shared" si="196"/>
        <v>1.0528985053444426</v>
      </c>
      <c r="AX1860">
        <f t="shared" si="197"/>
        <v>0.8</v>
      </c>
      <c r="AY1860" s="62">
        <f t="shared" si="198"/>
        <v>0.84231880427555417</v>
      </c>
      <c r="AZ1860" s="68" t="str">
        <f t="shared" si="199"/>
        <v>No</v>
      </c>
      <c r="BA1860" s="68" t="str">
        <f t="shared" si="200"/>
        <v>No</v>
      </c>
    </row>
    <row r="1861" spans="1:53" hidden="1">
      <c r="A1861" t="s">
        <v>908</v>
      </c>
      <c r="B1861" t="s">
        <v>734</v>
      </c>
      <c r="C1861" t="s">
        <v>722</v>
      </c>
      <c r="D1861" s="25">
        <v>52</v>
      </c>
      <c r="E1861" s="25">
        <v>552</v>
      </c>
      <c r="F1861" t="s">
        <v>1241</v>
      </c>
      <c r="G1861" t="s">
        <v>723</v>
      </c>
      <c r="H1861" s="3" t="s">
        <v>874</v>
      </c>
      <c r="I1861">
        <v>2016</v>
      </c>
      <c r="J1861" t="s">
        <v>724</v>
      </c>
      <c r="K1861" t="s">
        <v>105</v>
      </c>
      <c r="L1861" t="s">
        <v>725</v>
      </c>
      <c r="M1861" s="25" t="s">
        <v>36</v>
      </c>
      <c r="N1861" t="s">
        <v>36</v>
      </c>
      <c r="O1861" t="s">
        <v>37</v>
      </c>
      <c r="P1861" t="s">
        <v>60</v>
      </c>
      <c r="Q1861" t="s">
        <v>899</v>
      </c>
      <c r="R1861" t="s">
        <v>855</v>
      </c>
      <c r="S1861" t="s">
        <v>726</v>
      </c>
      <c r="T1861">
        <v>54.3279274</v>
      </c>
      <c r="U1861">
        <v>10.179612799999999</v>
      </c>
      <c r="V1861" t="s">
        <v>905</v>
      </c>
      <c r="W1861" s="25" t="s">
        <v>38</v>
      </c>
      <c r="X1861">
        <v>21</v>
      </c>
      <c r="Y1861" t="s">
        <v>39</v>
      </c>
      <c r="Z1861">
        <v>3</v>
      </c>
      <c r="AA1861">
        <v>3</v>
      </c>
      <c r="AC1861">
        <v>439</v>
      </c>
      <c r="AE1861">
        <v>1040</v>
      </c>
      <c r="AG1861">
        <v>2365</v>
      </c>
      <c r="AH1861">
        <v>3.0170333390000001</v>
      </c>
      <c r="AI1861">
        <v>9</v>
      </c>
      <c r="AJ1861" t="s">
        <v>726</v>
      </c>
      <c r="AK1861" t="s">
        <v>40</v>
      </c>
      <c r="AL1861" s="25" t="s">
        <v>60</v>
      </c>
      <c r="AM1861" t="s">
        <v>61</v>
      </c>
      <c r="AN1861">
        <v>1.752380952</v>
      </c>
      <c r="AO1861">
        <v>0.68571428599999995</v>
      </c>
      <c r="AP1861">
        <v>1.447619048</v>
      </c>
      <c r="AQ1861">
        <v>0.45714285700000001</v>
      </c>
      <c r="AR1861" t="s">
        <v>48</v>
      </c>
      <c r="AS1861">
        <f t="shared" si="194"/>
        <v>-0.19105523628216003</v>
      </c>
      <c r="AT1861">
        <f t="shared" si="195"/>
        <v>8.4280694798903336E-2</v>
      </c>
      <c r="AW1861" s="28">
        <f t="shared" si="196"/>
        <v>-0.52297635896047756</v>
      </c>
      <c r="AX1861">
        <f t="shared" si="197"/>
        <v>0.8</v>
      </c>
      <c r="AY1861" s="62">
        <f t="shared" si="198"/>
        <v>-0.41838108716838207</v>
      </c>
      <c r="AZ1861" s="68" t="str">
        <f t="shared" si="199"/>
        <v>No</v>
      </c>
      <c r="BA1861" s="68" t="str">
        <f t="shared" si="200"/>
        <v>No</v>
      </c>
    </row>
    <row r="1862" spans="1:53" hidden="1">
      <c r="A1862" t="s">
        <v>908</v>
      </c>
      <c r="B1862" t="s">
        <v>735</v>
      </c>
      <c r="C1862" t="s">
        <v>736</v>
      </c>
      <c r="D1862" s="25">
        <v>53</v>
      </c>
      <c r="E1862" s="25">
        <v>553</v>
      </c>
      <c r="F1862" t="s">
        <v>1241</v>
      </c>
      <c r="G1862" t="s">
        <v>737</v>
      </c>
      <c r="H1862" s="3" t="s">
        <v>877</v>
      </c>
      <c r="I1862">
        <v>2016</v>
      </c>
      <c r="J1862" t="s">
        <v>738</v>
      </c>
      <c r="K1862" t="s">
        <v>105</v>
      </c>
      <c r="L1862" t="s">
        <v>739</v>
      </c>
      <c r="M1862" s="25" t="s">
        <v>36</v>
      </c>
      <c r="N1862" t="s">
        <v>36</v>
      </c>
      <c r="O1862" t="s">
        <v>37</v>
      </c>
      <c r="P1862" t="s">
        <v>60</v>
      </c>
      <c r="Q1862" t="s">
        <v>899</v>
      </c>
      <c r="R1862" t="s">
        <v>828</v>
      </c>
      <c r="S1862" t="s">
        <v>857</v>
      </c>
      <c r="T1862">
        <v>54.332999999999998</v>
      </c>
      <c r="U1862">
        <v>10.1333</v>
      </c>
      <c r="V1862" t="s">
        <v>905</v>
      </c>
      <c r="W1862" s="25" t="s">
        <v>38</v>
      </c>
      <c r="X1862">
        <v>24</v>
      </c>
      <c r="Y1862" t="s">
        <v>39</v>
      </c>
      <c r="Z1862">
        <v>3</v>
      </c>
      <c r="AA1862">
        <v>3</v>
      </c>
      <c r="AB1862" t="s">
        <v>740</v>
      </c>
      <c r="AC1862">
        <v>560</v>
      </c>
      <c r="AE1862">
        <v>1400</v>
      </c>
      <c r="AG1862">
        <v>2366</v>
      </c>
      <c r="AH1862">
        <v>3.1461280359999999</v>
      </c>
      <c r="AI1862">
        <v>9</v>
      </c>
      <c r="AJ1862" t="s">
        <v>93</v>
      </c>
      <c r="AK1862" t="s">
        <v>40</v>
      </c>
      <c r="AL1862" s="25" t="s">
        <v>60</v>
      </c>
      <c r="AM1862" t="s">
        <v>61</v>
      </c>
      <c r="AN1862">
        <v>109.05800000000001</v>
      </c>
      <c r="AO1862">
        <v>48.948051999999997</v>
      </c>
      <c r="AP1862">
        <v>57.970999999999997</v>
      </c>
      <c r="AQ1862">
        <v>16.315959599999999</v>
      </c>
      <c r="AR1862" t="s">
        <v>48</v>
      </c>
      <c r="AS1862">
        <f t="shared" si="194"/>
        <v>-0.63193696529577625</v>
      </c>
      <c r="AT1862">
        <f t="shared" si="195"/>
        <v>9.3552992174020785E-2</v>
      </c>
      <c r="AW1862" s="28">
        <f t="shared" si="196"/>
        <v>-1.4002687402664162</v>
      </c>
      <c r="AX1862">
        <f t="shared" si="197"/>
        <v>0.8</v>
      </c>
      <c r="AY1862" s="62">
        <f t="shared" si="198"/>
        <v>-1.120214992213133</v>
      </c>
      <c r="AZ1862" s="68" t="str">
        <f t="shared" si="199"/>
        <v>No</v>
      </c>
      <c r="BA1862" s="68" t="str">
        <f t="shared" si="200"/>
        <v>No</v>
      </c>
    </row>
    <row r="1863" spans="1:53" hidden="1">
      <c r="A1863" t="s">
        <v>908</v>
      </c>
      <c r="B1863" t="s">
        <v>741</v>
      </c>
      <c r="C1863" t="s">
        <v>736</v>
      </c>
      <c r="D1863" s="25">
        <v>53</v>
      </c>
      <c r="E1863" s="25">
        <v>554</v>
      </c>
      <c r="F1863" t="s">
        <v>1241</v>
      </c>
      <c r="G1863" t="s">
        <v>737</v>
      </c>
      <c r="H1863" s="3" t="s">
        <v>877</v>
      </c>
      <c r="I1863">
        <v>2016</v>
      </c>
      <c r="J1863" t="s">
        <v>738</v>
      </c>
      <c r="K1863" t="s">
        <v>105</v>
      </c>
      <c r="L1863" t="s">
        <v>739</v>
      </c>
      <c r="M1863" s="25" t="s">
        <v>36</v>
      </c>
      <c r="N1863" t="s">
        <v>36</v>
      </c>
      <c r="O1863" t="s">
        <v>37</v>
      </c>
      <c r="P1863" t="s">
        <v>60</v>
      </c>
      <c r="Q1863" t="s">
        <v>899</v>
      </c>
      <c r="R1863" t="s">
        <v>828</v>
      </c>
      <c r="S1863" t="s">
        <v>879</v>
      </c>
      <c r="T1863">
        <v>54.332999999999998</v>
      </c>
      <c r="U1863">
        <v>10.1333</v>
      </c>
      <c r="V1863" t="s">
        <v>905</v>
      </c>
      <c r="W1863" s="25" t="s">
        <v>38</v>
      </c>
      <c r="X1863">
        <v>24</v>
      </c>
      <c r="Y1863" t="s">
        <v>39</v>
      </c>
      <c r="Z1863">
        <v>3</v>
      </c>
      <c r="AA1863">
        <v>3</v>
      </c>
      <c r="AB1863" t="s">
        <v>742</v>
      </c>
      <c r="AC1863">
        <v>560</v>
      </c>
      <c r="AE1863">
        <v>1400</v>
      </c>
      <c r="AG1863">
        <v>2367</v>
      </c>
      <c r="AH1863">
        <v>3.1461280359999999</v>
      </c>
      <c r="AI1863">
        <v>9</v>
      </c>
      <c r="AJ1863" t="s">
        <v>93</v>
      </c>
      <c r="AK1863" t="s">
        <v>40</v>
      </c>
      <c r="AL1863" s="25" t="s">
        <v>60</v>
      </c>
      <c r="AM1863" t="s">
        <v>61</v>
      </c>
      <c r="AN1863">
        <v>193.47800000000001</v>
      </c>
      <c r="AO1863">
        <v>52.086435999999999</v>
      </c>
      <c r="AP1863">
        <v>97.826099999999997</v>
      </c>
      <c r="AQ1863">
        <v>52.7132468</v>
      </c>
      <c r="AR1863" t="s">
        <v>48</v>
      </c>
      <c r="AS1863">
        <f t="shared" si="194"/>
        <v>-0.68197239831297995</v>
      </c>
      <c r="AT1863">
        <f t="shared" si="195"/>
        <v>0.12094338138512392</v>
      </c>
      <c r="AW1863" s="28">
        <f t="shared" si="196"/>
        <v>-1.8253908145889455</v>
      </c>
      <c r="AX1863">
        <f t="shared" si="197"/>
        <v>0.8</v>
      </c>
      <c r="AY1863" s="62">
        <f t="shared" si="198"/>
        <v>-1.4603126516711564</v>
      </c>
      <c r="AZ1863" s="68" t="str">
        <f t="shared" si="199"/>
        <v>No</v>
      </c>
      <c r="BA1863" s="68" t="str">
        <f t="shared" si="200"/>
        <v>No</v>
      </c>
    </row>
    <row r="1864" spans="1:53" hidden="1">
      <c r="A1864" t="s">
        <v>908</v>
      </c>
      <c r="B1864" t="s">
        <v>743</v>
      </c>
      <c r="C1864" t="s">
        <v>736</v>
      </c>
      <c r="D1864" s="25">
        <v>53</v>
      </c>
      <c r="E1864" s="25">
        <v>555</v>
      </c>
      <c r="F1864" t="s">
        <v>1241</v>
      </c>
      <c r="G1864" t="s">
        <v>737</v>
      </c>
      <c r="H1864" s="3" t="s">
        <v>877</v>
      </c>
      <c r="I1864">
        <v>2016</v>
      </c>
      <c r="J1864" t="s">
        <v>738</v>
      </c>
      <c r="K1864" t="s">
        <v>105</v>
      </c>
      <c r="L1864" t="s">
        <v>739</v>
      </c>
      <c r="M1864" s="25" t="s">
        <v>36</v>
      </c>
      <c r="N1864" t="s">
        <v>36</v>
      </c>
      <c r="O1864" t="s">
        <v>37</v>
      </c>
      <c r="P1864" t="s">
        <v>60</v>
      </c>
      <c r="Q1864" t="s">
        <v>899</v>
      </c>
      <c r="R1864" t="s">
        <v>828</v>
      </c>
      <c r="S1864" t="s">
        <v>880</v>
      </c>
      <c r="T1864">
        <v>54.332999999999998</v>
      </c>
      <c r="U1864">
        <v>10.1333</v>
      </c>
      <c r="V1864" t="s">
        <v>905</v>
      </c>
      <c r="W1864" s="25" t="s">
        <v>38</v>
      </c>
      <c r="X1864">
        <v>24</v>
      </c>
      <c r="Y1864" t="s">
        <v>39</v>
      </c>
      <c r="Z1864">
        <v>3</v>
      </c>
      <c r="AA1864">
        <v>3</v>
      </c>
      <c r="AB1864" t="s">
        <v>744</v>
      </c>
      <c r="AC1864">
        <v>560</v>
      </c>
      <c r="AE1864">
        <v>1400</v>
      </c>
      <c r="AG1864">
        <v>2368</v>
      </c>
      <c r="AH1864">
        <v>3.1461280359999999</v>
      </c>
      <c r="AI1864">
        <v>9</v>
      </c>
      <c r="AJ1864" t="s">
        <v>93</v>
      </c>
      <c r="AK1864" t="s">
        <v>40</v>
      </c>
      <c r="AL1864" s="25" t="s">
        <v>60</v>
      </c>
      <c r="AM1864" t="s">
        <v>61</v>
      </c>
      <c r="AN1864">
        <v>36.956499999999998</v>
      </c>
      <c r="AO1864">
        <v>24.474025999999999</v>
      </c>
      <c r="AP1864">
        <v>46.376800000000003</v>
      </c>
      <c r="AQ1864">
        <v>8.1580663999999992</v>
      </c>
      <c r="AR1864" t="s">
        <v>48</v>
      </c>
      <c r="AS1864">
        <f t="shared" si="194"/>
        <v>0.22705778887078187</v>
      </c>
      <c r="AT1864">
        <f t="shared" si="195"/>
        <v>0.15650129893277173</v>
      </c>
      <c r="AW1864" s="28">
        <f t="shared" si="196"/>
        <v>0.51641073507081969</v>
      </c>
      <c r="AX1864">
        <f t="shared" si="197"/>
        <v>0.8</v>
      </c>
      <c r="AY1864" s="62">
        <f t="shared" si="198"/>
        <v>0.41312858805665575</v>
      </c>
      <c r="AZ1864" s="68" t="str">
        <f t="shared" si="199"/>
        <v>No</v>
      </c>
      <c r="BA1864" s="68" t="str">
        <f t="shared" si="200"/>
        <v>No</v>
      </c>
    </row>
    <row r="1865" spans="1:53" hidden="1">
      <c r="A1865" t="s">
        <v>908</v>
      </c>
      <c r="B1865" t="s">
        <v>745</v>
      </c>
      <c r="C1865" t="s">
        <v>736</v>
      </c>
      <c r="D1865" s="25">
        <v>53</v>
      </c>
      <c r="E1865" s="25">
        <v>556</v>
      </c>
      <c r="F1865" t="s">
        <v>1241</v>
      </c>
      <c r="G1865" t="s">
        <v>737</v>
      </c>
      <c r="H1865" s="3" t="s">
        <v>877</v>
      </c>
      <c r="I1865">
        <v>2016</v>
      </c>
      <c r="J1865" t="s">
        <v>738</v>
      </c>
      <c r="K1865" t="s">
        <v>105</v>
      </c>
      <c r="L1865" t="s">
        <v>739</v>
      </c>
      <c r="M1865" s="25" t="s">
        <v>36</v>
      </c>
      <c r="N1865" t="s">
        <v>36</v>
      </c>
      <c r="O1865" t="s">
        <v>37</v>
      </c>
      <c r="P1865" t="s">
        <v>60</v>
      </c>
      <c r="Q1865" t="s">
        <v>899</v>
      </c>
      <c r="R1865" t="s">
        <v>828</v>
      </c>
      <c r="S1865" t="s">
        <v>878</v>
      </c>
      <c r="T1865">
        <v>54.332999999999998</v>
      </c>
      <c r="U1865">
        <v>10.1333</v>
      </c>
      <c r="V1865" t="s">
        <v>905</v>
      </c>
      <c r="W1865" s="25" t="s">
        <v>38</v>
      </c>
      <c r="X1865">
        <v>24</v>
      </c>
      <c r="Y1865" t="s">
        <v>39</v>
      </c>
      <c r="Z1865">
        <v>3</v>
      </c>
      <c r="AA1865">
        <v>3</v>
      </c>
      <c r="AB1865" t="s">
        <v>744</v>
      </c>
      <c r="AC1865">
        <v>560</v>
      </c>
      <c r="AE1865">
        <v>1400</v>
      </c>
      <c r="AG1865">
        <v>2369</v>
      </c>
      <c r="AH1865">
        <v>3.1461280359999999</v>
      </c>
      <c r="AI1865">
        <v>9</v>
      </c>
      <c r="AJ1865" t="s">
        <v>746</v>
      </c>
      <c r="AK1865" t="s">
        <v>904</v>
      </c>
      <c r="AL1865" s="25" t="s">
        <v>60</v>
      </c>
      <c r="AM1865" t="s">
        <v>61</v>
      </c>
      <c r="AN1865">
        <v>866.25</v>
      </c>
      <c r="AO1865">
        <v>148.75</v>
      </c>
      <c r="AP1865">
        <v>564.375</v>
      </c>
      <c r="AQ1865">
        <v>39.375</v>
      </c>
      <c r="AR1865" t="s">
        <v>73</v>
      </c>
      <c r="AS1865">
        <f t="shared" si="194"/>
        <v>-0.42845462633286324</v>
      </c>
      <c r="AT1865">
        <f t="shared" si="195"/>
        <v>1.1451427668766006E-2</v>
      </c>
      <c r="AW1865" s="28">
        <f t="shared" si="196"/>
        <v>-2.7744649247074094</v>
      </c>
      <c r="AX1865">
        <f t="shared" si="197"/>
        <v>0.8</v>
      </c>
      <c r="AY1865" s="62">
        <f t="shared" si="198"/>
        <v>-2.2195719397659275</v>
      </c>
      <c r="AZ1865" s="68" t="str">
        <f t="shared" si="199"/>
        <v>No</v>
      </c>
      <c r="BA1865" s="68" t="str">
        <f t="shared" si="200"/>
        <v>No</v>
      </c>
    </row>
    <row r="1866" spans="1:53" hidden="1">
      <c r="A1866" t="s">
        <v>908</v>
      </c>
      <c r="B1866" t="s">
        <v>364</v>
      </c>
      <c r="C1866" t="s">
        <v>365</v>
      </c>
      <c r="D1866" s="25">
        <v>26</v>
      </c>
      <c r="E1866" s="25">
        <v>180</v>
      </c>
      <c r="F1866" t="s">
        <v>1241</v>
      </c>
      <c r="G1866" t="s">
        <v>366</v>
      </c>
      <c r="H1866" s="3" t="s">
        <v>856</v>
      </c>
      <c r="I1866">
        <v>2014</v>
      </c>
      <c r="J1866" t="s">
        <v>367</v>
      </c>
      <c r="K1866" t="s">
        <v>46</v>
      </c>
      <c r="L1866" t="s">
        <v>368</v>
      </c>
      <c r="M1866" s="25" t="s">
        <v>35</v>
      </c>
      <c r="N1866" t="s">
        <v>36</v>
      </c>
      <c r="O1866" t="s">
        <v>37</v>
      </c>
      <c r="P1866" t="s">
        <v>60</v>
      </c>
      <c r="Q1866" t="s">
        <v>899</v>
      </c>
      <c r="R1866" t="s">
        <v>828</v>
      </c>
      <c r="S1866" t="s">
        <v>836</v>
      </c>
      <c r="T1866">
        <v>63.429048000000002</v>
      </c>
      <c r="U1866">
        <v>10.390731799999999</v>
      </c>
      <c r="V1866" t="s">
        <v>905</v>
      </c>
      <c r="W1866" s="25" t="s">
        <v>38</v>
      </c>
      <c r="X1866">
        <v>7</v>
      </c>
      <c r="Y1866" t="s">
        <v>39</v>
      </c>
      <c r="Z1866">
        <v>3</v>
      </c>
      <c r="AA1866">
        <v>3</v>
      </c>
      <c r="AB1866" t="s">
        <v>369</v>
      </c>
      <c r="AC1866">
        <v>340</v>
      </c>
      <c r="AE1866">
        <v>2800</v>
      </c>
      <c r="AG1866">
        <v>1771</v>
      </c>
      <c r="AH1866">
        <v>3.4471580309999998</v>
      </c>
      <c r="AI1866">
        <v>10</v>
      </c>
      <c r="AJ1866" t="s">
        <v>370</v>
      </c>
      <c r="AK1866" t="s">
        <v>59</v>
      </c>
      <c r="AL1866" s="25" t="s">
        <v>60</v>
      </c>
      <c r="AM1866" t="s">
        <v>61</v>
      </c>
      <c r="AN1866">
        <v>62.704471099999999</v>
      </c>
      <c r="AO1866">
        <v>9.5965103599999999</v>
      </c>
      <c r="AP1866">
        <v>72.082878949999994</v>
      </c>
      <c r="AQ1866">
        <v>15.70338059</v>
      </c>
      <c r="AR1866" t="s">
        <v>48</v>
      </c>
      <c r="AS1866">
        <f t="shared" si="194"/>
        <v>0.13938379903382803</v>
      </c>
      <c r="AT1866">
        <f t="shared" si="195"/>
        <v>2.3627228926503503E-2</v>
      </c>
      <c r="AW1866" s="28">
        <f t="shared" si="196"/>
        <v>0.7206816372204452</v>
      </c>
      <c r="AX1866">
        <f t="shared" si="197"/>
        <v>0.8</v>
      </c>
      <c r="AY1866" s="62">
        <f t="shared" si="198"/>
        <v>0.57654530977635621</v>
      </c>
      <c r="AZ1866" s="68" t="str">
        <f t="shared" si="199"/>
        <v>No</v>
      </c>
      <c r="BA1866" s="68" t="str">
        <f t="shared" si="200"/>
        <v>No</v>
      </c>
    </row>
    <row r="1867" spans="1:53" hidden="1">
      <c r="A1867" t="s">
        <v>908</v>
      </c>
      <c r="B1867" t="s">
        <v>371</v>
      </c>
      <c r="C1867" t="s">
        <v>365</v>
      </c>
      <c r="D1867" s="25">
        <v>26</v>
      </c>
      <c r="E1867" s="25">
        <v>181</v>
      </c>
      <c r="F1867" t="s">
        <v>1241</v>
      </c>
      <c r="G1867" t="s">
        <v>366</v>
      </c>
      <c r="H1867" s="3" t="s">
        <v>856</v>
      </c>
      <c r="I1867">
        <v>2014</v>
      </c>
      <c r="J1867" t="s">
        <v>367</v>
      </c>
      <c r="K1867" t="s">
        <v>46</v>
      </c>
      <c r="L1867" t="s">
        <v>368</v>
      </c>
      <c r="M1867" s="25" t="s">
        <v>35</v>
      </c>
      <c r="N1867" t="s">
        <v>36</v>
      </c>
      <c r="O1867" t="s">
        <v>37</v>
      </c>
      <c r="P1867" t="s">
        <v>60</v>
      </c>
      <c r="Q1867" t="s">
        <v>899</v>
      </c>
      <c r="R1867" t="s">
        <v>828</v>
      </c>
      <c r="S1867" t="s">
        <v>836</v>
      </c>
      <c r="T1867">
        <v>63.429048000000002</v>
      </c>
      <c r="U1867">
        <v>10.390731799999999</v>
      </c>
      <c r="V1867" t="s">
        <v>905</v>
      </c>
      <c r="W1867" s="25" t="s">
        <v>38</v>
      </c>
      <c r="X1867">
        <v>7</v>
      </c>
      <c r="Y1867" t="s">
        <v>39</v>
      </c>
      <c r="Z1867">
        <v>3</v>
      </c>
      <c r="AA1867">
        <v>3</v>
      </c>
      <c r="AB1867" t="s">
        <v>369</v>
      </c>
      <c r="AC1867">
        <v>340</v>
      </c>
      <c r="AE1867">
        <v>4600</v>
      </c>
      <c r="AG1867">
        <v>1771</v>
      </c>
      <c r="AH1867">
        <v>3.662757832</v>
      </c>
      <c r="AI1867">
        <v>10</v>
      </c>
      <c r="AJ1867" t="s">
        <v>370</v>
      </c>
      <c r="AK1867" t="s">
        <v>59</v>
      </c>
      <c r="AL1867" s="25" t="s">
        <v>60</v>
      </c>
      <c r="AM1867" t="s">
        <v>61</v>
      </c>
      <c r="AN1867">
        <v>62.704471099999999</v>
      </c>
      <c r="AO1867">
        <v>9.5965103599999999</v>
      </c>
      <c r="AP1867">
        <v>44.165757910000004</v>
      </c>
      <c r="AQ1867">
        <v>10.468920389999999</v>
      </c>
      <c r="AR1867" t="s">
        <v>48</v>
      </c>
      <c r="AS1867">
        <f t="shared" si="194"/>
        <v>-0.35048297358252345</v>
      </c>
      <c r="AT1867">
        <f t="shared" si="195"/>
        <v>2.6536287709936886E-2</v>
      </c>
      <c r="AW1867" s="28">
        <f t="shared" si="196"/>
        <v>-1.846082031461215</v>
      </c>
      <c r="AX1867">
        <f t="shared" si="197"/>
        <v>0.8</v>
      </c>
      <c r="AY1867" s="62">
        <f t="shared" si="198"/>
        <v>-1.476865625168972</v>
      </c>
      <c r="AZ1867" s="68" t="str">
        <f t="shared" si="199"/>
        <v>No</v>
      </c>
      <c r="BA1867" s="68" t="str">
        <f t="shared" si="200"/>
        <v>No</v>
      </c>
    </row>
    <row r="1868" spans="1:53" hidden="1">
      <c r="A1868" t="s">
        <v>908</v>
      </c>
      <c r="B1868" t="s">
        <v>372</v>
      </c>
      <c r="C1868" t="s">
        <v>365</v>
      </c>
      <c r="D1868" s="25">
        <v>26</v>
      </c>
      <c r="E1868" s="25">
        <v>182</v>
      </c>
      <c r="F1868" t="s">
        <v>1241</v>
      </c>
      <c r="G1868" t="s">
        <v>366</v>
      </c>
      <c r="H1868" s="3" t="s">
        <v>856</v>
      </c>
      <c r="I1868">
        <v>2014</v>
      </c>
      <c r="J1868" t="s">
        <v>367</v>
      </c>
      <c r="K1868" t="s">
        <v>46</v>
      </c>
      <c r="L1868" t="s">
        <v>368</v>
      </c>
      <c r="M1868" s="25" t="s">
        <v>35</v>
      </c>
      <c r="N1868" t="s">
        <v>36</v>
      </c>
      <c r="O1868" t="s">
        <v>37</v>
      </c>
      <c r="P1868" t="s">
        <v>60</v>
      </c>
      <c r="Q1868" t="s">
        <v>899</v>
      </c>
      <c r="R1868" t="s">
        <v>828</v>
      </c>
      <c r="S1868" t="s">
        <v>836</v>
      </c>
      <c r="T1868">
        <v>63.429048000000002</v>
      </c>
      <c r="U1868">
        <v>10.390731799999999</v>
      </c>
      <c r="V1868" t="s">
        <v>905</v>
      </c>
      <c r="W1868" s="25" t="s">
        <v>38</v>
      </c>
      <c r="X1868">
        <v>7</v>
      </c>
      <c r="Y1868" t="s">
        <v>39</v>
      </c>
      <c r="Z1868">
        <v>3</v>
      </c>
      <c r="AA1868">
        <v>3</v>
      </c>
      <c r="AB1868" t="s">
        <v>369</v>
      </c>
      <c r="AC1868">
        <v>340</v>
      </c>
      <c r="AE1868">
        <v>8800</v>
      </c>
      <c r="AG1868">
        <v>1771</v>
      </c>
      <c r="AH1868">
        <v>3.9444826719999999</v>
      </c>
      <c r="AI1868">
        <v>10</v>
      </c>
      <c r="AJ1868" t="s">
        <v>370</v>
      </c>
      <c r="AK1868" t="s">
        <v>59</v>
      </c>
      <c r="AL1868" s="25" t="s">
        <v>60</v>
      </c>
      <c r="AM1868" t="s">
        <v>61</v>
      </c>
      <c r="AN1868">
        <v>62.704471099999999</v>
      </c>
      <c r="AO1868">
        <v>9.5965103599999999</v>
      </c>
      <c r="AP1868">
        <v>38.058887679999998</v>
      </c>
      <c r="AQ1868">
        <v>2.6172300979999998</v>
      </c>
      <c r="AR1868" t="s">
        <v>48</v>
      </c>
      <c r="AS1868">
        <f t="shared" si="194"/>
        <v>-0.49929811849896222</v>
      </c>
      <c r="AT1868">
        <f t="shared" si="195"/>
        <v>9.3837771506396616E-3</v>
      </c>
      <c r="AW1868" s="28">
        <f t="shared" si="196"/>
        <v>-3.503981251515742</v>
      </c>
      <c r="AX1868">
        <f t="shared" si="197"/>
        <v>0.8</v>
      </c>
      <c r="AY1868" s="62">
        <f t="shared" si="198"/>
        <v>-2.8031850012125936</v>
      </c>
      <c r="AZ1868" s="68" t="str">
        <f t="shared" si="199"/>
        <v>No</v>
      </c>
      <c r="BA1868" s="68" t="str">
        <f t="shared" si="200"/>
        <v>No</v>
      </c>
    </row>
    <row r="1869" spans="1:53" hidden="1">
      <c r="A1869" t="s">
        <v>908</v>
      </c>
      <c r="B1869" t="s">
        <v>373</v>
      </c>
      <c r="C1869" t="s">
        <v>365</v>
      </c>
      <c r="D1869" s="25">
        <v>26</v>
      </c>
      <c r="E1869" s="25">
        <v>183</v>
      </c>
      <c r="F1869" t="s">
        <v>1241</v>
      </c>
      <c r="G1869" t="s">
        <v>366</v>
      </c>
      <c r="H1869" s="3" t="s">
        <v>856</v>
      </c>
      <c r="I1869">
        <v>2014</v>
      </c>
      <c r="J1869" t="s">
        <v>367</v>
      </c>
      <c r="K1869" t="s">
        <v>46</v>
      </c>
      <c r="L1869" t="s">
        <v>368</v>
      </c>
      <c r="M1869" s="25" t="s">
        <v>35</v>
      </c>
      <c r="N1869" t="s">
        <v>36</v>
      </c>
      <c r="O1869" t="s">
        <v>37</v>
      </c>
      <c r="P1869" t="s">
        <v>60</v>
      </c>
      <c r="Q1869" t="s">
        <v>899</v>
      </c>
      <c r="R1869" t="s">
        <v>828</v>
      </c>
      <c r="S1869" t="s">
        <v>857</v>
      </c>
      <c r="T1869">
        <v>63.429048000000002</v>
      </c>
      <c r="U1869">
        <v>10.390731799999999</v>
      </c>
      <c r="V1869" t="s">
        <v>905</v>
      </c>
      <c r="W1869" s="25" t="s">
        <v>38</v>
      </c>
      <c r="X1869">
        <v>7</v>
      </c>
      <c r="Y1869" t="s">
        <v>39</v>
      </c>
      <c r="Z1869">
        <v>3</v>
      </c>
      <c r="AA1869">
        <v>3</v>
      </c>
      <c r="AB1869" t="s">
        <v>374</v>
      </c>
      <c r="AC1869">
        <v>340</v>
      </c>
      <c r="AE1869">
        <v>2800</v>
      </c>
      <c r="AG1869">
        <v>1772</v>
      </c>
      <c r="AH1869">
        <v>3.4471580309999998</v>
      </c>
      <c r="AI1869">
        <v>10</v>
      </c>
      <c r="AJ1869" t="s">
        <v>375</v>
      </c>
      <c r="AK1869" t="s">
        <v>69</v>
      </c>
      <c r="AL1869" s="25" t="s">
        <v>60</v>
      </c>
      <c r="AM1869" t="s">
        <v>61</v>
      </c>
      <c r="AN1869">
        <v>92.117263840000007</v>
      </c>
      <c r="AO1869">
        <v>2.0846905539999998</v>
      </c>
      <c r="AP1869">
        <v>92.117263840000007</v>
      </c>
      <c r="AQ1869">
        <v>6.51465798</v>
      </c>
      <c r="AR1869" t="s">
        <v>45</v>
      </c>
      <c r="AS1869">
        <f t="shared" si="194"/>
        <v>0</v>
      </c>
      <c r="AT1869">
        <f t="shared" si="195"/>
        <v>1.8378883755765551E-3</v>
      </c>
      <c r="AW1869" s="28">
        <f t="shared" si="196"/>
        <v>0</v>
      </c>
      <c r="AX1869">
        <f t="shared" si="197"/>
        <v>0.8</v>
      </c>
      <c r="AY1869" s="62">
        <f t="shared" si="198"/>
        <v>0</v>
      </c>
      <c r="AZ1869" s="68" t="str">
        <f t="shared" si="199"/>
        <v>No</v>
      </c>
      <c r="BA1869" s="68" t="str">
        <f t="shared" si="200"/>
        <v>No</v>
      </c>
    </row>
    <row r="1870" spans="1:53" hidden="1">
      <c r="A1870" t="s">
        <v>908</v>
      </c>
      <c r="B1870" t="s">
        <v>376</v>
      </c>
      <c r="C1870" t="s">
        <v>365</v>
      </c>
      <c r="D1870" s="25">
        <v>26</v>
      </c>
      <c r="E1870" s="25">
        <v>184</v>
      </c>
      <c r="F1870" t="s">
        <v>1241</v>
      </c>
      <c r="G1870" t="s">
        <v>366</v>
      </c>
      <c r="H1870" s="3" t="s">
        <v>856</v>
      </c>
      <c r="I1870">
        <v>2014</v>
      </c>
      <c r="J1870" t="s">
        <v>367</v>
      </c>
      <c r="K1870" t="s">
        <v>46</v>
      </c>
      <c r="L1870" t="s">
        <v>368</v>
      </c>
      <c r="M1870" s="25" t="s">
        <v>35</v>
      </c>
      <c r="N1870" t="s">
        <v>36</v>
      </c>
      <c r="O1870" t="s">
        <v>37</v>
      </c>
      <c r="P1870" t="s">
        <v>60</v>
      </c>
      <c r="Q1870" t="s">
        <v>899</v>
      </c>
      <c r="R1870" t="s">
        <v>828</v>
      </c>
      <c r="S1870" t="s">
        <v>857</v>
      </c>
      <c r="T1870">
        <v>63.429048000000002</v>
      </c>
      <c r="U1870">
        <v>10.390731799999999</v>
      </c>
      <c r="V1870" t="s">
        <v>905</v>
      </c>
      <c r="W1870" s="25" t="s">
        <v>38</v>
      </c>
      <c r="X1870">
        <v>7</v>
      </c>
      <c r="Y1870" t="s">
        <v>39</v>
      </c>
      <c r="Z1870">
        <v>3</v>
      </c>
      <c r="AA1870">
        <v>3</v>
      </c>
      <c r="AB1870" t="s">
        <v>374</v>
      </c>
      <c r="AC1870">
        <v>340</v>
      </c>
      <c r="AE1870">
        <v>4600</v>
      </c>
      <c r="AG1870">
        <v>1772</v>
      </c>
      <c r="AH1870">
        <v>3.662757832</v>
      </c>
      <c r="AI1870">
        <v>10</v>
      </c>
      <c r="AJ1870" t="s">
        <v>375</v>
      </c>
      <c r="AK1870" t="s">
        <v>69</v>
      </c>
      <c r="AL1870" s="25" t="s">
        <v>60</v>
      </c>
      <c r="AM1870" t="s">
        <v>61</v>
      </c>
      <c r="AN1870">
        <v>92.117263840000007</v>
      </c>
      <c r="AO1870">
        <v>2.0846905539999998</v>
      </c>
      <c r="AP1870">
        <v>81.17263844</v>
      </c>
      <c r="AQ1870">
        <v>6.7752442999999998</v>
      </c>
      <c r="AR1870" t="s">
        <v>45</v>
      </c>
      <c r="AS1870">
        <f t="shared" si="194"/>
        <v>-0.1264841470261775</v>
      </c>
      <c r="AT1870">
        <f t="shared" si="195"/>
        <v>2.4929701897032849E-3</v>
      </c>
      <c r="AW1870" s="28">
        <f t="shared" si="196"/>
        <v>-2.1834760270735862</v>
      </c>
      <c r="AX1870">
        <f t="shared" si="197"/>
        <v>0.8</v>
      </c>
      <c r="AY1870" s="62">
        <f t="shared" si="198"/>
        <v>-1.7467808216588692</v>
      </c>
      <c r="AZ1870" s="68" t="str">
        <f t="shared" si="199"/>
        <v>No</v>
      </c>
      <c r="BA1870" s="68" t="str">
        <f t="shared" si="200"/>
        <v>No</v>
      </c>
    </row>
    <row r="1871" spans="1:53" hidden="1">
      <c r="A1871" t="s">
        <v>908</v>
      </c>
      <c r="B1871" t="s">
        <v>377</v>
      </c>
      <c r="C1871" t="s">
        <v>365</v>
      </c>
      <c r="D1871" s="25">
        <v>26</v>
      </c>
      <c r="E1871" s="25">
        <v>185</v>
      </c>
      <c r="F1871" t="s">
        <v>1241</v>
      </c>
      <c r="G1871" t="s">
        <v>366</v>
      </c>
      <c r="H1871" s="3" t="s">
        <v>856</v>
      </c>
      <c r="I1871">
        <v>2014</v>
      </c>
      <c r="J1871" t="s">
        <v>367</v>
      </c>
      <c r="K1871" t="s">
        <v>46</v>
      </c>
      <c r="L1871" t="s">
        <v>368</v>
      </c>
      <c r="M1871" s="25" t="s">
        <v>35</v>
      </c>
      <c r="N1871" t="s">
        <v>36</v>
      </c>
      <c r="O1871" t="s">
        <v>37</v>
      </c>
      <c r="P1871" t="s">
        <v>60</v>
      </c>
      <c r="Q1871" t="s">
        <v>899</v>
      </c>
      <c r="R1871" t="s">
        <v>828</v>
      </c>
      <c r="S1871" t="s">
        <v>857</v>
      </c>
      <c r="T1871">
        <v>63.429048000000002</v>
      </c>
      <c r="U1871">
        <v>10.390731799999999</v>
      </c>
      <c r="V1871" t="s">
        <v>905</v>
      </c>
      <c r="W1871" s="25" t="s">
        <v>38</v>
      </c>
      <c r="X1871">
        <v>7</v>
      </c>
      <c r="Y1871" t="s">
        <v>39</v>
      </c>
      <c r="Z1871">
        <v>3</v>
      </c>
      <c r="AA1871">
        <v>3</v>
      </c>
      <c r="AB1871" t="s">
        <v>374</v>
      </c>
      <c r="AC1871">
        <v>340</v>
      </c>
      <c r="AE1871">
        <v>8800</v>
      </c>
      <c r="AG1871">
        <v>1772</v>
      </c>
      <c r="AH1871">
        <v>3.9444826719999999</v>
      </c>
      <c r="AI1871">
        <v>10</v>
      </c>
      <c r="AJ1871" t="s">
        <v>375</v>
      </c>
      <c r="AK1871" t="s">
        <v>69</v>
      </c>
      <c r="AL1871" s="25" t="s">
        <v>60</v>
      </c>
      <c r="AM1871" t="s">
        <v>61</v>
      </c>
      <c r="AN1871">
        <v>92.117263840000007</v>
      </c>
      <c r="AO1871">
        <v>2.0846905539999998</v>
      </c>
      <c r="AP1871">
        <v>23.322475570000002</v>
      </c>
      <c r="AQ1871">
        <v>7.5570032569999999</v>
      </c>
      <c r="AR1871" t="s">
        <v>45</v>
      </c>
      <c r="AS1871">
        <f t="shared" si="194"/>
        <v>-1.3736448600176105</v>
      </c>
      <c r="AT1871">
        <f t="shared" si="195"/>
        <v>3.5167545202771787E-2</v>
      </c>
      <c r="AW1871" s="28">
        <f t="shared" si="196"/>
        <v>-12.410653060410739</v>
      </c>
      <c r="AX1871">
        <f t="shared" si="197"/>
        <v>0.8</v>
      </c>
      <c r="AY1871" s="62">
        <f t="shared" si="198"/>
        <v>-9.928522448328593</v>
      </c>
      <c r="AZ1871" s="68" t="str">
        <f t="shared" si="199"/>
        <v>No</v>
      </c>
      <c r="BA1871" s="68" t="str">
        <f t="shared" si="200"/>
        <v>No</v>
      </c>
    </row>
    <row r="1872" spans="1:53" hidden="1">
      <c r="A1872" t="s">
        <v>908</v>
      </c>
      <c r="B1872" t="s">
        <v>378</v>
      </c>
      <c r="C1872" t="s">
        <v>365</v>
      </c>
      <c r="D1872" s="25">
        <v>26</v>
      </c>
      <c r="E1872" s="25">
        <v>186</v>
      </c>
      <c r="F1872" t="s">
        <v>1241</v>
      </c>
      <c r="G1872" t="s">
        <v>366</v>
      </c>
      <c r="H1872" s="3" t="s">
        <v>856</v>
      </c>
      <c r="I1872">
        <v>2014</v>
      </c>
      <c r="J1872" t="s">
        <v>367</v>
      </c>
      <c r="K1872" t="s">
        <v>46</v>
      </c>
      <c r="L1872" t="s">
        <v>368</v>
      </c>
      <c r="M1872" s="25" t="s">
        <v>35</v>
      </c>
      <c r="N1872" t="s">
        <v>36</v>
      </c>
      <c r="O1872" t="s">
        <v>37</v>
      </c>
      <c r="P1872" t="s">
        <v>60</v>
      </c>
      <c r="Q1872" t="s">
        <v>899</v>
      </c>
      <c r="R1872" t="s">
        <v>828</v>
      </c>
      <c r="S1872" t="s">
        <v>857</v>
      </c>
      <c r="T1872">
        <v>63.429048000000002</v>
      </c>
      <c r="U1872">
        <v>10.390731799999999</v>
      </c>
      <c r="V1872" t="s">
        <v>905</v>
      </c>
      <c r="W1872" s="25" t="s">
        <v>38</v>
      </c>
      <c r="X1872">
        <v>7</v>
      </c>
      <c r="Y1872" t="s">
        <v>39</v>
      </c>
      <c r="Z1872">
        <v>3</v>
      </c>
      <c r="AA1872">
        <v>3</v>
      </c>
      <c r="AB1872" t="s">
        <v>374</v>
      </c>
      <c r="AC1872">
        <v>340</v>
      </c>
      <c r="AE1872">
        <v>3700</v>
      </c>
      <c r="AG1872">
        <v>1773</v>
      </c>
      <c r="AH1872">
        <v>3.5682017240000001</v>
      </c>
      <c r="AI1872">
        <v>10</v>
      </c>
      <c r="AJ1872" t="s">
        <v>379</v>
      </c>
      <c r="AK1872" t="s">
        <v>69</v>
      </c>
      <c r="AL1872" s="25" t="s">
        <v>60</v>
      </c>
      <c r="AM1872" t="s">
        <v>61</v>
      </c>
      <c r="AN1872">
        <v>58.810572690000001</v>
      </c>
      <c r="AO1872">
        <v>1.5418502199999999</v>
      </c>
      <c r="AP1872">
        <v>57.26872247</v>
      </c>
      <c r="AQ1872">
        <v>3.7444933919999999</v>
      </c>
      <c r="AR1872" t="s">
        <v>41</v>
      </c>
      <c r="AS1872">
        <f t="shared" si="194"/>
        <v>-2.6567027378836094E-2</v>
      </c>
      <c r="AT1872">
        <f t="shared" si="195"/>
        <v>1.6541636654781155E-3</v>
      </c>
      <c r="AW1872" s="28">
        <f t="shared" si="196"/>
        <v>-0.53846153839127919</v>
      </c>
      <c r="AX1872">
        <f t="shared" si="197"/>
        <v>0.8</v>
      </c>
      <c r="AY1872" s="62">
        <f t="shared" si="198"/>
        <v>-0.43076923071302337</v>
      </c>
      <c r="AZ1872" s="68" t="str">
        <f t="shared" si="199"/>
        <v>No</v>
      </c>
      <c r="BA1872" s="68" t="str">
        <f t="shared" si="200"/>
        <v>No</v>
      </c>
    </row>
    <row r="1873" spans="1:53" hidden="1">
      <c r="A1873" t="s">
        <v>908</v>
      </c>
      <c r="B1873" t="s">
        <v>380</v>
      </c>
      <c r="C1873" t="s">
        <v>365</v>
      </c>
      <c r="D1873" s="25">
        <v>26</v>
      </c>
      <c r="E1873" s="25">
        <v>187</v>
      </c>
      <c r="F1873" t="s">
        <v>1241</v>
      </c>
      <c r="G1873" t="s">
        <v>366</v>
      </c>
      <c r="H1873" s="3" t="s">
        <v>856</v>
      </c>
      <c r="I1873">
        <v>2014</v>
      </c>
      <c r="J1873" t="s">
        <v>367</v>
      </c>
      <c r="K1873" t="s">
        <v>46</v>
      </c>
      <c r="L1873" t="s">
        <v>368</v>
      </c>
      <c r="M1873" s="25" t="s">
        <v>35</v>
      </c>
      <c r="N1873" t="s">
        <v>36</v>
      </c>
      <c r="O1873" t="s">
        <v>37</v>
      </c>
      <c r="P1873" t="s">
        <v>60</v>
      </c>
      <c r="Q1873" t="s">
        <v>899</v>
      </c>
      <c r="R1873" t="s">
        <v>828</v>
      </c>
      <c r="S1873" t="s">
        <v>857</v>
      </c>
      <c r="T1873">
        <v>63.429048000000002</v>
      </c>
      <c r="U1873">
        <v>10.390731799999999</v>
      </c>
      <c r="V1873" t="s">
        <v>905</v>
      </c>
      <c r="W1873" s="25" t="s">
        <v>38</v>
      </c>
      <c r="X1873">
        <v>7</v>
      </c>
      <c r="Y1873" t="s">
        <v>39</v>
      </c>
      <c r="Z1873">
        <v>3</v>
      </c>
      <c r="AA1873">
        <v>3</v>
      </c>
      <c r="AB1873" t="s">
        <v>374</v>
      </c>
      <c r="AC1873">
        <v>340</v>
      </c>
      <c r="AE1873">
        <v>6300</v>
      </c>
      <c r="AG1873">
        <v>1773</v>
      </c>
      <c r="AH1873">
        <v>3.7993405490000001</v>
      </c>
      <c r="AI1873">
        <v>10</v>
      </c>
      <c r="AJ1873" t="s">
        <v>379</v>
      </c>
      <c r="AK1873" t="s">
        <v>69</v>
      </c>
      <c r="AL1873" s="25" t="s">
        <v>60</v>
      </c>
      <c r="AM1873" t="s">
        <v>61</v>
      </c>
      <c r="AN1873">
        <v>58.810572690000001</v>
      </c>
      <c r="AO1873">
        <v>1.5418502199999999</v>
      </c>
      <c r="AP1873">
        <v>54.405286340000004</v>
      </c>
      <c r="AQ1873">
        <v>3.083700441</v>
      </c>
      <c r="AR1873" t="s">
        <v>41</v>
      </c>
      <c r="AS1873">
        <f t="shared" si="194"/>
        <v>-7.7860321885860007E-2</v>
      </c>
      <c r="AT1873">
        <f t="shared" si="195"/>
        <v>1.2999946091282544E-3</v>
      </c>
      <c r="AW1873" s="28">
        <f t="shared" si="196"/>
        <v>-1.8070158082716568</v>
      </c>
      <c r="AX1873">
        <f t="shared" si="197"/>
        <v>0.8</v>
      </c>
      <c r="AY1873" s="62">
        <f t="shared" si="198"/>
        <v>-1.4456126466173256</v>
      </c>
      <c r="AZ1873" s="68" t="str">
        <f t="shared" si="199"/>
        <v>No</v>
      </c>
      <c r="BA1873" s="68" t="str">
        <f t="shared" si="200"/>
        <v>No</v>
      </c>
    </row>
    <row r="1874" spans="1:53" hidden="1">
      <c r="A1874" t="s">
        <v>908</v>
      </c>
      <c r="B1874" t="s">
        <v>381</v>
      </c>
      <c r="C1874" t="s">
        <v>365</v>
      </c>
      <c r="D1874" s="25">
        <v>26</v>
      </c>
      <c r="E1874" s="25">
        <v>188</v>
      </c>
      <c r="F1874" t="s">
        <v>1241</v>
      </c>
      <c r="G1874" t="s">
        <v>366</v>
      </c>
      <c r="H1874" s="3" t="s">
        <v>856</v>
      </c>
      <c r="I1874">
        <v>2014</v>
      </c>
      <c r="J1874" t="s">
        <v>367</v>
      </c>
      <c r="K1874" t="s">
        <v>46</v>
      </c>
      <c r="L1874" t="s">
        <v>368</v>
      </c>
      <c r="M1874" s="25" t="s">
        <v>35</v>
      </c>
      <c r="N1874" t="s">
        <v>36</v>
      </c>
      <c r="O1874" t="s">
        <v>37</v>
      </c>
      <c r="P1874" t="s">
        <v>60</v>
      </c>
      <c r="Q1874" t="s">
        <v>899</v>
      </c>
      <c r="R1874" t="s">
        <v>828</v>
      </c>
      <c r="S1874" t="s">
        <v>857</v>
      </c>
      <c r="T1874">
        <v>63.429048000000002</v>
      </c>
      <c r="U1874">
        <v>10.390731799999999</v>
      </c>
      <c r="V1874" t="s">
        <v>905</v>
      </c>
      <c r="W1874" s="25" t="s">
        <v>38</v>
      </c>
      <c r="X1874">
        <v>7</v>
      </c>
      <c r="Y1874" t="s">
        <v>39</v>
      </c>
      <c r="Z1874">
        <v>3</v>
      </c>
      <c r="AA1874">
        <v>3</v>
      </c>
      <c r="AB1874" t="s">
        <v>374</v>
      </c>
      <c r="AC1874">
        <v>340</v>
      </c>
      <c r="AE1874">
        <v>7700</v>
      </c>
      <c r="AG1874">
        <v>1773</v>
      </c>
      <c r="AH1874">
        <v>3.8864907249999998</v>
      </c>
      <c r="AI1874">
        <v>10</v>
      </c>
      <c r="AJ1874" t="s">
        <v>379</v>
      </c>
      <c r="AK1874" t="s">
        <v>69</v>
      </c>
      <c r="AL1874" s="25" t="s">
        <v>60</v>
      </c>
      <c r="AM1874" t="s">
        <v>61</v>
      </c>
      <c r="AN1874">
        <v>58.810572690000001</v>
      </c>
      <c r="AO1874">
        <v>1.5418502199999999</v>
      </c>
      <c r="AP1874">
        <v>54.625550660000002</v>
      </c>
      <c r="AQ1874">
        <v>1.5418502199999999</v>
      </c>
      <c r="AR1874" t="s">
        <v>41</v>
      </c>
      <c r="AS1874">
        <f t="shared" si="194"/>
        <v>-7.3819912296974266E-2</v>
      </c>
      <c r="AT1874">
        <f t="shared" si="195"/>
        <v>4.9467973921630756E-4</v>
      </c>
      <c r="AW1874" s="28">
        <f t="shared" si="196"/>
        <v>-2.7142857170653056</v>
      </c>
      <c r="AX1874">
        <f t="shared" si="197"/>
        <v>0.8</v>
      </c>
      <c r="AY1874" s="62">
        <f t="shared" si="198"/>
        <v>-2.1714285736522445</v>
      </c>
      <c r="AZ1874" s="68" t="str">
        <f t="shared" si="199"/>
        <v>No</v>
      </c>
      <c r="BA1874" s="68" t="str">
        <f t="shared" si="200"/>
        <v>No</v>
      </c>
    </row>
    <row r="1875" spans="1:53" hidden="1">
      <c r="A1875" t="s">
        <v>908</v>
      </c>
      <c r="B1875" s="25" t="s">
        <v>596</v>
      </c>
      <c r="C1875" t="s">
        <v>558</v>
      </c>
      <c r="D1875" s="25">
        <v>44</v>
      </c>
      <c r="E1875" s="25">
        <v>451</v>
      </c>
      <c r="F1875" t="s">
        <v>914</v>
      </c>
      <c r="G1875" t="s">
        <v>559</v>
      </c>
      <c r="H1875" s="3" t="s">
        <v>889</v>
      </c>
      <c r="I1875">
        <v>2003</v>
      </c>
      <c r="J1875" t="s">
        <v>560</v>
      </c>
      <c r="K1875" t="s">
        <v>162</v>
      </c>
      <c r="L1875" t="s">
        <v>561</v>
      </c>
      <c r="M1875" s="25" t="s">
        <v>35</v>
      </c>
      <c r="N1875" t="s">
        <v>36</v>
      </c>
      <c r="O1875" t="s">
        <v>37</v>
      </c>
      <c r="P1875" t="s">
        <v>60</v>
      </c>
      <c r="Q1875" t="s">
        <v>900</v>
      </c>
      <c r="R1875" t="s">
        <v>888</v>
      </c>
      <c r="S1875" t="s">
        <v>894</v>
      </c>
      <c r="T1875">
        <v>35.188951199999998</v>
      </c>
      <c r="U1875">
        <v>140.37141260000001</v>
      </c>
      <c r="V1875" t="s">
        <v>905</v>
      </c>
      <c r="W1875" s="25" t="s">
        <v>38</v>
      </c>
      <c r="X1875">
        <v>0.25</v>
      </c>
      <c r="Y1875" t="s">
        <v>39</v>
      </c>
      <c r="Z1875">
        <v>2</v>
      </c>
      <c r="AA1875">
        <v>2</v>
      </c>
      <c r="AC1875">
        <v>320</v>
      </c>
      <c r="AE1875">
        <v>20000</v>
      </c>
      <c r="AG1875">
        <v>2216</v>
      </c>
      <c r="AH1875">
        <v>4.3010299959999996</v>
      </c>
      <c r="AI1875">
        <v>26</v>
      </c>
      <c r="AJ1875" t="s">
        <v>578</v>
      </c>
      <c r="AK1875" t="s">
        <v>69</v>
      </c>
      <c r="AL1875" s="25" t="s">
        <v>353</v>
      </c>
      <c r="AM1875" t="s">
        <v>61</v>
      </c>
      <c r="AN1875">
        <v>100</v>
      </c>
      <c r="AO1875">
        <v>4.2344173439999997</v>
      </c>
      <c r="AP1875">
        <v>94.377446550000002</v>
      </c>
      <c r="AQ1875">
        <v>10.821288770000001</v>
      </c>
      <c r="AR1875" t="s">
        <v>48</v>
      </c>
      <c r="AS1875">
        <f t="shared" si="194"/>
        <v>-5.7868055046307099E-2</v>
      </c>
      <c r="AT1875">
        <f t="shared" si="195"/>
        <v>7.469936774392223E-3</v>
      </c>
      <c r="AZ1875"/>
      <c r="BA1875"/>
    </row>
    <row r="1876" spans="1:53" hidden="1">
      <c r="A1876" t="s">
        <v>908</v>
      </c>
      <c r="B1876" s="25" t="s">
        <v>597</v>
      </c>
      <c r="C1876" t="s">
        <v>558</v>
      </c>
      <c r="D1876" s="25">
        <v>44</v>
      </c>
      <c r="E1876" s="25">
        <v>452</v>
      </c>
      <c r="F1876" t="s">
        <v>914</v>
      </c>
      <c r="G1876" t="s">
        <v>559</v>
      </c>
      <c r="H1876" s="3" t="s">
        <v>889</v>
      </c>
      <c r="I1876">
        <v>2003</v>
      </c>
      <c r="J1876" t="s">
        <v>560</v>
      </c>
      <c r="K1876" t="s">
        <v>162</v>
      </c>
      <c r="L1876" t="s">
        <v>561</v>
      </c>
      <c r="M1876" s="25" t="s">
        <v>35</v>
      </c>
      <c r="N1876" t="s">
        <v>36</v>
      </c>
      <c r="O1876" t="s">
        <v>37</v>
      </c>
      <c r="P1876" t="s">
        <v>60</v>
      </c>
      <c r="Q1876" t="s">
        <v>900</v>
      </c>
      <c r="R1876" t="s">
        <v>888</v>
      </c>
      <c r="S1876" t="s">
        <v>894</v>
      </c>
      <c r="T1876">
        <v>35.188951199999998</v>
      </c>
      <c r="U1876">
        <v>140.37141260000001</v>
      </c>
      <c r="V1876" t="s">
        <v>905</v>
      </c>
      <c r="W1876" s="25" t="s">
        <v>38</v>
      </c>
      <c r="X1876">
        <v>0.25</v>
      </c>
      <c r="Y1876" t="s">
        <v>39</v>
      </c>
      <c r="Z1876">
        <v>2</v>
      </c>
      <c r="AA1876">
        <v>2</v>
      </c>
      <c r="AC1876">
        <v>320</v>
      </c>
      <c r="AE1876">
        <v>30000</v>
      </c>
      <c r="AG1876">
        <v>2216</v>
      </c>
      <c r="AH1876">
        <v>4.4771212550000001</v>
      </c>
      <c r="AI1876">
        <v>26</v>
      </c>
      <c r="AJ1876" t="s">
        <v>578</v>
      </c>
      <c r="AK1876" t="s">
        <v>69</v>
      </c>
      <c r="AL1876" s="25" t="s">
        <v>353</v>
      </c>
      <c r="AM1876" t="s">
        <v>61</v>
      </c>
      <c r="AN1876">
        <v>100</v>
      </c>
      <c r="AO1876">
        <v>4.2344173439999997</v>
      </c>
      <c r="AP1876">
        <v>27.097259860000001</v>
      </c>
      <c r="AQ1876">
        <v>13.644233659999999</v>
      </c>
      <c r="AR1876" t="s">
        <v>48</v>
      </c>
      <c r="AS1876">
        <f t="shared" si="194"/>
        <v>-1.3057375753917393</v>
      </c>
      <c r="AT1876">
        <f t="shared" si="195"/>
        <v>0.12766682333074147</v>
      </c>
      <c r="AZ1876"/>
      <c r="BA1876"/>
    </row>
    <row r="1877" spans="1:53" hidden="1">
      <c r="A1877" t="s">
        <v>908</v>
      </c>
      <c r="B1877" s="25" t="s">
        <v>598</v>
      </c>
      <c r="C1877" t="s">
        <v>558</v>
      </c>
      <c r="D1877" s="25">
        <v>44</v>
      </c>
      <c r="E1877" s="25">
        <v>453</v>
      </c>
      <c r="F1877" t="s">
        <v>914</v>
      </c>
      <c r="G1877" t="s">
        <v>559</v>
      </c>
      <c r="H1877" s="3" t="s">
        <v>889</v>
      </c>
      <c r="I1877">
        <v>2003</v>
      </c>
      <c r="J1877" t="s">
        <v>560</v>
      </c>
      <c r="K1877" t="s">
        <v>162</v>
      </c>
      <c r="L1877" t="s">
        <v>561</v>
      </c>
      <c r="M1877" s="25" t="s">
        <v>35</v>
      </c>
      <c r="N1877" t="s">
        <v>36</v>
      </c>
      <c r="O1877" t="s">
        <v>37</v>
      </c>
      <c r="P1877" t="s">
        <v>60</v>
      </c>
      <c r="Q1877" t="s">
        <v>900</v>
      </c>
      <c r="R1877" t="s">
        <v>888</v>
      </c>
      <c r="S1877" t="s">
        <v>894</v>
      </c>
      <c r="T1877">
        <v>35.188951199999998</v>
      </c>
      <c r="U1877">
        <v>140.37141260000001</v>
      </c>
      <c r="V1877" t="s">
        <v>905</v>
      </c>
      <c r="W1877" s="25" t="s">
        <v>38</v>
      </c>
      <c r="X1877">
        <v>0.25</v>
      </c>
      <c r="Y1877" t="s">
        <v>39</v>
      </c>
      <c r="Z1877">
        <v>2</v>
      </c>
      <c r="AA1877">
        <v>2</v>
      </c>
      <c r="AC1877">
        <v>320</v>
      </c>
      <c r="AE1877">
        <v>50000</v>
      </c>
      <c r="AG1877">
        <v>2216</v>
      </c>
      <c r="AH1877">
        <v>4.6989700040000004</v>
      </c>
      <c r="AI1877">
        <v>26</v>
      </c>
      <c r="AJ1877" t="s">
        <v>578</v>
      </c>
      <c r="AK1877" t="s">
        <v>69</v>
      </c>
      <c r="AL1877" s="25" t="s">
        <v>353</v>
      </c>
      <c r="AM1877" t="s">
        <v>61</v>
      </c>
      <c r="AN1877">
        <v>100</v>
      </c>
      <c r="AO1877">
        <v>4.2344173439999997</v>
      </c>
      <c r="AP1877">
        <v>8.2776272209999995</v>
      </c>
      <c r="AQ1877">
        <v>5.6458897920000002</v>
      </c>
      <c r="AR1877" t="s">
        <v>48</v>
      </c>
      <c r="AS1877">
        <f t="shared" si="194"/>
        <v>-2.4916138261713163</v>
      </c>
      <c r="AT1877">
        <f t="shared" si="195"/>
        <v>0.23350366908785031</v>
      </c>
      <c r="AZ1877"/>
      <c r="BA1877"/>
    </row>
    <row r="1878" spans="1:53" hidden="1">
      <c r="A1878" t="s">
        <v>908</v>
      </c>
      <c r="B1878" s="25" t="s">
        <v>599</v>
      </c>
      <c r="C1878" t="s">
        <v>558</v>
      </c>
      <c r="D1878" s="25">
        <v>44</v>
      </c>
      <c r="E1878" s="25">
        <v>454</v>
      </c>
      <c r="F1878" t="s">
        <v>914</v>
      </c>
      <c r="G1878" t="s">
        <v>559</v>
      </c>
      <c r="H1878" s="3" t="s">
        <v>889</v>
      </c>
      <c r="I1878">
        <v>2003</v>
      </c>
      <c r="J1878" t="s">
        <v>560</v>
      </c>
      <c r="K1878" t="s">
        <v>162</v>
      </c>
      <c r="L1878" t="s">
        <v>561</v>
      </c>
      <c r="M1878" s="25" t="s">
        <v>35</v>
      </c>
      <c r="N1878" t="s">
        <v>36</v>
      </c>
      <c r="O1878" t="s">
        <v>37</v>
      </c>
      <c r="P1878" t="s">
        <v>60</v>
      </c>
      <c r="Q1878" t="s">
        <v>900</v>
      </c>
      <c r="R1878" t="s">
        <v>888</v>
      </c>
      <c r="S1878" t="s">
        <v>894</v>
      </c>
      <c r="T1878">
        <v>35.188951199999998</v>
      </c>
      <c r="U1878">
        <v>140.37141260000001</v>
      </c>
      <c r="V1878" t="s">
        <v>905</v>
      </c>
      <c r="W1878" s="25" t="s">
        <v>38</v>
      </c>
      <c r="X1878">
        <v>0.25</v>
      </c>
      <c r="Y1878" t="s">
        <v>39</v>
      </c>
      <c r="Z1878">
        <v>2</v>
      </c>
      <c r="AA1878">
        <v>2</v>
      </c>
      <c r="AC1878">
        <v>320</v>
      </c>
      <c r="AE1878">
        <v>10000</v>
      </c>
      <c r="AG1878">
        <v>2216</v>
      </c>
      <c r="AH1878">
        <v>4</v>
      </c>
      <c r="AI1878">
        <v>26</v>
      </c>
      <c r="AJ1878" t="s">
        <v>578</v>
      </c>
      <c r="AK1878" t="s">
        <v>69</v>
      </c>
      <c r="AL1878" s="25" t="s">
        <v>353</v>
      </c>
      <c r="AM1878" t="s">
        <v>61</v>
      </c>
      <c r="AN1878">
        <v>100</v>
      </c>
      <c r="AO1878">
        <v>2.8229448960000001</v>
      </c>
      <c r="AP1878">
        <v>63.32505269</v>
      </c>
      <c r="AQ1878">
        <v>7.9983438720000004</v>
      </c>
      <c r="AR1878" t="s">
        <v>48</v>
      </c>
      <c r="AS1878">
        <f t="shared" si="194"/>
        <v>-0.45688915804384944</v>
      </c>
      <c r="AT1878">
        <f t="shared" si="195"/>
        <v>8.3750731931051588E-3</v>
      </c>
      <c r="AZ1878"/>
      <c r="BA1878"/>
    </row>
    <row r="1879" spans="1:53" hidden="1">
      <c r="A1879" t="s">
        <v>908</v>
      </c>
      <c r="B1879" s="25" t="s">
        <v>600</v>
      </c>
      <c r="C1879" t="s">
        <v>558</v>
      </c>
      <c r="D1879" s="25">
        <v>44</v>
      </c>
      <c r="E1879" s="25">
        <v>455</v>
      </c>
      <c r="F1879" t="s">
        <v>914</v>
      </c>
      <c r="G1879" t="s">
        <v>559</v>
      </c>
      <c r="H1879" s="3" t="s">
        <v>889</v>
      </c>
      <c r="I1879">
        <v>2003</v>
      </c>
      <c r="J1879" t="s">
        <v>560</v>
      </c>
      <c r="K1879" t="s">
        <v>162</v>
      </c>
      <c r="L1879" t="s">
        <v>561</v>
      </c>
      <c r="M1879" s="25" t="s">
        <v>35</v>
      </c>
      <c r="N1879" t="s">
        <v>36</v>
      </c>
      <c r="O1879" t="s">
        <v>37</v>
      </c>
      <c r="P1879" t="s">
        <v>60</v>
      </c>
      <c r="Q1879" t="s">
        <v>900</v>
      </c>
      <c r="R1879" t="s">
        <v>888</v>
      </c>
      <c r="S1879" t="s">
        <v>894</v>
      </c>
      <c r="T1879">
        <v>35.188951199999998</v>
      </c>
      <c r="U1879">
        <v>140.37141260000001</v>
      </c>
      <c r="V1879" t="s">
        <v>905</v>
      </c>
      <c r="W1879" s="25" t="s">
        <v>38</v>
      </c>
      <c r="X1879">
        <v>0.25</v>
      </c>
      <c r="Y1879" t="s">
        <v>39</v>
      </c>
      <c r="Z1879">
        <v>2</v>
      </c>
      <c r="AA1879">
        <v>2</v>
      </c>
      <c r="AC1879">
        <v>320</v>
      </c>
      <c r="AE1879">
        <v>20000</v>
      </c>
      <c r="AG1879">
        <v>2217</v>
      </c>
      <c r="AH1879">
        <v>4.3010299959999996</v>
      </c>
      <c r="AI1879">
        <v>26</v>
      </c>
      <c r="AJ1879" t="s">
        <v>578</v>
      </c>
      <c r="AK1879" t="s">
        <v>69</v>
      </c>
      <c r="AL1879" s="25" t="s">
        <v>353</v>
      </c>
      <c r="AM1879" t="s">
        <v>61</v>
      </c>
      <c r="AN1879">
        <v>100</v>
      </c>
      <c r="AO1879">
        <v>2.8229448960000001</v>
      </c>
      <c r="AP1879">
        <v>57.679162900000001</v>
      </c>
      <c r="AQ1879">
        <v>19.29012346</v>
      </c>
      <c r="AR1879" t="s">
        <v>48</v>
      </c>
      <c r="AS1879">
        <f t="shared" si="194"/>
        <v>-0.55027420594611431</v>
      </c>
      <c r="AT1879">
        <f t="shared" si="195"/>
        <v>5.6322952334707459E-2</v>
      </c>
      <c r="AZ1879"/>
      <c r="BA1879"/>
    </row>
    <row r="1880" spans="1:53" hidden="1">
      <c r="A1880" t="s">
        <v>908</v>
      </c>
      <c r="B1880" s="25" t="s">
        <v>601</v>
      </c>
      <c r="C1880" t="s">
        <v>558</v>
      </c>
      <c r="D1880" s="25">
        <v>44</v>
      </c>
      <c r="E1880" s="25">
        <v>456</v>
      </c>
      <c r="F1880" t="s">
        <v>914</v>
      </c>
      <c r="G1880" t="s">
        <v>559</v>
      </c>
      <c r="H1880" s="3" t="s">
        <v>889</v>
      </c>
      <c r="I1880">
        <v>2003</v>
      </c>
      <c r="J1880" t="s">
        <v>560</v>
      </c>
      <c r="K1880" t="s">
        <v>162</v>
      </c>
      <c r="L1880" t="s">
        <v>561</v>
      </c>
      <c r="M1880" s="25" t="s">
        <v>35</v>
      </c>
      <c r="N1880" t="s">
        <v>36</v>
      </c>
      <c r="O1880" t="s">
        <v>37</v>
      </c>
      <c r="P1880" t="s">
        <v>60</v>
      </c>
      <c r="Q1880" t="s">
        <v>900</v>
      </c>
      <c r="R1880" t="s">
        <v>888</v>
      </c>
      <c r="S1880" t="s">
        <v>894</v>
      </c>
      <c r="T1880">
        <v>35.188951199999998</v>
      </c>
      <c r="U1880">
        <v>140.37141260000001</v>
      </c>
      <c r="V1880" t="s">
        <v>905</v>
      </c>
      <c r="W1880" s="25" t="s">
        <v>38</v>
      </c>
      <c r="X1880">
        <v>0.25</v>
      </c>
      <c r="Y1880" t="s">
        <v>39</v>
      </c>
      <c r="Z1880">
        <v>2</v>
      </c>
      <c r="AA1880">
        <v>2</v>
      </c>
      <c r="AC1880">
        <v>320</v>
      </c>
      <c r="AE1880">
        <v>30000</v>
      </c>
      <c r="AG1880">
        <v>2217</v>
      </c>
      <c r="AH1880">
        <v>4.4771212550000001</v>
      </c>
      <c r="AI1880">
        <v>26</v>
      </c>
      <c r="AJ1880" t="s">
        <v>578</v>
      </c>
      <c r="AK1880" t="s">
        <v>69</v>
      </c>
      <c r="AL1880" s="25" t="s">
        <v>353</v>
      </c>
      <c r="AM1880" t="s">
        <v>61</v>
      </c>
      <c r="AN1880">
        <v>100</v>
      </c>
      <c r="AO1880">
        <v>2.8229448960000001</v>
      </c>
      <c r="AP1880">
        <v>44.034929239999997</v>
      </c>
      <c r="AQ1880">
        <v>21.642577540000001</v>
      </c>
      <c r="AR1880" t="s">
        <v>48</v>
      </c>
      <c r="AS1880">
        <f t="shared" si="194"/>
        <v>-0.8201870206355597</v>
      </c>
      <c r="AT1880">
        <f t="shared" si="195"/>
        <v>0.12117798861829107</v>
      </c>
      <c r="AZ1880"/>
      <c r="BA1880"/>
    </row>
    <row r="1881" spans="1:53" hidden="1">
      <c r="A1881" t="s">
        <v>908</v>
      </c>
      <c r="B1881" s="25" t="s">
        <v>602</v>
      </c>
      <c r="C1881" t="s">
        <v>558</v>
      </c>
      <c r="D1881" s="25">
        <v>44</v>
      </c>
      <c r="E1881" s="25">
        <v>457</v>
      </c>
      <c r="F1881" t="s">
        <v>914</v>
      </c>
      <c r="G1881" t="s">
        <v>559</v>
      </c>
      <c r="H1881" s="3" t="s">
        <v>889</v>
      </c>
      <c r="I1881">
        <v>2003</v>
      </c>
      <c r="J1881" t="s">
        <v>560</v>
      </c>
      <c r="K1881" t="s">
        <v>162</v>
      </c>
      <c r="L1881" t="s">
        <v>561</v>
      </c>
      <c r="M1881" s="25" t="s">
        <v>35</v>
      </c>
      <c r="N1881" t="s">
        <v>36</v>
      </c>
      <c r="O1881" t="s">
        <v>37</v>
      </c>
      <c r="P1881" t="s">
        <v>60</v>
      </c>
      <c r="Q1881" t="s">
        <v>900</v>
      </c>
      <c r="R1881" t="s">
        <v>888</v>
      </c>
      <c r="S1881" t="s">
        <v>894</v>
      </c>
      <c r="T1881">
        <v>35.188951199999998</v>
      </c>
      <c r="U1881">
        <v>140.37141260000001</v>
      </c>
      <c r="V1881" t="s">
        <v>905</v>
      </c>
      <c r="W1881" s="25" t="s">
        <v>38</v>
      </c>
      <c r="X1881">
        <v>0.25</v>
      </c>
      <c r="Y1881" t="s">
        <v>39</v>
      </c>
      <c r="Z1881">
        <v>2</v>
      </c>
      <c r="AA1881">
        <v>2</v>
      </c>
      <c r="AC1881">
        <v>320</v>
      </c>
      <c r="AE1881">
        <v>50000</v>
      </c>
      <c r="AG1881">
        <v>2217</v>
      </c>
      <c r="AH1881">
        <v>4.6989700040000004</v>
      </c>
      <c r="AI1881">
        <v>26</v>
      </c>
      <c r="AJ1881" t="s">
        <v>578</v>
      </c>
      <c r="AK1881" t="s">
        <v>69</v>
      </c>
      <c r="AL1881" s="25" t="s">
        <v>353</v>
      </c>
      <c r="AM1881" t="s">
        <v>61</v>
      </c>
      <c r="AN1881">
        <v>100</v>
      </c>
      <c r="AO1881">
        <v>2.8229448960000001</v>
      </c>
      <c r="AP1881">
        <v>9.2186088529999992</v>
      </c>
      <c r="AQ1881">
        <v>8.4688346879999994</v>
      </c>
      <c r="AR1881" t="s">
        <v>48</v>
      </c>
      <c r="AS1881">
        <f t="shared" si="194"/>
        <v>-2.3839460434262278</v>
      </c>
      <c r="AT1881">
        <f t="shared" si="195"/>
        <v>0.42237327320129137</v>
      </c>
      <c r="AZ1881"/>
      <c r="BA1881"/>
    </row>
    <row r="1882" spans="1:53" hidden="1">
      <c r="A1882" t="s">
        <v>908</v>
      </c>
      <c r="B1882" s="25" t="s">
        <v>603</v>
      </c>
      <c r="C1882" t="s">
        <v>558</v>
      </c>
      <c r="D1882" s="25">
        <v>44</v>
      </c>
      <c r="E1882" s="25">
        <v>458</v>
      </c>
      <c r="F1882" t="s">
        <v>914</v>
      </c>
      <c r="G1882" t="s">
        <v>559</v>
      </c>
      <c r="H1882" s="3" t="s">
        <v>889</v>
      </c>
      <c r="I1882">
        <v>2003</v>
      </c>
      <c r="J1882" t="s">
        <v>560</v>
      </c>
      <c r="K1882" t="s">
        <v>162</v>
      </c>
      <c r="L1882" t="s">
        <v>561</v>
      </c>
      <c r="M1882" s="25" t="s">
        <v>35</v>
      </c>
      <c r="N1882" t="s">
        <v>36</v>
      </c>
      <c r="O1882" t="s">
        <v>37</v>
      </c>
      <c r="P1882" t="s">
        <v>60</v>
      </c>
      <c r="Q1882" t="s">
        <v>900</v>
      </c>
      <c r="R1882" t="s">
        <v>888</v>
      </c>
      <c r="S1882" t="s">
        <v>894</v>
      </c>
      <c r="T1882">
        <v>35.188951199999998</v>
      </c>
      <c r="U1882">
        <v>140.37141260000001</v>
      </c>
      <c r="V1882" t="s">
        <v>905</v>
      </c>
      <c r="W1882" s="25" t="s">
        <v>38</v>
      </c>
      <c r="X1882">
        <v>1</v>
      </c>
      <c r="Y1882" t="s">
        <v>39</v>
      </c>
      <c r="Z1882">
        <v>2</v>
      </c>
      <c r="AA1882">
        <v>2</v>
      </c>
      <c r="AC1882">
        <v>320</v>
      </c>
      <c r="AE1882">
        <v>10000</v>
      </c>
      <c r="AG1882">
        <v>2218</v>
      </c>
      <c r="AH1882">
        <v>4</v>
      </c>
      <c r="AI1882">
        <v>26</v>
      </c>
      <c r="AJ1882" t="s">
        <v>578</v>
      </c>
      <c r="AK1882" t="s">
        <v>69</v>
      </c>
      <c r="AL1882" s="25" t="s">
        <v>353</v>
      </c>
      <c r="AM1882" t="s">
        <v>61</v>
      </c>
      <c r="AN1882">
        <v>95.429840409999997</v>
      </c>
      <c r="AO1882">
        <v>5.1753989760000003</v>
      </c>
      <c r="AP1882">
        <v>90.25444143</v>
      </c>
      <c r="AQ1882">
        <v>9.4098163199999991</v>
      </c>
      <c r="AR1882" t="s">
        <v>48</v>
      </c>
      <c r="AS1882">
        <f t="shared" si="194"/>
        <v>-5.5758513579630353E-2</v>
      </c>
      <c r="AT1882">
        <f t="shared" si="195"/>
        <v>6.9055268338344186E-3</v>
      </c>
      <c r="AZ1882"/>
      <c r="BA1882"/>
    </row>
    <row r="1883" spans="1:53" hidden="1">
      <c r="A1883" t="s">
        <v>908</v>
      </c>
      <c r="B1883" s="25" t="s">
        <v>604</v>
      </c>
      <c r="C1883" t="s">
        <v>558</v>
      </c>
      <c r="D1883" s="25">
        <v>44</v>
      </c>
      <c r="E1883" s="25">
        <v>459</v>
      </c>
      <c r="F1883" t="s">
        <v>914</v>
      </c>
      <c r="G1883" t="s">
        <v>559</v>
      </c>
      <c r="H1883" s="3" t="s">
        <v>889</v>
      </c>
      <c r="I1883">
        <v>2003</v>
      </c>
      <c r="J1883" t="s">
        <v>560</v>
      </c>
      <c r="K1883" t="s">
        <v>162</v>
      </c>
      <c r="L1883" t="s">
        <v>561</v>
      </c>
      <c r="M1883" s="25" t="s">
        <v>35</v>
      </c>
      <c r="N1883" t="s">
        <v>36</v>
      </c>
      <c r="O1883" t="s">
        <v>37</v>
      </c>
      <c r="P1883" t="s">
        <v>60</v>
      </c>
      <c r="Q1883" t="s">
        <v>900</v>
      </c>
      <c r="R1883" t="s">
        <v>888</v>
      </c>
      <c r="S1883" t="s">
        <v>894</v>
      </c>
      <c r="T1883">
        <v>35.188951199999998</v>
      </c>
      <c r="U1883">
        <v>140.37141260000001</v>
      </c>
      <c r="V1883" t="s">
        <v>905</v>
      </c>
      <c r="W1883" s="25" t="s">
        <v>38</v>
      </c>
      <c r="X1883">
        <v>1</v>
      </c>
      <c r="Y1883" t="s">
        <v>39</v>
      </c>
      <c r="Z1883">
        <v>2</v>
      </c>
      <c r="AA1883">
        <v>2</v>
      </c>
      <c r="AC1883">
        <v>320</v>
      </c>
      <c r="AE1883">
        <v>20000</v>
      </c>
      <c r="AG1883">
        <v>2218</v>
      </c>
      <c r="AH1883">
        <v>4.3010299959999996</v>
      </c>
      <c r="AI1883">
        <v>26</v>
      </c>
      <c r="AJ1883" t="s">
        <v>578</v>
      </c>
      <c r="AK1883" t="s">
        <v>69</v>
      </c>
      <c r="AL1883" s="25" t="s">
        <v>353</v>
      </c>
      <c r="AM1883" t="s">
        <v>61</v>
      </c>
      <c r="AN1883">
        <v>95.429840409999997</v>
      </c>
      <c r="AO1883">
        <v>5.1753989760000003</v>
      </c>
      <c r="AP1883">
        <v>30.972598609999999</v>
      </c>
      <c r="AQ1883">
        <v>26.3474857</v>
      </c>
      <c r="AR1883" t="s">
        <v>48</v>
      </c>
      <c r="AS1883">
        <f t="shared" si="194"/>
        <v>-1.1252884243077377</v>
      </c>
      <c r="AT1883">
        <f t="shared" si="195"/>
        <v>0.36329099980171348</v>
      </c>
      <c r="AZ1883"/>
      <c r="BA1883"/>
    </row>
    <row r="1884" spans="1:53" hidden="1">
      <c r="A1884" t="s">
        <v>908</v>
      </c>
      <c r="B1884" s="25" t="s">
        <v>605</v>
      </c>
      <c r="C1884" t="s">
        <v>558</v>
      </c>
      <c r="D1884" s="25">
        <v>44</v>
      </c>
      <c r="E1884" s="25">
        <v>460</v>
      </c>
      <c r="F1884" t="s">
        <v>914</v>
      </c>
      <c r="G1884" t="s">
        <v>559</v>
      </c>
      <c r="H1884" s="3" t="s">
        <v>889</v>
      </c>
      <c r="I1884">
        <v>2003</v>
      </c>
      <c r="J1884" t="s">
        <v>560</v>
      </c>
      <c r="K1884" t="s">
        <v>162</v>
      </c>
      <c r="L1884" t="s">
        <v>561</v>
      </c>
      <c r="M1884" s="25" t="s">
        <v>35</v>
      </c>
      <c r="N1884" t="s">
        <v>36</v>
      </c>
      <c r="O1884" t="s">
        <v>37</v>
      </c>
      <c r="P1884" t="s">
        <v>60</v>
      </c>
      <c r="Q1884" t="s">
        <v>900</v>
      </c>
      <c r="R1884" t="s">
        <v>888</v>
      </c>
      <c r="S1884" t="s">
        <v>894</v>
      </c>
      <c r="T1884">
        <v>35.188951199999998</v>
      </c>
      <c r="U1884">
        <v>140.37141260000001</v>
      </c>
      <c r="V1884" t="s">
        <v>905</v>
      </c>
      <c r="W1884" s="25" t="s">
        <v>38</v>
      </c>
      <c r="X1884">
        <v>1</v>
      </c>
      <c r="Y1884" t="s">
        <v>39</v>
      </c>
      <c r="Z1884">
        <v>2</v>
      </c>
      <c r="AA1884">
        <v>2</v>
      </c>
      <c r="AC1884">
        <v>320</v>
      </c>
      <c r="AE1884">
        <v>30000</v>
      </c>
      <c r="AG1884">
        <v>2218</v>
      </c>
      <c r="AH1884">
        <v>4.4771212550000001</v>
      </c>
      <c r="AI1884">
        <v>26</v>
      </c>
      <c r="AJ1884" t="s">
        <v>578</v>
      </c>
      <c r="AK1884" t="s">
        <v>69</v>
      </c>
      <c r="AL1884" s="25" t="s">
        <v>353</v>
      </c>
      <c r="AM1884" t="s">
        <v>61</v>
      </c>
      <c r="AN1884">
        <v>95.429840409999997</v>
      </c>
      <c r="AO1884">
        <v>5.1753989760000003</v>
      </c>
      <c r="AP1884">
        <v>0.39069557399999999</v>
      </c>
      <c r="AQ1884">
        <v>3.293435712</v>
      </c>
      <c r="AR1884" t="s">
        <v>48</v>
      </c>
      <c r="AS1884">
        <f t="shared" si="194"/>
        <v>-5.4982179274727283</v>
      </c>
      <c r="AT1884">
        <f t="shared" si="195"/>
        <v>35.531159292498309</v>
      </c>
      <c r="AZ1884"/>
      <c r="BA1884"/>
    </row>
    <row r="1885" spans="1:53" hidden="1">
      <c r="A1885" t="s">
        <v>908</v>
      </c>
      <c r="B1885" s="25" t="s">
        <v>606</v>
      </c>
      <c r="C1885" t="s">
        <v>558</v>
      </c>
      <c r="D1885" s="25">
        <v>44</v>
      </c>
      <c r="E1885" s="25">
        <v>461</v>
      </c>
      <c r="F1885" t="s">
        <v>914</v>
      </c>
      <c r="G1885" t="s">
        <v>559</v>
      </c>
      <c r="H1885" s="3" t="s">
        <v>889</v>
      </c>
      <c r="I1885">
        <v>2003</v>
      </c>
      <c r="J1885" t="s">
        <v>560</v>
      </c>
      <c r="K1885" t="s">
        <v>162</v>
      </c>
      <c r="L1885" t="s">
        <v>561</v>
      </c>
      <c r="M1885" s="25" t="s">
        <v>35</v>
      </c>
      <c r="N1885" t="s">
        <v>36</v>
      </c>
      <c r="O1885" t="s">
        <v>37</v>
      </c>
      <c r="P1885" t="s">
        <v>60</v>
      </c>
      <c r="Q1885" t="s">
        <v>900</v>
      </c>
      <c r="R1885" t="s">
        <v>888</v>
      </c>
      <c r="S1885" t="s">
        <v>894</v>
      </c>
      <c r="T1885">
        <v>35.188951199999998</v>
      </c>
      <c r="U1885">
        <v>140.37141260000001</v>
      </c>
      <c r="V1885" t="s">
        <v>905</v>
      </c>
      <c r="W1885" s="25" t="s">
        <v>38</v>
      </c>
      <c r="X1885">
        <v>1</v>
      </c>
      <c r="Y1885" t="s">
        <v>39</v>
      </c>
      <c r="Z1885">
        <v>2</v>
      </c>
      <c r="AA1885">
        <v>2</v>
      </c>
      <c r="AC1885">
        <v>320</v>
      </c>
      <c r="AE1885">
        <v>10000</v>
      </c>
      <c r="AG1885">
        <v>2219</v>
      </c>
      <c r="AH1885">
        <v>4</v>
      </c>
      <c r="AI1885">
        <v>26</v>
      </c>
      <c r="AJ1885" t="s">
        <v>578</v>
      </c>
      <c r="AK1885" t="s">
        <v>69</v>
      </c>
      <c r="AL1885" s="25" t="s">
        <v>353</v>
      </c>
      <c r="AM1885" t="s">
        <v>61</v>
      </c>
      <c r="AN1885">
        <v>95.900331230000006</v>
      </c>
      <c r="AO1885">
        <v>6.1163806080000001</v>
      </c>
      <c r="AP1885">
        <v>83.197079189999997</v>
      </c>
      <c r="AQ1885">
        <v>7.9983438720000004</v>
      </c>
      <c r="AR1885" t="s">
        <v>48</v>
      </c>
      <c r="AS1885">
        <f t="shared" si="194"/>
        <v>-0.14209719447223712</v>
      </c>
      <c r="AT1885">
        <f t="shared" si="195"/>
        <v>6.6550411577102637E-3</v>
      </c>
      <c r="AZ1885"/>
      <c r="BA1885"/>
    </row>
    <row r="1886" spans="1:53" hidden="1">
      <c r="A1886" t="s">
        <v>908</v>
      </c>
      <c r="B1886" s="25" t="s">
        <v>607</v>
      </c>
      <c r="C1886" t="s">
        <v>558</v>
      </c>
      <c r="D1886" s="25">
        <v>44</v>
      </c>
      <c r="E1886" s="25">
        <v>462</v>
      </c>
      <c r="F1886" t="s">
        <v>914</v>
      </c>
      <c r="G1886" t="s">
        <v>559</v>
      </c>
      <c r="H1886" s="3" t="s">
        <v>889</v>
      </c>
      <c r="I1886">
        <v>2003</v>
      </c>
      <c r="J1886" t="s">
        <v>560</v>
      </c>
      <c r="K1886" t="s">
        <v>162</v>
      </c>
      <c r="L1886" t="s">
        <v>561</v>
      </c>
      <c r="M1886" s="25" t="s">
        <v>35</v>
      </c>
      <c r="N1886" t="s">
        <v>36</v>
      </c>
      <c r="O1886" t="s">
        <v>37</v>
      </c>
      <c r="P1886" t="s">
        <v>60</v>
      </c>
      <c r="Q1886" t="s">
        <v>900</v>
      </c>
      <c r="R1886" t="s">
        <v>888</v>
      </c>
      <c r="S1886" t="s">
        <v>894</v>
      </c>
      <c r="T1886">
        <v>35.188951199999998</v>
      </c>
      <c r="U1886">
        <v>140.37141260000001</v>
      </c>
      <c r="V1886" t="s">
        <v>905</v>
      </c>
      <c r="W1886" s="25" t="s">
        <v>38</v>
      </c>
      <c r="X1886">
        <v>1</v>
      </c>
      <c r="Y1886" t="s">
        <v>39</v>
      </c>
      <c r="Z1886">
        <v>2</v>
      </c>
      <c r="AA1886">
        <v>2</v>
      </c>
      <c r="AC1886">
        <v>320</v>
      </c>
      <c r="AE1886">
        <v>20000</v>
      </c>
      <c r="AG1886">
        <v>2219</v>
      </c>
      <c r="AH1886">
        <v>4.3010299959999996</v>
      </c>
      <c r="AI1886">
        <v>26</v>
      </c>
      <c r="AJ1886" t="s">
        <v>578</v>
      </c>
      <c r="AK1886" t="s">
        <v>69</v>
      </c>
      <c r="AL1886" s="25" t="s">
        <v>353</v>
      </c>
      <c r="AM1886" t="s">
        <v>61</v>
      </c>
      <c r="AN1886">
        <v>95.900331230000006</v>
      </c>
      <c r="AO1886">
        <v>6.1163806080000001</v>
      </c>
      <c r="AP1886">
        <v>38.029960860000003</v>
      </c>
      <c r="AQ1886">
        <v>23.995031619999999</v>
      </c>
      <c r="AR1886" t="s">
        <v>48</v>
      </c>
      <c r="AS1886">
        <f t="shared" si="194"/>
        <v>-0.92493514304159552</v>
      </c>
      <c r="AT1886">
        <f t="shared" si="195"/>
        <v>0.20108326214897282</v>
      </c>
      <c r="AZ1886"/>
      <c r="BA1886"/>
    </row>
    <row r="1887" spans="1:53" hidden="1">
      <c r="A1887" t="s">
        <v>908</v>
      </c>
      <c r="B1887" t="s">
        <v>248</v>
      </c>
      <c r="C1887" t="s">
        <v>244</v>
      </c>
      <c r="D1887" s="25">
        <v>58</v>
      </c>
      <c r="E1887" s="25">
        <v>814</v>
      </c>
      <c r="F1887" t="s">
        <v>1241</v>
      </c>
      <c r="G1887" t="s">
        <v>245</v>
      </c>
      <c r="H1887" s="3" t="s">
        <v>858</v>
      </c>
      <c r="I1887">
        <v>2013</v>
      </c>
      <c r="J1887" t="s">
        <v>246</v>
      </c>
      <c r="K1887" t="s">
        <v>46</v>
      </c>
      <c r="L1887" t="s">
        <v>247</v>
      </c>
      <c r="M1887" s="25" t="s">
        <v>35</v>
      </c>
      <c r="N1887" t="s">
        <v>36</v>
      </c>
      <c r="O1887" t="s">
        <v>47</v>
      </c>
      <c r="P1887" t="s">
        <v>60</v>
      </c>
      <c r="Q1887" t="s">
        <v>899</v>
      </c>
      <c r="R1887" t="s">
        <v>866</v>
      </c>
      <c r="S1887" t="s">
        <v>859</v>
      </c>
      <c r="T1887">
        <v>60.387858600000001</v>
      </c>
      <c r="U1887">
        <v>5.3217549000000002</v>
      </c>
      <c r="V1887" t="s">
        <v>905</v>
      </c>
      <c r="W1887" s="25" t="s">
        <v>38</v>
      </c>
      <c r="X1887">
        <v>12</v>
      </c>
      <c r="Y1887" t="s">
        <v>90</v>
      </c>
      <c r="Z1887">
        <v>1</v>
      </c>
      <c r="AA1887">
        <v>1</v>
      </c>
      <c r="AC1887">
        <v>350</v>
      </c>
      <c r="AE1887">
        <v>1000</v>
      </c>
      <c r="AG1887">
        <v>759</v>
      </c>
      <c r="AH1887">
        <v>3</v>
      </c>
      <c r="AI1887">
        <v>13.7</v>
      </c>
      <c r="AJ1887" t="s">
        <v>249</v>
      </c>
      <c r="AK1887" t="s">
        <v>40</v>
      </c>
      <c r="AL1887" s="25" t="s">
        <v>60</v>
      </c>
      <c r="AM1887" t="s">
        <v>61</v>
      </c>
      <c r="AN1887">
        <v>15.05477308</v>
      </c>
      <c r="AO1887">
        <v>2.7386541470000001</v>
      </c>
      <c r="AP1887">
        <v>17.402190919999999</v>
      </c>
      <c r="AQ1887">
        <v>1.5649452269999999</v>
      </c>
      <c r="AR1887" t="s">
        <v>41</v>
      </c>
      <c r="AS1887">
        <f t="shared" si="194"/>
        <v>0.14490102414960004</v>
      </c>
      <c r="AT1887">
        <f t="shared" si="195"/>
        <v>4.11792793904334E-2</v>
      </c>
      <c r="AW1887" s="28" t="e">
        <f t="shared" ref="AW1887:AW1918" si="201">(AP1887-$AN1887)/SQRT(((AA1887-1)*AQ1887*AQ1887+($Z1887-1)*$AO1887*$AO1887)/(AA1887+$Z1887-2))</f>
        <v>#DIV/0!</v>
      </c>
      <c r="AX1887">
        <f t="shared" ref="AX1887:AX1918" si="202">1-(3/(4*(AA1887+$Z1887-2)-1))</f>
        <v>4</v>
      </c>
      <c r="AY1887" s="62" t="e">
        <f t="shared" ref="AY1887:AY1918" si="203">AX1887*AW1887</f>
        <v>#DIV/0!</v>
      </c>
      <c r="AZ1887" s="68" t="e">
        <f t="shared" ref="AZ1887:AZ1918" si="204">IF(AY1887&gt;10,"Yes","No")</f>
        <v>#DIV/0!</v>
      </c>
      <c r="BA1887" s="68" t="e">
        <f t="shared" ref="BA1887:BA1918" si="205">IF(AY1887&lt;-10,"Yes","No")</f>
        <v>#DIV/0!</v>
      </c>
    </row>
    <row r="1888" spans="1:53" hidden="1">
      <c r="A1888" t="s">
        <v>908</v>
      </c>
      <c r="B1888" t="s">
        <v>250</v>
      </c>
      <c r="C1888" t="s">
        <v>244</v>
      </c>
      <c r="D1888" s="25">
        <v>58</v>
      </c>
      <c r="E1888" s="25">
        <v>815</v>
      </c>
      <c r="F1888" t="s">
        <v>1241</v>
      </c>
      <c r="G1888" t="s">
        <v>245</v>
      </c>
      <c r="H1888" s="3" t="s">
        <v>858</v>
      </c>
      <c r="I1888">
        <v>2013</v>
      </c>
      <c r="J1888" t="s">
        <v>246</v>
      </c>
      <c r="K1888" t="s">
        <v>46</v>
      </c>
      <c r="L1888" t="s">
        <v>247</v>
      </c>
      <c r="M1888" s="25" t="s">
        <v>35</v>
      </c>
      <c r="N1888" t="s">
        <v>36</v>
      </c>
      <c r="O1888" t="s">
        <v>47</v>
      </c>
      <c r="P1888" t="s">
        <v>60</v>
      </c>
      <c r="Q1888" t="s">
        <v>899</v>
      </c>
      <c r="R1888" t="s">
        <v>867</v>
      </c>
      <c r="S1888" t="s">
        <v>860</v>
      </c>
      <c r="T1888">
        <v>60.387858600000001</v>
      </c>
      <c r="U1888">
        <v>5.3217549000000002</v>
      </c>
      <c r="V1888" t="s">
        <v>905</v>
      </c>
      <c r="W1888" s="25" t="s">
        <v>38</v>
      </c>
      <c r="X1888">
        <v>12</v>
      </c>
      <c r="Y1888" t="s">
        <v>90</v>
      </c>
      <c r="Z1888">
        <v>1</v>
      </c>
      <c r="AA1888">
        <v>1</v>
      </c>
      <c r="AC1888">
        <v>350</v>
      </c>
      <c r="AE1888">
        <v>1000</v>
      </c>
      <c r="AG1888">
        <v>760</v>
      </c>
      <c r="AH1888">
        <v>3</v>
      </c>
      <c r="AI1888">
        <v>13.7</v>
      </c>
      <c r="AJ1888" t="s">
        <v>251</v>
      </c>
      <c r="AK1888" t="s">
        <v>40</v>
      </c>
      <c r="AL1888" s="25" t="s">
        <v>60</v>
      </c>
      <c r="AM1888" t="s">
        <v>61</v>
      </c>
      <c r="AN1888">
        <v>12.316118940000001</v>
      </c>
      <c r="AO1888">
        <v>3.1298904539999999</v>
      </c>
      <c r="AP1888">
        <v>9.5774647890000004</v>
      </c>
      <c r="AQ1888">
        <v>1.5649452269999999</v>
      </c>
      <c r="AR1888" t="s">
        <v>41</v>
      </c>
      <c r="AS1888">
        <f t="shared" si="194"/>
        <v>-0.2514959662151286</v>
      </c>
      <c r="AT1888">
        <f t="shared" si="195"/>
        <v>9.1280989472782764E-2</v>
      </c>
      <c r="AW1888" s="28" t="e">
        <f t="shared" si="201"/>
        <v>#DIV/0!</v>
      </c>
      <c r="AX1888">
        <f t="shared" si="202"/>
        <v>4</v>
      </c>
      <c r="AY1888" s="62" t="e">
        <f t="shared" si="203"/>
        <v>#DIV/0!</v>
      </c>
      <c r="AZ1888" s="68" t="e">
        <f t="shared" si="204"/>
        <v>#DIV/0!</v>
      </c>
      <c r="BA1888" s="68" t="e">
        <f t="shared" si="205"/>
        <v>#DIV/0!</v>
      </c>
    </row>
    <row r="1889" spans="1:53" hidden="1">
      <c r="A1889" t="s">
        <v>908</v>
      </c>
      <c r="B1889" t="s">
        <v>252</v>
      </c>
      <c r="C1889" t="s">
        <v>244</v>
      </c>
      <c r="D1889" s="25">
        <v>58</v>
      </c>
      <c r="E1889" s="25">
        <v>816</v>
      </c>
      <c r="F1889" t="s">
        <v>1241</v>
      </c>
      <c r="G1889" t="s">
        <v>245</v>
      </c>
      <c r="H1889" s="3" t="s">
        <v>858</v>
      </c>
      <c r="I1889">
        <v>2013</v>
      </c>
      <c r="J1889" t="s">
        <v>246</v>
      </c>
      <c r="K1889" t="s">
        <v>46</v>
      </c>
      <c r="L1889" t="s">
        <v>247</v>
      </c>
      <c r="M1889" s="25" t="s">
        <v>35</v>
      </c>
      <c r="N1889" t="s">
        <v>36</v>
      </c>
      <c r="O1889" t="s">
        <v>47</v>
      </c>
      <c r="P1889" t="s">
        <v>60</v>
      </c>
      <c r="Q1889" t="s">
        <v>899</v>
      </c>
      <c r="R1889" t="s">
        <v>868</v>
      </c>
      <c r="S1889" t="s">
        <v>861</v>
      </c>
      <c r="T1889">
        <v>60.387858600000001</v>
      </c>
      <c r="U1889">
        <v>5.3217549000000002</v>
      </c>
      <c r="V1889" t="s">
        <v>905</v>
      </c>
      <c r="W1889" s="25" t="s">
        <v>38</v>
      </c>
      <c r="X1889">
        <v>12</v>
      </c>
      <c r="Y1889" t="s">
        <v>90</v>
      </c>
      <c r="Z1889">
        <v>1</v>
      </c>
      <c r="AA1889">
        <v>1</v>
      </c>
      <c r="AC1889">
        <v>350</v>
      </c>
      <c r="AE1889">
        <v>1000</v>
      </c>
      <c r="AG1889">
        <v>761</v>
      </c>
      <c r="AH1889">
        <v>3</v>
      </c>
      <c r="AI1889">
        <v>13.7</v>
      </c>
      <c r="AJ1889" t="s">
        <v>253</v>
      </c>
      <c r="AK1889" t="s">
        <v>40</v>
      </c>
      <c r="AL1889" s="25" t="s">
        <v>60</v>
      </c>
      <c r="AM1889" t="s">
        <v>61</v>
      </c>
      <c r="AN1889">
        <v>2.1439749610000001</v>
      </c>
      <c r="AO1889">
        <v>1.5649452269999999</v>
      </c>
      <c r="AP1889">
        <v>2.5352112679999999</v>
      </c>
      <c r="AQ1889">
        <v>1.5649452269999999</v>
      </c>
      <c r="AR1889" t="s">
        <v>41</v>
      </c>
      <c r="AS1889">
        <f t="shared" si="194"/>
        <v>0.16761540950215037</v>
      </c>
      <c r="AT1889">
        <f t="shared" si="195"/>
        <v>0.91383291159142455</v>
      </c>
      <c r="AW1889" s="28" t="e">
        <f t="shared" si="201"/>
        <v>#DIV/0!</v>
      </c>
      <c r="AX1889">
        <f t="shared" si="202"/>
        <v>4</v>
      </c>
      <c r="AY1889" s="62" t="e">
        <f t="shared" si="203"/>
        <v>#DIV/0!</v>
      </c>
      <c r="AZ1889" s="68" t="e">
        <f t="shared" si="204"/>
        <v>#DIV/0!</v>
      </c>
      <c r="BA1889" s="68" t="e">
        <f t="shared" si="205"/>
        <v>#DIV/0!</v>
      </c>
    </row>
    <row r="1890" spans="1:53" hidden="1">
      <c r="A1890" t="s">
        <v>908</v>
      </c>
      <c r="B1890" t="s">
        <v>254</v>
      </c>
      <c r="C1890" t="s">
        <v>244</v>
      </c>
      <c r="D1890" s="25">
        <v>58</v>
      </c>
      <c r="E1890" s="25">
        <v>817</v>
      </c>
      <c r="F1890" t="s">
        <v>1241</v>
      </c>
      <c r="G1890" t="s">
        <v>245</v>
      </c>
      <c r="H1890" s="3" t="s">
        <v>858</v>
      </c>
      <c r="I1890">
        <v>2013</v>
      </c>
      <c r="J1890" t="s">
        <v>246</v>
      </c>
      <c r="K1890" t="s">
        <v>46</v>
      </c>
      <c r="L1890" t="s">
        <v>247</v>
      </c>
      <c r="M1890" s="25" t="s">
        <v>35</v>
      </c>
      <c r="N1890" t="s">
        <v>36</v>
      </c>
      <c r="O1890" t="s">
        <v>47</v>
      </c>
      <c r="P1890" t="s">
        <v>60</v>
      </c>
      <c r="Q1890" t="s">
        <v>899</v>
      </c>
      <c r="R1890" t="s">
        <v>868</v>
      </c>
      <c r="S1890" t="s">
        <v>862</v>
      </c>
      <c r="T1890">
        <v>60.387858600000001</v>
      </c>
      <c r="U1890">
        <v>5.3217549000000002</v>
      </c>
      <c r="V1890" t="s">
        <v>905</v>
      </c>
      <c r="W1890" s="25" t="s">
        <v>38</v>
      </c>
      <c r="X1890">
        <v>12</v>
      </c>
      <c r="Y1890" t="s">
        <v>90</v>
      </c>
      <c r="Z1890">
        <v>1</v>
      </c>
      <c r="AA1890">
        <v>1</v>
      </c>
      <c r="AC1890">
        <v>350</v>
      </c>
      <c r="AE1890">
        <v>1000</v>
      </c>
      <c r="AG1890">
        <v>762</v>
      </c>
      <c r="AH1890">
        <v>3</v>
      </c>
      <c r="AI1890">
        <v>13.7</v>
      </c>
      <c r="AJ1890" t="s">
        <v>255</v>
      </c>
      <c r="AK1890" t="s">
        <v>40</v>
      </c>
      <c r="AL1890" s="25" t="s">
        <v>60</v>
      </c>
      <c r="AM1890" t="s">
        <v>61</v>
      </c>
      <c r="AN1890">
        <v>4.1001564950000002</v>
      </c>
      <c r="AO1890">
        <v>2.3474178399999999</v>
      </c>
      <c r="AP1890">
        <v>6.0563380279999999</v>
      </c>
      <c r="AQ1890">
        <v>2.7386541470000001</v>
      </c>
      <c r="AR1890" t="s">
        <v>41</v>
      </c>
      <c r="AS1890">
        <f t="shared" si="194"/>
        <v>0.39008018912436548</v>
      </c>
      <c r="AT1890">
        <f t="shared" si="195"/>
        <v>0.53225966960560833</v>
      </c>
      <c r="AW1890" s="28" t="e">
        <f t="shared" si="201"/>
        <v>#DIV/0!</v>
      </c>
      <c r="AX1890">
        <f t="shared" si="202"/>
        <v>4</v>
      </c>
      <c r="AY1890" s="62" t="e">
        <f t="shared" si="203"/>
        <v>#DIV/0!</v>
      </c>
      <c r="AZ1890" s="68" t="e">
        <f t="shared" si="204"/>
        <v>#DIV/0!</v>
      </c>
      <c r="BA1890" s="68" t="e">
        <f t="shared" si="205"/>
        <v>#DIV/0!</v>
      </c>
    </row>
    <row r="1891" spans="1:53" hidden="1">
      <c r="A1891" t="s">
        <v>908</v>
      </c>
      <c r="B1891" t="s">
        <v>256</v>
      </c>
      <c r="C1891" t="s">
        <v>244</v>
      </c>
      <c r="D1891" s="25">
        <v>58</v>
      </c>
      <c r="E1891" s="25">
        <v>818</v>
      </c>
      <c r="F1891" t="s">
        <v>1241</v>
      </c>
      <c r="G1891" t="s">
        <v>245</v>
      </c>
      <c r="H1891" s="3" t="s">
        <v>858</v>
      </c>
      <c r="I1891">
        <v>2013</v>
      </c>
      <c r="J1891" t="s">
        <v>246</v>
      </c>
      <c r="K1891" t="s">
        <v>46</v>
      </c>
      <c r="L1891" t="s">
        <v>247</v>
      </c>
      <c r="M1891" s="25" t="s">
        <v>35</v>
      </c>
      <c r="N1891" t="s">
        <v>36</v>
      </c>
      <c r="O1891" t="s">
        <v>47</v>
      </c>
      <c r="P1891" t="s">
        <v>60</v>
      </c>
      <c r="Q1891" t="s">
        <v>899</v>
      </c>
      <c r="R1891" t="s">
        <v>828</v>
      </c>
      <c r="S1891" t="s">
        <v>863</v>
      </c>
      <c r="T1891">
        <v>60.387858600000001</v>
      </c>
      <c r="U1891">
        <v>5.3217549000000002</v>
      </c>
      <c r="V1891" t="s">
        <v>905</v>
      </c>
      <c r="W1891" s="25" t="s">
        <v>38</v>
      </c>
      <c r="X1891">
        <v>12</v>
      </c>
      <c r="Y1891" t="s">
        <v>90</v>
      </c>
      <c r="Z1891">
        <v>1</v>
      </c>
      <c r="AA1891">
        <v>1</v>
      </c>
      <c r="AC1891">
        <v>350</v>
      </c>
      <c r="AE1891">
        <v>1000</v>
      </c>
      <c r="AG1891">
        <v>763</v>
      </c>
      <c r="AH1891">
        <v>3</v>
      </c>
      <c r="AI1891">
        <v>13.7</v>
      </c>
      <c r="AJ1891" t="s">
        <v>257</v>
      </c>
      <c r="AK1891" t="s">
        <v>40</v>
      </c>
      <c r="AL1891" s="25" t="s">
        <v>60</v>
      </c>
      <c r="AM1891" t="s">
        <v>61</v>
      </c>
      <c r="AN1891">
        <v>2.5352112679999999</v>
      </c>
      <c r="AO1891">
        <v>1.1737089199999999</v>
      </c>
      <c r="AP1891">
        <v>2.5352112679999999</v>
      </c>
      <c r="AQ1891">
        <v>0.78247261300000004</v>
      </c>
      <c r="AR1891" t="s">
        <v>41</v>
      </c>
      <c r="AS1891">
        <f t="shared" si="194"/>
        <v>0</v>
      </c>
      <c r="AT1891">
        <f t="shared" si="195"/>
        <v>0.30959457372131621</v>
      </c>
      <c r="AW1891" s="28" t="e">
        <f t="shared" si="201"/>
        <v>#DIV/0!</v>
      </c>
      <c r="AX1891">
        <f t="shared" si="202"/>
        <v>4</v>
      </c>
      <c r="AY1891" s="62" t="e">
        <f t="shared" si="203"/>
        <v>#DIV/0!</v>
      </c>
      <c r="AZ1891" s="68" t="e">
        <f t="shared" si="204"/>
        <v>#DIV/0!</v>
      </c>
      <c r="BA1891" s="68" t="e">
        <f t="shared" si="205"/>
        <v>#DIV/0!</v>
      </c>
    </row>
    <row r="1892" spans="1:53" hidden="1">
      <c r="A1892" t="s">
        <v>908</v>
      </c>
      <c r="B1892" t="s">
        <v>258</v>
      </c>
      <c r="C1892" t="s">
        <v>244</v>
      </c>
      <c r="D1892" s="25">
        <v>58</v>
      </c>
      <c r="E1892" s="25">
        <v>819</v>
      </c>
      <c r="F1892" t="s">
        <v>1241</v>
      </c>
      <c r="G1892" t="s">
        <v>245</v>
      </c>
      <c r="H1892" s="3" t="s">
        <v>858</v>
      </c>
      <c r="I1892">
        <v>2013</v>
      </c>
      <c r="J1892" t="s">
        <v>246</v>
      </c>
      <c r="K1892" t="s">
        <v>46</v>
      </c>
      <c r="L1892" t="s">
        <v>247</v>
      </c>
      <c r="M1892" s="25" t="s">
        <v>35</v>
      </c>
      <c r="N1892" t="s">
        <v>36</v>
      </c>
      <c r="O1892" t="s">
        <v>47</v>
      </c>
      <c r="P1892" t="s">
        <v>60</v>
      </c>
      <c r="Q1892" t="s">
        <v>899</v>
      </c>
      <c r="R1892" t="s">
        <v>849</v>
      </c>
      <c r="S1892" t="s">
        <v>864</v>
      </c>
      <c r="T1892">
        <v>60.387858600000001</v>
      </c>
      <c r="U1892">
        <v>5.3217549000000002</v>
      </c>
      <c r="V1892" t="s">
        <v>905</v>
      </c>
      <c r="W1892" s="25" t="s">
        <v>38</v>
      </c>
      <c r="X1892">
        <v>12</v>
      </c>
      <c r="Y1892" t="s">
        <v>90</v>
      </c>
      <c r="Z1892">
        <v>1</v>
      </c>
      <c r="AA1892">
        <v>1</v>
      </c>
      <c r="AC1892">
        <v>350</v>
      </c>
      <c r="AE1892">
        <v>1000</v>
      </c>
      <c r="AG1892">
        <v>764</v>
      </c>
      <c r="AH1892">
        <v>3</v>
      </c>
      <c r="AI1892">
        <v>13.7</v>
      </c>
      <c r="AJ1892" t="s">
        <v>259</v>
      </c>
      <c r="AK1892" t="s">
        <v>40</v>
      </c>
      <c r="AL1892" s="25" t="s">
        <v>60</v>
      </c>
      <c r="AM1892" t="s">
        <v>61</v>
      </c>
      <c r="AN1892">
        <v>24.444444440000002</v>
      </c>
      <c r="AO1892">
        <v>12.910798120000001</v>
      </c>
      <c r="AP1892">
        <v>12.70735524</v>
      </c>
      <c r="AQ1892">
        <v>2.3474178399999999</v>
      </c>
      <c r="AR1892" t="s">
        <v>41</v>
      </c>
      <c r="AS1892">
        <f t="shared" si="194"/>
        <v>-0.65422199025810546</v>
      </c>
      <c r="AT1892">
        <f t="shared" si="195"/>
        <v>0.31308733455491361</v>
      </c>
      <c r="AW1892" s="28" t="e">
        <f t="shared" si="201"/>
        <v>#DIV/0!</v>
      </c>
      <c r="AX1892">
        <f t="shared" si="202"/>
        <v>4</v>
      </c>
      <c r="AY1892" s="62" t="e">
        <f t="shared" si="203"/>
        <v>#DIV/0!</v>
      </c>
      <c r="AZ1892" s="68" t="e">
        <f t="shared" si="204"/>
        <v>#DIV/0!</v>
      </c>
      <c r="BA1892" s="68" t="e">
        <f t="shared" si="205"/>
        <v>#DIV/0!</v>
      </c>
    </row>
    <row r="1893" spans="1:53" hidden="1">
      <c r="A1893" t="s">
        <v>908</v>
      </c>
      <c r="B1893" t="s">
        <v>260</v>
      </c>
      <c r="C1893" t="s">
        <v>244</v>
      </c>
      <c r="D1893" s="25">
        <v>58</v>
      </c>
      <c r="E1893" s="25">
        <v>820</v>
      </c>
      <c r="F1893" t="s">
        <v>1241</v>
      </c>
      <c r="G1893" t="s">
        <v>245</v>
      </c>
      <c r="H1893" s="3" t="s">
        <v>858</v>
      </c>
      <c r="I1893">
        <v>2013</v>
      </c>
      <c r="J1893" t="s">
        <v>246</v>
      </c>
      <c r="K1893" t="s">
        <v>46</v>
      </c>
      <c r="L1893" t="s">
        <v>247</v>
      </c>
      <c r="M1893" s="25" t="s">
        <v>35</v>
      </c>
      <c r="N1893" t="s">
        <v>36</v>
      </c>
      <c r="O1893" t="s">
        <v>47</v>
      </c>
      <c r="P1893" t="s">
        <v>60</v>
      </c>
      <c r="Q1893" t="s">
        <v>899</v>
      </c>
      <c r="R1893" t="s">
        <v>849</v>
      </c>
      <c r="S1893" t="s">
        <v>865</v>
      </c>
      <c r="T1893">
        <v>60.387858600000001</v>
      </c>
      <c r="U1893">
        <v>5.3217549000000002</v>
      </c>
      <c r="V1893" t="s">
        <v>905</v>
      </c>
      <c r="W1893" s="25" t="s">
        <v>38</v>
      </c>
      <c r="X1893">
        <v>12</v>
      </c>
      <c r="Y1893" t="s">
        <v>90</v>
      </c>
      <c r="Z1893">
        <v>1</v>
      </c>
      <c r="AA1893">
        <v>1</v>
      </c>
      <c r="AC1893">
        <v>350</v>
      </c>
      <c r="AE1893">
        <v>1000</v>
      </c>
      <c r="AG1893">
        <v>765</v>
      </c>
      <c r="AH1893">
        <v>3</v>
      </c>
      <c r="AI1893">
        <v>13.7</v>
      </c>
      <c r="AJ1893" t="s">
        <v>261</v>
      </c>
      <c r="AK1893" t="s">
        <v>40</v>
      </c>
      <c r="AL1893" s="25" t="s">
        <v>60</v>
      </c>
      <c r="AM1893" t="s">
        <v>61</v>
      </c>
      <c r="AN1893">
        <v>6.0563380279999999</v>
      </c>
      <c r="AO1893">
        <v>2.7386541470000001</v>
      </c>
      <c r="AP1893">
        <v>6.4475743349999997</v>
      </c>
      <c r="AQ1893">
        <v>2.3474178399999999</v>
      </c>
      <c r="AR1893" t="s">
        <v>41</v>
      </c>
      <c r="AS1893">
        <f t="shared" si="194"/>
        <v>6.2598656363428429E-2</v>
      </c>
      <c r="AT1893">
        <f t="shared" si="195"/>
        <v>0.33703411795291111</v>
      </c>
      <c r="AW1893" s="28" t="e">
        <f t="shared" si="201"/>
        <v>#DIV/0!</v>
      </c>
      <c r="AX1893">
        <f t="shared" si="202"/>
        <v>4</v>
      </c>
      <c r="AY1893" s="62" t="e">
        <f t="shared" si="203"/>
        <v>#DIV/0!</v>
      </c>
      <c r="AZ1893" s="68" t="e">
        <f t="shared" si="204"/>
        <v>#DIV/0!</v>
      </c>
      <c r="BA1893" s="68" t="e">
        <f t="shared" si="205"/>
        <v>#DIV/0!</v>
      </c>
    </row>
    <row r="1894" spans="1:53" hidden="1">
      <c r="A1894" t="s">
        <v>908</v>
      </c>
      <c r="B1894" t="s">
        <v>262</v>
      </c>
      <c r="C1894" t="s">
        <v>244</v>
      </c>
      <c r="D1894" s="25">
        <v>58</v>
      </c>
      <c r="E1894" s="25">
        <v>821</v>
      </c>
      <c r="F1894" t="s">
        <v>1241</v>
      </c>
      <c r="G1894" t="s">
        <v>245</v>
      </c>
      <c r="H1894" s="3" t="s">
        <v>858</v>
      </c>
      <c r="I1894">
        <v>2013</v>
      </c>
      <c r="J1894" t="s">
        <v>246</v>
      </c>
      <c r="K1894" t="s">
        <v>46</v>
      </c>
      <c r="L1894" t="s">
        <v>247</v>
      </c>
      <c r="M1894" s="25" t="s">
        <v>35</v>
      </c>
      <c r="N1894" t="s">
        <v>36</v>
      </c>
      <c r="O1894" t="s">
        <v>47</v>
      </c>
      <c r="P1894" t="s">
        <v>60</v>
      </c>
      <c r="Q1894" t="s">
        <v>899</v>
      </c>
      <c r="R1894" t="s">
        <v>866</v>
      </c>
      <c r="S1894" t="s">
        <v>859</v>
      </c>
      <c r="T1894">
        <v>60.387858600000001</v>
      </c>
      <c r="U1894">
        <v>5.3217549000000002</v>
      </c>
      <c r="V1894" t="s">
        <v>905</v>
      </c>
      <c r="W1894" s="25" t="s">
        <v>38</v>
      </c>
      <c r="X1894">
        <v>12</v>
      </c>
      <c r="Y1894" t="s">
        <v>90</v>
      </c>
      <c r="Z1894">
        <v>1</v>
      </c>
      <c r="AA1894">
        <v>1</v>
      </c>
      <c r="AC1894">
        <v>350</v>
      </c>
      <c r="AE1894">
        <v>1000</v>
      </c>
      <c r="AG1894">
        <v>766</v>
      </c>
      <c r="AH1894">
        <v>3</v>
      </c>
      <c r="AI1894">
        <v>13.7</v>
      </c>
      <c r="AJ1894" t="s">
        <v>249</v>
      </c>
      <c r="AK1894" t="s">
        <v>40</v>
      </c>
      <c r="AL1894" s="25" t="s">
        <v>60</v>
      </c>
      <c r="AM1894" t="s">
        <v>61</v>
      </c>
      <c r="AN1894">
        <v>4.4913928009999999</v>
      </c>
      <c r="AO1894">
        <v>1.5649452269999999</v>
      </c>
      <c r="AP1894">
        <v>5.2738654150000004</v>
      </c>
      <c r="AQ1894">
        <v>1.1737089199999999</v>
      </c>
      <c r="AR1894" t="s">
        <v>41</v>
      </c>
      <c r="AS1894">
        <f t="shared" si="194"/>
        <v>0.16060071470373427</v>
      </c>
      <c r="AT1894">
        <f t="shared" si="195"/>
        <v>0.17093425848397056</v>
      </c>
      <c r="AW1894" s="28" t="e">
        <f t="shared" si="201"/>
        <v>#DIV/0!</v>
      </c>
      <c r="AX1894">
        <f t="shared" si="202"/>
        <v>4</v>
      </c>
      <c r="AY1894" s="62" t="e">
        <f t="shared" si="203"/>
        <v>#DIV/0!</v>
      </c>
      <c r="AZ1894" s="68" t="e">
        <f t="shared" si="204"/>
        <v>#DIV/0!</v>
      </c>
      <c r="BA1894" s="68" t="e">
        <f t="shared" si="205"/>
        <v>#DIV/0!</v>
      </c>
    </row>
    <row r="1895" spans="1:53" hidden="1">
      <c r="A1895" t="s">
        <v>908</v>
      </c>
      <c r="B1895" t="s">
        <v>263</v>
      </c>
      <c r="C1895" t="s">
        <v>244</v>
      </c>
      <c r="D1895" s="25">
        <v>58</v>
      </c>
      <c r="E1895" s="25">
        <v>822</v>
      </c>
      <c r="F1895" t="s">
        <v>1241</v>
      </c>
      <c r="G1895" t="s">
        <v>245</v>
      </c>
      <c r="H1895" s="3" t="s">
        <v>858</v>
      </c>
      <c r="I1895">
        <v>2013</v>
      </c>
      <c r="J1895" t="s">
        <v>246</v>
      </c>
      <c r="K1895" t="s">
        <v>46</v>
      </c>
      <c r="L1895" t="s">
        <v>247</v>
      </c>
      <c r="M1895" s="25" t="s">
        <v>35</v>
      </c>
      <c r="N1895" t="s">
        <v>36</v>
      </c>
      <c r="O1895" t="s">
        <v>47</v>
      </c>
      <c r="P1895" t="s">
        <v>60</v>
      </c>
      <c r="Q1895" t="s">
        <v>899</v>
      </c>
      <c r="R1895" t="s">
        <v>868</v>
      </c>
      <c r="S1895" t="s">
        <v>861</v>
      </c>
      <c r="T1895">
        <v>60.387858600000001</v>
      </c>
      <c r="U1895">
        <v>5.3217549000000002</v>
      </c>
      <c r="V1895" t="s">
        <v>905</v>
      </c>
      <c r="W1895" s="25" t="s">
        <v>38</v>
      </c>
      <c r="X1895">
        <v>12</v>
      </c>
      <c r="Y1895" t="s">
        <v>90</v>
      </c>
      <c r="Z1895">
        <v>1</v>
      </c>
      <c r="AA1895">
        <v>1</v>
      </c>
      <c r="AC1895">
        <v>350</v>
      </c>
      <c r="AE1895">
        <v>1000</v>
      </c>
      <c r="AG1895">
        <v>767</v>
      </c>
      <c r="AH1895">
        <v>3</v>
      </c>
      <c r="AI1895">
        <v>13.7</v>
      </c>
      <c r="AJ1895" t="s">
        <v>253</v>
      </c>
      <c r="AK1895" t="s">
        <v>40</v>
      </c>
      <c r="AL1895" s="25" t="s">
        <v>60</v>
      </c>
      <c r="AM1895" t="s">
        <v>61</v>
      </c>
      <c r="AN1895">
        <v>9.5774647890000004</v>
      </c>
      <c r="AO1895">
        <v>1.9561815339999999</v>
      </c>
      <c r="AP1895">
        <v>6.4475743349999997</v>
      </c>
      <c r="AQ1895">
        <v>1.5649452269999999</v>
      </c>
      <c r="AR1895" t="s">
        <v>41</v>
      </c>
      <c r="AS1895">
        <f t="shared" si="194"/>
        <v>-0.39570893317496414</v>
      </c>
      <c r="AT1895">
        <f t="shared" si="195"/>
        <v>0.100629639357009</v>
      </c>
      <c r="AW1895" s="28" t="e">
        <f t="shared" si="201"/>
        <v>#DIV/0!</v>
      </c>
      <c r="AX1895">
        <f t="shared" si="202"/>
        <v>4</v>
      </c>
      <c r="AY1895" s="62" t="e">
        <f t="shared" si="203"/>
        <v>#DIV/0!</v>
      </c>
      <c r="AZ1895" s="68" t="e">
        <f t="shared" si="204"/>
        <v>#DIV/0!</v>
      </c>
      <c r="BA1895" s="68" t="e">
        <f t="shared" si="205"/>
        <v>#DIV/0!</v>
      </c>
    </row>
    <row r="1896" spans="1:53" hidden="1">
      <c r="A1896" t="s">
        <v>908</v>
      </c>
      <c r="B1896" t="s">
        <v>264</v>
      </c>
      <c r="C1896" t="s">
        <v>244</v>
      </c>
      <c r="D1896" s="25">
        <v>58</v>
      </c>
      <c r="E1896" s="25">
        <v>823</v>
      </c>
      <c r="F1896" t="s">
        <v>1241</v>
      </c>
      <c r="G1896" t="s">
        <v>245</v>
      </c>
      <c r="H1896" s="3" t="s">
        <v>858</v>
      </c>
      <c r="I1896">
        <v>2013</v>
      </c>
      <c r="J1896" t="s">
        <v>246</v>
      </c>
      <c r="K1896" t="s">
        <v>46</v>
      </c>
      <c r="L1896" t="s">
        <v>247</v>
      </c>
      <c r="M1896" s="25" t="s">
        <v>35</v>
      </c>
      <c r="N1896" t="s">
        <v>36</v>
      </c>
      <c r="O1896" t="s">
        <v>47</v>
      </c>
      <c r="P1896" t="s">
        <v>60</v>
      </c>
      <c r="Q1896" t="s">
        <v>899</v>
      </c>
      <c r="R1896" t="s">
        <v>868</v>
      </c>
      <c r="S1896" t="s">
        <v>862</v>
      </c>
      <c r="T1896">
        <v>60.387858600000001</v>
      </c>
      <c r="U1896">
        <v>5.3217549000000002</v>
      </c>
      <c r="V1896" t="s">
        <v>905</v>
      </c>
      <c r="W1896" s="25" t="s">
        <v>38</v>
      </c>
      <c r="X1896">
        <v>12</v>
      </c>
      <c r="Y1896" t="s">
        <v>90</v>
      </c>
      <c r="Z1896">
        <v>1</v>
      </c>
      <c r="AA1896">
        <v>1</v>
      </c>
      <c r="AC1896">
        <v>350</v>
      </c>
      <c r="AE1896">
        <v>1000</v>
      </c>
      <c r="AG1896">
        <v>768</v>
      </c>
      <c r="AH1896">
        <v>3</v>
      </c>
      <c r="AI1896">
        <v>13.7</v>
      </c>
      <c r="AJ1896" t="s">
        <v>255</v>
      </c>
      <c r="AK1896" t="s">
        <v>40</v>
      </c>
      <c r="AL1896" s="25" t="s">
        <v>60</v>
      </c>
      <c r="AM1896" t="s">
        <v>61</v>
      </c>
      <c r="AN1896">
        <v>12.316118940000001</v>
      </c>
      <c r="AO1896">
        <v>1.9561815339999999</v>
      </c>
      <c r="AP1896">
        <v>5.6651017210000001</v>
      </c>
      <c r="AQ1896">
        <v>2.7386541470000001</v>
      </c>
      <c r="AR1896" t="s">
        <v>41</v>
      </c>
      <c r="AS1896">
        <f t="shared" si="194"/>
        <v>-0.77658403700724921</v>
      </c>
      <c r="AT1896">
        <f t="shared" si="195"/>
        <v>0.25892741903599031</v>
      </c>
      <c r="AW1896" s="28" t="e">
        <f t="shared" si="201"/>
        <v>#DIV/0!</v>
      </c>
      <c r="AX1896">
        <f t="shared" si="202"/>
        <v>4</v>
      </c>
      <c r="AY1896" s="62" t="e">
        <f t="shared" si="203"/>
        <v>#DIV/0!</v>
      </c>
      <c r="AZ1896" s="68" t="e">
        <f t="shared" si="204"/>
        <v>#DIV/0!</v>
      </c>
      <c r="BA1896" s="68" t="e">
        <f t="shared" si="205"/>
        <v>#DIV/0!</v>
      </c>
    </row>
    <row r="1897" spans="1:53" hidden="1">
      <c r="A1897" t="s">
        <v>908</v>
      </c>
      <c r="B1897" t="s">
        <v>265</v>
      </c>
      <c r="C1897" t="s">
        <v>244</v>
      </c>
      <c r="D1897" s="25">
        <v>58</v>
      </c>
      <c r="E1897" s="25">
        <v>824</v>
      </c>
      <c r="F1897" t="s">
        <v>1241</v>
      </c>
      <c r="G1897" t="s">
        <v>245</v>
      </c>
      <c r="H1897" s="3" t="s">
        <v>858</v>
      </c>
      <c r="I1897">
        <v>2013</v>
      </c>
      <c r="J1897" t="s">
        <v>246</v>
      </c>
      <c r="K1897" t="s">
        <v>46</v>
      </c>
      <c r="L1897" t="s">
        <v>247</v>
      </c>
      <c r="M1897" s="25" t="s">
        <v>35</v>
      </c>
      <c r="N1897" t="s">
        <v>36</v>
      </c>
      <c r="O1897" t="s">
        <v>47</v>
      </c>
      <c r="P1897" t="s">
        <v>60</v>
      </c>
      <c r="Q1897" t="s">
        <v>899</v>
      </c>
      <c r="R1897" t="s">
        <v>828</v>
      </c>
      <c r="S1897" t="s">
        <v>863</v>
      </c>
      <c r="T1897">
        <v>60.387858600000001</v>
      </c>
      <c r="U1897">
        <v>5.3217549000000002</v>
      </c>
      <c r="V1897" t="s">
        <v>905</v>
      </c>
      <c r="W1897" s="25" t="s">
        <v>38</v>
      </c>
      <c r="X1897">
        <v>12</v>
      </c>
      <c r="Y1897" t="s">
        <v>90</v>
      </c>
      <c r="Z1897">
        <v>1</v>
      </c>
      <c r="AA1897">
        <v>1</v>
      </c>
      <c r="AC1897">
        <v>350</v>
      </c>
      <c r="AE1897">
        <v>1000</v>
      </c>
      <c r="AG1897">
        <v>769</v>
      </c>
      <c r="AH1897">
        <v>3</v>
      </c>
      <c r="AI1897">
        <v>13.7</v>
      </c>
      <c r="AJ1897" t="s">
        <v>257</v>
      </c>
      <c r="AK1897" t="s">
        <v>40</v>
      </c>
      <c r="AL1897" s="25" t="s">
        <v>60</v>
      </c>
      <c r="AM1897" t="s">
        <v>61</v>
      </c>
      <c r="AN1897">
        <v>6.8388106420000003</v>
      </c>
      <c r="AO1897">
        <v>2.3474178399999999</v>
      </c>
      <c r="AP1897">
        <v>8.7949921750000009</v>
      </c>
      <c r="AQ1897">
        <v>0.78247261300000004</v>
      </c>
      <c r="AR1897" t="s">
        <v>41</v>
      </c>
      <c r="AS1897">
        <f t="shared" si="194"/>
        <v>0.25156865471250023</v>
      </c>
      <c r="AT1897">
        <f t="shared" si="195"/>
        <v>0.12573546966466093</v>
      </c>
      <c r="AW1897" s="28" t="e">
        <f t="shared" si="201"/>
        <v>#DIV/0!</v>
      </c>
      <c r="AX1897">
        <f t="shared" si="202"/>
        <v>4</v>
      </c>
      <c r="AY1897" s="62" t="e">
        <f t="shared" si="203"/>
        <v>#DIV/0!</v>
      </c>
      <c r="AZ1897" s="68" t="e">
        <f t="shared" si="204"/>
        <v>#DIV/0!</v>
      </c>
      <c r="BA1897" s="68" t="e">
        <f t="shared" si="205"/>
        <v>#DIV/0!</v>
      </c>
    </row>
    <row r="1898" spans="1:53" hidden="1">
      <c r="A1898" t="s">
        <v>908</v>
      </c>
      <c r="B1898" t="s">
        <v>266</v>
      </c>
      <c r="C1898" t="s">
        <v>244</v>
      </c>
      <c r="D1898" s="25">
        <v>58</v>
      </c>
      <c r="E1898" s="25">
        <v>825</v>
      </c>
      <c r="F1898" t="s">
        <v>1241</v>
      </c>
      <c r="G1898" t="s">
        <v>245</v>
      </c>
      <c r="H1898" s="3" t="s">
        <v>858</v>
      </c>
      <c r="I1898">
        <v>2013</v>
      </c>
      <c r="J1898" t="s">
        <v>246</v>
      </c>
      <c r="K1898" t="s">
        <v>46</v>
      </c>
      <c r="L1898" t="s">
        <v>247</v>
      </c>
      <c r="M1898" s="25" t="s">
        <v>35</v>
      </c>
      <c r="N1898" t="s">
        <v>36</v>
      </c>
      <c r="O1898" t="s">
        <v>47</v>
      </c>
      <c r="P1898" t="s">
        <v>60</v>
      </c>
      <c r="Q1898" t="s">
        <v>899</v>
      </c>
      <c r="R1898" t="s">
        <v>849</v>
      </c>
      <c r="S1898" t="s">
        <v>864</v>
      </c>
      <c r="T1898">
        <v>60.387858600000001</v>
      </c>
      <c r="U1898">
        <v>5.3217549000000002</v>
      </c>
      <c r="V1898" t="s">
        <v>905</v>
      </c>
      <c r="W1898" s="25" t="s">
        <v>38</v>
      </c>
      <c r="X1898">
        <v>12</v>
      </c>
      <c r="Y1898" t="s">
        <v>90</v>
      </c>
      <c r="Z1898">
        <v>1</v>
      </c>
      <c r="AA1898">
        <v>1</v>
      </c>
      <c r="AC1898">
        <v>350</v>
      </c>
      <c r="AE1898">
        <v>1000</v>
      </c>
      <c r="AG1898">
        <v>770</v>
      </c>
      <c r="AH1898">
        <v>3</v>
      </c>
      <c r="AI1898">
        <v>13.7</v>
      </c>
      <c r="AJ1898" t="s">
        <v>259</v>
      </c>
      <c r="AK1898" t="s">
        <v>40</v>
      </c>
      <c r="AL1898" s="25" t="s">
        <v>60</v>
      </c>
      <c r="AM1898" t="s">
        <v>61</v>
      </c>
      <c r="AN1898">
        <v>64.741784039999999</v>
      </c>
      <c r="AO1898">
        <v>3.1298904539999999</v>
      </c>
      <c r="AP1898">
        <v>39.311424100000004</v>
      </c>
      <c r="AQ1898">
        <v>17.2143975</v>
      </c>
      <c r="AR1898" t="s">
        <v>41</v>
      </c>
      <c r="AS1898">
        <f t="shared" si="194"/>
        <v>-0.49889163891501154</v>
      </c>
      <c r="AT1898">
        <f t="shared" si="195"/>
        <v>0.19409189930524043</v>
      </c>
      <c r="AW1898" s="28" t="e">
        <f t="shared" si="201"/>
        <v>#DIV/0!</v>
      </c>
      <c r="AX1898">
        <f t="shared" si="202"/>
        <v>4</v>
      </c>
      <c r="AY1898" s="62" t="e">
        <f t="shared" si="203"/>
        <v>#DIV/0!</v>
      </c>
      <c r="AZ1898" s="68" t="e">
        <f t="shared" si="204"/>
        <v>#DIV/0!</v>
      </c>
      <c r="BA1898" s="68" t="e">
        <f t="shared" si="205"/>
        <v>#DIV/0!</v>
      </c>
    </row>
    <row r="1899" spans="1:53" hidden="1">
      <c r="A1899" t="s">
        <v>908</v>
      </c>
      <c r="B1899" t="s">
        <v>267</v>
      </c>
      <c r="C1899" t="s">
        <v>244</v>
      </c>
      <c r="D1899" s="25">
        <v>58</v>
      </c>
      <c r="E1899" s="25">
        <v>826</v>
      </c>
      <c r="F1899" t="s">
        <v>1241</v>
      </c>
      <c r="G1899" t="s">
        <v>245</v>
      </c>
      <c r="H1899" s="3" t="s">
        <v>858</v>
      </c>
      <c r="I1899">
        <v>2013</v>
      </c>
      <c r="J1899" t="s">
        <v>246</v>
      </c>
      <c r="K1899" t="s">
        <v>46</v>
      </c>
      <c r="L1899" t="s">
        <v>247</v>
      </c>
      <c r="M1899" s="25" t="s">
        <v>35</v>
      </c>
      <c r="N1899" t="s">
        <v>36</v>
      </c>
      <c r="O1899" t="s">
        <v>47</v>
      </c>
      <c r="P1899" t="s">
        <v>60</v>
      </c>
      <c r="Q1899" t="s">
        <v>899</v>
      </c>
      <c r="R1899" t="s">
        <v>849</v>
      </c>
      <c r="S1899" t="s">
        <v>865</v>
      </c>
      <c r="T1899">
        <v>60.387858600000001</v>
      </c>
      <c r="U1899">
        <v>5.3217549000000002</v>
      </c>
      <c r="V1899" t="s">
        <v>905</v>
      </c>
      <c r="W1899" s="25" t="s">
        <v>38</v>
      </c>
      <c r="X1899">
        <v>12</v>
      </c>
      <c r="Y1899" t="s">
        <v>90</v>
      </c>
      <c r="Z1899">
        <v>1</v>
      </c>
      <c r="AA1899">
        <v>1</v>
      </c>
      <c r="AC1899">
        <v>350</v>
      </c>
      <c r="AE1899">
        <v>1000</v>
      </c>
      <c r="AG1899">
        <v>771</v>
      </c>
      <c r="AH1899">
        <v>3</v>
      </c>
      <c r="AI1899">
        <v>13.7</v>
      </c>
      <c r="AJ1899" t="s">
        <v>261</v>
      </c>
      <c r="AK1899" t="s">
        <v>40</v>
      </c>
      <c r="AL1899" s="25" t="s">
        <v>60</v>
      </c>
      <c r="AM1899" t="s">
        <v>61</v>
      </c>
      <c r="AN1899">
        <v>4.4913928009999999</v>
      </c>
      <c r="AO1899">
        <v>1.5649452269999999</v>
      </c>
      <c r="AP1899">
        <v>3.3176838809999998</v>
      </c>
      <c r="AQ1899">
        <v>1.9561815339999999</v>
      </c>
      <c r="AR1899" t="s">
        <v>41</v>
      </c>
      <c r="AS1899">
        <f t="shared" si="194"/>
        <v>-0.30289594105085094</v>
      </c>
      <c r="AT1899">
        <f t="shared" si="195"/>
        <v>0.46905975701977554</v>
      </c>
      <c r="AW1899" s="28" t="e">
        <f t="shared" si="201"/>
        <v>#DIV/0!</v>
      </c>
      <c r="AX1899">
        <f t="shared" si="202"/>
        <v>4</v>
      </c>
      <c r="AY1899" s="62" t="e">
        <f t="shared" si="203"/>
        <v>#DIV/0!</v>
      </c>
      <c r="AZ1899" s="68" t="e">
        <f t="shared" si="204"/>
        <v>#DIV/0!</v>
      </c>
      <c r="BA1899" s="68" t="e">
        <f t="shared" si="205"/>
        <v>#DIV/0!</v>
      </c>
    </row>
    <row r="1900" spans="1:53" hidden="1">
      <c r="A1900" t="s">
        <v>908</v>
      </c>
      <c r="B1900" t="s">
        <v>273</v>
      </c>
      <c r="C1900" t="s">
        <v>269</v>
      </c>
      <c r="D1900" s="25">
        <v>18</v>
      </c>
      <c r="E1900" s="25">
        <v>100</v>
      </c>
      <c r="F1900" t="s">
        <v>1241</v>
      </c>
      <c r="G1900" t="s">
        <v>270</v>
      </c>
      <c r="H1900" s="3" t="s">
        <v>869</v>
      </c>
      <c r="I1900">
        <v>2013</v>
      </c>
      <c r="J1900" t="s">
        <v>271</v>
      </c>
      <c r="K1900" t="s">
        <v>105</v>
      </c>
      <c r="L1900" t="s">
        <v>272</v>
      </c>
      <c r="M1900" s="25" t="s">
        <v>35</v>
      </c>
      <c r="N1900" t="s">
        <v>36</v>
      </c>
      <c r="O1900" t="s">
        <v>37</v>
      </c>
      <c r="P1900" t="s">
        <v>60</v>
      </c>
      <c r="Q1900" t="s">
        <v>899</v>
      </c>
      <c r="R1900" t="s">
        <v>828</v>
      </c>
      <c r="S1900" t="s">
        <v>807</v>
      </c>
      <c r="T1900">
        <v>54.1777801</v>
      </c>
      <c r="U1900">
        <v>7.8920057000000003</v>
      </c>
      <c r="V1900" t="s">
        <v>905</v>
      </c>
      <c r="W1900" s="25" t="s">
        <v>38</v>
      </c>
      <c r="X1900">
        <v>3</v>
      </c>
      <c r="Y1900" t="s">
        <v>39</v>
      </c>
      <c r="Z1900">
        <v>7</v>
      </c>
      <c r="AA1900">
        <v>7</v>
      </c>
      <c r="AC1900">
        <v>200</v>
      </c>
      <c r="AE1900">
        <v>400</v>
      </c>
      <c r="AG1900">
        <v>784</v>
      </c>
      <c r="AH1900">
        <v>2.602059991</v>
      </c>
      <c r="AI1900">
        <v>18</v>
      </c>
      <c r="AJ1900" t="s">
        <v>274</v>
      </c>
      <c r="AK1900" t="s">
        <v>904</v>
      </c>
      <c r="AL1900" s="25" t="s">
        <v>60</v>
      </c>
      <c r="AM1900" t="s">
        <v>61</v>
      </c>
      <c r="AN1900">
        <v>4.5409999999999999E-2</v>
      </c>
      <c r="AO1900">
        <v>1.1220000000000001E-2</v>
      </c>
      <c r="AP1900">
        <v>5.765E-2</v>
      </c>
      <c r="AQ1900">
        <v>2.0410000000000001E-2</v>
      </c>
      <c r="AR1900" t="s">
        <v>43</v>
      </c>
      <c r="AS1900">
        <f t="shared" si="194"/>
        <v>0.23865790160520817</v>
      </c>
      <c r="AT1900">
        <f t="shared" si="195"/>
        <v>2.662698845009303E-2</v>
      </c>
      <c r="AW1900" s="28">
        <f t="shared" si="201"/>
        <v>0.74321412830142197</v>
      </c>
      <c r="AX1900">
        <f t="shared" si="202"/>
        <v>0.93617021276595747</v>
      </c>
      <c r="AY1900" s="62">
        <f t="shared" si="203"/>
        <v>0.69577492862260781</v>
      </c>
      <c r="AZ1900" s="68" t="str">
        <f t="shared" si="204"/>
        <v>No</v>
      </c>
      <c r="BA1900" s="68" t="str">
        <f t="shared" si="205"/>
        <v>No</v>
      </c>
    </row>
    <row r="1901" spans="1:53" hidden="1">
      <c r="A1901" t="s">
        <v>908</v>
      </c>
      <c r="B1901" t="s">
        <v>275</v>
      </c>
      <c r="C1901" t="s">
        <v>269</v>
      </c>
      <c r="D1901" s="25">
        <v>18</v>
      </c>
      <c r="E1901" s="25">
        <v>101</v>
      </c>
      <c r="F1901" t="s">
        <v>1241</v>
      </c>
      <c r="G1901" t="s">
        <v>270</v>
      </c>
      <c r="H1901" s="3" t="s">
        <v>869</v>
      </c>
      <c r="I1901">
        <v>2013</v>
      </c>
      <c r="J1901" t="s">
        <v>271</v>
      </c>
      <c r="K1901" t="s">
        <v>105</v>
      </c>
      <c r="L1901" t="s">
        <v>272</v>
      </c>
      <c r="M1901" s="25" t="s">
        <v>35</v>
      </c>
      <c r="N1901" t="s">
        <v>36</v>
      </c>
      <c r="O1901" t="s">
        <v>37</v>
      </c>
      <c r="P1901" t="s">
        <v>60</v>
      </c>
      <c r="Q1901" t="s">
        <v>899</v>
      </c>
      <c r="R1901" t="s">
        <v>828</v>
      </c>
      <c r="S1901" t="s">
        <v>807</v>
      </c>
      <c r="T1901">
        <v>54.1777801</v>
      </c>
      <c r="U1901">
        <v>7.8920057000000003</v>
      </c>
      <c r="V1901" t="s">
        <v>905</v>
      </c>
      <c r="W1901" s="25" t="s">
        <v>38</v>
      </c>
      <c r="X1901">
        <v>3</v>
      </c>
      <c r="Y1901" t="s">
        <v>39</v>
      </c>
      <c r="Z1901">
        <v>7</v>
      </c>
      <c r="AA1901">
        <v>7</v>
      </c>
      <c r="AC1901">
        <v>200</v>
      </c>
      <c r="AE1901">
        <v>800</v>
      </c>
      <c r="AG1901">
        <v>784</v>
      </c>
      <c r="AH1901">
        <v>2.903089987</v>
      </c>
      <c r="AI1901">
        <v>18</v>
      </c>
      <c r="AJ1901" t="s">
        <v>274</v>
      </c>
      <c r="AK1901" t="s">
        <v>904</v>
      </c>
      <c r="AL1901" s="25" t="s">
        <v>60</v>
      </c>
      <c r="AM1901" t="s">
        <v>61</v>
      </c>
      <c r="AN1901">
        <v>4.5409999999999999E-2</v>
      </c>
      <c r="AO1901">
        <v>1.1220000000000001E-2</v>
      </c>
      <c r="AP1901">
        <v>9.2350000000000002E-2</v>
      </c>
      <c r="AQ1901">
        <v>2.8570000000000002E-2</v>
      </c>
      <c r="AR1901" t="s">
        <v>43</v>
      </c>
      <c r="AS1901">
        <f t="shared" si="194"/>
        <v>0.70985336153538947</v>
      </c>
      <c r="AT1901">
        <f t="shared" si="195"/>
        <v>2.239389149031239E-2</v>
      </c>
      <c r="AW1901" s="28">
        <f t="shared" si="201"/>
        <v>2.1627280149500745</v>
      </c>
      <c r="AX1901">
        <f t="shared" si="202"/>
        <v>0.93617021276595747</v>
      </c>
      <c r="AY1901" s="62">
        <f t="shared" si="203"/>
        <v>2.0246815459107079</v>
      </c>
      <c r="AZ1901" s="68" t="str">
        <f t="shared" si="204"/>
        <v>No</v>
      </c>
      <c r="BA1901" s="68" t="str">
        <f t="shared" si="205"/>
        <v>No</v>
      </c>
    </row>
    <row r="1902" spans="1:53" hidden="1">
      <c r="A1902" t="s">
        <v>908</v>
      </c>
      <c r="B1902" t="s">
        <v>276</v>
      </c>
      <c r="C1902" t="s">
        <v>269</v>
      </c>
      <c r="D1902" s="25">
        <v>18</v>
      </c>
      <c r="E1902" s="25">
        <v>102</v>
      </c>
      <c r="F1902" t="s">
        <v>1241</v>
      </c>
      <c r="G1902" t="s">
        <v>270</v>
      </c>
      <c r="H1902" s="3" t="s">
        <v>869</v>
      </c>
      <c r="I1902">
        <v>2013</v>
      </c>
      <c r="J1902" t="s">
        <v>271</v>
      </c>
      <c r="K1902" t="s">
        <v>105</v>
      </c>
      <c r="L1902" t="s">
        <v>272</v>
      </c>
      <c r="M1902" s="25" t="s">
        <v>35</v>
      </c>
      <c r="N1902" t="s">
        <v>36</v>
      </c>
      <c r="O1902" t="s">
        <v>37</v>
      </c>
      <c r="P1902" t="s">
        <v>60</v>
      </c>
      <c r="Q1902" t="s">
        <v>899</v>
      </c>
      <c r="R1902" t="s">
        <v>828</v>
      </c>
      <c r="S1902" t="s">
        <v>807</v>
      </c>
      <c r="T1902">
        <v>54.1777801</v>
      </c>
      <c r="U1902">
        <v>7.8920057000000003</v>
      </c>
      <c r="V1902" t="s">
        <v>905</v>
      </c>
      <c r="W1902" s="25" t="s">
        <v>38</v>
      </c>
      <c r="X1902">
        <v>3</v>
      </c>
      <c r="Y1902" t="s">
        <v>39</v>
      </c>
      <c r="Z1902">
        <v>7</v>
      </c>
      <c r="AA1902">
        <v>7</v>
      </c>
      <c r="AC1902">
        <v>200</v>
      </c>
      <c r="AE1902">
        <v>400</v>
      </c>
      <c r="AG1902">
        <v>785</v>
      </c>
      <c r="AH1902">
        <v>2.602059991</v>
      </c>
      <c r="AI1902">
        <v>18</v>
      </c>
      <c r="AJ1902" t="s">
        <v>277</v>
      </c>
      <c r="AK1902" t="s">
        <v>904</v>
      </c>
      <c r="AL1902" s="25" t="s">
        <v>60</v>
      </c>
      <c r="AM1902" t="s">
        <v>61</v>
      </c>
      <c r="AN1902">
        <v>9.8210000000000006E-2</v>
      </c>
      <c r="AO1902">
        <v>1.6369999999999999E-2</v>
      </c>
      <c r="AP1902">
        <v>2.8639999999999999E-2</v>
      </c>
      <c r="AQ1902">
        <v>5.1200000000000004E-3</v>
      </c>
      <c r="AR1902" t="s">
        <v>43</v>
      </c>
      <c r="AS1902">
        <f t="shared" si="194"/>
        <v>-1.232303701077238</v>
      </c>
      <c r="AT1902">
        <f t="shared" si="195"/>
        <v>8.5346410489004695E-3</v>
      </c>
      <c r="AW1902" s="28">
        <f t="shared" si="201"/>
        <v>-5.7361709864741046</v>
      </c>
      <c r="AX1902">
        <f t="shared" si="202"/>
        <v>0.93617021276595747</v>
      </c>
      <c r="AY1902" s="62">
        <f t="shared" si="203"/>
        <v>-5.3700324128693744</v>
      </c>
      <c r="AZ1902" s="68" t="str">
        <f t="shared" si="204"/>
        <v>No</v>
      </c>
      <c r="BA1902" s="68" t="str">
        <f t="shared" si="205"/>
        <v>No</v>
      </c>
    </row>
    <row r="1903" spans="1:53" hidden="1">
      <c r="A1903" t="s">
        <v>908</v>
      </c>
      <c r="B1903" t="s">
        <v>278</v>
      </c>
      <c r="C1903" t="s">
        <v>269</v>
      </c>
      <c r="D1903" s="25">
        <v>18</v>
      </c>
      <c r="E1903" s="25">
        <v>103</v>
      </c>
      <c r="F1903" t="s">
        <v>1241</v>
      </c>
      <c r="G1903" t="s">
        <v>270</v>
      </c>
      <c r="H1903" s="3" t="s">
        <v>869</v>
      </c>
      <c r="I1903">
        <v>2013</v>
      </c>
      <c r="J1903" t="s">
        <v>271</v>
      </c>
      <c r="K1903" t="s">
        <v>105</v>
      </c>
      <c r="L1903" t="s">
        <v>272</v>
      </c>
      <c r="M1903" s="25" t="s">
        <v>35</v>
      </c>
      <c r="N1903" t="s">
        <v>36</v>
      </c>
      <c r="O1903" t="s">
        <v>37</v>
      </c>
      <c r="P1903" t="s">
        <v>60</v>
      </c>
      <c r="Q1903" t="s">
        <v>899</v>
      </c>
      <c r="R1903" t="s">
        <v>828</v>
      </c>
      <c r="S1903" t="s">
        <v>807</v>
      </c>
      <c r="T1903">
        <v>54.1777801</v>
      </c>
      <c r="U1903">
        <v>7.8920057000000003</v>
      </c>
      <c r="V1903" t="s">
        <v>905</v>
      </c>
      <c r="W1903" s="25" t="s">
        <v>38</v>
      </c>
      <c r="X1903">
        <v>3</v>
      </c>
      <c r="Y1903" t="s">
        <v>39</v>
      </c>
      <c r="Z1903">
        <v>7</v>
      </c>
      <c r="AA1903">
        <v>7</v>
      </c>
      <c r="AC1903">
        <v>200</v>
      </c>
      <c r="AE1903">
        <v>800</v>
      </c>
      <c r="AG1903">
        <v>785</v>
      </c>
      <c r="AH1903">
        <v>2.903089987</v>
      </c>
      <c r="AI1903">
        <v>18</v>
      </c>
      <c r="AJ1903" t="s">
        <v>277</v>
      </c>
      <c r="AK1903" t="s">
        <v>904</v>
      </c>
      <c r="AL1903" s="25" t="s">
        <v>60</v>
      </c>
      <c r="AM1903" t="s">
        <v>61</v>
      </c>
      <c r="AN1903">
        <v>9.8210000000000006E-2</v>
      </c>
      <c r="AO1903">
        <v>1.6369999999999999E-2</v>
      </c>
      <c r="AP1903">
        <v>9.1050000000000006E-2</v>
      </c>
      <c r="AQ1903">
        <v>1.9439999999999999E-2</v>
      </c>
      <c r="AR1903" t="s">
        <v>43</v>
      </c>
      <c r="AS1903">
        <f t="shared" si="194"/>
        <v>-7.5699236996066066E-2</v>
      </c>
      <c r="AT1903">
        <f t="shared" si="195"/>
        <v>1.0481364855482901E-2</v>
      </c>
      <c r="AW1903" s="28">
        <f t="shared" si="201"/>
        <v>-0.39842682602716256</v>
      </c>
      <c r="AX1903">
        <f t="shared" si="202"/>
        <v>0.93617021276595747</v>
      </c>
      <c r="AY1903" s="62">
        <f t="shared" si="203"/>
        <v>-0.37299532649351391</v>
      </c>
      <c r="AZ1903" s="68" t="str">
        <f t="shared" si="204"/>
        <v>No</v>
      </c>
      <c r="BA1903" s="68" t="str">
        <f t="shared" si="205"/>
        <v>No</v>
      </c>
    </row>
    <row r="1904" spans="1:53" hidden="1">
      <c r="A1904" t="s">
        <v>908</v>
      </c>
      <c r="B1904" t="s">
        <v>279</v>
      </c>
      <c r="C1904" t="s">
        <v>269</v>
      </c>
      <c r="D1904" s="25">
        <v>18</v>
      </c>
      <c r="E1904" s="25">
        <v>104</v>
      </c>
      <c r="F1904" t="s">
        <v>1241</v>
      </c>
      <c r="G1904" t="s">
        <v>270</v>
      </c>
      <c r="H1904" s="3" t="s">
        <v>869</v>
      </c>
      <c r="I1904">
        <v>2013</v>
      </c>
      <c r="J1904" t="s">
        <v>271</v>
      </c>
      <c r="K1904" t="s">
        <v>105</v>
      </c>
      <c r="L1904" t="s">
        <v>272</v>
      </c>
      <c r="M1904" s="25" t="s">
        <v>35</v>
      </c>
      <c r="N1904" t="s">
        <v>36</v>
      </c>
      <c r="O1904" t="s">
        <v>37</v>
      </c>
      <c r="P1904" t="s">
        <v>60</v>
      </c>
      <c r="Q1904" t="s">
        <v>899</v>
      </c>
      <c r="R1904" t="s">
        <v>828</v>
      </c>
      <c r="S1904" t="s">
        <v>807</v>
      </c>
      <c r="T1904">
        <v>54.1777801</v>
      </c>
      <c r="U1904">
        <v>7.8920057000000003</v>
      </c>
      <c r="V1904" t="s">
        <v>905</v>
      </c>
      <c r="W1904" s="25" t="s">
        <v>38</v>
      </c>
      <c r="X1904">
        <v>10</v>
      </c>
      <c r="Y1904" t="s">
        <v>39</v>
      </c>
      <c r="Z1904">
        <v>5</v>
      </c>
      <c r="AA1904">
        <v>5</v>
      </c>
      <c r="AC1904">
        <v>200</v>
      </c>
      <c r="AE1904">
        <v>400</v>
      </c>
      <c r="AG1904">
        <v>786</v>
      </c>
      <c r="AH1904">
        <v>2.602059991</v>
      </c>
      <c r="AI1904">
        <v>18</v>
      </c>
      <c r="AJ1904" t="s">
        <v>274</v>
      </c>
      <c r="AK1904" t="s">
        <v>904</v>
      </c>
      <c r="AL1904" s="25" t="s">
        <v>60</v>
      </c>
      <c r="AM1904" t="s">
        <v>61</v>
      </c>
      <c r="AN1904">
        <v>9.0370000000000006E-2</v>
      </c>
      <c r="AO1904">
        <v>2.3699999999999999E-2</v>
      </c>
      <c r="AP1904">
        <v>0.11802</v>
      </c>
      <c r="AQ1904">
        <v>3.3579999999999999E-2</v>
      </c>
      <c r="AR1904" t="s">
        <v>43</v>
      </c>
      <c r="AS1904">
        <f t="shared" si="194"/>
        <v>0.26694174771515833</v>
      </c>
      <c r="AT1904">
        <f t="shared" si="195"/>
        <v>2.994679697441377E-2</v>
      </c>
      <c r="AW1904" s="28">
        <f t="shared" si="201"/>
        <v>0.95138416740462817</v>
      </c>
      <c r="AX1904">
        <f t="shared" si="202"/>
        <v>0.90322580645161288</v>
      </c>
      <c r="AY1904" s="62">
        <f t="shared" si="203"/>
        <v>0.8593147318493416</v>
      </c>
      <c r="AZ1904" s="68" t="str">
        <f t="shared" si="204"/>
        <v>No</v>
      </c>
      <c r="BA1904" s="68" t="str">
        <f t="shared" si="205"/>
        <v>No</v>
      </c>
    </row>
    <row r="1905" spans="1:53" hidden="1">
      <c r="A1905" t="s">
        <v>908</v>
      </c>
      <c r="B1905" t="s">
        <v>280</v>
      </c>
      <c r="C1905" t="s">
        <v>269</v>
      </c>
      <c r="D1905" s="25">
        <v>18</v>
      </c>
      <c r="E1905" s="25">
        <v>105</v>
      </c>
      <c r="F1905" t="s">
        <v>1241</v>
      </c>
      <c r="G1905" t="s">
        <v>270</v>
      </c>
      <c r="H1905" s="3" t="s">
        <v>869</v>
      </c>
      <c r="I1905">
        <v>2013</v>
      </c>
      <c r="J1905" t="s">
        <v>271</v>
      </c>
      <c r="K1905" t="s">
        <v>105</v>
      </c>
      <c r="L1905" t="s">
        <v>272</v>
      </c>
      <c r="M1905" s="25" t="s">
        <v>35</v>
      </c>
      <c r="N1905" t="s">
        <v>36</v>
      </c>
      <c r="O1905" t="s">
        <v>37</v>
      </c>
      <c r="P1905" t="s">
        <v>60</v>
      </c>
      <c r="Q1905" t="s">
        <v>899</v>
      </c>
      <c r="R1905" t="s">
        <v>828</v>
      </c>
      <c r="S1905" t="s">
        <v>807</v>
      </c>
      <c r="T1905">
        <v>54.1777801</v>
      </c>
      <c r="U1905">
        <v>7.8920057000000003</v>
      </c>
      <c r="V1905" t="s">
        <v>905</v>
      </c>
      <c r="W1905" s="25" t="s">
        <v>38</v>
      </c>
      <c r="X1905">
        <v>10</v>
      </c>
      <c r="Y1905" t="s">
        <v>39</v>
      </c>
      <c r="Z1905">
        <v>5</v>
      </c>
      <c r="AA1905">
        <v>5</v>
      </c>
      <c r="AC1905">
        <v>200</v>
      </c>
      <c r="AE1905">
        <v>800</v>
      </c>
      <c r="AG1905">
        <v>786</v>
      </c>
      <c r="AH1905">
        <v>2.903089987</v>
      </c>
      <c r="AI1905">
        <v>18</v>
      </c>
      <c r="AJ1905" t="s">
        <v>274</v>
      </c>
      <c r="AK1905" t="s">
        <v>904</v>
      </c>
      <c r="AL1905" s="25" t="s">
        <v>60</v>
      </c>
      <c r="AM1905" t="s">
        <v>61</v>
      </c>
      <c r="AN1905">
        <v>9.0370000000000006E-2</v>
      </c>
      <c r="AO1905">
        <v>2.3699999999999999E-2</v>
      </c>
      <c r="AP1905">
        <v>0.14568</v>
      </c>
      <c r="AQ1905">
        <v>1.975E-2</v>
      </c>
      <c r="AR1905" t="s">
        <v>43</v>
      </c>
      <c r="AS1905">
        <f t="shared" si="194"/>
        <v>0.47750008150548817</v>
      </c>
      <c r="AT1905">
        <f t="shared" si="195"/>
        <v>1.7431460603723435E-2</v>
      </c>
      <c r="AW1905" s="28">
        <f t="shared" si="201"/>
        <v>2.5354592980312405</v>
      </c>
      <c r="AX1905">
        <f t="shared" si="202"/>
        <v>0.90322580645161288</v>
      </c>
      <c r="AY1905" s="62">
        <f t="shared" si="203"/>
        <v>2.2900922691895076</v>
      </c>
      <c r="AZ1905" s="68" t="str">
        <f t="shared" si="204"/>
        <v>No</v>
      </c>
      <c r="BA1905" s="68" t="str">
        <f t="shared" si="205"/>
        <v>No</v>
      </c>
    </row>
    <row r="1906" spans="1:53" hidden="1">
      <c r="A1906" t="s">
        <v>908</v>
      </c>
      <c r="B1906" t="s">
        <v>281</v>
      </c>
      <c r="C1906" t="s">
        <v>282</v>
      </c>
      <c r="D1906" s="25">
        <v>19</v>
      </c>
      <c r="E1906" s="25">
        <v>106</v>
      </c>
      <c r="F1906" t="s">
        <v>1241</v>
      </c>
      <c r="G1906" t="s">
        <v>283</v>
      </c>
      <c r="H1906" s="3" t="s">
        <v>847</v>
      </c>
      <c r="I1906">
        <v>2013</v>
      </c>
      <c r="J1906" t="s">
        <v>284</v>
      </c>
      <c r="K1906" t="s">
        <v>46</v>
      </c>
      <c r="L1906" t="s">
        <v>268</v>
      </c>
      <c r="M1906" s="25" t="s">
        <v>35</v>
      </c>
      <c r="N1906" t="s">
        <v>36</v>
      </c>
      <c r="O1906" t="s">
        <v>47</v>
      </c>
      <c r="P1906" t="s">
        <v>60</v>
      </c>
      <c r="Q1906" t="s">
        <v>899</v>
      </c>
      <c r="R1906" t="s">
        <v>849</v>
      </c>
      <c r="S1906" t="s">
        <v>848</v>
      </c>
      <c r="T1906">
        <v>78.936667</v>
      </c>
      <c r="U1906">
        <v>11.893333</v>
      </c>
      <c r="V1906" t="s">
        <v>905</v>
      </c>
      <c r="W1906" s="25" t="s">
        <v>38</v>
      </c>
      <c r="X1906">
        <v>30</v>
      </c>
      <c r="Y1906" t="s">
        <v>95</v>
      </c>
      <c r="Z1906">
        <v>1</v>
      </c>
      <c r="AA1906">
        <v>1</v>
      </c>
      <c r="AC1906">
        <v>185</v>
      </c>
      <c r="AE1906">
        <v>270</v>
      </c>
      <c r="AG1906">
        <v>787</v>
      </c>
      <c r="AH1906">
        <v>2.4313637639999999</v>
      </c>
      <c r="AI1906">
        <v>4</v>
      </c>
      <c r="AJ1906" t="s">
        <v>93</v>
      </c>
      <c r="AK1906" t="s">
        <v>40</v>
      </c>
      <c r="AL1906" s="25" t="s">
        <v>60</v>
      </c>
      <c r="AM1906" t="s">
        <v>61</v>
      </c>
      <c r="AN1906">
        <v>1.8953483330000001</v>
      </c>
      <c r="AO1906">
        <v>0.23341827000000001</v>
      </c>
      <c r="AP1906">
        <v>1.735465</v>
      </c>
      <c r="AQ1906">
        <v>0.26893476599999999</v>
      </c>
      <c r="AR1906" t="s">
        <v>44</v>
      </c>
      <c r="AS1906">
        <f t="shared" si="194"/>
        <v>-8.8127249511152916E-2</v>
      </c>
      <c r="AT1906">
        <f t="shared" si="195"/>
        <v>3.9180589417321735E-2</v>
      </c>
      <c r="AW1906" s="28" t="e">
        <f t="shared" si="201"/>
        <v>#DIV/0!</v>
      </c>
      <c r="AX1906">
        <f t="shared" si="202"/>
        <v>4</v>
      </c>
      <c r="AY1906" s="62" t="e">
        <f t="shared" si="203"/>
        <v>#DIV/0!</v>
      </c>
      <c r="AZ1906" s="68" t="e">
        <f t="shared" si="204"/>
        <v>#DIV/0!</v>
      </c>
      <c r="BA1906" s="68" t="e">
        <f t="shared" si="205"/>
        <v>#DIV/0!</v>
      </c>
    </row>
    <row r="1907" spans="1:53" hidden="1">
      <c r="A1907" t="s">
        <v>908</v>
      </c>
      <c r="B1907" t="s">
        <v>285</v>
      </c>
      <c r="C1907" t="s">
        <v>282</v>
      </c>
      <c r="D1907" s="25">
        <v>19</v>
      </c>
      <c r="E1907" s="25">
        <v>107</v>
      </c>
      <c r="F1907" t="s">
        <v>1241</v>
      </c>
      <c r="G1907" t="s">
        <v>283</v>
      </c>
      <c r="H1907" s="3" t="s">
        <v>847</v>
      </c>
      <c r="I1907">
        <v>2013</v>
      </c>
      <c r="J1907" t="s">
        <v>284</v>
      </c>
      <c r="K1907" t="s">
        <v>46</v>
      </c>
      <c r="L1907" t="s">
        <v>268</v>
      </c>
      <c r="M1907" s="25" t="s">
        <v>35</v>
      </c>
      <c r="N1907" t="s">
        <v>36</v>
      </c>
      <c r="O1907" t="s">
        <v>47</v>
      </c>
      <c r="P1907" t="s">
        <v>60</v>
      </c>
      <c r="Q1907" t="s">
        <v>899</v>
      </c>
      <c r="R1907" t="s">
        <v>849</v>
      </c>
      <c r="S1907" t="s">
        <v>848</v>
      </c>
      <c r="T1907">
        <v>78.936667</v>
      </c>
      <c r="U1907">
        <v>11.893333</v>
      </c>
      <c r="V1907" t="s">
        <v>905</v>
      </c>
      <c r="W1907" s="25" t="s">
        <v>38</v>
      </c>
      <c r="X1907">
        <v>30</v>
      </c>
      <c r="Y1907" t="s">
        <v>95</v>
      </c>
      <c r="Z1907">
        <v>1</v>
      </c>
      <c r="AA1907">
        <v>1</v>
      </c>
      <c r="AC1907">
        <v>185</v>
      </c>
      <c r="AE1907">
        <v>375</v>
      </c>
      <c r="AG1907">
        <v>787</v>
      </c>
      <c r="AH1907">
        <v>2.5740312680000001</v>
      </c>
      <c r="AI1907">
        <v>4</v>
      </c>
      <c r="AJ1907" t="s">
        <v>93</v>
      </c>
      <c r="AK1907" t="s">
        <v>40</v>
      </c>
      <c r="AL1907" s="25" t="s">
        <v>60</v>
      </c>
      <c r="AM1907" t="s">
        <v>61</v>
      </c>
      <c r="AN1907">
        <v>1.8953483330000001</v>
      </c>
      <c r="AO1907">
        <v>0.23341827000000001</v>
      </c>
      <c r="AP1907">
        <v>1.7151183329999999</v>
      </c>
      <c r="AQ1907">
        <v>0.265781763</v>
      </c>
      <c r="AR1907" t="s">
        <v>44</v>
      </c>
      <c r="AS1907">
        <f t="shared" si="194"/>
        <v>-9.9920561457267021E-2</v>
      </c>
      <c r="AT1907">
        <f t="shared" si="195"/>
        <v>3.9180589394115603E-2</v>
      </c>
      <c r="AW1907" s="28" t="e">
        <f t="shared" si="201"/>
        <v>#DIV/0!</v>
      </c>
      <c r="AX1907">
        <f t="shared" si="202"/>
        <v>4</v>
      </c>
      <c r="AY1907" s="62" t="e">
        <f t="shared" si="203"/>
        <v>#DIV/0!</v>
      </c>
      <c r="AZ1907" s="68" t="e">
        <f t="shared" si="204"/>
        <v>#DIV/0!</v>
      </c>
      <c r="BA1907" s="68" t="e">
        <f t="shared" si="205"/>
        <v>#DIV/0!</v>
      </c>
    </row>
    <row r="1908" spans="1:53" hidden="1">
      <c r="A1908" t="s">
        <v>908</v>
      </c>
      <c r="B1908" t="s">
        <v>286</v>
      </c>
      <c r="C1908" t="s">
        <v>282</v>
      </c>
      <c r="D1908" s="25">
        <v>19</v>
      </c>
      <c r="E1908" s="25">
        <v>108</v>
      </c>
      <c r="F1908" t="s">
        <v>1241</v>
      </c>
      <c r="G1908" t="s">
        <v>283</v>
      </c>
      <c r="H1908" s="3" t="s">
        <v>847</v>
      </c>
      <c r="I1908">
        <v>2013</v>
      </c>
      <c r="J1908" t="s">
        <v>284</v>
      </c>
      <c r="K1908" t="s">
        <v>46</v>
      </c>
      <c r="L1908" t="s">
        <v>268</v>
      </c>
      <c r="M1908" s="25" t="s">
        <v>35</v>
      </c>
      <c r="N1908" t="s">
        <v>36</v>
      </c>
      <c r="O1908" t="s">
        <v>47</v>
      </c>
      <c r="P1908" t="s">
        <v>60</v>
      </c>
      <c r="Q1908" t="s">
        <v>899</v>
      </c>
      <c r="R1908" t="s">
        <v>849</v>
      </c>
      <c r="S1908" t="s">
        <v>848</v>
      </c>
      <c r="T1908">
        <v>78.936667</v>
      </c>
      <c r="U1908">
        <v>11.893333</v>
      </c>
      <c r="V1908" t="s">
        <v>905</v>
      </c>
      <c r="W1908" s="25" t="s">
        <v>38</v>
      </c>
      <c r="X1908">
        <v>30</v>
      </c>
      <c r="Y1908" t="s">
        <v>95</v>
      </c>
      <c r="Z1908">
        <v>1</v>
      </c>
      <c r="AA1908">
        <v>1</v>
      </c>
      <c r="AC1908">
        <v>185</v>
      </c>
      <c r="AE1908">
        <v>480</v>
      </c>
      <c r="AG1908">
        <v>787</v>
      </c>
      <c r="AH1908">
        <v>2.6812412370000001</v>
      </c>
      <c r="AI1908">
        <v>4</v>
      </c>
      <c r="AJ1908" t="s">
        <v>93</v>
      </c>
      <c r="AK1908" t="s">
        <v>40</v>
      </c>
      <c r="AL1908" s="25" t="s">
        <v>60</v>
      </c>
      <c r="AM1908" t="s">
        <v>61</v>
      </c>
      <c r="AN1908">
        <v>1.8953483330000001</v>
      </c>
      <c r="AO1908">
        <v>0.23341827000000001</v>
      </c>
      <c r="AP1908">
        <v>1.3851766670000001</v>
      </c>
      <c r="AQ1908">
        <v>0.214652651</v>
      </c>
      <c r="AR1908" t="s">
        <v>44</v>
      </c>
      <c r="AS1908">
        <f t="shared" si="194"/>
        <v>-0.31357494962340898</v>
      </c>
      <c r="AT1908">
        <f t="shared" si="195"/>
        <v>3.9180589437873808E-2</v>
      </c>
      <c r="AW1908" s="28" t="e">
        <f t="shared" si="201"/>
        <v>#DIV/0!</v>
      </c>
      <c r="AX1908">
        <f t="shared" si="202"/>
        <v>4</v>
      </c>
      <c r="AY1908" s="62" t="e">
        <f t="shared" si="203"/>
        <v>#DIV/0!</v>
      </c>
      <c r="AZ1908" s="68" t="e">
        <f t="shared" si="204"/>
        <v>#DIV/0!</v>
      </c>
      <c r="BA1908" s="68" t="e">
        <f t="shared" si="205"/>
        <v>#DIV/0!</v>
      </c>
    </row>
    <row r="1909" spans="1:53" hidden="1">
      <c r="A1909" t="s">
        <v>908</v>
      </c>
      <c r="B1909" t="s">
        <v>287</v>
      </c>
      <c r="C1909" t="s">
        <v>282</v>
      </c>
      <c r="D1909" s="25">
        <v>19</v>
      </c>
      <c r="E1909" s="25">
        <v>109</v>
      </c>
      <c r="F1909" t="s">
        <v>1241</v>
      </c>
      <c r="G1909" t="s">
        <v>283</v>
      </c>
      <c r="H1909" s="3" t="s">
        <v>847</v>
      </c>
      <c r="I1909">
        <v>2013</v>
      </c>
      <c r="J1909" t="s">
        <v>284</v>
      </c>
      <c r="K1909" t="s">
        <v>46</v>
      </c>
      <c r="L1909" t="s">
        <v>268</v>
      </c>
      <c r="M1909" s="25" t="s">
        <v>35</v>
      </c>
      <c r="N1909" t="s">
        <v>36</v>
      </c>
      <c r="O1909" t="s">
        <v>47</v>
      </c>
      <c r="P1909" t="s">
        <v>60</v>
      </c>
      <c r="Q1909" t="s">
        <v>899</v>
      </c>
      <c r="R1909" t="s">
        <v>849</v>
      </c>
      <c r="S1909" t="s">
        <v>848</v>
      </c>
      <c r="T1909">
        <v>78.936667</v>
      </c>
      <c r="U1909">
        <v>11.893333</v>
      </c>
      <c r="V1909" t="s">
        <v>905</v>
      </c>
      <c r="W1909" s="25" t="s">
        <v>38</v>
      </c>
      <c r="X1909">
        <v>30</v>
      </c>
      <c r="Y1909" t="s">
        <v>95</v>
      </c>
      <c r="Z1909">
        <v>1</v>
      </c>
      <c r="AA1909">
        <v>1</v>
      </c>
      <c r="AC1909">
        <v>185</v>
      </c>
      <c r="AE1909">
        <v>685</v>
      </c>
      <c r="AG1909">
        <v>787</v>
      </c>
      <c r="AH1909">
        <v>2.8356905710000002</v>
      </c>
      <c r="AI1909">
        <v>4</v>
      </c>
      <c r="AJ1909" t="s">
        <v>93</v>
      </c>
      <c r="AK1909" t="s">
        <v>40</v>
      </c>
      <c r="AL1909" s="25" t="s">
        <v>60</v>
      </c>
      <c r="AM1909" t="s">
        <v>61</v>
      </c>
      <c r="AN1909">
        <v>1.8953483330000001</v>
      </c>
      <c r="AO1909">
        <v>0.23341827000000001</v>
      </c>
      <c r="AP1909">
        <v>1.8444766669999999</v>
      </c>
      <c r="AQ1909">
        <v>0.28582765999999998</v>
      </c>
      <c r="AR1909" t="s">
        <v>44</v>
      </c>
      <c r="AS1909">
        <f t="shared" ref="AS1909:AS1972" si="206">LN(AP1909)-LN(AN1909)</f>
        <v>-2.7207050594760029E-2</v>
      </c>
      <c r="AT1909">
        <f t="shared" ref="AT1909:AT1972" si="207">(AQ1909^2)/(AA1909*AP1909^2) + (AO1909^2)/(Z1909*AN1909^2)</f>
        <v>3.9180589333067138E-2</v>
      </c>
      <c r="AW1909" s="28" t="e">
        <f t="shared" si="201"/>
        <v>#DIV/0!</v>
      </c>
      <c r="AX1909">
        <f t="shared" si="202"/>
        <v>4</v>
      </c>
      <c r="AY1909" s="62" t="e">
        <f t="shared" si="203"/>
        <v>#DIV/0!</v>
      </c>
      <c r="AZ1909" s="68" t="e">
        <f t="shared" si="204"/>
        <v>#DIV/0!</v>
      </c>
      <c r="BA1909" s="68" t="e">
        <f t="shared" si="205"/>
        <v>#DIV/0!</v>
      </c>
    </row>
    <row r="1910" spans="1:53" hidden="1">
      <c r="A1910" t="s">
        <v>908</v>
      </c>
      <c r="B1910" t="s">
        <v>288</v>
      </c>
      <c r="C1910" t="s">
        <v>282</v>
      </c>
      <c r="D1910" s="25">
        <v>19</v>
      </c>
      <c r="E1910" s="25">
        <v>110</v>
      </c>
      <c r="F1910" t="s">
        <v>1241</v>
      </c>
      <c r="G1910" t="s">
        <v>283</v>
      </c>
      <c r="H1910" s="3" t="s">
        <v>847</v>
      </c>
      <c r="I1910">
        <v>2013</v>
      </c>
      <c r="J1910" t="s">
        <v>284</v>
      </c>
      <c r="K1910" t="s">
        <v>46</v>
      </c>
      <c r="L1910" t="s">
        <v>268</v>
      </c>
      <c r="M1910" s="25" t="s">
        <v>35</v>
      </c>
      <c r="N1910" t="s">
        <v>36</v>
      </c>
      <c r="O1910" t="s">
        <v>47</v>
      </c>
      <c r="P1910" t="s">
        <v>60</v>
      </c>
      <c r="Q1910" t="s">
        <v>899</v>
      </c>
      <c r="R1910" t="s">
        <v>849</v>
      </c>
      <c r="S1910" t="s">
        <v>848</v>
      </c>
      <c r="T1910">
        <v>78.936667</v>
      </c>
      <c r="U1910">
        <v>11.893333</v>
      </c>
      <c r="V1910" t="s">
        <v>905</v>
      </c>
      <c r="W1910" s="25" t="s">
        <v>38</v>
      </c>
      <c r="X1910">
        <v>30</v>
      </c>
      <c r="Y1910" t="s">
        <v>95</v>
      </c>
      <c r="Z1910">
        <v>1</v>
      </c>
      <c r="AA1910">
        <v>1</v>
      </c>
      <c r="AC1910">
        <v>185</v>
      </c>
      <c r="AE1910">
        <v>820</v>
      </c>
      <c r="AG1910">
        <v>787</v>
      </c>
      <c r="AH1910">
        <v>2.9138138520000001</v>
      </c>
      <c r="AI1910">
        <v>4</v>
      </c>
      <c r="AJ1910" t="s">
        <v>93</v>
      </c>
      <c r="AK1910" t="s">
        <v>40</v>
      </c>
      <c r="AL1910" s="25" t="s">
        <v>60</v>
      </c>
      <c r="AM1910" t="s">
        <v>61</v>
      </c>
      <c r="AN1910">
        <v>1.8953483330000001</v>
      </c>
      <c r="AO1910">
        <v>0.23341827000000001</v>
      </c>
      <c r="AP1910">
        <v>1.5683149999999999</v>
      </c>
      <c r="AQ1910">
        <v>0.243032517</v>
      </c>
      <c r="AR1910" t="s">
        <v>44</v>
      </c>
      <c r="AS1910">
        <f t="shared" si="206"/>
        <v>-0.18940084391958839</v>
      </c>
      <c r="AT1910">
        <f t="shared" si="207"/>
        <v>3.9180589369053664E-2</v>
      </c>
      <c r="AW1910" s="28" t="e">
        <f t="shared" si="201"/>
        <v>#DIV/0!</v>
      </c>
      <c r="AX1910">
        <f t="shared" si="202"/>
        <v>4</v>
      </c>
      <c r="AY1910" s="62" t="e">
        <f t="shared" si="203"/>
        <v>#DIV/0!</v>
      </c>
      <c r="AZ1910" s="68" t="e">
        <f t="shared" si="204"/>
        <v>#DIV/0!</v>
      </c>
      <c r="BA1910" s="68" t="e">
        <f t="shared" si="205"/>
        <v>#DIV/0!</v>
      </c>
    </row>
    <row r="1911" spans="1:53" hidden="1">
      <c r="A1911" t="s">
        <v>908</v>
      </c>
      <c r="B1911" t="s">
        <v>289</v>
      </c>
      <c r="C1911" t="s">
        <v>282</v>
      </c>
      <c r="D1911" s="25">
        <v>19</v>
      </c>
      <c r="E1911" s="25">
        <v>111</v>
      </c>
      <c r="F1911" t="s">
        <v>1241</v>
      </c>
      <c r="G1911" t="s">
        <v>283</v>
      </c>
      <c r="H1911" s="3" t="s">
        <v>847</v>
      </c>
      <c r="I1911">
        <v>2013</v>
      </c>
      <c r="J1911" t="s">
        <v>284</v>
      </c>
      <c r="K1911" t="s">
        <v>46</v>
      </c>
      <c r="L1911" t="s">
        <v>268</v>
      </c>
      <c r="M1911" s="25" t="s">
        <v>35</v>
      </c>
      <c r="N1911" t="s">
        <v>36</v>
      </c>
      <c r="O1911" t="s">
        <v>47</v>
      </c>
      <c r="P1911" t="s">
        <v>60</v>
      </c>
      <c r="Q1911" t="s">
        <v>899</v>
      </c>
      <c r="R1911" t="s">
        <v>849</v>
      </c>
      <c r="S1911" t="s">
        <v>848</v>
      </c>
      <c r="T1911">
        <v>78.936667</v>
      </c>
      <c r="U1911">
        <v>11.893333</v>
      </c>
      <c r="V1911" t="s">
        <v>905</v>
      </c>
      <c r="W1911" s="25" t="s">
        <v>38</v>
      </c>
      <c r="X1911">
        <v>30</v>
      </c>
      <c r="Y1911" t="s">
        <v>95</v>
      </c>
      <c r="Z1911">
        <v>1</v>
      </c>
      <c r="AA1911">
        <v>1</v>
      </c>
      <c r="AC1911">
        <v>185</v>
      </c>
      <c r="AE1911">
        <v>1050</v>
      </c>
      <c r="AG1911">
        <v>787</v>
      </c>
      <c r="AH1911">
        <v>3.021189299</v>
      </c>
      <c r="AI1911">
        <v>4</v>
      </c>
      <c r="AJ1911" t="s">
        <v>93</v>
      </c>
      <c r="AK1911" t="s">
        <v>40</v>
      </c>
      <c r="AL1911" s="25" t="s">
        <v>60</v>
      </c>
      <c r="AM1911" t="s">
        <v>61</v>
      </c>
      <c r="AN1911">
        <v>1.8953483330000001</v>
      </c>
      <c r="AO1911">
        <v>0.23341827000000001</v>
      </c>
      <c r="AP1911">
        <v>1.7674399999999999</v>
      </c>
      <c r="AQ1911">
        <v>0.27388974300000002</v>
      </c>
      <c r="AR1911" t="s">
        <v>44</v>
      </c>
      <c r="AS1911">
        <f t="shared" si="206"/>
        <v>-6.9870466568043743E-2</v>
      </c>
      <c r="AT1911">
        <f t="shared" si="207"/>
        <v>3.9180589418984384E-2</v>
      </c>
      <c r="AW1911" s="28" t="e">
        <f t="shared" si="201"/>
        <v>#DIV/0!</v>
      </c>
      <c r="AX1911">
        <f t="shared" si="202"/>
        <v>4</v>
      </c>
      <c r="AY1911" s="62" t="e">
        <f t="shared" si="203"/>
        <v>#DIV/0!</v>
      </c>
      <c r="AZ1911" s="68" t="e">
        <f t="shared" si="204"/>
        <v>#DIV/0!</v>
      </c>
      <c r="BA1911" s="68" t="e">
        <f t="shared" si="205"/>
        <v>#DIV/0!</v>
      </c>
    </row>
    <row r="1912" spans="1:53" hidden="1">
      <c r="A1912" t="s">
        <v>908</v>
      </c>
      <c r="B1912" t="s">
        <v>290</v>
      </c>
      <c r="C1912" t="s">
        <v>282</v>
      </c>
      <c r="D1912" s="25">
        <v>19</v>
      </c>
      <c r="E1912" s="25">
        <v>112</v>
      </c>
      <c r="F1912" t="s">
        <v>1241</v>
      </c>
      <c r="G1912" t="s">
        <v>283</v>
      </c>
      <c r="H1912" s="3" t="s">
        <v>847</v>
      </c>
      <c r="I1912">
        <v>2013</v>
      </c>
      <c r="J1912" t="s">
        <v>284</v>
      </c>
      <c r="K1912" t="s">
        <v>46</v>
      </c>
      <c r="L1912" t="s">
        <v>268</v>
      </c>
      <c r="M1912" s="25" t="s">
        <v>35</v>
      </c>
      <c r="N1912" t="s">
        <v>36</v>
      </c>
      <c r="O1912" t="s">
        <v>47</v>
      </c>
      <c r="P1912" t="s">
        <v>60</v>
      </c>
      <c r="Q1912" t="s">
        <v>899</v>
      </c>
      <c r="R1912" t="s">
        <v>849</v>
      </c>
      <c r="S1912" t="s">
        <v>848</v>
      </c>
      <c r="T1912">
        <v>78.936667</v>
      </c>
      <c r="U1912">
        <v>11.893333</v>
      </c>
      <c r="V1912" t="s">
        <v>905</v>
      </c>
      <c r="W1912" s="25" t="s">
        <v>38</v>
      </c>
      <c r="X1912">
        <v>30</v>
      </c>
      <c r="Y1912" t="s">
        <v>95</v>
      </c>
      <c r="Z1912">
        <v>1</v>
      </c>
      <c r="AA1912">
        <v>1</v>
      </c>
      <c r="AC1912">
        <v>185</v>
      </c>
      <c r="AE1912">
        <v>1420</v>
      </c>
      <c r="AG1912">
        <v>787</v>
      </c>
      <c r="AH1912">
        <v>3.152288344</v>
      </c>
      <c r="AI1912">
        <v>4</v>
      </c>
      <c r="AJ1912" t="s">
        <v>93</v>
      </c>
      <c r="AK1912" t="s">
        <v>40</v>
      </c>
      <c r="AL1912" s="25" t="s">
        <v>60</v>
      </c>
      <c r="AM1912" t="s">
        <v>61</v>
      </c>
      <c r="AN1912">
        <v>1.8953483330000001</v>
      </c>
      <c r="AO1912">
        <v>0.23341827000000001</v>
      </c>
      <c r="AP1912">
        <v>1.402616667</v>
      </c>
      <c r="AQ1912">
        <v>0.21735522500000001</v>
      </c>
      <c r="AR1912" t="s">
        <v>44</v>
      </c>
      <c r="AS1912">
        <f t="shared" si="206"/>
        <v>-0.3010630985469096</v>
      </c>
      <c r="AT1912">
        <f t="shared" si="207"/>
        <v>3.9180589471724238E-2</v>
      </c>
      <c r="AW1912" s="28" t="e">
        <f t="shared" si="201"/>
        <v>#DIV/0!</v>
      </c>
      <c r="AX1912">
        <f t="shared" si="202"/>
        <v>4</v>
      </c>
      <c r="AY1912" s="62" t="e">
        <f t="shared" si="203"/>
        <v>#DIV/0!</v>
      </c>
      <c r="AZ1912" s="68" t="e">
        <f t="shared" si="204"/>
        <v>#DIV/0!</v>
      </c>
      <c r="BA1912" s="68" t="e">
        <f t="shared" si="205"/>
        <v>#DIV/0!</v>
      </c>
    </row>
    <row r="1913" spans="1:53" hidden="1">
      <c r="A1913" t="s">
        <v>908</v>
      </c>
      <c r="B1913" t="s">
        <v>291</v>
      </c>
      <c r="C1913" t="s">
        <v>292</v>
      </c>
      <c r="D1913" s="25">
        <v>20</v>
      </c>
      <c r="E1913" s="25">
        <v>113</v>
      </c>
      <c r="F1913" t="s">
        <v>1241</v>
      </c>
      <c r="G1913" t="s">
        <v>293</v>
      </c>
      <c r="H1913" s="3" t="s">
        <v>842</v>
      </c>
      <c r="I1913">
        <v>2013</v>
      </c>
      <c r="J1913" t="s">
        <v>294</v>
      </c>
      <c r="K1913" t="s">
        <v>229</v>
      </c>
      <c r="L1913" t="s">
        <v>295</v>
      </c>
      <c r="M1913" s="25" t="s">
        <v>35</v>
      </c>
      <c r="N1913" t="s">
        <v>36</v>
      </c>
      <c r="O1913" t="s">
        <v>47</v>
      </c>
      <c r="P1913" t="s">
        <v>60</v>
      </c>
      <c r="Q1913" t="s">
        <v>899</v>
      </c>
      <c r="R1913" t="s">
        <v>828</v>
      </c>
      <c r="S1913" t="s">
        <v>843</v>
      </c>
      <c r="T1913">
        <v>78.718500000000006</v>
      </c>
      <c r="U1913">
        <v>-104.790667</v>
      </c>
      <c r="V1913" t="s">
        <v>905</v>
      </c>
      <c r="W1913" s="25" t="s">
        <v>38</v>
      </c>
      <c r="X1913">
        <v>7</v>
      </c>
      <c r="Y1913" t="s">
        <v>39</v>
      </c>
      <c r="Z1913">
        <v>3</v>
      </c>
      <c r="AA1913">
        <v>3</v>
      </c>
      <c r="AC1913">
        <v>370</v>
      </c>
      <c r="AE1913">
        <v>700</v>
      </c>
      <c r="AG1913">
        <v>815</v>
      </c>
      <c r="AH1913">
        <v>2.8450980399999999</v>
      </c>
      <c r="AI1913">
        <v>-1.68</v>
      </c>
      <c r="AJ1913" t="s">
        <v>296</v>
      </c>
      <c r="AK1913" t="s">
        <v>69</v>
      </c>
      <c r="AL1913" s="25" t="s">
        <v>60</v>
      </c>
      <c r="AM1913" t="s">
        <v>61</v>
      </c>
      <c r="AN1913">
        <v>95.792720000000003</v>
      </c>
      <c r="AO1913">
        <v>2.691580444</v>
      </c>
      <c r="AP1913">
        <v>88.685829999999996</v>
      </c>
      <c r="AQ1913">
        <v>9.8691282949999994</v>
      </c>
      <c r="AR1913" t="s">
        <v>41</v>
      </c>
      <c r="AS1913">
        <f t="shared" si="206"/>
        <v>-7.7086565859148415E-2</v>
      </c>
      <c r="AT1913">
        <f t="shared" si="207"/>
        <v>4.3910528184544903E-3</v>
      </c>
      <c r="AW1913" s="28">
        <f t="shared" si="201"/>
        <v>-0.9825096071440198</v>
      </c>
      <c r="AX1913">
        <f t="shared" si="202"/>
        <v>0.8</v>
      </c>
      <c r="AY1913" s="62">
        <f t="shared" si="203"/>
        <v>-0.78600768571521584</v>
      </c>
      <c r="AZ1913" s="68" t="str">
        <f t="shared" si="204"/>
        <v>No</v>
      </c>
      <c r="BA1913" s="68" t="str">
        <f t="shared" si="205"/>
        <v>No</v>
      </c>
    </row>
    <row r="1914" spans="1:53" hidden="1">
      <c r="A1914" t="s">
        <v>908</v>
      </c>
      <c r="B1914" t="s">
        <v>297</v>
      </c>
      <c r="C1914" t="s">
        <v>292</v>
      </c>
      <c r="D1914" s="25">
        <v>20</v>
      </c>
      <c r="E1914" s="25">
        <v>114</v>
      </c>
      <c r="F1914" t="s">
        <v>1241</v>
      </c>
      <c r="G1914" t="s">
        <v>293</v>
      </c>
      <c r="H1914" s="3" t="s">
        <v>842</v>
      </c>
      <c r="I1914">
        <v>2013</v>
      </c>
      <c r="J1914" t="s">
        <v>294</v>
      </c>
      <c r="K1914" t="s">
        <v>229</v>
      </c>
      <c r="L1914" t="s">
        <v>295</v>
      </c>
      <c r="M1914" s="25" t="s">
        <v>35</v>
      </c>
      <c r="N1914" t="s">
        <v>36</v>
      </c>
      <c r="O1914" t="s">
        <v>47</v>
      </c>
      <c r="P1914" t="s">
        <v>60</v>
      </c>
      <c r="Q1914" t="s">
        <v>899</v>
      </c>
      <c r="R1914" t="s">
        <v>828</v>
      </c>
      <c r="S1914" t="s">
        <v>843</v>
      </c>
      <c r="T1914">
        <v>78.718500000000006</v>
      </c>
      <c r="U1914">
        <v>-104.790667</v>
      </c>
      <c r="V1914" t="s">
        <v>905</v>
      </c>
      <c r="W1914" s="25" t="s">
        <v>38</v>
      </c>
      <c r="X1914">
        <v>7</v>
      </c>
      <c r="Y1914" t="s">
        <v>39</v>
      </c>
      <c r="Z1914">
        <v>3</v>
      </c>
      <c r="AA1914">
        <v>3</v>
      </c>
      <c r="AC1914">
        <v>370</v>
      </c>
      <c r="AE1914">
        <v>1000</v>
      </c>
      <c r="AG1914">
        <v>815</v>
      </c>
      <c r="AH1914">
        <v>3</v>
      </c>
      <c r="AI1914">
        <v>-1.68</v>
      </c>
      <c r="AJ1914" t="s">
        <v>296</v>
      </c>
      <c r="AK1914" t="s">
        <v>69</v>
      </c>
      <c r="AL1914" s="25" t="s">
        <v>60</v>
      </c>
      <c r="AM1914" t="s">
        <v>61</v>
      </c>
      <c r="AN1914">
        <v>95.792720000000003</v>
      </c>
      <c r="AO1914">
        <v>2.691580444</v>
      </c>
      <c r="AP1914">
        <v>79.040769999999995</v>
      </c>
      <c r="AQ1914">
        <v>8.523333654</v>
      </c>
      <c r="AR1914" t="s">
        <v>41</v>
      </c>
      <c r="AS1914">
        <f t="shared" si="206"/>
        <v>-0.1922228951450391</v>
      </c>
      <c r="AT1914">
        <f t="shared" si="207"/>
        <v>4.1392690118750228E-3</v>
      </c>
      <c r="AW1914" s="28">
        <f t="shared" si="201"/>
        <v>-2.6505085128762977</v>
      </c>
      <c r="AX1914">
        <f t="shared" si="202"/>
        <v>0.8</v>
      </c>
      <c r="AY1914" s="62">
        <f t="shared" si="203"/>
        <v>-2.1204068103010383</v>
      </c>
      <c r="AZ1914" s="68" t="str">
        <f t="shared" si="204"/>
        <v>No</v>
      </c>
      <c r="BA1914" s="68" t="str">
        <f t="shared" si="205"/>
        <v>No</v>
      </c>
    </row>
    <row r="1915" spans="1:53" hidden="1">
      <c r="A1915" t="s">
        <v>908</v>
      </c>
      <c r="B1915" t="s">
        <v>298</v>
      </c>
      <c r="C1915" t="s">
        <v>292</v>
      </c>
      <c r="D1915" s="25">
        <v>20</v>
      </c>
      <c r="E1915" s="25">
        <v>115</v>
      </c>
      <c r="F1915" t="s">
        <v>1241</v>
      </c>
      <c r="G1915" t="s">
        <v>293</v>
      </c>
      <c r="H1915" s="3" t="s">
        <v>842</v>
      </c>
      <c r="I1915">
        <v>2013</v>
      </c>
      <c r="J1915" t="s">
        <v>294</v>
      </c>
      <c r="K1915" t="s">
        <v>229</v>
      </c>
      <c r="L1915" t="s">
        <v>295</v>
      </c>
      <c r="M1915" s="25" t="s">
        <v>35</v>
      </c>
      <c r="N1915" t="s">
        <v>36</v>
      </c>
      <c r="O1915" t="s">
        <v>47</v>
      </c>
      <c r="P1915" t="s">
        <v>60</v>
      </c>
      <c r="Q1915" t="s">
        <v>899</v>
      </c>
      <c r="R1915" t="s">
        <v>868</v>
      </c>
      <c r="S1915" t="s">
        <v>844</v>
      </c>
      <c r="T1915">
        <v>78.718500000000006</v>
      </c>
      <c r="U1915">
        <v>-104.790667</v>
      </c>
      <c r="V1915" t="s">
        <v>905</v>
      </c>
      <c r="W1915" s="25" t="s">
        <v>38</v>
      </c>
      <c r="X1915">
        <v>7</v>
      </c>
      <c r="Y1915" t="s">
        <v>39</v>
      </c>
      <c r="Z1915">
        <v>3</v>
      </c>
      <c r="AA1915">
        <v>3</v>
      </c>
      <c r="AC1915">
        <v>370</v>
      </c>
      <c r="AE1915">
        <v>700</v>
      </c>
      <c r="AG1915">
        <v>816</v>
      </c>
      <c r="AH1915">
        <v>2.8450980399999999</v>
      </c>
      <c r="AI1915">
        <v>-1.68</v>
      </c>
      <c r="AJ1915" t="s">
        <v>299</v>
      </c>
      <c r="AK1915" t="s">
        <v>69</v>
      </c>
      <c r="AL1915" s="25" t="s">
        <v>60</v>
      </c>
      <c r="AM1915" t="s">
        <v>61</v>
      </c>
      <c r="AN1915">
        <v>95.285089999999997</v>
      </c>
      <c r="AO1915">
        <v>3.1401727660000001</v>
      </c>
      <c r="AP1915">
        <v>62.288820000000001</v>
      </c>
      <c r="AQ1915">
        <v>4.0373750839999998</v>
      </c>
      <c r="AR1915" t="s">
        <v>41</v>
      </c>
      <c r="AS1915">
        <f t="shared" si="206"/>
        <v>-0.42509138967875515</v>
      </c>
      <c r="AT1915">
        <f t="shared" si="207"/>
        <v>1.762437747895724E-3</v>
      </c>
      <c r="AW1915" s="28">
        <f t="shared" si="201"/>
        <v>-9.123300731125294</v>
      </c>
      <c r="AX1915">
        <f t="shared" si="202"/>
        <v>0.8</v>
      </c>
      <c r="AY1915" s="62">
        <f t="shared" si="203"/>
        <v>-7.2986405849002356</v>
      </c>
      <c r="AZ1915" s="68" t="str">
        <f t="shared" si="204"/>
        <v>No</v>
      </c>
      <c r="BA1915" s="68" t="str">
        <f t="shared" si="205"/>
        <v>No</v>
      </c>
    </row>
    <row r="1916" spans="1:53" hidden="1">
      <c r="A1916" t="s">
        <v>908</v>
      </c>
      <c r="B1916" t="s">
        <v>300</v>
      </c>
      <c r="C1916" t="s">
        <v>292</v>
      </c>
      <c r="D1916" s="25">
        <v>20</v>
      </c>
      <c r="E1916" s="25">
        <v>116</v>
      </c>
      <c r="F1916" t="s">
        <v>1241</v>
      </c>
      <c r="G1916" t="s">
        <v>293</v>
      </c>
      <c r="H1916" s="3" t="s">
        <v>842</v>
      </c>
      <c r="I1916">
        <v>2013</v>
      </c>
      <c r="J1916" t="s">
        <v>294</v>
      </c>
      <c r="K1916" t="s">
        <v>229</v>
      </c>
      <c r="L1916" t="s">
        <v>295</v>
      </c>
      <c r="M1916" s="25" t="s">
        <v>35</v>
      </c>
      <c r="N1916" t="s">
        <v>36</v>
      </c>
      <c r="O1916" t="s">
        <v>47</v>
      </c>
      <c r="P1916" t="s">
        <v>60</v>
      </c>
      <c r="Q1916" t="s">
        <v>899</v>
      </c>
      <c r="R1916" t="s">
        <v>868</v>
      </c>
      <c r="S1916" t="s">
        <v>844</v>
      </c>
      <c r="T1916">
        <v>78.718500000000006</v>
      </c>
      <c r="U1916">
        <v>-104.790667</v>
      </c>
      <c r="V1916" t="s">
        <v>905</v>
      </c>
      <c r="W1916" s="25" t="s">
        <v>38</v>
      </c>
      <c r="X1916">
        <v>7</v>
      </c>
      <c r="Y1916" t="s">
        <v>39</v>
      </c>
      <c r="Z1916">
        <v>3</v>
      </c>
      <c r="AA1916">
        <v>3</v>
      </c>
      <c r="AC1916">
        <v>370</v>
      </c>
      <c r="AE1916">
        <v>1000</v>
      </c>
      <c r="AG1916">
        <v>816</v>
      </c>
      <c r="AH1916">
        <v>3</v>
      </c>
      <c r="AI1916">
        <v>-1.68</v>
      </c>
      <c r="AJ1916" t="s">
        <v>299</v>
      </c>
      <c r="AK1916" t="s">
        <v>69</v>
      </c>
      <c r="AL1916" s="25" t="s">
        <v>60</v>
      </c>
      <c r="AM1916" t="s">
        <v>61</v>
      </c>
      <c r="AN1916">
        <v>95.285089999999997</v>
      </c>
      <c r="AO1916">
        <v>3.1401727660000001</v>
      </c>
      <c r="AP1916">
        <v>52.136130000000001</v>
      </c>
      <c r="AQ1916">
        <v>5.3831608879999999</v>
      </c>
      <c r="AR1916" t="s">
        <v>41</v>
      </c>
      <c r="AS1916">
        <f t="shared" si="206"/>
        <v>-0.60301516260914445</v>
      </c>
      <c r="AT1916">
        <f t="shared" si="207"/>
        <v>3.9156828856770024E-3</v>
      </c>
      <c r="AW1916" s="28">
        <f t="shared" si="201"/>
        <v>-9.7915335698638781</v>
      </c>
      <c r="AX1916">
        <f t="shared" si="202"/>
        <v>0.8</v>
      </c>
      <c r="AY1916" s="62">
        <f t="shared" si="203"/>
        <v>-7.8332268558911027</v>
      </c>
      <c r="AZ1916" s="68" t="str">
        <f t="shared" si="204"/>
        <v>No</v>
      </c>
      <c r="BA1916" s="68" t="str">
        <f t="shared" si="205"/>
        <v>No</v>
      </c>
    </row>
    <row r="1917" spans="1:53" hidden="1">
      <c r="A1917" t="s">
        <v>908</v>
      </c>
      <c r="B1917" t="s">
        <v>301</v>
      </c>
      <c r="C1917" t="s">
        <v>292</v>
      </c>
      <c r="D1917" s="25">
        <v>20</v>
      </c>
      <c r="E1917" s="25">
        <v>117</v>
      </c>
      <c r="F1917" t="s">
        <v>1241</v>
      </c>
      <c r="G1917" t="s">
        <v>293</v>
      </c>
      <c r="H1917" s="3" t="s">
        <v>842</v>
      </c>
      <c r="I1917">
        <v>2013</v>
      </c>
      <c r="J1917" t="s">
        <v>294</v>
      </c>
      <c r="K1917" t="s">
        <v>229</v>
      </c>
      <c r="L1917" t="s">
        <v>295</v>
      </c>
      <c r="M1917" s="25" t="s">
        <v>35</v>
      </c>
      <c r="N1917" t="s">
        <v>36</v>
      </c>
      <c r="O1917" t="s">
        <v>47</v>
      </c>
      <c r="P1917" t="s">
        <v>60</v>
      </c>
      <c r="Q1917" t="s">
        <v>899</v>
      </c>
      <c r="R1917" t="s">
        <v>828</v>
      </c>
      <c r="S1917" t="s">
        <v>846</v>
      </c>
      <c r="T1917">
        <v>78.718500000000006</v>
      </c>
      <c r="U1917">
        <v>-104.790667</v>
      </c>
      <c r="V1917" t="s">
        <v>905</v>
      </c>
      <c r="W1917" s="25" t="s">
        <v>38</v>
      </c>
      <c r="X1917">
        <v>7</v>
      </c>
      <c r="Y1917" t="s">
        <v>39</v>
      </c>
      <c r="Z1917">
        <v>3</v>
      </c>
      <c r="AA1917">
        <v>3</v>
      </c>
      <c r="AC1917">
        <v>370</v>
      </c>
      <c r="AE1917">
        <v>700</v>
      </c>
      <c r="AG1917">
        <v>817</v>
      </c>
      <c r="AH1917">
        <v>2.8450980399999999</v>
      </c>
      <c r="AI1917">
        <v>-1.68</v>
      </c>
      <c r="AJ1917" t="s">
        <v>302</v>
      </c>
      <c r="AK1917" t="s">
        <v>69</v>
      </c>
      <c r="AL1917" s="25" t="s">
        <v>60</v>
      </c>
      <c r="AM1917" t="s">
        <v>61</v>
      </c>
      <c r="AN1917">
        <v>79.55556</v>
      </c>
      <c r="AO1917">
        <v>9.4261209529999999</v>
      </c>
      <c r="AP1917">
        <v>66.222219999999993</v>
      </c>
      <c r="AQ1917">
        <v>12.56816716</v>
      </c>
      <c r="AR1917" t="s">
        <v>41</v>
      </c>
      <c r="AS1917">
        <f t="shared" si="206"/>
        <v>-0.18343958931826343</v>
      </c>
      <c r="AT1917">
        <f t="shared" si="207"/>
        <v>1.6686010951253254E-2</v>
      </c>
      <c r="AW1917" s="28">
        <f t="shared" si="201"/>
        <v>-1.200250964239169</v>
      </c>
      <c r="AX1917">
        <f t="shared" si="202"/>
        <v>0.8</v>
      </c>
      <c r="AY1917" s="62">
        <f t="shared" si="203"/>
        <v>-0.96020077139133519</v>
      </c>
      <c r="AZ1917" s="68" t="str">
        <f t="shared" si="204"/>
        <v>No</v>
      </c>
      <c r="BA1917" s="68" t="str">
        <f t="shared" si="205"/>
        <v>No</v>
      </c>
    </row>
    <row r="1918" spans="1:53" hidden="1">
      <c r="A1918" t="s">
        <v>908</v>
      </c>
      <c r="B1918" t="s">
        <v>303</v>
      </c>
      <c r="C1918" t="s">
        <v>292</v>
      </c>
      <c r="D1918" s="25">
        <v>20</v>
      </c>
      <c r="E1918" s="25">
        <v>118</v>
      </c>
      <c r="F1918" t="s">
        <v>1241</v>
      </c>
      <c r="G1918" t="s">
        <v>293</v>
      </c>
      <c r="H1918" s="3" t="s">
        <v>842</v>
      </c>
      <c r="I1918">
        <v>2013</v>
      </c>
      <c r="J1918" t="s">
        <v>294</v>
      </c>
      <c r="K1918" t="s">
        <v>229</v>
      </c>
      <c r="L1918" t="s">
        <v>295</v>
      </c>
      <c r="M1918" s="25" t="s">
        <v>35</v>
      </c>
      <c r="N1918" t="s">
        <v>36</v>
      </c>
      <c r="O1918" t="s">
        <v>47</v>
      </c>
      <c r="P1918" t="s">
        <v>60</v>
      </c>
      <c r="Q1918" t="s">
        <v>899</v>
      </c>
      <c r="R1918" t="s">
        <v>828</v>
      </c>
      <c r="S1918" t="s">
        <v>846</v>
      </c>
      <c r="T1918">
        <v>78.718500000000006</v>
      </c>
      <c r="U1918">
        <v>-104.790667</v>
      </c>
      <c r="V1918" t="s">
        <v>905</v>
      </c>
      <c r="W1918" s="25" t="s">
        <v>38</v>
      </c>
      <c r="X1918">
        <v>7</v>
      </c>
      <c r="Y1918" t="s">
        <v>39</v>
      </c>
      <c r="Z1918">
        <v>3</v>
      </c>
      <c r="AA1918">
        <v>3</v>
      </c>
      <c r="AC1918">
        <v>370</v>
      </c>
      <c r="AE1918">
        <v>1000</v>
      </c>
      <c r="AG1918">
        <v>817</v>
      </c>
      <c r="AH1918">
        <v>3</v>
      </c>
      <c r="AI1918">
        <v>-1.68</v>
      </c>
      <c r="AJ1918" t="s">
        <v>302</v>
      </c>
      <c r="AK1918" t="s">
        <v>69</v>
      </c>
      <c r="AL1918" s="25" t="s">
        <v>60</v>
      </c>
      <c r="AM1918" t="s">
        <v>61</v>
      </c>
      <c r="AN1918">
        <v>79.55556</v>
      </c>
      <c r="AO1918">
        <v>9.4261209529999999</v>
      </c>
      <c r="AP1918">
        <v>58.22222</v>
      </c>
      <c r="AQ1918">
        <v>10.997152890000001</v>
      </c>
      <c r="AR1918" t="s">
        <v>41</v>
      </c>
      <c r="AS1918">
        <f t="shared" si="206"/>
        <v>-0.31218857667346356</v>
      </c>
      <c r="AT1918">
        <f t="shared" si="207"/>
        <v>1.6571733176198995E-2</v>
      </c>
      <c r="AW1918" s="28">
        <f t="shared" si="201"/>
        <v>-2.0829668774311991</v>
      </c>
      <c r="AX1918">
        <f t="shared" si="202"/>
        <v>0.8</v>
      </c>
      <c r="AY1918" s="62">
        <f t="shared" si="203"/>
        <v>-1.6663735019449595</v>
      </c>
      <c r="AZ1918" s="68" t="str">
        <f t="shared" si="204"/>
        <v>No</v>
      </c>
      <c r="BA1918" s="68" t="str">
        <f t="shared" si="205"/>
        <v>No</v>
      </c>
    </row>
    <row r="1919" spans="1:53" hidden="1">
      <c r="A1919" t="s">
        <v>908</v>
      </c>
      <c r="B1919" t="s">
        <v>304</v>
      </c>
      <c r="C1919" t="s">
        <v>292</v>
      </c>
      <c r="D1919" s="25">
        <v>20</v>
      </c>
      <c r="E1919" s="25">
        <v>119</v>
      </c>
      <c r="F1919" t="s">
        <v>1241</v>
      </c>
      <c r="G1919" t="s">
        <v>293</v>
      </c>
      <c r="H1919" s="3" t="s">
        <v>842</v>
      </c>
      <c r="I1919">
        <v>2013</v>
      </c>
      <c r="J1919" t="s">
        <v>294</v>
      </c>
      <c r="K1919" t="s">
        <v>229</v>
      </c>
      <c r="L1919" t="s">
        <v>295</v>
      </c>
      <c r="M1919" s="25" t="s">
        <v>35</v>
      </c>
      <c r="N1919" t="s">
        <v>36</v>
      </c>
      <c r="O1919" t="s">
        <v>47</v>
      </c>
      <c r="P1919" t="s">
        <v>60</v>
      </c>
      <c r="Q1919" t="s">
        <v>899</v>
      </c>
      <c r="R1919" t="s">
        <v>868</v>
      </c>
      <c r="S1919" t="s">
        <v>845</v>
      </c>
      <c r="T1919">
        <v>78.718500000000006</v>
      </c>
      <c r="U1919">
        <v>-104.790667</v>
      </c>
      <c r="V1919" t="s">
        <v>905</v>
      </c>
      <c r="W1919" s="25" t="s">
        <v>38</v>
      </c>
      <c r="X1919">
        <v>7</v>
      </c>
      <c r="Y1919" t="s">
        <v>39</v>
      </c>
      <c r="Z1919">
        <v>3</v>
      </c>
      <c r="AA1919">
        <v>3</v>
      </c>
      <c r="AC1919">
        <v>370</v>
      </c>
      <c r="AE1919">
        <v>700</v>
      </c>
      <c r="AG1919">
        <v>818</v>
      </c>
      <c r="AH1919">
        <v>2.8450980399999999</v>
      </c>
      <c r="AI1919">
        <v>-1.68</v>
      </c>
      <c r="AJ1919" t="s">
        <v>305</v>
      </c>
      <c r="AK1919" t="s">
        <v>69</v>
      </c>
      <c r="AL1919" s="25" t="s">
        <v>60</v>
      </c>
      <c r="AM1919" t="s">
        <v>61</v>
      </c>
      <c r="AN1919">
        <v>83.111109999999996</v>
      </c>
      <c r="AO1919">
        <v>5.498572029</v>
      </c>
      <c r="AP1919">
        <v>60</v>
      </c>
      <c r="AQ1919">
        <v>9.4261297899999992</v>
      </c>
      <c r="AR1919" t="s">
        <v>41</v>
      </c>
      <c r="AS1919">
        <f t="shared" si="206"/>
        <v>-0.32583382504717306</v>
      </c>
      <c r="AT1919">
        <f t="shared" si="207"/>
        <v>9.6860471084695768E-3</v>
      </c>
      <c r="AW1919" s="28">
        <f t="shared" ref="AW1919:AW1950" si="208">(AP1919-$AN1919)/SQRT(((AA1919-1)*AQ1919*AQ1919+($Z1919-1)*$AO1919*$AO1919)/(AA1919+$Z1919-2))</f>
        <v>-2.9950567275433397</v>
      </c>
      <c r="AX1919">
        <f t="shared" ref="AX1919:AX1950" si="209">1-(3/(4*(AA1919+$Z1919-2)-1))</f>
        <v>0.8</v>
      </c>
      <c r="AY1919" s="62">
        <f t="shared" ref="AY1919:AY1950" si="210">AX1919*AW1919</f>
        <v>-2.3960453820346719</v>
      </c>
      <c r="AZ1919" s="68" t="str">
        <f t="shared" ref="AZ1919:AZ1950" si="211">IF(AY1919&gt;10,"Yes","No")</f>
        <v>No</v>
      </c>
      <c r="BA1919" s="68" t="str">
        <f t="shared" ref="BA1919:BA1950" si="212">IF(AY1919&lt;-10,"Yes","No")</f>
        <v>No</v>
      </c>
    </row>
    <row r="1920" spans="1:53" hidden="1">
      <c r="A1920" t="s">
        <v>908</v>
      </c>
      <c r="B1920" t="s">
        <v>306</v>
      </c>
      <c r="C1920" t="s">
        <v>292</v>
      </c>
      <c r="D1920" s="25">
        <v>20</v>
      </c>
      <c r="E1920" s="25">
        <v>120</v>
      </c>
      <c r="F1920" t="s">
        <v>1241</v>
      </c>
      <c r="G1920" t="s">
        <v>293</v>
      </c>
      <c r="H1920" s="3" t="s">
        <v>842</v>
      </c>
      <c r="I1920">
        <v>2013</v>
      </c>
      <c r="J1920" t="s">
        <v>294</v>
      </c>
      <c r="K1920" t="s">
        <v>229</v>
      </c>
      <c r="L1920" t="s">
        <v>295</v>
      </c>
      <c r="M1920" s="25" t="s">
        <v>35</v>
      </c>
      <c r="N1920" t="s">
        <v>36</v>
      </c>
      <c r="O1920" t="s">
        <v>47</v>
      </c>
      <c r="P1920" t="s">
        <v>60</v>
      </c>
      <c r="Q1920" t="s">
        <v>899</v>
      </c>
      <c r="R1920" t="s">
        <v>868</v>
      </c>
      <c r="S1920" t="s">
        <v>845</v>
      </c>
      <c r="T1920">
        <v>78.718500000000006</v>
      </c>
      <c r="U1920">
        <v>-104.790667</v>
      </c>
      <c r="V1920" t="s">
        <v>905</v>
      </c>
      <c r="W1920" s="25" t="s">
        <v>38</v>
      </c>
      <c r="X1920">
        <v>7</v>
      </c>
      <c r="Y1920" t="s">
        <v>39</v>
      </c>
      <c r="Z1920">
        <v>3</v>
      </c>
      <c r="AA1920">
        <v>3</v>
      </c>
      <c r="AC1920">
        <v>370</v>
      </c>
      <c r="AE1920">
        <v>1000</v>
      </c>
      <c r="AG1920">
        <v>818</v>
      </c>
      <c r="AH1920">
        <v>3</v>
      </c>
      <c r="AI1920">
        <v>-1.68</v>
      </c>
      <c r="AJ1920" t="s">
        <v>305</v>
      </c>
      <c r="AK1920" t="s">
        <v>69</v>
      </c>
      <c r="AL1920" s="25" t="s">
        <v>60</v>
      </c>
      <c r="AM1920" t="s">
        <v>61</v>
      </c>
      <c r="AN1920">
        <v>83.111109999999996</v>
      </c>
      <c r="AO1920">
        <v>5.498572029</v>
      </c>
      <c r="AP1920">
        <v>41.333329999999997</v>
      </c>
      <c r="AQ1920">
        <v>7.069595133</v>
      </c>
      <c r="AR1920" t="s">
        <v>41</v>
      </c>
      <c r="AS1920">
        <f t="shared" si="206"/>
        <v>-0.69850919097751074</v>
      </c>
      <c r="AT1920">
        <f t="shared" si="207"/>
        <v>1.1210418766898992E-2</v>
      </c>
      <c r="AW1920" s="28">
        <f t="shared" si="208"/>
        <v>-6.5968514583233651</v>
      </c>
      <c r="AX1920">
        <f t="shared" si="209"/>
        <v>0.8</v>
      </c>
      <c r="AY1920" s="62">
        <f t="shared" si="210"/>
        <v>-5.277481166658692</v>
      </c>
      <c r="AZ1920" s="68" t="str">
        <f t="shared" si="211"/>
        <v>No</v>
      </c>
      <c r="BA1920" s="68" t="str">
        <f t="shared" si="212"/>
        <v>No</v>
      </c>
    </row>
    <row r="1921" spans="1:53" hidden="1">
      <c r="A1921" t="s">
        <v>908</v>
      </c>
      <c r="B1921" t="s">
        <v>382</v>
      </c>
      <c r="C1921" t="s">
        <v>383</v>
      </c>
      <c r="D1921" s="25">
        <v>27</v>
      </c>
      <c r="E1921" s="25">
        <v>189</v>
      </c>
      <c r="F1921" t="s">
        <v>1241</v>
      </c>
      <c r="G1921" t="s">
        <v>384</v>
      </c>
      <c r="H1921" s="3" t="s">
        <v>813</v>
      </c>
      <c r="I1921">
        <v>2008</v>
      </c>
      <c r="J1921" t="s">
        <v>385</v>
      </c>
      <c r="K1921" t="s">
        <v>162</v>
      </c>
      <c r="L1921" t="s">
        <v>386</v>
      </c>
      <c r="M1921" s="25" t="s">
        <v>35</v>
      </c>
      <c r="N1921" t="s">
        <v>36</v>
      </c>
      <c r="O1921" t="s">
        <v>37</v>
      </c>
      <c r="P1921" t="s">
        <v>60</v>
      </c>
      <c r="Q1921" t="s">
        <v>899</v>
      </c>
      <c r="R1921" t="s">
        <v>828</v>
      </c>
      <c r="S1921" t="s">
        <v>814</v>
      </c>
      <c r="T1921">
        <v>32.810671999999997</v>
      </c>
      <c r="U1921">
        <v>129.77223900000001</v>
      </c>
      <c r="V1921" t="s">
        <v>905</v>
      </c>
      <c r="W1921" s="25" t="s">
        <v>38</v>
      </c>
      <c r="X1921">
        <v>3</v>
      </c>
      <c r="Y1921" t="s">
        <v>39</v>
      </c>
      <c r="Z1921">
        <v>4</v>
      </c>
      <c r="AA1921">
        <v>4</v>
      </c>
      <c r="AC1921">
        <v>380</v>
      </c>
      <c r="AE1921">
        <v>2380</v>
      </c>
      <c r="AG1921">
        <v>1892</v>
      </c>
      <c r="AH1921">
        <v>3.3765769570000002</v>
      </c>
      <c r="AI1921">
        <v>25</v>
      </c>
      <c r="AJ1921" t="s">
        <v>387</v>
      </c>
      <c r="AK1921" t="s">
        <v>69</v>
      </c>
      <c r="AL1921" s="25" t="s">
        <v>60</v>
      </c>
      <c r="AM1921" t="s">
        <v>61</v>
      </c>
      <c r="AN1921">
        <v>52.43902439</v>
      </c>
      <c r="AO1921">
        <v>22.39467849</v>
      </c>
      <c r="AP1921">
        <v>39.578713970000003</v>
      </c>
      <c r="AQ1921">
        <v>32.372505539999999</v>
      </c>
      <c r="AR1921" t="s">
        <v>44</v>
      </c>
      <c r="AS1921">
        <f t="shared" si="206"/>
        <v>-0.28135960668131199</v>
      </c>
      <c r="AT1921">
        <f t="shared" si="207"/>
        <v>0.21284655495198332</v>
      </c>
      <c r="AW1921" s="28">
        <f t="shared" si="208"/>
        <v>-0.46203040422166025</v>
      </c>
      <c r="AX1921">
        <f t="shared" si="209"/>
        <v>0.86956521739130432</v>
      </c>
      <c r="AY1921" s="62">
        <f t="shared" si="210"/>
        <v>-0.4017655688884002</v>
      </c>
      <c r="AZ1921" s="68" t="str">
        <f t="shared" si="211"/>
        <v>No</v>
      </c>
      <c r="BA1921" s="68" t="str">
        <f t="shared" si="212"/>
        <v>No</v>
      </c>
    </row>
    <row r="1922" spans="1:53" hidden="1">
      <c r="A1922" t="s">
        <v>908</v>
      </c>
      <c r="B1922" t="s">
        <v>388</v>
      </c>
      <c r="C1922" t="s">
        <v>383</v>
      </c>
      <c r="D1922" s="25">
        <v>27</v>
      </c>
      <c r="E1922" s="25">
        <v>190</v>
      </c>
      <c r="F1922" t="s">
        <v>1241</v>
      </c>
      <c r="G1922" t="s">
        <v>384</v>
      </c>
      <c r="H1922" s="3" t="s">
        <v>813</v>
      </c>
      <c r="I1922">
        <v>2008</v>
      </c>
      <c r="J1922" t="s">
        <v>385</v>
      </c>
      <c r="K1922" t="s">
        <v>162</v>
      </c>
      <c r="L1922" t="s">
        <v>386</v>
      </c>
      <c r="M1922" s="25" t="s">
        <v>35</v>
      </c>
      <c r="N1922" t="s">
        <v>36</v>
      </c>
      <c r="O1922" t="s">
        <v>37</v>
      </c>
      <c r="P1922" t="s">
        <v>60</v>
      </c>
      <c r="Q1922" t="s">
        <v>899</v>
      </c>
      <c r="R1922" t="s">
        <v>828</v>
      </c>
      <c r="S1922" t="s">
        <v>814</v>
      </c>
      <c r="T1922">
        <v>32.810671999999997</v>
      </c>
      <c r="U1922">
        <v>129.77223900000001</v>
      </c>
      <c r="V1922" t="s">
        <v>905</v>
      </c>
      <c r="W1922" s="25" t="s">
        <v>38</v>
      </c>
      <c r="X1922">
        <v>5</v>
      </c>
      <c r="Y1922" t="s">
        <v>39</v>
      </c>
      <c r="Z1922">
        <v>4</v>
      </c>
      <c r="AA1922">
        <v>4</v>
      </c>
      <c r="AC1922">
        <v>380</v>
      </c>
      <c r="AE1922">
        <v>2380</v>
      </c>
      <c r="AG1922">
        <v>1893</v>
      </c>
      <c r="AH1922">
        <v>3.3765769570000002</v>
      </c>
      <c r="AI1922">
        <v>25</v>
      </c>
      <c r="AJ1922" t="s">
        <v>387</v>
      </c>
      <c r="AK1922" t="s">
        <v>69</v>
      </c>
      <c r="AL1922" s="25" t="s">
        <v>60</v>
      </c>
      <c r="AM1922" t="s">
        <v>61</v>
      </c>
      <c r="AN1922">
        <v>53.769401330000001</v>
      </c>
      <c r="AO1922">
        <v>27.050997779999999</v>
      </c>
      <c r="AP1922">
        <v>45.12195122</v>
      </c>
      <c r="AQ1922">
        <v>24.833702880000001</v>
      </c>
      <c r="AR1922" t="s">
        <v>44</v>
      </c>
      <c r="AS1922">
        <f t="shared" si="206"/>
        <v>-0.17533570547706701</v>
      </c>
      <c r="AT1922">
        <f t="shared" si="207"/>
        <v>0.13900197248388543</v>
      </c>
      <c r="AW1922" s="28">
        <f t="shared" si="208"/>
        <v>-0.33302936896768193</v>
      </c>
      <c r="AX1922">
        <f t="shared" si="209"/>
        <v>0.86956521739130432</v>
      </c>
      <c r="AY1922" s="62">
        <f t="shared" si="210"/>
        <v>-0.28959075562407122</v>
      </c>
      <c r="AZ1922" s="68" t="str">
        <f t="shared" si="211"/>
        <v>No</v>
      </c>
      <c r="BA1922" s="68" t="str">
        <f t="shared" si="212"/>
        <v>No</v>
      </c>
    </row>
    <row r="1923" spans="1:53" hidden="1">
      <c r="A1923" t="s">
        <v>908</v>
      </c>
      <c r="B1923" t="s">
        <v>389</v>
      </c>
      <c r="C1923" t="s">
        <v>383</v>
      </c>
      <c r="D1923" s="25">
        <v>27</v>
      </c>
      <c r="E1923" s="25">
        <v>191</v>
      </c>
      <c r="F1923" t="s">
        <v>1241</v>
      </c>
      <c r="G1923" t="s">
        <v>384</v>
      </c>
      <c r="H1923" s="3" t="s">
        <v>813</v>
      </c>
      <c r="I1923">
        <v>2008</v>
      </c>
      <c r="J1923" t="s">
        <v>385</v>
      </c>
      <c r="K1923" t="s">
        <v>162</v>
      </c>
      <c r="L1923" t="s">
        <v>386</v>
      </c>
      <c r="M1923" s="25" t="s">
        <v>35</v>
      </c>
      <c r="N1923" t="s">
        <v>36</v>
      </c>
      <c r="O1923" t="s">
        <v>37</v>
      </c>
      <c r="P1923" t="s">
        <v>60</v>
      </c>
      <c r="Q1923" t="s">
        <v>899</v>
      </c>
      <c r="R1923" t="s">
        <v>828</v>
      </c>
      <c r="S1923" t="s">
        <v>814</v>
      </c>
      <c r="T1923">
        <v>32.810671999999997</v>
      </c>
      <c r="U1923">
        <v>129.77223900000001</v>
      </c>
      <c r="V1923" t="s">
        <v>905</v>
      </c>
      <c r="W1923" s="25" t="s">
        <v>38</v>
      </c>
      <c r="X1923">
        <v>7</v>
      </c>
      <c r="Y1923" t="s">
        <v>39</v>
      </c>
      <c r="Z1923">
        <v>4</v>
      </c>
      <c r="AA1923">
        <v>4</v>
      </c>
      <c r="AC1923">
        <v>380</v>
      </c>
      <c r="AE1923">
        <v>2380</v>
      </c>
      <c r="AG1923">
        <v>1894</v>
      </c>
      <c r="AH1923">
        <v>3.3765769570000002</v>
      </c>
      <c r="AI1923">
        <v>25</v>
      </c>
      <c r="AJ1923" t="s">
        <v>387</v>
      </c>
      <c r="AK1923" t="s">
        <v>69</v>
      </c>
      <c r="AL1923" s="25" t="s">
        <v>60</v>
      </c>
      <c r="AM1923" t="s">
        <v>61</v>
      </c>
      <c r="AN1923">
        <v>57.31707317</v>
      </c>
      <c r="AO1923">
        <v>15.07760532</v>
      </c>
      <c r="AP1923">
        <v>45.787139689999997</v>
      </c>
      <c r="AQ1923">
        <v>25.055432369999998</v>
      </c>
      <c r="AR1923" t="s">
        <v>44</v>
      </c>
      <c r="AS1923">
        <f t="shared" si="206"/>
        <v>-0.22459528152542996</v>
      </c>
      <c r="AT1923">
        <f t="shared" si="207"/>
        <v>9.2160826842460936E-2</v>
      </c>
      <c r="AW1923" s="28">
        <f t="shared" si="208"/>
        <v>-0.55761069246901607</v>
      </c>
      <c r="AX1923">
        <f t="shared" si="209"/>
        <v>0.86956521739130432</v>
      </c>
      <c r="AY1923" s="62">
        <f t="shared" si="210"/>
        <v>-0.48487886301653571</v>
      </c>
      <c r="AZ1923" s="68" t="str">
        <f t="shared" si="211"/>
        <v>No</v>
      </c>
      <c r="BA1923" s="68" t="str">
        <f t="shared" si="212"/>
        <v>No</v>
      </c>
    </row>
    <row r="1924" spans="1:53" hidden="1">
      <c r="A1924" t="s">
        <v>908</v>
      </c>
      <c r="B1924" t="s">
        <v>390</v>
      </c>
      <c r="C1924" t="s">
        <v>383</v>
      </c>
      <c r="D1924" s="25">
        <v>27</v>
      </c>
      <c r="E1924" s="25">
        <v>192</v>
      </c>
      <c r="F1924" t="s">
        <v>1241</v>
      </c>
      <c r="G1924" t="s">
        <v>384</v>
      </c>
      <c r="H1924" s="3" t="s">
        <v>813</v>
      </c>
      <c r="I1924">
        <v>2008</v>
      </c>
      <c r="J1924" t="s">
        <v>385</v>
      </c>
      <c r="K1924" t="s">
        <v>162</v>
      </c>
      <c r="L1924" t="s">
        <v>386</v>
      </c>
      <c r="M1924" s="25" t="s">
        <v>35</v>
      </c>
      <c r="N1924" t="s">
        <v>36</v>
      </c>
      <c r="O1924" t="s">
        <v>37</v>
      </c>
      <c r="P1924" t="s">
        <v>60</v>
      </c>
      <c r="Q1924" t="s">
        <v>899</v>
      </c>
      <c r="R1924" t="s">
        <v>828</v>
      </c>
      <c r="S1924" t="s">
        <v>814</v>
      </c>
      <c r="T1924">
        <v>32.810671999999997</v>
      </c>
      <c r="U1924">
        <v>129.77223900000001</v>
      </c>
      <c r="V1924" t="s">
        <v>905</v>
      </c>
      <c r="W1924" s="25" t="s">
        <v>38</v>
      </c>
      <c r="X1924">
        <v>9</v>
      </c>
      <c r="Y1924" t="s">
        <v>39</v>
      </c>
      <c r="Z1924">
        <v>4</v>
      </c>
      <c r="AA1924">
        <v>4</v>
      </c>
      <c r="AC1924">
        <v>380</v>
      </c>
      <c r="AE1924">
        <v>2380</v>
      </c>
      <c r="AG1924">
        <v>1895</v>
      </c>
      <c r="AH1924">
        <v>3.3765769570000002</v>
      </c>
      <c r="AI1924">
        <v>25</v>
      </c>
      <c r="AJ1924" t="s">
        <v>387</v>
      </c>
      <c r="AK1924" t="s">
        <v>69</v>
      </c>
      <c r="AL1924" s="25" t="s">
        <v>60</v>
      </c>
      <c r="AM1924" t="s">
        <v>61</v>
      </c>
      <c r="AN1924">
        <v>48.669623059999999</v>
      </c>
      <c r="AO1924">
        <v>19.068736139999999</v>
      </c>
      <c r="AP1924">
        <v>38.470066520000003</v>
      </c>
      <c r="AQ1924">
        <v>3.54767184</v>
      </c>
      <c r="AR1924" t="s">
        <v>44</v>
      </c>
      <c r="AS1924">
        <f t="shared" si="206"/>
        <v>-0.23517463310107445</v>
      </c>
      <c r="AT1924">
        <f t="shared" si="207"/>
        <v>4.0502807663735423E-2</v>
      </c>
      <c r="AW1924" s="28">
        <f t="shared" si="208"/>
        <v>-0.74367871022774379</v>
      </c>
      <c r="AX1924">
        <f t="shared" si="209"/>
        <v>0.86956521739130432</v>
      </c>
      <c r="AY1924" s="62">
        <f t="shared" si="210"/>
        <v>-0.64667713932847282</v>
      </c>
      <c r="AZ1924" s="68" t="str">
        <f t="shared" si="211"/>
        <v>No</v>
      </c>
      <c r="BA1924" s="68" t="str">
        <f t="shared" si="212"/>
        <v>No</v>
      </c>
    </row>
    <row r="1925" spans="1:53" hidden="1">
      <c r="A1925" t="s">
        <v>908</v>
      </c>
      <c r="B1925" t="s">
        <v>391</v>
      </c>
      <c r="C1925" t="s">
        <v>383</v>
      </c>
      <c r="D1925" s="25">
        <v>27</v>
      </c>
      <c r="E1925" s="25">
        <v>193</v>
      </c>
      <c r="F1925" t="s">
        <v>1241</v>
      </c>
      <c r="G1925" t="s">
        <v>384</v>
      </c>
      <c r="H1925" s="3" t="s">
        <v>813</v>
      </c>
      <c r="I1925">
        <v>2008</v>
      </c>
      <c r="J1925" t="s">
        <v>385</v>
      </c>
      <c r="K1925" t="s">
        <v>162</v>
      </c>
      <c r="L1925" t="s">
        <v>386</v>
      </c>
      <c r="M1925" s="25" t="s">
        <v>35</v>
      </c>
      <c r="N1925" t="s">
        <v>36</v>
      </c>
      <c r="O1925" t="s">
        <v>37</v>
      </c>
      <c r="P1925" t="s">
        <v>60</v>
      </c>
      <c r="Q1925" t="s">
        <v>899</v>
      </c>
      <c r="R1925" t="s">
        <v>828</v>
      </c>
      <c r="S1925" t="s">
        <v>814</v>
      </c>
      <c r="T1925">
        <v>32.810671999999997</v>
      </c>
      <c r="U1925">
        <v>129.77223900000001</v>
      </c>
      <c r="V1925" t="s">
        <v>905</v>
      </c>
      <c r="W1925" s="25" t="s">
        <v>38</v>
      </c>
      <c r="X1925">
        <v>9</v>
      </c>
      <c r="Y1925" t="s">
        <v>143</v>
      </c>
      <c r="Z1925">
        <v>20</v>
      </c>
      <c r="AA1925">
        <v>6</v>
      </c>
      <c r="AC1925">
        <v>380</v>
      </c>
      <c r="AE1925">
        <v>2380</v>
      </c>
      <c r="AG1925">
        <v>1896</v>
      </c>
      <c r="AH1925">
        <v>3.3765769570000002</v>
      </c>
      <c r="AI1925">
        <v>25</v>
      </c>
      <c r="AJ1925" t="s">
        <v>392</v>
      </c>
      <c r="AK1925" t="s">
        <v>40</v>
      </c>
      <c r="AL1925" s="25" t="s">
        <v>60</v>
      </c>
      <c r="AM1925" t="s">
        <v>61</v>
      </c>
      <c r="AN1925">
        <v>166.20111729999999</v>
      </c>
      <c r="AO1925">
        <v>52.050874329999999</v>
      </c>
      <c r="AP1925">
        <v>168.99441340000001</v>
      </c>
      <c r="AQ1925">
        <v>35.295109259999997</v>
      </c>
      <c r="AR1925" t="s">
        <v>45</v>
      </c>
      <c r="AS1925">
        <f t="shared" si="206"/>
        <v>1.6667052549855121E-2</v>
      </c>
      <c r="AT1925">
        <f t="shared" si="207"/>
        <v>1.2174065511802026E-2</v>
      </c>
      <c r="AW1925" s="28">
        <f t="shared" si="208"/>
        <v>5.6965871021908407E-2</v>
      </c>
      <c r="AX1925">
        <f t="shared" si="209"/>
        <v>0.96842105263157896</v>
      </c>
      <c r="AY1925" s="62">
        <f t="shared" si="210"/>
        <v>5.5166948779111297E-2</v>
      </c>
      <c r="AZ1925" s="68" t="str">
        <f t="shared" si="211"/>
        <v>No</v>
      </c>
      <c r="BA1925" s="68" t="str">
        <f t="shared" si="212"/>
        <v>No</v>
      </c>
    </row>
    <row r="1926" spans="1:53" hidden="1">
      <c r="A1926" t="s">
        <v>908</v>
      </c>
      <c r="B1926" t="s">
        <v>393</v>
      </c>
      <c r="C1926" t="s">
        <v>383</v>
      </c>
      <c r="D1926" s="25">
        <v>27</v>
      </c>
      <c r="E1926" s="25">
        <v>194</v>
      </c>
      <c r="F1926" t="s">
        <v>1241</v>
      </c>
      <c r="G1926" t="s">
        <v>384</v>
      </c>
      <c r="H1926" s="3" t="s">
        <v>813</v>
      </c>
      <c r="I1926">
        <v>2008</v>
      </c>
      <c r="J1926" t="s">
        <v>385</v>
      </c>
      <c r="K1926" t="s">
        <v>162</v>
      </c>
      <c r="L1926" t="s">
        <v>386</v>
      </c>
      <c r="M1926" s="25" t="s">
        <v>35</v>
      </c>
      <c r="N1926" t="s">
        <v>36</v>
      </c>
      <c r="O1926" t="s">
        <v>37</v>
      </c>
      <c r="P1926" t="s">
        <v>60</v>
      </c>
      <c r="Q1926" t="s">
        <v>899</v>
      </c>
      <c r="R1926" t="s">
        <v>828</v>
      </c>
      <c r="S1926" t="s">
        <v>814</v>
      </c>
      <c r="T1926">
        <v>32.810671999999997</v>
      </c>
      <c r="U1926">
        <v>129.77223900000001</v>
      </c>
      <c r="V1926" t="s">
        <v>905</v>
      </c>
      <c r="W1926" s="25" t="s">
        <v>38</v>
      </c>
      <c r="X1926">
        <v>9</v>
      </c>
      <c r="Y1926" t="s">
        <v>143</v>
      </c>
      <c r="Z1926">
        <v>39</v>
      </c>
      <c r="AA1926">
        <v>48</v>
      </c>
      <c r="AC1926">
        <v>380</v>
      </c>
      <c r="AE1926">
        <v>2380</v>
      </c>
      <c r="AG1926">
        <v>1897</v>
      </c>
      <c r="AH1926">
        <v>3.3765769570000002</v>
      </c>
      <c r="AI1926">
        <v>25</v>
      </c>
      <c r="AJ1926" t="s">
        <v>392</v>
      </c>
      <c r="AK1926" t="s">
        <v>40</v>
      </c>
      <c r="AL1926" s="25" t="s">
        <v>60</v>
      </c>
      <c r="AM1926" t="s">
        <v>61</v>
      </c>
      <c r="AN1926">
        <v>191.34078210000001</v>
      </c>
      <c r="AO1926">
        <v>11.17318436</v>
      </c>
      <c r="AP1926">
        <v>189.94413410000001</v>
      </c>
      <c r="AQ1926">
        <v>39.670536030000001</v>
      </c>
      <c r="AR1926" t="s">
        <v>45</v>
      </c>
      <c r="AS1926">
        <f t="shared" si="206"/>
        <v>-7.3260398576593388E-3</v>
      </c>
      <c r="AT1926">
        <f t="shared" si="207"/>
        <v>9.9618005714091043E-4</v>
      </c>
      <c r="AW1926" s="28">
        <f t="shared" si="208"/>
        <v>-4.5896631353515675E-2</v>
      </c>
      <c r="AX1926">
        <f t="shared" si="209"/>
        <v>0.99115044247787609</v>
      </c>
      <c r="AY1926" s="62">
        <f t="shared" si="210"/>
        <v>-4.5490466474281024E-2</v>
      </c>
      <c r="AZ1926" s="68" t="str">
        <f t="shared" si="211"/>
        <v>No</v>
      </c>
      <c r="BA1926" s="68" t="str">
        <f t="shared" si="212"/>
        <v>No</v>
      </c>
    </row>
    <row r="1927" spans="1:53" hidden="1">
      <c r="A1927" t="s">
        <v>908</v>
      </c>
      <c r="B1927" t="s">
        <v>394</v>
      </c>
      <c r="C1927" t="s">
        <v>383</v>
      </c>
      <c r="D1927" s="25">
        <v>27</v>
      </c>
      <c r="E1927" s="25">
        <v>195</v>
      </c>
      <c r="F1927" t="s">
        <v>1241</v>
      </c>
      <c r="G1927" t="s">
        <v>384</v>
      </c>
      <c r="H1927" s="3" t="s">
        <v>813</v>
      </c>
      <c r="I1927">
        <v>2008</v>
      </c>
      <c r="J1927" t="s">
        <v>385</v>
      </c>
      <c r="K1927" t="s">
        <v>162</v>
      </c>
      <c r="L1927" t="s">
        <v>386</v>
      </c>
      <c r="M1927" s="25" t="s">
        <v>35</v>
      </c>
      <c r="N1927" t="s">
        <v>36</v>
      </c>
      <c r="O1927" t="s">
        <v>37</v>
      </c>
      <c r="P1927" t="s">
        <v>60</v>
      </c>
      <c r="Q1927" t="s">
        <v>899</v>
      </c>
      <c r="R1927" t="s">
        <v>828</v>
      </c>
      <c r="S1927" t="s">
        <v>814</v>
      </c>
      <c r="T1927">
        <v>32.810671999999997</v>
      </c>
      <c r="U1927">
        <v>129.77223900000001</v>
      </c>
      <c r="V1927" t="s">
        <v>905</v>
      </c>
      <c r="W1927" s="25" t="s">
        <v>38</v>
      </c>
      <c r="X1927">
        <v>9</v>
      </c>
      <c r="Y1927" t="s">
        <v>143</v>
      </c>
      <c r="Z1927">
        <v>24</v>
      </c>
      <c r="AA1927">
        <v>26</v>
      </c>
      <c r="AC1927">
        <v>380</v>
      </c>
      <c r="AE1927">
        <v>2380</v>
      </c>
      <c r="AG1927">
        <v>1898</v>
      </c>
      <c r="AH1927">
        <v>3.3765769570000002</v>
      </c>
      <c r="AI1927">
        <v>25</v>
      </c>
      <c r="AJ1927" t="s">
        <v>392</v>
      </c>
      <c r="AK1927" t="s">
        <v>40</v>
      </c>
      <c r="AL1927" s="25" t="s">
        <v>60</v>
      </c>
      <c r="AM1927" t="s">
        <v>61</v>
      </c>
      <c r="AN1927">
        <v>234.63687150000001</v>
      </c>
      <c r="AO1927">
        <v>6.9832402230000001</v>
      </c>
      <c r="AP1927">
        <v>217.877095</v>
      </c>
      <c r="AQ1927">
        <v>45.504438389999997</v>
      </c>
      <c r="AR1927" t="s">
        <v>45</v>
      </c>
      <c r="AS1927">
        <f t="shared" si="206"/>
        <v>-7.4107971989803012E-2</v>
      </c>
      <c r="AT1927">
        <f t="shared" si="207"/>
        <v>1.7145944252148608E-3</v>
      </c>
      <c r="AW1927" s="28">
        <f t="shared" si="208"/>
        <v>-0.50490589734590741</v>
      </c>
      <c r="AX1927">
        <f t="shared" si="209"/>
        <v>0.98429319371727753</v>
      </c>
      <c r="AY1927" s="62">
        <f t="shared" si="210"/>
        <v>-0.49697543822529106</v>
      </c>
      <c r="AZ1927" s="68" t="str">
        <f t="shared" si="211"/>
        <v>No</v>
      </c>
      <c r="BA1927" s="68" t="str">
        <f t="shared" si="212"/>
        <v>No</v>
      </c>
    </row>
    <row r="1928" spans="1:53" hidden="1">
      <c r="A1928" t="s">
        <v>908</v>
      </c>
      <c r="B1928" t="s">
        <v>395</v>
      </c>
      <c r="C1928" t="s">
        <v>383</v>
      </c>
      <c r="D1928" s="25">
        <v>27</v>
      </c>
      <c r="E1928" s="25">
        <v>196</v>
      </c>
      <c r="F1928" t="s">
        <v>1241</v>
      </c>
      <c r="G1928" t="s">
        <v>384</v>
      </c>
      <c r="H1928" s="3" t="s">
        <v>813</v>
      </c>
      <c r="I1928">
        <v>2008</v>
      </c>
      <c r="J1928" t="s">
        <v>385</v>
      </c>
      <c r="K1928" t="s">
        <v>162</v>
      </c>
      <c r="L1928" t="s">
        <v>386</v>
      </c>
      <c r="M1928" s="25" t="s">
        <v>35</v>
      </c>
      <c r="N1928" t="s">
        <v>36</v>
      </c>
      <c r="O1928" t="s">
        <v>37</v>
      </c>
      <c r="P1928" t="s">
        <v>60</v>
      </c>
      <c r="Q1928" t="s">
        <v>899</v>
      </c>
      <c r="R1928" t="s">
        <v>828</v>
      </c>
      <c r="S1928" t="s">
        <v>814</v>
      </c>
      <c r="T1928">
        <v>32.810671999999997</v>
      </c>
      <c r="U1928">
        <v>129.77223900000001</v>
      </c>
      <c r="V1928" t="s">
        <v>905</v>
      </c>
      <c r="W1928" s="25" t="s">
        <v>38</v>
      </c>
      <c r="X1928">
        <v>9</v>
      </c>
      <c r="Y1928" t="s">
        <v>143</v>
      </c>
      <c r="Z1928">
        <v>11</v>
      </c>
      <c r="AA1928">
        <v>16</v>
      </c>
      <c r="AC1928">
        <v>380</v>
      </c>
      <c r="AE1928">
        <v>2380</v>
      </c>
      <c r="AG1928">
        <v>1899</v>
      </c>
      <c r="AH1928">
        <v>3.3765769570000002</v>
      </c>
      <c r="AI1928">
        <v>25</v>
      </c>
      <c r="AJ1928" t="s">
        <v>392</v>
      </c>
      <c r="AK1928" t="s">
        <v>40</v>
      </c>
      <c r="AL1928" s="25" t="s">
        <v>60</v>
      </c>
      <c r="AM1928" t="s">
        <v>61</v>
      </c>
      <c r="AN1928">
        <v>261.17318440000003</v>
      </c>
      <c r="AO1928">
        <v>11.17318436</v>
      </c>
      <c r="AP1928">
        <v>268.15642459999998</v>
      </c>
      <c r="AQ1928">
        <v>56.005462629999997</v>
      </c>
      <c r="AR1928" t="s">
        <v>45</v>
      </c>
      <c r="AS1928">
        <f t="shared" si="206"/>
        <v>2.6386755081461821E-2</v>
      </c>
      <c r="AT1928">
        <f t="shared" si="207"/>
        <v>2.8926229968787706E-3</v>
      </c>
      <c r="AW1928" s="28">
        <f t="shared" si="208"/>
        <v>0.15887819893042768</v>
      </c>
      <c r="AX1928">
        <f t="shared" si="209"/>
        <v>0.96969696969696972</v>
      </c>
      <c r="AY1928" s="62">
        <f t="shared" si="210"/>
        <v>0.15406370805374806</v>
      </c>
      <c r="AZ1928" s="68" t="str">
        <f t="shared" si="211"/>
        <v>No</v>
      </c>
      <c r="BA1928" s="68" t="str">
        <f t="shared" si="212"/>
        <v>No</v>
      </c>
    </row>
    <row r="1929" spans="1:53" hidden="1">
      <c r="A1929" t="s">
        <v>908</v>
      </c>
      <c r="B1929" t="s">
        <v>396</v>
      </c>
      <c r="C1929" t="s">
        <v>383</v>
      </c>
      <c r="D1929" s="25">
        <v>27</v>
      </c>
      <c r="E1929" s="25">
        <v>197</v>
      </c>
      <c r="F1929" t="s">
        <v>1241</v>
      </c>
      <c r="G1929" t="s">
        <v>384</v>
      </c>
      <c r="H1929" s="3" t="s">
        <v>813</v>
      </c>
      <c r="I1929">
        <v>2008</v>
      </c>
      <c r="J1929" t="s">
        <v>385</v>
      </c>
      <c r="K1929" t="s">
        <v>162</v>
      </c>
      <c r="L1929" t="s">
        <v>386</v>
      </c>
      <c r="M1929" s="25" t="s">
        <v>35</v>
      </c>
      <c r="N1929" t="s">
        <v>36</v>
      </c>
      <c r="O1929" t="s">
        <v>37</v>
      </c>
      <c r="P1929" t="s">
        <v>60</v>
      </c>
      <c r="Q1929" t="s">
        <v>899</v>
      </c>
      <c r="R1929" t="s">
        <v>828</v>
      </c>
      <c r="S1929" t="s">
        <v>814</v>
      </c>
      <c r="T1929">
        <v>32.810671999999997</v>
      </c>
      <c r="U1929">
        <v>129.77223900000001</v>
      </c>
      <c r="V1929" t="s">
        <v>905</v>
      </c>
      <c r="W1929" s="25" t="s">
        <v>38</v>
      </c>
      <c r="X1929">
        <v>9</v>
      </c>
      <c r="Y1929" t="s">
        <v>143</v>
      </c>
      <c r="Z1929">
        <v>65</v>
      </c>
      <c r="AA1929">
        <v>33</v>
      </c>
      <c r="AC1929">
        <v>380</v>
      </c>
      <c r="AE1929">
        <v>2380</v>
      </c>
      <c r="AG1929">
        <v>1900</v>
      </c>
      <c r="AH1929">
        <v>3.3765769570000002</v>
      </c>
      <c r="AI1929">
        <v>25</v>
      </c>
      <c r="AJ1929" t="s">
        <v>392</v>
      </c>
      <c r="AK1929" t="s">
        <v>40</v>
      </c>
      <c r="AL1929" s="25" t="s">
        <v>60</v>
      </c>
      <c r="AM1929" t="s">
        <v>61</v>
      </c>
      <c r="AN1929">
        <v>377.09497210000001</v>
      </c>
      <c r="AO1929">
        <v>11.17318436</v>
      </c>
      <c r="AP1929">
        <v>349.16201119999999</v>
      </c>
      <c r="AQ1929">
        <v>72.923779469999999</v>
      </c>
      <c r="AR1929" t="s">
        <v>45</v>
      </c>
      <c r="AS1929">
        <f t="shared" si="206"/>
        <v>-7.6961041146735631E-2</v>
      </c>
      <c r="AT1929">
        <f t="shared" si="207"/>
        <v>1.335320621327954E-3</v>
      </c>
      <c r="AW1929" s="28">
        <f t="shared" si="208"/>
        <v>-0.64840333082861223</v>
      </c>
      <c r="AX1929">
        <f t="shared" si="209"/>
        <v>0.9921671018276762</v>
      </c>
      <c r="AY1929" s="62">
        <f t="shared" si="210"/>
        <v>-0.6433244535636361</v>
      </c>
      <c r="AZ1929" s="68" t="str">
        <f t="shared" si="211"/>
        <v>No</v>
      </c>
      <c r="BA1929" s="68" t="str">
        <f t="shared" si="212"/>
        <v>No</v>
      </c>
    </row>
    <row r="1930" spans="1:53" hidden="1">
      <c r="A1930" t="s">
        <v>908</v>
      </c>
      <c r="B1930" t="s">
        <v>397</v>
      </c>
      <c r="C1930" t="s">
        <v>383</v>
      </c>
      <c r="D1930" s="25">
        <v>27</v>
      </c>
      <c r="E1930" s="25">
        <v>198</v>
      </c>
      <c r="F1930" t="s">
        <v>1241</v>
      </c>
      <c r="G1930" t="s">
        <v>384</v>
      </c>
      <c r="H1930" s="3" t="s">
        <v>813</v>
      </c>
      <c r="I1930">
        <v>2008</v>
      </c>
      <c r="J1930" t="s">
        <v>385</v>
      </c>
      <c r="K1930" t="s">
        <v>162</v>
      </c>
      <c r="L1930" t="s">
        <v>386</v>
      </c>
      <c r="M1930" s="25" t="s">
        <v>35</v>
      </c>
      <c r="N1930" t="s">
        <v>36</v>
      </c>
      <c r="O1930" t="s">
        <v>37</v>
      </c>
      <c r="P1930" t="s">
        <v>60</v>
      </c>
      <c r="Q1930" t="s">
        <v>899</v>
      </c>
      <c r="R1930" t="s">
        <v>828</v>
      </c>
      <c r="S1930" t="s">
        <v>814</v>
      </c>
      <c r="T1930">
        <v>32.810671999999997</v>
      </c>
      <c r="U1930">
        <v>129.77223900000001</v>
      </c>
      <c r="V1930" t="s">
        <v>905</v>
      </c>
      <c r="W1930" s="25" t="s">
        <v>38</v>
      </c>
      <c r="X1930">
        <v>9</v>
      </c>
      <c r="Y1930" t="s">
        <v>143</v>
      </c>
      <c r="Z1930">
        <v>25</v>
      </c>
      <c r="AA1930">
        <v>20</v>
      </c>
      <c r="AC1930">
        <v>380</v>
      </c>
      <c r="AE1930">
        <v>2380</v>
      </c>
      <c r="AG1930">
        <v>1901</v>
      </c>
      <c r="AH1930">
        <v>3.3765769570000002</v>
      </c>
      <c r="AI1930">
        <v>25</v>
      </c>
      <c r="AJ1930" t="s">
        <v>392</v>
      </c>
      <c r="AK1930" t="s">
        <v>40</v>
      </c>
      <c r="AL1930" s="25" t="s">
        <v>60</v>
      </c>
      <c r="AM1930" t="s">
        <v>61</v>
      </c>
      <c r="AN1930">
        <v>462.29050280000001</v>
      </c>
      <c r="AO1930">
        <v>12.569832399999999</v>
      </c>
      <c r="AP1930">
        <v>424.58100560000003</v>
      </c>
      <c r="AQ1930">
        <v>88.675315830000002</v>
      </c>
      <c r="AR1930" t="s">
        <v>45</v>
      </c>
      <c r="AS1930">
        <f t="shared" si="206"/>
        <v>-8.5090673953764018E-2</v>
      </c>
      <c r="AT1930">
        <f t="shared" si="207"/>
        <v>2.2105660585834699E-3</v>
      </c>
      <c r="AW1930" s="28">
        <f t="shared" si="208"/>
        <v>-0.63177547441718862</v>
      </c>
      <c r="AX1930">
        <f t="shared" si="209"/>
        <v>0.98245614035087714</v>
      </c>
      <c r="AY1930" s="62">
        <f t="shared" si="210"/>
        <v>-0.6206916941642554</v>
      </c>
      <c r="AZ1930" s="68" t="str">
        <f t="shared" si="211"/>
        <v>No</v>
      </c>
      <c r="BA1930" s="68" t="str">
        <f t="shared" si="212"/>
        <v>No</v>
      </c>
    </row>
    <row r="1931" spans="1:53" hidden="1">
      <c r="A1931" t="s">
        <v>908</v>
      </c>
      <c r="B1931" t="s">
        <v>398</v>
      </c>
      <c r="C1931" t="s">
        <v>383</v>
      </c>
      <c r="D1931" s="25">
        <v>27</v>
      </c>
      <c r="E1931" s="25">
        <v>199</v>
      </c>
      <c r="F1931" t="s">
        <v>1241</v>
      </c>
      <c r="G1931" t="s">
        <v>384</v>
      </c>
      <c r="H1931" s="3" t="s">
        <v>813</v>
      </c>
      <c r="I1931">
        <v>2008</v>
      </c>
      <c r="J1931" t="s">
        <v>385</v>
      </c>
      <c r="K1931" t="s">
        <v>162</v>
      </c>
      <c r="L1931" t="s">
        <v>386</v>
      </c>
      <c r="M1931" s="25" t="s">
        <v>35</v>
      </c>
      <c r="N1931" t="s">
        <v>36</v>
      </c>
      <c r="O1931" t="s">
        <v>37</v>
      </c>
      <c r="P1931" t="s">
        <v>60</v>
      </c>
      <c r="Q1931" t="s">
        <v>899</v>
      </c>
      <c r="R1931" t="s">
        <v>828</v>
      </c>
      <c r="S1931" t="s">
        <v>814</v>
      </c>
      <c r="T1931">
        <v>32.810671999999997</v>
      </c>
      <c r="U1931">
        <v>129.77223900000001</v>
      </c>
      <c r="V1931" t="s">
        <v>905</v>
      </c>
      <c r="W1931" s="25" t="s">
        <v>38</v>
      </c>
      <c r="X1931">
        <v>9</v>
      </c>
      <c r="Y1931" t="s">
        <v>143</v>
      </c>
      <c r="Z1931">
        <v>42</v>
      </c>
      <c r="AA1931">
        <v>29</v>
      </c>
      <c r="AC1931">
        <v>380</v>
      </c>
      <c r="AE1931">
        <v>2380</v>
      </c>
      <c r="AG1931">
        <v>1902</v>
      </c>
      <c r="AH1931">
        <v>3.3765769570000002</v>
      </c>
      <c r="AI1931">
        <v>25</v>
      </c>
      <c r="AJ1931" t="s">
        <v>392</v>
      </c>
      <c r="AK1931" t="s">
        <v>40</v>
      </c>
      <c r="AL1931" s="25" t="s">
        <v>60</v>
      </c>
      <c r="AM1931" t="s">
        <v>61</v>
      </c>
      <c r="AN1931">
        <v>518.15642460000004</v>
      </c>
      <c r="AO1931">
        <v>20.949720670000001</v>
      </c>
      <c r="AP1931">
        <v>512.5698324</v>
      </c>
      <c r="AQ1931">
        <v>107.05210820000001</v>
      </c>
      <c r="AR1931" t="s">
        <v>45</v>
      </c>
      <c r="AS1931">
        <f t="shared" si="206"/>
        <v>-1.0840214593883069E-2</v>
      </c>
      <c r="AT1931">
        <f t="shared" si="207"/>
        <v>1.5430545682258406E-3</v>
      </c>
      <c r="AW1931" s="28">
        <f t="shared" si="208"/>
        <v>-7.9716697027784139E-2</v>
      </c>
      <c r="AX1931">
        <f t="shared" si="209"/>
        <v>0.98909090909090913</v>
      </c>
      <c r="AY1931" s="62">
        <f t="shared" si="210"/>
        <v>-7.8847060332935592E-2</v>
      </c>
      <c r="AZ1931" s="68" t="str">
        <f t="shared" si="211"/>
        <v>No</v>
      </c>
      <c r="BA1931" s="68" t="str">
        <f t="shared" si="212"/>
        <v>No</v>
      </c>
    </row>
    <row r="1932" spans="1:53" hidden="1">
      <c r="A1932" t="s">
        <v>908</v>
      </c>
      <c r="B1932" t="s">
        <v>399</v>
      </c>
      <c r="C1932" t="s">
        <v>383</v>
      </c>
      <c r="D1932" s="25">
        <v>27</v>
      </c>
      <c r="E1932" s="25">
        <v>200</v>
      </c>
      <c r="F1932" t="s">
        <v>1241</v>
      </c>
      <c r="G1932" t="s">
        <v>384</v>
      </c>
      <c r="H1932" s="3" t="s">
        <v>813</v>
      </c>
      <c r="I1932">
        <v>2008</v>
      </c>
      <c r="J1932" t="s">
        <v>385</v>
      </c>
      <c r="K1932" t="s">
        <v>162</v>
      </c>
      <c r="L1932" t="s">
        <v>386</v>
      </c>
      <c r="M1932" s="25" t="s">
        <v>35</v>
      </c>
      <c r="N1932" t="s">
        <v>36</v>
      </c>
      <c r="O1932" t="s">
        <v>37</v>
      </c>
      <c r="P1932" t="s">
        <v>60</v>
      </c>
      <c r="Q1932" t="s">
        <v>899</v>
      </c>
      <c r="R1932" t="s">
        <v>828</v>
      </c>
      <c r="S1932" t="s">
        <v>814</v>
      </c>
      <c r="T1932">
        <v>32.810671999999997</v>
      </c>
      <c r="U1932">
        <v>129.77223900000001</v>
      </c>
      <c r="V1932" t="s">
        <v>905</v>
      </c>
      <c r="W1932" s="25" t="s">
        <v>38</v>
      </c>
      <c r="X1932">
        <v>9</v>
      </c>
      <c r="Y1932" t="s">
        <v>143</v>
      </c>
      <c r="Z1932">
        <v>13</v>
      </c>
      <c r="AA1932">
        <v>23</v>
      </c>
      <c r="AC1932">
        <v>380</v>
      </c>
      <c r="AE1932">
        <v>2380</v>
      </c>
      <c r="AG1932">
        <v>1903</v>
      </c>
      <c r="AH1932">
        <v>3.3765769570000002</v>
      </c>
      <c r="AI1932">
        <v>25</v>
      </c>
      <c r="AJ1932" t="s">
        <v>392</v>
      </c>
      <c r="AK1932" t="s">
        <v>40</v>
      </c>
      <c r="AL1932" s="25" t="s">
        <v>60</v>
      </c>
      <c r="AM1932" t="s">
        <v>61</v>
      </c>
      <c r="AN1932">
        <v>607.54189940000003</v>
      </c>
      <c r="AO1932">
        <v>12.569832399999999</v>
      </c>
      <c r="AP1932">
        <v>601.95530729999996</v>
      </c>
      <c r="AQ1932">
        <v>125.7205958</v>
      </c>
      <c r="AR1932" t="s">
        <v>45</v>
      </c>
      <c r="AS1932">
        <f t="shared" si="206"/>
        <v>-9.2379408547094144E-3</v>
      </c>
      <c r="AT1932">
        <f t="shared" si="207"/>
        <v>1.9294439128405478E-3</v>
      </c>
      <c r="AW1932" s="28">
        <f t="shared" si="208"/>
        <v>-5.5091912232575063E-2</v>
      </c>
      <c r="AX1932">
        <f t="shared" si="209"/>
        <v>0.97777777777777775</v>
      </c>
      <c r="AY1932" s="62">
        <f t="shared" si="210"/>
        <v>-5.3867647516295615E-2</v>
      </c>
      <c r="AZ1932" s="68" t="str">
        <f t="shared" si="211"/>
        <v>No</v>
      </c>
      <c r="BA1932" s="68" t="str">
        <f t="shared" si="212"/>
        <v>No</v>
      </c>
    </row>
    <row r="1933" spans="1:53" hidden="1">
      <c r="A1933" t="s">
        <v>908</v>
      </c>
      <c r="B1933" t="s">
        <v>400</v>
      </c>
      <c r="C1933" t="s">
        <v>383</v>
      </c>
      <c r="D1933" s="25">
        <v>27</v>
      </c>
      <c r="E1933" s="25">
        <v>201</v>
      </c>
      <c r="F1933" t="s">
        <v>1241</v>
      </c>
      <c r="G1933" t="s">
        <v>384</v>
      </c>
      <c r="H1933" s="3" t="s">
        <v>813</v>
      </c>
      <c r="I1933">
        <v>2008</v>
      </c>
      <c r="J1933" t="s">
        <v>385</v>
      </c>
      <c r="K1933" t="s">
        <v>162</v>
      </c>
      <c r="L1933" t="s">
        <v>386</v>
      </c>
      <c r="M1933" s="25" t="s">
        <v>35</v>
      </c>
      <c r="N1933" t="s">
        <v>36</v>
      </c>
      <c r="O1933" t="s">
        <v>37</v>
      </c>
      <c r="P1933" t="s">
        <v>60</v>
      </c>
      <c r="Q1933" t="s">
        <v>899</v>
      </c>
      <c r="R1933" t="s">
        <v>828</v>
      </c>
      <c r="S1933" t="s">
        <v>814</v>
      </c>
      <c r="T1933">
        <v>32.810671999999997</v>
      </c>
      <c r="U1933">
        <v>129.77223900000001</v>
      </c>
      <c r="V1933" t="s">
        <v>905</v>
      </c>
      <c r="W1933" s="25" t="s">
        <v>38</v>
      </c>
      <c r="X1933">
        <v>9</v>
      </c>
      <c r="Y1933" t="s">
        <v>143</v>
      </c>
      <c r="Z1933">
        <v>13</v>
      </c>
      <c r="AA1933">
        <v>23</v>
      </c>
      <c r="AC1933">
        <v>380</v>
      </c>
      <c r="AE1933">
        <v>2380</v>
      </c>
      <c r="AG1933">
        <v>1904</v>
      </c>
      <c r="AH1933">
        <v>3.3765769570000002</v>
      </c>
      <c r="AI1933">
        <v>25</v>
      </c>
      <c r="AJ1933" t="s">
        <v>392</v>
      </c>
      <c r="AK1933" t="s">
        <v>40</v>
      </c>
      <c r="AL1933" s="25" t="s">
        <v>60</v>
      </c>
      <c r="AM1933" t="s">
        <v>61</v>
      </c>
      <c r="AN1933">
        <v>576.81564249999997</v>
      </c>
      <c r="AO1933">
        <v>13.966480450000001</v>
      </c>
      <c r="AP1933">
        <v>578.21229049999999</v>
      </c>
      <c r="AQ1933">
        <v>120.7617788</v>
      </c>
      <c r="AR1933" t="s">
        <v>45</v>
      </c>
      <c r="AS1933">
        <f t="shared" si="206"/>
        <v>2.4183807868114471E-3</v>
      </c>
      <c r="AT1933">
        <f t="shared" si="207"/>
        <v>1.9416140034421209E-3</v>
      </c>
      <c r="AW1933" s="28">
        <f t="shared" si="208"/>
        <v>1.432541020334812E-2</v>
      </c>
      <c r="AX1933">
        <f t="shared" si="209"/>
        <v>0.97777777777777775</v>
      </c>
      <c r="AY1933" s="62">
        <f t="shared" si="210"/>
        <v>1.4007067754384827E-2</v>
      </c>
      <c r="AZ1933" s="68" t="str">
        <f t="shared" si="211"/>
        <v>No</v>
      </c>
      <c r="BA1933" s="68" t="str">
        <f t="shared" si="212"/>
        <v>No</v>
      </c>
    </row>
    <row r="1934" spans="1:53" hidden="1">
      <c r="A1934" t="s">
        <v>908</v>
      </c>
      <c r="B1934" t="s">
        <v>401</v>
      </c>
      <c r="C1934" t="s">
        <v>383</v>
      </c>
      <c r="D1934" s="25">
        <v>27</v>
      </c>
      <c r="E1934" s="25">
        <v>202</v>
      </c>
      <c r="F1934" t="s">
        <v>1241</v>
      </c>
      <c r="G1934" t="s">
        <v>384</v>
      </c>
      <c r="H1934" s="3" t="s">
        <v>813</v>
      </c>
      <c r="I1934">
        <v>2008</v>
      </c>
      <c r="J1934" t="s">
        <v>385</v>
      </c>
      <c r="K1934" t="s">
        <v>162</v>
      </c>
      <c r="L1934" t="s">
        <v>386</v>
      </c>
      <c r="M1934" s="25" t="s">
        <v>35</v>
      </c>
      <c r="N1934" t="s">
        <v>36</v>
      </c>
      <c r="O1934" t="s">
        <v>37</v>
      </c>
      <c r="P1934" t="s">
        <v>60</v>
      </c>
      <c r="Q1934" t="s">
        <v>899</v>
      </c>
      <c r="R1934" t="s">
        <v>828</v>
      </c>
      <c r="S1934" t="s">
        <v>814</v>
      </c>
      <c r="T1934">
        <v>32.810671999999997</v>
      </c>
      <c r="U1934">
        <v>129.77223900000001</v>
      </c>
      <c r="V1934" t="s">
        <v>905</v>
      </c>
      <c r="W1934" s="25" t="s">
        <v>38</v>
      </c>
      <c r="X1934">
        <v>9</v>
      </c>
      <c r="Y1934" t="s">
        <v>143</v>
      </c>
      <c r="Z1934">
        <v>24</v>
      </c>
      <c r="AA1934">
        <v>21</v>
      </c>
      <c r="AC1934">
        <v>380</v>
      </c>
      <c r="AE1934">
        <v>2380</v>
      </c>
      <c r="AG1934">
        <v>1905</v>
      </c>
      <c r="AH1934">
        <v>3.3765769570000002</v>
      </c>
      <c r="AI1934">
        <v>25</v>
      </c>
      <c r="AJ1934" t="s">
        <v>392</v>
      </c>
      <c r="AK1934" t="s">
        <v>40</v>
      </c>
      <c r="AL1934" s="25" t="s">
        <v>60</v>
      </c>
      <c r="AM1934" t="s">
        <v>61</v>
      </c>
      <c r="AN1934">
        <v>717.87709500000005</v>
      </c>
      <c r="AO1934">
        <v>8.3798882680000002</v>
      </c>
      <c r="AP1934">
        <v>710.89385470000002</v>
      </c>
      <c r="AQ1934">
        <v>148.472815</v>
      </c>
      <c r="AR1934" t="s">
        <v>45</v>
      </c>
      <c r="AS1934">
        <f t="shared" si="206"/>
        <v>-9.7752490119216162E-3</v>
      </c>
      <c r="AT1934">
        <f t="shared" si="207"/>
        <v>2.082814262414653E-3</v>
      </c>
      <c r="AW1934" s="28">
        <f t="shared" si="208"/>
        <v>-6.8839108533329155E-2</v>
      </c>
      <c r="AX1934">
        <f t="shared" si="209"/>
        <v>0.98245614035087714</v>
      </c>
      <c r="AY1934" s="62">
        <f t="shared" si="210"/>
        <v>-6.7631404874849699E-2</v>
      </c>
      <c r="AZ1934" s="68" t="str">
        <f t="shared" si="211"/>
        <v>No</v>
      </c>
      <c r="BA1934" s="68" t="str">
        <f t="shared" si="212"/>
        <v>No</v>
      </c>
    </row>
    <row r="1935" spans="1:53" hidden="1">
      <c r="A1935" t="s">
        <v>908</v>
      </c>
      <c r="B1935" t="s">
        <v>402</v>
      </c>
      <c r="C1935" t="s">
        <v>383</v>
      </c>
      <c r="D1935" s="25">
        <v>27</v>
      </c>
      <c r="E1935" s="25">
        <v>203</v>
      </c>
      <c r="F1935" t="s">
        <v>1241</v>
      </c>
      <c r="G1935" t="s">
        <v>384</v>
      </c>
      <c r="H1935" s="3" t="s">
        <v>813</v>
      </c>
      <c r="I1935">
        <v>2008</v>
      </c>
      <c r="J1935" t="s">
        <v>385</v>
      </c>
      <c r="K1935" t="s">
        <v>162</v>
      </c>
      <c r="L1935" t="s">
        <v>386</v>
      </c>
      <c r="M1935" s="25" t="s">
        <v>35</v>
      </c>
      <c r="N1935" t="s">
        <v>36</v>
      </c>
      <c r="O1935" t="s">
        <v>37</v>
      </c>
      <c r="P1935" t="s">
        <v>60</v>
      </c>
      <c r="Q1935" t="s">
        <v>899</v>
      </c>
      <c r="R1935" t="s">
        <v>828</v>
      </c>
      <c r="S1935" t="s">
        <v>814</v>
      </c>
      <c r="T1935">
        <v>32.810671999999997</v>
      </c>
      <c r="U1935">
        <v>129.77223900000001</v>
      </c>
      <c r="V1935" t="s">
        <v>905</v>
      </c>
      <c r="W1935" s="25" t="s">
        <v>38</v>
      </c>
      <c r="X1935">
        <v>9</v>
      </c>
      <c r="Y1935" t="s">
        <v>143</v>
      </c>
      <c r="Z1935">
        <v>24</v>
      </c>
      <c r="AA1935">
        <v>21</v>
      </c>
      <c r="AC1935">
        <v>380</v>
      </c>
      <c r="AE1935">
        <v>2380</v>
      </c>
      <c r="AG1935">
        <v>1906</v>
      </c>
      <c r="AH1935">
        <v>3.3765769570000002</v>
      </c>
      <c r="AI1935">
        <v>25</v>
      </c>
      <c r="AJ1935" t="s">
        <v>392</v>
      </c>
      <c r="AK1935" t="s">
        <v>40</v>
      </c>
      <c r="AL1935" s="25" t="s">
        <v>60</v>
      </c>
      <c r="AM1935" t="s">
        <v>61</v>
      </c>
      <c r="AN1935">
        <v>653.63128489999997</v>
      </c>
      <c r="AO1935">
        <v>11.17318436</v>
      </c>
      <c r="AP1935">
        <v>660.61452510000004</v>
      </c>
      <c r="AQ1935">
        <v>137.97179070000001</v>
      </c>
      <c r="AR1935" t="s">
        <v>45</v>
      </c>
      <c r="AS1935">
        <f t="shared" si="206"/>
        <v>1.0627092539030158E-2</v>
      </c>
      <c r="AT1935">
        <f t="shared" si="207"/>
        <v>2.0893118835476647E-3</v>
      </c>
      <c r="AW1935" s="28">
        <f t="shared" si="208"/>
        <v>7.3935733807891327E-2</v>
      </c>
      <c r="AX1935">
        <f t="shared" si="209"/>
        <v>0.98245614035087714</v>
      </c>
      <c r="AY1935" s="62">
        <f t="shared" si="210"/>
        <v>7.2638615670910775E-2</v>
      </c>
      <c r="AZ1935" s="68" t="str">
        <f t="shared" si="211"/>
        <v>No</v>
      </c>
      <c r="BA1935" s="68" t="str">
        <f t="shared" si="212"/>
        <v>No</v>
      </c>
    </row>
    <row r="1936" spans="1:53" hidden="1">
      <c r="A1936" t="s">
        <v>908</v>
      </c>
      <c r="B1936" t="s">
        <v>403</v>
      </c>
      <c r="C1936" t="s">
        <v>383</v>
      </c>
      <c r="D1936" s="25">
        <v>27</v>
      </c>
      <c r="E1936" s="25">
        <v>204</v>
      </c>
      <c r="F1936" t="s">
        <v>1241</v>
      </c>
      <c r="G1936" t="s">
        <v>384</v>
      </c>
      <c r="H1936" s="3" t="s">
        <v>813</v>
      </c>
      <c r="I1936">
        <v>2008</v>
      </c>
      <c r="J1936" t="s">
        <v>385</v>
      </c>
      <c r="K1936" t="s">
        <v>162</v>
      </c>
      <c r="L1936" t="s">
        <v>386</v>
      </c>
      <c r="M1936" s="25" t="s">
        <v>35</v>
      </c>
      <c r="N1936" t="s">
        <v>36</v>
      </c>
      <c r="O1936" t="s">
        <v>37</v>
      </c>
      <c r="P1936" t="s">
        <v>60</v>
      </c>
      <c r="Q1936" t="s">
        <v>899</v>
      </c>
      <c r="R1936" t="s">
        <v>828</v>
      </c>
      <c r="S1936" t="s">
        <v>814</v>
      </c>
      <c r="T1936">
        <v>32.810671999999997</v>
      </c>
      <c r="U1936">
        <v>129.77223900000001</v>
      </c>
      <c r="V1936" t="s">
        <v>905</v>
      </c>
      <c r="W1936" s="25" t="s">
        <v>38</v>
      </c>
      <c r="X1936">
        <v>9</v>
      </c>
      <c r="Y1936" t="s">
        <v>143</v>
      </c>
      <c r="Z1936">
        <v>60</v>
      </c>
      <c r="AA1936">
        <v>18</v>
      </c>
      <c r="AC1936">
        <v>380</v>
      </c>
      <c r="AE1936">
        <v>2380</v>
      </c>
      <c r="AG1936">
        <v>1907</v>
      </c>
      <c r="AH1936">
        <v>3.3765769570000002</v>
      </c>
      <c r="AI1936">
        <v>25</v>
      </c>
      <c r="AJ1936" t="s">
        <v>392</v>
      </c>
      <c r="AK1936" t="s">
        <v>40</v>
      </c>
      <c r="AL1936" s="25" t="s">
        <v>60</v>
      </c>
      <c r="AM1936" t="s">
        <v>61</v>
      </c>
      <c r="AN1936">
        <v>808.65921790000004</v>
      </c>
      <c r="AO1936">
        <v>12.569832399999999</v>
      </c>
      <c r="AP1936">
        <v>819.83240220000005</v>
      </c>
      <c r="AQ1936">
        <v>171.22503420000001</v>
      </c>
      <c r="AR1936" t="s">
        <v>45</v>
      </c>
      <c r="AS1936">
        <f t="shared" si="206"/>
        <v>1.3722342184527392E-2</v>
      </c>
      <c r="AT1936">
        <f t="shared" si="207"/>
        <v>2.4273530564320298E-3</v>
      </c>
      <c r="AW1936" s="28">
        <f t="shared" si="208"/>
        <v>0.13669986773948481</v>
      </c>
      <c r="AX1936">
        <f t="shared" si="209"/>
        <v>0.99009900990099009</v>
      </c>
      <c r="AY1936" s="62">
        <f t="shared" si="210"/>
        <v>0.13534640370246021</v>
      </c>
      <c r="AZ1936" s="68" t="str">
        <f t="shared" si="211"/>
        <v>No</v>
      </c>
      <c r="BA1936" s="68" t="str">
        <f t="shared" si="212"/>
        <v>No</v>
      </c>
    </row>
    <row r="1937" spans="1:53" hidden="1">
      <c r="A1937" t="s">
        <v>908</v>
      </c>
      <c r="B1937" t="s">
        <v>404</v>
      </c>
      <c r="C1937" t="s">
        <v>383</v>
      </c>
      <c r="D1937" s="25">
        <v>27</v>
      </c>
      <c r="E1937" s="25">
        <v>205</v>
      </c>
      <c r="F1937" t="s">
        <v>1241</v>
      </c>
      <c r="G1937" t="s">
        <v>384</v>
      </c>
      <c r="H1937" s="3" t="s">
        <v>813</v>
      </c>
      <c r="I1937">
        <v>2008</v>
      </c>
      <c r="J1937" t="s">
        <v>385</v>
      </c>
      <c r="K1937" t="s">
        <v>162</v>
      </c>
      <c r="L1937" t="s">
        <v>386</v>
      </c>
      <c r="M1937" s="25" t="s">
        <v>35</v>
      </c>
      <c r="N1937" t="s">
        <v>36</v>
      </c>
      <c r="O1937" t="s">
        <v>37</v>
      </c>
      <c r="P1937" t="s">
        <v>60</v>
      </c>
      <c r="Q1937" t="s">
        <v>899</v>
      </c>
      <c r="R1937" t="s">
        <v>828</v>
      </c>
      <c r="S1937" t="s">
        <v>814</v>
      </c>
      <c r="T1937">
        <v>32.810671999999997</v>
      </c>
      <c r="U1937">
        <v>129.77223900000001</v>
      </c>
      <c r="V1937" t="s">
        <v>905</v>
      </c>
      <c r="W1937" s="25" t="s">
        <v>38</v>
      </c>
      <c r="X1937">
        <v>9</v>
      </c>
      <c r="Y1937" t="s">
        <v>143</v>
      </c>
      <c r="Z1937">
        <v>60</v>
      </c>
      <c r="AA1937">
        <v>18</v>
      </c>
      <c r="AC1937">
        <v>380</v>
      </c>
      <c r="AE1937">
        <v>2380</v>
      </c>
      <c r="AG1937">
        <v>1908</v>
      </c>
      <c r="AH1937">
        <v>3.3765769570000002</v>
      </c>
      <c r="AI1937">
        <v>25</v>
      </c>
      <c r="AJ1937" t="s">
        <v>392</v>
      </c>
      <c r="AK1937" t="s">
        <v>40</v>
      </c>
      <c r="AL1937" s="25" t="s">
        <v>60</v>
      </c>
      <c r="AM1937" t="s">
        <v>61</v>
      </c>
      <c r="AN1937">
        <v>696.9273743</v>
      </c>
      <c r="AO1937">
        <v>33.519553070000001</v>
      </c>
      <c r="AP1937">
        <v>701.11731840000004</v>
      </c>
      <c r="AQ1937">
        <v>146.43094919999999</v>
      </c>
      <c r="AR1937" t="s">
        <v>45</v>
      </c>
      <c r="AS1937">
        <f t="shared" si="206"/>
        <v>5.9940238916187383E-3</v>
      </c>
      <c r="AT1937">
        <f t="shared" si="207"/>
        <v>2.4618801654350156E-3</v>
      </c>
      <c r="AW1937" s="28">
        <f t="shared" si="208"/>
        <v>5.5651251103941056E-2</v>
      </c>
      <c r="AX1937">
        <f t="shared" si="209"/>
        <v>0.99009900990099009</v>
      </c>
      <c r="AY1937" s="62">
        <f t="shared" si="210"/>
        <v>5.5100248617763421E-2</v>
      </c>
      <c r="AZ1937" s="68" t="str">
        <f t="shared" si="211"/>
        <v>No</v>
      </c>
      <c r="BA1937" s="68" t="str">
        <f t="shared" si="212"/>
        <v>No</v>
      </c>
    </row>
    <row r="1938" spans="1:53" hidden="1">
      <c r="A1938" t="s">
        <v>908</v>
      </c>
      <c r="B1938" t="s">
        <v>405</v>
      </c>
      <c r="C1938" t="s">
        <v>383</v>
      </c>
      <c r="D1938" s="25">
        <v>27</v>
      </c>
      <c r="E1938" s="25">
        <v>206</v>
      </c>
      <c r="F1938" t="s">
        <v>1241</v>
      </c>
      <c r="G1938" t="s">
        <v>384</v>
      </c>
      <c r="H1938" s="3" t="s">
        <v>813</v>
      </c>
      <c r="I1938">
        <v>2008</v>
      </c>
      <c r="J1938" t="s">
        <v>385</v>
      </c>
      <c r="K1938" t="s">
        <v>162</v>
      </c>
      <c r="L1938" t="s">
        <v>386</v>
      </c>
      <c r="M1938" s="25" t="s">
        <v>35</v>
      </c>
      <c r="N1938" t="s">
        <v>36</v>
      </c>
      <c r="O1938" t="s">
        <v>37</v>
      </c>
      <c r="P1938" t="s">
        <v>60</v>
      </c>
      <c r="Q1938" t="s">
        <v>899</v>
      </c>
      <c r="R1938" t="s">
        <v>828</v>
      </c>
      <c r="S1938" t="s">
        <v>814</v>
      </c>
      <c r="T1938">
        <v>32.810671999999997</v>
      </c>
      <c r="U1938">
        <v>129.77223900000001</v>
      </c>
      <c r="V1938" t="s">
        <v>905</v>
      </c>
      <c r="W1938" s="25" t="s">
        <v>38</v>
      </c>
      <c r="X1938" t="s">
        <v>406</v>
      </c>
      <c r="Y1938" t="s">
        <v>39</v>
      </c>
      <c r="Z1938">
        <v>10</v>
      </c>
      <c r="AA1938">
        <v>10</v>
      </c>
      <c r="AC1938">
        <v>380</v>
      </c>
      <c r="AE1938">
        <v>2380</v>
      </c>
      <c r="AG1938">
        <v>1909</v>
      </c>
      <c r="AH1938">
        <v>3.3765769570000002</v>
      </c>
      <c r="AI1938">
        <v>25</v>
      </c>
      <c r="AJ1938" t="s">
        <v>407</v>
      </c>
      <c r="AK1938" t="s">
        <v>59</v>
      </c>
      <c r="AL1938" s="25" t="s">
        <v>60</v>
      </c>
      <c r="AM1938" t="s">
        <v>61</v>
      </c>
      <c r="AN1938">
        <v>13.974151859999999</v>
      </c>
      <c r="AO1938">
        <v>5.2504038770000001</v>
      </c>
      <c r="AP1938">
        <v>14.781906299999999</v>
      </c>
      <c r="AQ1938">
        <v>5.5735056539999999</v>
      </c>
      <c r="AR1938" t="s">
        <v>41</v>
      </c>
      <c r="AS1938">
        <f t="shared" si="206"/>
        <v>5.6194558155941987E-2</v>
      </c>
      <c r="AT1938">
        <f t="shared" si="207"/>
        <v>2.8333351390860826E-2</v>
      </c>
      <c r="AW1938" s="28">
        <f t="shared" si="208"/>
        <v>0.14918727772699164</v>
      </c>
      <c r="AX1938">
        <f t="shared" si="209"/>
        <v>0.95774647887323949</v>
      </c>
      <c r="AY1938" s="62">
        <f t="shared" si="210"/>
        <v>0.14288358993571032</v>
      </c>
      <c r="AZ1938" s="68" t="str">
        <f t="shared" si="211"/>
        <v>No</v>
      </c>
      <c r="BA1938" s="68" t="str">
        <f t="shared" si="212"/>
        <v>No</v>
      </c>
    </row>
    <row r="1939" spans="1:53" hidden="1">
      <c r="A1939" t="s">
        <v>908</v>
      </c>
      <c r="B1939" t="s">
        <v>408</v>
      </c>
      <c r="C1939" t="s">
        <v>383</v>
      </c>
      <c r="D1939" s="25">
        <v>27</v>
      </c>
      <c r="E1939" s="25">
        <v>207</v>
      </c>
      <c r="F1939" t="s">
        <v>1241</v>
      </c>
      <c r="G1939" t="s">
        <v>384</v>
      </c>
      <c r="H1939" s="3" t="s">
        <v>813</v>
      </c>
      <c r="I1939">
        <v>2008</v>
      </c>
      <c r="J1939" t="s">
        <v>385</v>
      </c>
      <c r="K1939" t="s">
        <v>162</v>
      </c>
      <c r="L1939" t="s">
        <v>386</v>
      </c>
      <c r="M1939" s="25" t="s">
        <v>35</v>
      </c>
      <c r="N1939" t="s">
        <v>36</v>
      </c>
      <c r="O1939" t="s">
        <v>37</v>
      </c>
      <c r="P1939" t="s">
        <v>60</v>
      </c>
      <c r="Q1939" t="s">
        <v>899</v>
      </c>
      <c r="R1939" t="s">
        <v>828</v>
      </c>
      <c r="S1939" t="s">
        <v>814</v>
      </c>
      <c r="T1939">
        <v>32.810671999999997</v>
      </c>
      <c r="U1939">
        <v>129.77223900000001</v>
      </c>
      <c r="V1939" t="s">
        <v>905</v>
      </c>
      <c r="W1939" s="25" t="s">
        <v>38</v>
      </c>
      <c r="X1939" t="s">
        <v>409</v>
      </c>
      <c r="Y1939" t="s">
        <v>39</v>
      </c>
      <c r="Z1939">
        <v>10</v>
      </c>
      <c r="AA1939">
        <v>10</v>
      </c>
      <c r="AC1939">
        <v>380</v>
      </c>
      <c r="AE1939">
        <v>2380</v>
      </c>
      <c r="AG1939">
        <v>1910</v>
      </c>
      <c r="AH1939">
        <v>3.3765769570000002</v>
      </c>
      <c r="AI1939">
        <v>25</v>
      </c>
      <c r="AJ1939" t="s">
        <v>407</v>
      </c>
      <c r="AK1939" t="s">
        <v>59</v>
      </c>
      <c r="AL1939" s="25" t="s">
        <v>60</v>
      </c>
      <c r="AM1939" t="s">
        <v>61</v>
      </c>
      <c r="AN1939">
        <v>28.998384489999999</v>
      </c>
      <c r="AO1939">
        <v>13.327948299999999</v>
      </c>
      <c r="AP1939">
        <v>19.143780289999999</v>
      </c>
      <c r="AQ1939">
        <v>14.701130859999999</v>
      </c>
      <c r="AR1939" t="s">
        <v>41</v>
      </c>
      <c r="AS1939">
        <f t="shared" si="206"/>
        <v>-0.4152622473560581</v>
      </c>
      <c r="AT1939">
        <f t="shared" si="207"/>
        <v>8.0096168631066916E-2</v>
      </c>
      <c r="AW1939" s="28">
        <f t="shared" si="208"/>
        <v>-0.7023276870322317</v>
      </c>
      <c r="AX1939">
        <f t="shared" si="209"/>
        <v>0.95774647887323949</v>
      </c>
      <c r="AY1939" s="62">
        <f t="shared" si="210"/>
        <v>-0.6726518692703064</v>
      </c>
      <c r="AZ1939" s="68" t="str">
        <f t="shared" si="211"/>
        <v>No</v>
      </c>
      <c r="BA1939" s="68" t="str">
        <f t="shared" si="212"/>
        <v>No</v>
      </c>
    </row>
    <row r="1940" spans="1:53" hidden="1">
      <c r="A1940" t="s">
        <v>908</v>
      </c>
      <c r="B1940" t="s">
        <v>410</v>
      </c>
      <c r="C1940" t="s">
        <v>383</v>
      </c>
      <c r="D1940" s="25">
        <v>27</v>
      </c>
      <c r="E1940" s="25">
        <v>208</v>
      </c>
      <c r="F1940" t="s">
        <v>1241</v>
      </c>
      <c r="G1940" t="s">
        <v>384</v>
      </c>
      <c r="H1940" s="3" t="s">
        <v>813</v>
      </c>
      <c r="I1940">
        <v>2008</v>
      </c>
      <c r="J1940" t="s">
        <v>385</v>
      </c>
      <c r="K1940" t="s">
        <v>162</v>
      </c>
      <c r="L1940" t="s">
        <v>386</v>
      </c>
      <c r="M1940" s="25" t="s">
        <v>35</v>
      </c>
      <c r="N1940" t="s">
        <v>36</v>
      </c>
      <c r="O1940" t="s">
        <v>37</v>
      </c>
      <c r="P1940" t="s">
        <v>60</v>
      </c>
      <c r="Q1940" t="s">
        <v>899</v>
      </c>
      <c r="R1940" t="s">
        <v>828</v>
      </c>
      <c r="S1940" t="s">
        <v>814</v>
      </c>
      <c r="T1940">
        <v>32.810671999999997</v>
      </c>
      <c r="U1940">
        <v>129.77223900000001</v>
      </c>
      <c r="V1940" t="s">
        <v>905</v>
      </c>
      <c r="W1940" s="25" t="s">
        <v>38</v>
      </c>
      <c r="X1940" t="s">
        <v>411</v>
      </c>
      <c r="Y1940" t="s">
        <v>39</v>
      </c>
      <c r="Z1940">
        <v>10</v>
      </c>
      <c r="AA1940">
        <v>10</v>
      </c>
      <c r="AC1940">
        <v>380</v>
      </c>
      <c r="AE1940">
        <v>2380</v>
      </c>
      <c r="AG1940">
        <v>1911</v>
      </c>
      <c r="AH1940">
        <v>3.3765769570000002</v>
      </c>
      <c r="AI1940">
        <v>25</v>
      </c>
      <c r="AJ1940" t="s">
        <v>407</v>
      </c>
      <c r="AK1940" t="s">
        <v>59</v>
      </c>
      <c r="AL1940" s="25" t="s">
        <v>60</v>
      </c>
      <c r="AM1940" t="s">
        <v>61</v>
      </c>
      <c r="AN1940">
        <v>20.11308562</v>
      </c>
      <c r="AO1940">
        <v>8.966074313</v>
      </c>
      <c r="AP1940">
        <v>21.56704362</v>
      </c>
      <c r="AQ1940">
        <v>6.3812600970000002</v>
      </c>
      <c r="AR1940" t="s">
        <v>41</v>
      </c>
      <c r="AS1940">
        <f t="shared" si="206"/>
        <v>6.97957620919607E-2</v>
      </c>
      <c r="AT1940">
        <f t="shared" si="207"/>
        <v>2.8626766431407769E-2</v>
      </c>
      <c r="AW1940" s="28">
        <f t="shared" si="208"/>
        <v>0.18684226343000052</v>
      </c>
      <c r="AX1940">
        <f t="shared" si="209"/>
        <v>0.95774647887323949</v>
      </c>
      <c r="AY1940" s="62">
        <f t="shared" si="210"/>
        <v>0.17894751990478924</v>
      </c>
      <c r="AZ1940" s="68" t="str">
        <f t="shared" si="211"/>
        <v>No</v>
      </c>
      <c r="BA1940" s="68" t="str">
        <f t="shared" si="212"/>
        <v>No</v>
      </c>
    </row>
    <row r="1941" spans="1:53" hidden="1">
      <c r="A1941" t="s">
        <v>908</v>
      </c>
      <c r="B1941" t="s">
        <v>412</v>
      </c>
      <c r="C1941" t="s">
        <v>383</v>
      </c>
      <c r="D1941" s="25">
        <v>27</v>
      </c>
      <c r="E1941" s="25">
        <v>209</v>
      </c>
      <c r="F1941" t="s">
        <v>1241</v>
      </c>
      <c r="G1941" t="s">
        <v>384</v>
      </c>
      <c r="H1941" s="3" t="s">
        <v>813</v>
      </c>
      <c r="I1941">
        <v>2008</v>
      </c>
      <c r="J1941" t="s">
        <v>385</v>
      </c>
      <c r="K1941" t="s">
        <v>162</v>
      </c>
      <c r="L1941" t="s">
        <v>386</v>
      </c>
      <c r="M1941" s="25" t="s">
        <v>35</v>
      </c>
      <c r="N1941" t="s">
        <v>36</v>
      </c>
      <c r="O1941" t="s">
        <v>37</v>
      </c>
      <c r="P1941" t="s">
        <v>60</v>
      </c>
      <c r="Q1941" t="s">
        <v>899</v>
      </c>
      <c r="R1941" t="s">
        <v>828</v>
      </c>
      <c r="S1941" t="s">
        <v>814</v>
      </c>
      <c r="T1941">
        <v>32.810671999999997</v>
      </c>
      <c r="U1941">
        <v>129.77223900000001</v>
      </c>
      <c r="V1941" t="s">
        <v>905</v>
      </c>
      <c r="W1941" s="25" t="s">
        <v>38</v>
      </c>
      <c r="X1941" t="s">
        <v>406</v>
      </c>
      <c r="Y1941" t="s">
        <v>39</v>
      </c>
      <c r="Z1941">
        <v>10</v>
      </c>
      <c r="AA1941">
        <v>10</v>
      </c>
      <c r="AC1941">
        <v>380</v>
      </c>
      <c r="AE1941">
        <v>2380</v>
      </c>
      <c r="AG1941">
        <v>1912</v>
      </c>
      <c r="AH1941">
        <v>3.3765769570000002</v>
      </c>
      <c r="AI1941">
        <v>25</v>
      </c>
      <c r="AJ1941" t="s">
        <v>413</v>
      </c>
      <c r="AK1941" t="s">
        <v>59</v>
      </c>
      <c r="AL1941" s="25" t="s">
        <v>60</v>
      </c>
      <c r="AM1941" t="s">
        <v>61</v>
      </c>
      <c r="AN1941">
        <v>79.933110369999994</v>
      </c>
      <c r="AO1941">
        <v>11.705685620000001</v>
      </c>
      <c r="AP1941">
        <v>64.548494980000001</v>
      </c>
      <c r="AQ1941">
        <v>22.575250839999999</v>
      </c>
      <c r="AR1941" t="s">
        <v>43</v>
      </c>
      <c r="AS1941">
        <f t="shared" si="206"/>
        <v>-0.21377336310376194</v>
      </c>
      <c r="AT1941">
        <f t="shared" si="207"/>
        <v>1.4376442300501658E-2</v>
      </c>
      <c r="AW1941" s="28">
        <f t="shared" si="208"/>
        <v>-0.85558262131840213</v>
      </c>
      <c r="AX1941">
        <f t="shared" si="209"/>
        <v>0.95774647887323949</v>
      </c>
      <c r="AY1941" s="62">
        <f t="shared" si="210"/>
        <v>-0.81943124295283587</v>
      </c>
      <c r="AZ1941" s="68" t="str">
        <f t="shared" si="211"/>
        <v>No</v>
      </c>
      <c r="BA1941" s="68" t="str">
        <f t="shared" si="212"/>
        <v>No</v>
      </c>
    </row>
    <row r="1942" spans="1:53" hidden="1">
      <c r="A1942" t="s">
        <v>908</v>
      </c>
      <c r="B1942" t="s">
        <v>414</v>
      </c>
      <c r="C1942" t="s">
        <v>383</v>
      </c>
      <c r="D1942" s="25">
        <v>27</v>
      </c>
      <c r="E1942" s="25">
        <v>210</v>
      </c>
      <c r="F1942" t="s">
        <v>1241</v>
      </c>
      <c r="G1942" t="s">
        <v>384</v>
      </c>
      <c r="H1942" s="3" t="s">
        <v>813</v>
      </c>
      <c r="I1942">
        <v>2008</v>
      </c>
      <c r="J1942" t="s">
        <v>385</v>
      </c>
      <c r="K1942" t="s">
        <v>162</v>
      </c>
      <c r="L1942" t="s">
        <v>386</v>
      </c>
      <c r="M1942" s="25" t="s">
        <v>35</v>
      </c>
      <c r="N1942" t="s">
        <v>36</v>
      </c>
      <c r="O1942" t="s">
        <v>37</v>
      </c>
      <c r="P1942" t="s">
        <v>60</v>
      </c>
      <c r="Q1942" t="s">
        <v>899</v>
      </c>
      <c r="R1942" t="s">
        <v>828</v>
      </c>
      <c r="S1942" t="s">
        <v>814</v>
      </c>
      <c r="T1942">
        <v>32.810671999999997</v>
      </c>
      <c r="U1942">
        <v>129.77223900000001</v>
      </c>
      <c r="V1942" t="s">
        <v>905</v>
      </c>
      <c r="W1942" s="25" t="s">
        <v>38</v>
      </c>
      <c r="X1942" t="s">
        <v>409</v>
      </c>
      <c r="Y1942" t="s">
        <v>39</v>
      </c>
      <c r="Z1942">
        <v>10</v>
      </c>
      <c r="AA1942">
        <v>10</v>
      </c>
      <c r="AC1942">
        <v>380</v>
      </c>
      <c r="AE1942">
        <v>2380</v>
      </c>
      <c r="AG1942">
        <v>1913</v>
      </c>
      <c r="AH1942">
        <v>3.3765769570000002</v>
      </c>
      <c r="AI1942">
        <v>25</v>
      </c>
      <c r="AJ1942" t="s">
        <v>413</v>
      </c>
      <c r="AK1942" t="s">
        <v>59</v>
      </c>
      <c r="AL1942" s="25" t="s">
        <v>60</v>
      </c>
      <c r="AM1942" t="s">
        <v>61</v>
      </c>
      <c r="AN1942">
        <v>82.107023409999996</v>
      </c>
      <c r="AO1942">
        <v>25.75250836</v>
      </c>
      <c r="AP1942">
        <v>67.391304349999999</v>
      </c>
      <c r="AQ1942">
        <v>40.635451510000003</v>
      </c>
      <c r="AR1942" t="s">
        <v>43</v>
      </c>
      <c r="AS1942">
        <f t="shared" si="206"/>
        <v>-0.19750756579887874</v>
      </c>
      <c r="AT1942">
        <f t="shared" si="207"/>
        <v>4.6195564324224489E-2</v>
      </c>
      <c r="AW1942" s="28">
        <f t="shared" si="208"/>
        <v>-0.43258784283864493</v>
      </c>
      <c r="AX1942">
        <f t="shared" si="209"/>
        <v>0.95774647887323949</v>
      </c>
      <c r="AY1942" s="62">
        <f t="shared" si="210"/>
        <v>-0.4143094832820825</v>
      </c>
      <c r="AZ1942" s="68" t="str">
        <f t="shared" si="211"/>
        <v>No</v>
      </c>
      <c r="BA1942" s="68" t="str">
        <f t="shared" si="212"/>
        <v>No</v>
      </c>
    </row>
    <row r="1943" spans="1:53" hidden="1">
      <c r="A1943" t="s">
        <v>908</v>
      </c>
      <c r="B1943" t="s">
        <v>415</v>
      </c>
      <c r="C1943" t="s">
        <v>383</v>
      </c>
      <c r="D1943" s="25">
        <v>27</v>
      </c>
      <c r="E1943" s="25">
        <v>211</v>
      </c>
      <c r="F1943" t="s">
        <v>1241</v>
      </c>
      <c r="G1943" t="s">
        <v>384</v>
      </c>
      <c r="H1943" s="3" t="s">
        <v>813</v>
      </c>
      <c r="I1943">
        <v>2008</v>
      </c>
      <c r="J1943" t="s">
        <v>385</v>
      </c>
      <c r="K1943" t="s">
        <v>162</v>
      </c>
      <c r="L1943" t="s">
        <v>386</v>
      </c>
      <c r="M1943" s="25" t="s">
        <v>35</v>
      </c>
      <c r="N1943" t="s">
        <v>36</v>
      </c>
      <c r="O1943" t="s">
        <v>37</v>
      </c>
      <c r="P1943" t="s">
        <v>60</v>
      </c>
      <c r="Q1943" t="s">
        <v>899</v>
      </c>
      <c r="R1943" t="s">
        <v>828</v>
      </c>
      <c r="S1943" t="s">
        <v>814</v>
      </c>
      <c r="T1943">
        <v>32.810671999999997</v>
      </c>
      <c r="U1943">
        <v>129.77223900000001</v>
      </c>
      <c r="V1943" t="s">
        <v>905</v>
      </c>
      <c r="W1943" s="25" t="s">
        <v>38</v>
      </c>
      <c r="X1943" t="s">
        <v>411</v>
      </c>
      <c r="Y1943" t="s">
        <v>39</v>
      </c>
      <c r="Z1943">
        <v>10</v>
      </c>
      <c r="AA1943">
        <v>10</v>
      </c>
      <c r="AC1943">
        <v>380</v>
      </c>
      <c r="AE1943">
        <v>2380</v>
      </c>
      <c r="AG1943">
        <v>1914</v>
      </c>
      <c r="AH1943">
        <v>3.3765769570000002</v>
      </c>
      <c r="AI1943">
        <v>25</v>
      </c>
      <c r="AJ1943" t="s">
        <v>413</v>
      </c>
      <c r="AK1943" t="s">
        <v>59</v>
      </c>
      <c r="AL1943" s="25" t="s">
        <v>60</v>
      </c>
      <c r="AM1943" t="s">
        <v>61</v>
      </c>
      <c r="AN1943">
        <v>78.929765889999999</v>
      </c>
      <c r="AO1943">
        <v>25.083612039999998</v>
      </c>
      <c r="AP1943">
        <v>70.066889630000006</v>
      </c>
      <c r="AQ1943">
        <v>21.906354520000001</v>
      </c>
      <c r="AR1943" t="s">
        <v>43</v>
      </c>
      <c r="AS1943">
        <f t="shared" si="206"/>
        <v>-0.11910806574052302</v>
      </c>
      <c r="AT1943">
        <f t="shared" si="207"/>
        <v>1.9874418564842372E-2</v>
      </c>
      <c r="AW1943" s="28">
        <f t="shared" si="208"/>
        <v>-0.37636483369730411</v>
      </c>
      <c r="AX1943">
        <f t="shared" si="209"/>
        <v>0.95774647887323949</v>
      </c>
      <c r="AY1943" s="62">
        <f t="shared" si="210"/>
        <v>-0.36046209424530534</v>
      </c>
      <c r="AZ1943" s="68" t="str">
        <f t="shared" si="211"/>
        <v>No</v>
      </c>
      <c r="BA1943" s="68" t="str">
        <f t="shared" si="212"/>
        <v>No</v>
      </c>
    </row>
    <row r="1944" spans="1:53" hidden="1">
      <c r="A1944" t="s">
        <v>908</v>
      </c>
      <c r="B1944" t="s">
        <v>473</v>
      </c>
      <c r="C1944" t="s">
        <v>474</v>
      </c>
      <c r="D1944" s="25">
        <v>13</v>
      </c>
      <c r="E1944" s="25">
        <v>291</v>
      </c>
      <c r="F1944" t="s">
        <v>1241</v>
      </c>
      <c r="G1944" t="s">
        <v>475</v>
      </c>
      <c r="H1944" s="3" t="s">
        <v>812</v>
      </c>
      <c r="I1944">
        <v>2004</v>
      </c>
      <c r="J1944" t="s">
        <v>476</v>
      </c>
      <c r="K1944" t="s">
        <v>162</v>
      </c>
      <c r="L1944" t="s">
        <v>477</v>
      </c>
      <c r="M1944" s="25" t="s">
        <v>35</v>
      </c>
      <c r="N1944" t="s">
        <v>36</v>
      </c>
      <c r="O1944" t="s">
        <v>37</v>
      </c>
      <c r="P1944" t="s">
        <v>60</v>
      </c>
      <c r="Q1944" t="s">
        <v>899</v>
      </c>
      <c r="R1944" t="s">
        <v>828</v>
      </c>
      <c r="S1944" t="s">
        <v>810</v>
      </c>
      <c r="T1944">
        <v>33.683332999999998</v>
      </c>
      <c r="U1944">
        <v>135.35</v>
      </c>
      <c r="V1944" t="s">
        <v>905</v>
      </c>
      <c r="W1944" s="25" t="s">
        <v>38</v>
      </c>
      <c r="X1944">
        <v>2</v>
      </c>
      <c r="Y1944" t="s">
        <v>39</v>
      </c>
      <c r="Z1944">
        <v>10</v>
      </c>
      <c r="AA1944">
        <v>10</v>
      </c>
      <c r="AC1944">
        <v>375</v>
      </c>
      <c r="AE1944">
        <v>2000</v>
      </c>
      <c r="AG1944">
        <v>2103</v>
      </c>
      <c r="AH1944">
        <v>3.301029996</v>
      </c>
      <c r="AI1944">
        <v>24</v>
      </c>
      <c r="AJ1944" t="s">
        <v>478</v>
      </c>
      <c r="AK1944" t="s">
        <v>69</v>
      </c>
      <c r="AL1944" s="25" t="s">
        <v>60</v>
      </c>
      <c r="AM1944" t="s">
        <v>61</v>
      </c>
      <c r="AN1944">
        <v>93.290734819999997</v>
      </c>
      <c r="AO1944">
        <v>5.6230031949999999</v>
      </c>
      <c r="AP1944">
        <v>90.479233230000006</v>
      </c>
      <c r="AQ1944">
        <v>10.47923323</v>
      </c>
      <c r="AR1944" t="s">
        <v>44</v>
      </c>
      <c r="AS1944">
        <f t="shared" si="206"/>
        <v>-3.060044036786902E-2</v>
      </c>
      <c r="AT1944">
        <f t="shared" si="207"/>
        <v>1.7047040963499949E-3</v>
      </c>
      <c r="AW1944" s="28">
        <f t="shared" si="208"/>
        <v>-0.33433260437439982</v>
      </c>
      <c r="AX1944">
        <f t="shared" si="209"/>
        <v>0.95774647887323949</v>
      </c>
      <c r="AY1944" s="62">
        <f t="shared" si="210"/>
        <v>-0.32020587461210126</v>
      </c>
      <c r="AZ1944" s="68" t="str">
        <f t="shared" si="211"/>
        <v>No</v>
      </c>
      <c r="BA1944" s="68" t="str">
        <f t="shared" si="212"/>
        <v>No</v>
      </c>
    </row>
    <row r="1945" spans="1:53" hidden="1">
      <c r="A1945" t="s">
        <v>908</v>
      </c>
      <c r="B1945" t="s">
        <v>479</v>
      </c>
      <c r="C1945" t="s">
        <v>474</v>
      </c>
      <c r="D1945" s="25">
        <v>13</v>
      </c>
      <c r="E1945" s="25">
        <v>292</v>
      </c>
      <c r="F1945" t="s">
        <v>1241</v>
      </c>
      <c r="G1945" t="s">
        <v>475</v>
      </c>
      <c r="H1945" s="3" t="s">
        <v>812</v>
      </c>
      <c r="I1945">
        <v>2004</v>
      </c>
      <c r="J1945" t="s">
        <v>476</v>
      </c>
      <c r="K1945" t="s">
        <v>162</v>
      </c>
      <c r="L1945" t="s">
        <v>477</v>
      </c>
      <c r="M1945" s="25" t="s">
        <v>35</v>
      </c>
      <c r="N1945" t="s">
        <v>36</v>
      </c>
      <c r="O1945" t="s">
        <v>37</v>
      </c>
      <c r="P1945" t="s">
        <v>60</v>
      </c>
      <c r="Q1945" t="s">
        <v>899</v>
      </c>
      <c r="R1945" t="s">
        <v>828</v>
      </c>
      <c r="S1945" t="s">
        <v>810</v>
      </c>
      <c r="T1945">
        <v>33.683332999999998</v>
      </c>
      <c r="U1945">
        <v>135.35</v>
      </c>
      <c r="V1945" t="s">
        <v>905</v>
      </c>
      <c r="W1945" s="25" t="s">
        <v>38</v>
      </c>
      <c r="X1945">
        <v>2</v>
      </c>
      <c r="Y1945" t="s">
        <v>39</v>
      </c>
      <c r="Z1945">
        <v>10</v>
      </c>
      <c r="AA1945">
        <v>10</v>
      </c>
      <c r="AC1945">
        <v>375</v>
      </c>
      <c r="AE1945">
        <v>10000</v>
      </c>
      <c r="AG1945">
        <v>2103</v>
      </c>
      <c r="AH1945">
        <v>4</v>
      </c>
      <c r="AI1945">
        <v>24</v>
      </c>
      <c r="AJ1945" t="s">
        <v>478</v>
      </c>
      <c r="AK1945" t="s">
        <v>69</v>
      </c>
      <c r="AL1945" s="25" t="s">
        <v>60</v>
      </c>
      <c r="AM1945" t="s">
        <v>61</v>
      </c>
      <c r="AN1945">
        <v>93.290734819999997</v>
      </c>
      <c r="AO1945">
        <v>5.6230031949999999</v>
      </c>
      <c r="AP1945">
        <v>86.645367410000006</v>
      </c>
      <c r="AQ1945">
        <v>18.91373802</v>
      </c>
      <c r="AR1945" t="s">
        <v>44</v>
      </c>
      <c r="AS1945">
        <f t="shared" si="206"/>
        <v>-7.3897246180855802E-2</v>
      </c>
      <c r="AT1945">
        <f t="shared" si="207"/>
        <v>5.1283076648721464E-3</v>
      </c>
      <c r="AW1945" s="28">
        <f t="shared" si="208"/>
        <v>-0.47628314836734553</v>
      </c>
      <c r="AX1945">
        <f t="shared" si="209"/>
        <v>0.95774647887323949</v>
      </c>
      <c r="AY1945" s="62">
        <f t="shared" si="210"/>
        <v>-0.45615850829548588</v>
      </c>
      <c r="AZ1945" s="68" t="str">
        <f t="shared" si="211"/>
        <v>No</v>
      </c>
      <c r="BA1945" s="68" t="str">
        <f t="shared" si="212"/>
        <v>No</v>
      </c>
    </row>
    <row r="1946" spans="1:53" hidden="1">
      <c r="A1946" t="s">
        <v>908</v>
      </c>
      <c r="B1946" t="s">
        <v>480</v>
      </c>
      <c r="C1946" t="s">
        <v>474</v>
      </c>
      <c r="D1946" s="25">
        <v>13</v>
      </c>
      <c r="E1946" s="25">
        <v>293</v>
      </c>
      <c r="F1946" t="s">
        <v>1241</v>
      </c>
      <c r="G1946" t="s">
        <v>475</v>
      </c>
      <c r="H1946" s="3" t="s">
        <v>812</v>
      </c>
      <c r="I1946">
        <v>2004</v>
      </c>
      <c r="J1946" t="s">
        <v>476</v>
      </c>
      <c r="K1946" t="s">
        <v>162</v>
      </c>
      <c r="L1946" t="s">
        <v>477</v>
      </c>
      <c r="M1946" s="25" t="s">
        <v>35</v>
      </c>
      <c r="N1946" t="s">
        <v>36</v>
      </c>
      <c r="O1946" t="s">
        <v>37</v>
      </c>
      <c r="P1946" t="s">
        <v>60</v>
      </c>
      <c r="Q1946" t="s">
        <v>899</v>
      </c>
      <c r="R1946" t="s">
        <v>828</v>
      </c>
      <c r="S1946" t="s">
        <v>810</v>
      </c>
      <c r="T1946">
        <v>33.683332999999998</v>
      </c>
      <c r="U1946">
        <v>135.35</v>
      </c>
      <c r="V1946" t="s">
        <v>905</v>
      </c>
      <c r="W1946" s="25" t="s">
        <v>38</v>
      </c>
      <c r="X1946">
        <v>4</v>
      </c>
      <c r="Y1946" t="s">
        <v>39</v>
      </c>
      <c r="Z1946">
        <v>10</v>
      </c>
      <c r="AA1946">
        <v>10</v>
      </c>
      <c r="AC1946">
        <v>375</v>
      </c>
      <c r="AE1946">
        <v>2000</v>
      </c>
      <c r="AG1946">
        <v>2104</v>
      </c>
      <c r="AH1946">
        <v>3.301029996</v>
      </c>
      <c r="AI1946">
        <v>24</v>
      </c>
      <c r="AJ1946" t="s">
        <v>478</v>
      </c>
      <c r="AK1946" t="s">
        <v>69</v>
      </c>
      <c r="AL1946" s="25" t="s">
        <v>60</v>
      </c>
      <c r="AM1946" t="s">
        <v>61</v>
      </c>
      <c r="AN1946">
        <v>79.361022360000007</v>
      </c>
      <c r="AO1946">
        <v>15.207667730000001</v>
      </c>
      <c r="AP1946">
        <v>66.964856229999995</v>
      </c>
      <c r="AQ1946">
        <v>18.91373802</v>
      </c>
      <c r="AR1946" t="s">
        <v>44</v>
      </c>
      <c r="AS1946">
        <f t="shared" si="206"/>
        <v>-0.16983939755977406</v>
      </c>
      <c r="AT1946">
        <f t="shared" si="207"/>
        <v>1.1649458658567799E-2</v>
      </c>
      <c r="AW1946" s="28">
        <f t="shared" si="208"/>
        <v>-0.72234349093274242</v>
      </c>
      <c r="AX1946">
        <f t="shared" si="209"/>
        <v>0.95774647887323949</v>
      </c>
      <c r="AY1946" s="62">
        <f t="shared" si="210"/>
        <v>-0.69182193497783784</v>
      </c>
      <c r="AZ1946" s="68" t="str">
        <f t="shared" si="211"/>
        <v>No</v>
      </c>
      <c r="BA1946" s="68" t="str">
        <f t="shared" si="212"/>
        <v>No</v>
      </c>
    </row>
    <row r="1947" spans="1:53" hidden="1">
      <c r="A1947" t="s">
        <v>908</v>
      </c>
      <c r="B1947" t="s">
        <v>481</v>
      </c>
      <c r="C1947" t="s">
        <v>474</v>
      </c>
      <c r="D1947" s="25">
        <v>13</v>
      </c>
      <c r="E1947" s="25">
        <v>294</v>
      </c>
      <c r="F1947" t="s">
        <v>1241</v>
      </c>
      <c r="G1947" t="s">
        <v>475</v>
      </c>
      <c r="H1947" s="3" t="s">
        <v>812</v>
      </c>
      <c r="I1947">
        <v>2004</v>
      </c>
      <c r="J1947" t="s">
        <v>476</v>
      </c>
      <c r="K1947" t="s">
        <v>162</v>
      </c>
      <c r="L1947" t="s">
        <v>477</v>
      </c>
      <c r="M1947" s="25" t="s">
        <v>35</v>
      </c>
      <c r="N1947" t="s">
        <v>36</v>
      </c>
      <c r="O1947" t="s">
        <v>37</v>
      </c>
      <c r="P1947" t="s">
        <v>60</v>
      </c>
      <c r="Q1947" t="s">
        <v>899</v>
      </c>
      <c r="R1947" t="s">
        <v>828</v>
      </c>
      <c r="S1947" t="s">
        <v>810</v>
      </c>
      <c r="T1947">
        <v>33.683332999999998</v>
      </c>
      <c r="U1947">
        <v>135.35</v>
      </c>
      <c r="V1947" t="s">
        <v>905</v>
      </c>
      <c r="W1947" s="25" t="s">
        <v>38</v>
      </c>
      <c r="X1947">
        <v>4</v>
      </c>
      <c r="Y1947" t="s">
        <v>39</v>
      </c>
      <c r="Z1947">
        <v>10</v>
      </c>
      <c r="AA1947">
        <v>10</v>
      </c>
      <c r="AC1947">
        <v>375</v>
      </c>
      <c r="AE1947">
        <v>10000</v>
      </c>
      <c r="AG1947">
        <v>2104</v>
      </c>
      <c r="AH1947">
        <v>4</v>
      </c>
      <c r="AI1947">
        <v>24</v>
      </c>
      <c r="AJ1947" t="s">
        <v>478</v>
      </c>
      <c r="AK1947" t="s">
        <v>69</v>
      </c>
      <c r="AL1947" s="25" t="s">
        <v>60</v>
      </c>
      <c r="AM1947" t="s">
        <v>61</v>
      </c>
      <c r="AN1947">
        <v>79.361022360000007</v>
      </c>
      <c r="AO1947">
        <v>15.207667730000001</v>
      </c>
      <c r="AP1947">
        <v>72.715654950000001</v>
      </c>
      <c r="AQ1947">
        <v>16.485623</v>
      </c>
      <c r="AR1947" t="s">
        <v>44</v>
      </c>
      <c r="AS1947">
        <f t="shared" si="206"/>
        <v>-8.7450647782566726E-2</v>
      </c>
      <c r="AT1947">
        <f t="shared" si="207"/>
        <v>8.8119706436676822E-3</v>
      </c>
      <c r="AW1947" s="28">
        <f t="shared" si="208"/>
        <v>-0.41901433708198521</v>
      </c>
      <c r="AX1947">
        <f t="shared" si="209"/>
        <v>0.95774647887323949</v>
      </c>
      <c r="AY1947" s="62">
        <f t="shared" si="210"/>
        <v>-0.401309505937676</v>
      </c>
      <c r="AZ1947" s="68" t="str">
        <f t="shared" si="211"/>
        <v>No</v>
      </c>
      <c r="BA1947" s="68" t="str">
        <f t="shared" si="212"/>
        <v>No</v>
      </c>
    </row>
    <row r="1948" spans="1:53" hidden="1">
      <c r="A1948" t="s">
        <v>908</v>
      </c>
      <c r="B1948" t="s">
        <v>482</v>
      </c>
      <c r="C1948" t="s">
        <v>474</v>
      </c>
      <c r="D1948" s="25">
        <v>13</v>
      </c>
      <c r="E1948" s="25">
        <v>295</v>
      </c>
      <c r="F1948" t="s">
        <v>1241</v>
      </c>
      <c r="G1948" t="s">
        <v>475</v>
      </c>
      <c r="H1948" s="3" t="s">
        <v>812</v>
      </c>
      <c r="I1948">
        <v>2004</v>
      </c>
      <c r="J1948" t="s">
        <v>476</v>
      </c>
      <c r="K1948" t="s">
        <v>162</v>
      </c>
      <c r="L1948" t="s">
        <v>477</v>
      </c>
      <c r="M1948" s="25" t="s">
        <v>35</v>
      </c>
      <c r="N1948" t="s">
        <v>36</v>
      </c>
      <c r="O1948" t="s">
        <v>37</v>
      </c>
      <c r="P1948" t="s">
        <v>60</v>
      </c>
      <c r="Q1948" t="s">
        <v>899</v>
      </c>
      <c r="R1948" t="s">
        <v>828</v>
      </c>
      <c r="S1948" t="s">
        <v>810</v>
      </c>
      <c r="T1948">
        <v>33.683332999999998</v>
      </c>
      <c r="U1948">
        <v>135.35</v>
      </c>
      <c r="V1948" t="s">
        <v>905</v>
      </c>
      <c r="W1948" s="25" t="s">
        <v>38</v>
      </c>
      <c r="X1948">
        <v>6</v>
      </c>
      <c r="Y1948" t="s">
        <v>39</v>
      </c>
      <c r="Z1948">
        <v>10</v>
      </c>
      <c r="AA1948">
        <v>10</v>
      </c>
      <c r="AC1948">
        <v>375</v>
      </c>
      <c r="AE1948">
        <v>2000</v>
      </c>
      <c r="AG1948">
        <v>2105</v>
      </c>
      <c r="AH1948">
        <v>3.301029996</v>
      </c>
      <c r="AI1948">
        <v>24</v>
      </c>
      <c r="AJ1948" t="s">
        <v>478</v>
      </c>
      <c r="AK1948" t="s">
        <v>69</v>
      </c>
      <c r="AL1948" s="25" t="s">
        <v>60</v>
      </c>
      <c r="AM1948" t="s">
        <v>61</v>
      </c>
      <c r="AN1948">
        <v>63.897763580000003</v>
      </c>
      <c r="AO1948">
        <v>19.42492013</v>
      </c>
      <c r="AP1948">
        <v>51.246006389999998</v>
      </c>
      <c r="AQ1948">
        <v>32.843450480000001</v>
      </c>
      <c r="AR1948" t="s">
        <v>44</v>
      </c>
      <c r="AS1948">
        <f t="shared" si="206"/>
        <v>-0.22064667113825864</v>
      </c>
      <c r="AT1948">
        <f t="shared" si="207"/>
        <v>5.0316593317876135E-2</v>
      </c>
      <c r="AW1948" s="28">
        <f t="shared" si="208"/>
        <v>-0.46890213651757495</v>
      </c>
      <c r="AX1948">
        <f t="shared" si="209"/>
        <v>0.95774647887323949</v>
      </c>
      <c r="AY1948" s="62">
        <f t="shared" si="210"/>
        <v>-0.44908937018584644</v>
      </c>
      <c r="AZ1948" s="68" t="str">
        <f t="shared" si="211"/>
        <v>No</v>
      </c>
      <c r="BA1948" s="68" t="str">
        <f t="shared" si="212"/>
        <v>No</v>
      </c>
    </row>
    <row r="1949" spans="1:53" hidden="1">
      <c r="A1949" t="s">
        <v>908</v>
      </c>
      <c r="B1949" t="s">
        <v>483</v>
      </c>
      <c r="C1949" t="s">
        <v>474</v>
      </c>
      <c r="D1949" s="25">
        <v>13</v>
      </c>
      <c r="E1949" s="25">
        <v>296</v>
      </c>
      <c r="F1949" t="s">
        <v>1241</v>
      </c>
      <c r="G1949" t="s">
        <v>475</v>
      </c>
      <c r="H1949" s="3" t="s">
        <v>812</v>
      </c>
      <c r="I1949">
        <v>2004</v>
      </c>
      <c r="J1949" t="s">
        <v>476</v>
      </c>
      <c r="K1949" t="s">
        <v>162</v>
      </c>
      <c r="L1949" t="s">
        <v>477</v>
      </c>
      <c r="M1949" s="25" t="s">
        <v>35</v>
      </c>
      <c r="N1949" t="s">
        <v>36</v>
      </c>
      <c r="O1949" t="s">
        <v>37</v>
      </c>
      <c r="P1949" t="s">
        <v>60</v>
      </c>
      <c r="Q1949" t="s">
        <v>899</v>
      </c>
      <c r="R1949" t="s">
        <v>828</v>
      </c>
      <c r="S1949" t="s">
        <v>810</v>
      </c>
      <c r="T1949">
        <v>33.683332999999998</v>
      </c>
      <c r="U1949">
        <v>135.35</v>
      </c>
      <c r="V1949" t="s">
        <v>905</v>
      </c>
      <c r="W1949" s="25" t="s">
        <v>38</v>
      </c>
      <c r="X1949">
        <v>6</v>
      </c>
      <c r="Y1949" t="s">
        <v>39</v>
      </c>
      <c r="Z1949">
        <v>10</v>
      </c>
      <c r="AA1949">
        <v>10</v>
      </c>
      <c r="AC1949">
        <v>375</v>
      </c>
      <c r="AE1949">
        <v>10000</v>
      </c>
      <c r="AG1949">
        <v>2105</v>
      </c>
      <c r="AH1949">
        <v>4</v>
      </c>
      <c r="AI1949">
        <v>24</v>
      </c>
      <c r="AJ1949" t="s">
        <v>478</v>
      </c>
      <c r="AK1949" t="s">
        <v>69</v>
      </c>
      <c r="AL1949" s="25" t="s">
        <v>60</v>
      </c>
      <c r="AM1949" t="s">
        <v>61</v>
      </c>
      <c r="AN1949">
        <v>63.897763580000003</v>
      </c>
      <c r="AO1949">
        <v>19.42492013</v>
      </c>
      <c r="AP1949">
        <v>55.463258789999998</v>
      </c>
      <c r="AQ1949">
        <v>22.364217249999999</v>
      </c>
      <c r="AR1949" t="s">
        <v>44</v>
      </c>
      <c r="AS1949">
        <f t="shared" si="206"/>
        <v>-0.14156356427563033</v>
      </c>
      <c r="AT1949">
        <f t="shared" si="207"/>
        <v>2.5500705094590889E-2</v>
      </c>
      <c r="AW1949" s="28">
        <f t="shared" si="208"/>
        <v>-0.40267489532904183</v>
      </c>
      <c r="AX1949">
        <f t="shared" si="209"/>
        <v>0.95774647887323949</v>
      </c>
      <c r="AY1949" s="62">
        <f t="shared" si="210"/>
        <v>-0.38566046313204005</v>
      </c>
      <c r="AZ1949" s="68" t="str">
        <f t="shared" si="211"/>
        <v>No</v>
      </c>
      <c r="BA1949" s="68" t="str">
        <f t="shared" si="212"/>
        <v>No</v>
      </c>
    </row>
    <row r="1950" spans="1:53" hidden="1">
      <c r="A1950" t="s">
        <v>908</v>
      </c>
      <c r="B1950" t="s">
        <v>484</v>
      </c>
      <c r="C1950" t="s">
        <v>474</v>
      </c>
      <c r="D1950" s="25">
        <v>13</v>
      </c>
      <c r="E1950" s="25">
        <v>297</v>
      </c>
      <c r="F1950" t="s">
        <v>1241</v>
      </c>
      <c r="G1950" t="s">
        <v>475</v>
      </c>
      <c r="H1950" s="3" t="s">
        <v>812</v>
      </c>
      <c r="I1950">
        <v>2004</v>
      </c>
      <c r="J1950" t="s">
        <v>476</v>
      </c>
      <c r="K1950" t="s">
        <v>162</v>
      </c>
      <c r="L1950" t="s">
        <v>477</v>
      </c>
      <c r="M1950" s="25" t="s">
        <v>35</v>
      </c>
      <c r="N1950" t="s">
        <v>36</v>
      </c>
      <c r="O1950" t="s">
        <v>37</v>
      </c>
      <c r="P1950" t="s">
        <v>60</v>
      </c>
      <c r="Q1950" t="s">
        <v>899</v>
      </c>
      <c r="R1950" t="s">
        <v>828</v>
      </c>
      <c r="S1950" t="s">
        <v>810</v>
      </c>
      <c r="T1950">
        <v>33.683332999999998</v>
      </c>
      <c r="U1950">
        <v>135.35</v>
      </c>
      <c r="V1950" t="s">
        <v>905</v>
      </c>
      <c r="W1950" s="25" t="s">
        <v>38</v>
      </c>
      <c r="X1950">
        <v>8</v>
      </c>
      <c r="Y1950" t="s">
        <v>39</v>
      </c>
      <c r="Z1950">
        <v>10</v>
      </c>
      <c r="AA1950">
        <v>10</v>
      </c>
      <c r="AC1950">
        <v>375</v>
      </c>
      <c r="AE1950">
        <v>2000</v>
      </c>
      <c r="AG1950">
        <v>2106</v>
      </c>
      <c r="AH1950">
        <v>3.301029996</v>
      </c>
      <c r="AI1950">
        <v>24</v>
      </c>
      <c r="AJ1950" t="s">
        <v>478</v>
      </c>
      <c r="AK1950" t="s">
        <v>69</v>
      </c>
      <c r="AL1950" s="25" t="s">
        <v>60</v>
      </c>
      <c r="AM1950" t="s">
        <v>61</v>
      </c>
      <c r="AN1950">
        <v>37.316293930000001</v>
      </c>
      <c r="AO1950">
        <v>37.316293930000001</v>
      </c>
      <c r="AP1950">
        <v>35.527156550000001</v>
      </c>
      <c r="AQ1950">
        <v>44.345047919999999</v>
      </c>
      <c r="AR1950" t="s">
        <v>44</v>
      </c>
      <c r="AS1950">
        <f t="shared" si="206"/>
        <v>-4.9132688571861038E-2</v>
      </c>
      <c r="AT1950">
        <f t="shared" si="207"/>
        <v>0.25580068316690074</v>
      </c>
      <c r="AW1950" s="28">
        <f t="shared" si="208"/>
        <v>-4.3657050593044214E-2</v>
      </c>
      <c r="AX1950">
        <f t="shared" si="209"/>
        <v>0.95774647887323949</v>
      </c>
      <c r="AY1950" s="62">
        <f t="shared" si="210"/>
        <v>-4.1812386483478965E-2</v>
      </c>
      <c r="AZ1950" s="68" t="str">
        <f t="shared" si="211"/>
        <v>No</v>
      </c>
      <c r="BA1950" s="68" t="str">
        <f t="shared" si="212"/>
        <v>No</v>
      </c>
    </row>
    <row r="1951" spans="1:53" hidden="1">
      <c r="A1951" t="s">
        <v>908</v>
      </c>
      <c r="B1951" t="s">
        <v>485</v>
      </c>
      <c r="C1951" t="s">
        <v>474</v>
      </c>
      <c r="D1951" s="25">
        <v>13</v>
      </c>
      <c r="E1951" s="25">
        <v>298</v>
      </c>
      <c r="F1951" t="s">
        <v>1241</v>
      </c>
      <c r="G1951" t="s">
        <v>475</v>
      </c>
      <c r="H1951" s="3" t="s">
        <v>812</v>
      </c>
      <c r="I1951">
        <v>2004</v>
      </c>
      <c r="J1951" t="s">
        <v>476</v>
      </c>
      <c r="K1951" t="s">
        <v>162</v>
      </c>
      <c r="L1951" t="s">
        <v>477</v>
      </c>
      <c r="M1951" s="25" t="s">
        <v>35</v>
      </c>
      <c r="N1951" t="s">
        <v>36</v>
      </c>
      <c r="O1951" t="s">
        <v>37</v>
      </c>
      <c r="P1951" t="s">
        <v>60</v>
      </c>
      <c r="Q1951" t="s">
        <v>899</v>
      </c>
      <c r="R1951" t="s">
        <v>828</v>
      </c>
      <c r="S1951" t="s">
        <v>810</v>
      </c>
      <c r="T1951">
        <v>33.683332999999998</v>
      </c>
      <c r="U1951">
        <v>135.35</v>
      </c>
      <c r="V1951" t="s">
        <v>905</v>
      </c>
      <c r="W1951" s="25" t="s">
        <v>38</v>
      </c>
      <c r="X1951">
        <v>8</v>
      </c>
      <c r="Y1951" t="s">
        <v>39</v>
      </c>
      <c r="Z1951">
        <v>10</v>
      </c>
      <c r="AA1951">
        <v>10</v>
      </c>
      <c r="AC1951">
        <v>375</v>
      </c>
      <c r="AE1951">
        <v>10000</v>
      </c>
      <c r="AG1951">
        <v>2106</v>
      </c>
      <c r="AH1951">
        <v>4</v>
      </c>
      <c r="AI1951">
        <v>24</v>
      </c>
      <c r="AJ1951" t="s">
        <v>478</v>
      </c>
      <c r="AK1951" t="s">
        <v>69</v>
      </c>
      <c r="AL1951" s="25" t="s">
        <v>60</v>
      </c>
      <c r="AM1951" t="s">
        <v>61</v>
      </c>
      <c r="AN1951">
        <v>37.316293930000001</v>
      </c>
      <c r="AO1951">
        <v>37.316293930000001</v>
      </c>
      <c r="AP1951">
        <v>30.415335460000001</v>
      </c>
      <c r="AQ1951">
        <v>29.648562299999998</v>
      </c>
      <c r="AR1951" t="s">
        <v>44</v>
      </c>
      <c r="AS1951">
        <f t="shared" si="206"/>
        <v>-0.2044831287116553</v>
      </c>
      <c r="AT1951">
        <f t="shared" si="207"/>
        <v>0.19502153804528938</v>
      </c>
      <c r="AW1951" s="28">
        <f t="shared" ref="AW1951:AW1981" si="213">(AP1951-$AN1951)/SQRT(((AA1951-1)*AQ1951*AQ1951+($Z1951-1)*$AO1951*$AO1951)/(AA1951+$Z1951-2))</f>
        <v>-0.2047688667281081</v>
      </c>
      <c r="AX1951">
        <f t="shared" ref="AX1951:AX1981" si="214">1-(3/(4*(AA1951+$Z1951-2)-1))</f>
        <v>0.95774647887323949</v>
      </c>
      <c r="AY1951" s="62">
        <f t="shared" ref="AY1951:AY1982" si="215">AX1951*AW1951</f>
        <v>-0.19611666109170917</v>
      </c>
      <c r="AZ1951" s="68" t="str">
        <f t="shared" ref="AZ1951:AZ1982" si="216">IF(AY1951&gt;10,"Yes","No")</f>
        <v>No</v>
      </c>
      <c r="BA1951" s="68" t="str">
        <f t="shared" ref="BA1951:BA1981" si="217">IF(AY1951&lt;-10,"Yes","No")</f>
        <v>No</v>
      </c>
    </row>
    <row r="1952" spans="1:53" hidden="1">
      <c r="A1952" t="s">
        <v>908</v>
      </c>
      <c r="B1952" t="s">
        <v>486</v>
      </c>
      <c r="C1952" t="s">
        <v>474</v>
      </c>
      <c r="D1952" s="25">
        <v>13</v>
      </c>
      <c r="E1952" s="25">
        <v>299</v>
      </c>
      <c r="F1952" t="s">
        <v>1241</v>
      </c>
      <c r="G1952" t="s">
        <v>475</v>
      </c>
      <c r="H1952" s="3" t="s">
        <v>812</v>
      </c>
      <c r="I1952">
        <v>2004</v>
      </c>
      <c r="J1952" t="s">
        <v>476</v>
      </c>
      <c r="K1952" t="s">
        <v>162</v>
      </c>
      <c r="L1952" t="s">
        <v>477</v>
      </c>
      <c r="M1952" s="25" t="s">
        <v>35</v>
      </c>
      <c r="N1952" t="s">
        <v>36</v>
      </c>
      <c r="O1952" t="s">
        <v>37</v>
      </c>
      <c r="P1952" t="s">
        <v>60</v>
      </c>
      <c r="Q1952" t="s">
        <v>899</v>
      </c>
      <c r="R1952" t="s">
        <v>828</v>
      </c>
      <c r="S1952" t="s">
        <v>810</v>
      </c>
      <c r="T1952">
        <v>33.683332999999998</v>
      </c>
      <c r="U1952">
        <v>135.35</v>
      </c>
      <c r="V1952" t="s">
        <v>905</v>
      </c>
      <c r="W1952" s="25" t="s">
        <v>38</v>
      </c>
      <c r="X1952">
        <v>4</v>
      </c>
      <c r="Y1952" t="s">
        <v>39</v>
      </c>
      <c r="Z1952">
        <v>10</v>
      </c>
      <c r="AA1952">
        <v>10</v>
      </c>
      <c r="AC1952">
        <v>375</v>
      </c>
      <c r="AE1952">
        <v>2000</v>
      </c>
      <c r="AG1952">
        <v>2107</v>
      </c>
      <c r="AH1952">
        <v>3.301029996</v>
      </c>
      <c r="AI1952">
        <v>24</v>
      </c>
      <c r="AJ1952" t="s">
        <v>487</v>
      </c>
      <c r="AK1952" t="s">
        <v>59</v>
      </c>
      <c r="AL1952" s="25" t="s">
        <v>60</v>
      </c>
      <c r="AM1952" t="s">
        <v>61</v>
      </c>
      <c r="AN1952">
        <v>7.3136427570000002</v>
      </c>
      <c r="AO1952">
        <v>0.67510548500000001</v>
      </c>
      <c r="AP1952">
        <v>5.5358649790000003</v>
      </c>
      <c r="AQ1952">
        <v>3.848101266</v>
      </c>
      <c r="AR1952" t="s">
        <v>48</v>
      </c>
      <c r="AS1952">
        <f t="shared" si="206"/>
        <v>-0.27849364642349816</v>
      </c>
      <c r="AT1952">
        <f t="shared" si="207"/>
        <v>4.9171523714735502E-2</v>
      </c>
      <c r="AW1952" s="28">
        <f t="shared" si="213"/>
        <v>-0.64352179553284405</v>
      </c>
      <c r="AX1952">
        <f t="shared" si="214"/>
        <v>0.95774647887323949</v>
      </c>
      <c r="AY1952" s="62">
        <f t="shared" si="215"/>
        <v>-0.61633073374976621</v>
      </c>
      <c r="AZ1952" s="68" t="str">
        <f t="shared" si="216"/>
        <v>No</v>
      </c>
      <c r="BA1952" s="68" t="str">
        <f t="shared" si="217"/>
        <v>No</v>
      </c>
    </row>
    <row r="1953" spans="1:53" hidden="1">
      <c r="A1953" t="s">
        <v>908</v>
      </c>
      <c r="B1953" t="s">
        <v>488</v>
      </c>
      <c r="C1953" t="s">
        <v>474</v>
      </c>
      <c r="D1953" s="25">
        <v>13</v>
      </c>
      <c r="E1953" s="25">
        <v>300</v>
      </c>
      <c r="F1953" t="s">
        <v>1241</v>
      </c>
      <c r="G1953" t="s">
        <v>475</v>
      </c>
      <c r="H1953" s="3" t="s">
        <v>812</v>
      </c>
      <c r="I1953">
        <v>2004</v>
      </c>
      <c r="J1953" t="s">
        <v>476</v>
      </c>
      <c r="K1953" t="s">
        <v>162</v>
      </c>
      <c r="L1953" t="s">
        <v>477</v>
      </c>
      <c r="M1953" s="25" t="s">
        <v>35</v>
      </c>
      <c r="N1953" t="s">
        <v>36</v>
      </c>
      <c r="O1953" t="s">
        <v>37</v>
      </c>
      <c r="P1953" t="s">
        <v>60</v>
      </c>
      <c r="Q1953" t="s">
        <v>899</v>
      </c>
      <c r="R1953" t="s">
        <v>828</v>
      </c>
      <c r="S1953" t="s">
        <v>810</v>
      </c>
      <c r="T1953">
        <v>33.683332999999998</v>
      </c>
      <c r="U1953">
        <v>135.35</v>
      </c>
      <c r="V1953" t="s">
        <v>905</v>
      </c>
      <c r="W1953" s="25" t="s">
        <v>38</v>
      </c>
      <c r="X1953">
        <v>4</v>
      </c>
      <c r="Y1953" t="s">
        <v>39</v>
      </c>
      <c r="Z1953">
        <v>10</v>
      </c>
      <c r="AA1953">
        <v>10</v>
      </c>
      <c r="AC1953">
        <v>375</v>
      </c>
      <c r="AE1953">
        <v>10000</v>
      </c>
      <c r="AG1953">
        <v>2107</v>
      </c>
      <c r="AH1953">
        <v>4</v>
      </c>
      <c r="AI1953">
        <v>24</v>
      </c>
      <c r="AJ1953" t="s">
        <v>487</v>
      </c>
      <c r="AK1953" t="s">
        <v>59</v>
      </c>
      <c r="AL1953" s="25" t="s">
        <v>60</v>
      </c>
      <c r="AM1953" t="s">
        <v>61</v>
      </c>
      <c r="AN1953">
        <v>7.3136427570000002</v>
      </c>
      <c r="AO1953">
        <v>0.67510548500000001</v>
      </c>
      <c r="AP1953">
        <v>0.29254571000000001</v>
      </c>
      <c r="AQ1953">
        <v>0.24753867800000001</v>
      </c>
      <c r="AR1953" t="s">
        <v>48</v>
      </c>
      <c r="AS1953">
        <f t="shared" si="206"/>
        <v>-3.2188758258253163</v>
      </c>
      <c r="AT1953">
        <f t="shared" si="207"/>
        <v>7.2449704319344374E-2</v>
      </c>
      <c r="AW1953" s="28">
        <f t="shared" si="213"/>
        <v>-13.808824845702809</v>
      </c>
      <c r="AX1953">
        <f t="shared" si="214"/>
        <v>0.95774647887323949</v>
      </c>
      <c r="AY1953" s="62">
        <f t="shared" si="215"/>
        <v>-13.22535337334917</v>
      </c>
      <c r="AZ1953" s="68" t="str">
        <f t="shared" si="216"/>
        <v>No</v>
      </c>
      <c r="BA1953" s="68" t="str">
        <f t="shared" si="217"/>
        <v>Yes</v>
      </c>
    </row>
    <row r="1954" spans="1:53" hidden="1">
      <c r="A1954" t="s">
        <v>908</v>
      </c>
      <c r="B1954" t="s">
        <v>489</v>
      </c>
      <c r="C1954" t="s">
        <v>474</v>
      </c>
      <c r="D1954" s="25">
        <v>13</v>
      </c>
      <c r="E1954" s="25">
        <v>301</v>
      </c>
      <c r="F1954" t="s">
        <v>1241</v>
      </c>
      <c r="G1954" t="s">
        <v>475</v>
      </c>
      <c r="H1954" s="3" t="s">
        <v>812</v>
      </c>
      <c r="I1954">
        <v>2004</v>
      </c>
      <c r="J1954" t="s">
        <v>476</v>
      </c>
      <c r="K1954" t="s">
        <v>162</v>
      </c>
      <c r="L1954" t="s">
        <v>477</v>
      </c>
      <c r="M1954" s="25" t="s">
        <v>35</v>
      </c>
      <c r="N1954" t="s">
        <v>36</v>
      </c>
      <c r="O1954" t="s">
        <v>37</v>
      </c>
      <c r="P1954" t="s">
        <v>60</v>
      </c>
      <c r="Q1954" t="s">
        <v>899</v>
      </c>
      <c r="R1954" t="s">
        <v>828</v>
      </c>
      <c r="S1954" t="s">
        <v>810</v>
      </c>
      <c r="T1954">
        <v>33.683332999999998</v>
      </c>
      <c r="U1954">
        <v>135.35</v>
      </c>
      <c r="V1954" t="s">
        <v>905</v>
      </c>
      <c r="W1954" s="25" t="s">
        <v>38</v>
      </c>
      <c r="X1954">
        <v>6</v>
      </c>
      <c r="Y1954" t="s">
        <v>39</v>
      </c>
      <c r="Z1954">
        <v>10</v>
      </c>
      <c r="AA1954">
        <v>10</v>
      </c>
      <c r="AC1954">
        <v>375</v>
      </c>
      <c r="AE1954">
        <v>2000</v>
      </c>
      <c r="AG1954">
        <v>2108</v>
      </c>
      <c r="AH1954">
        <v>3.301029996</v>
      </c>
      <c r="AI1954">
        <v>24</v>
      </c>
      <c r="AJ1954" t="s">
        <v>487</v>
      </c>
      <c r="AK1954" t="s">
        <v>59</v>
      </c>
      <c r="AL1954" s="25" t="s">
        <v>60</v>
      </c>
      <c r="AM1954" t="s">
        <v>61</v>
      </c>
      <c r="AN1954">
        <v>5.783403657</v>
      </c>
      <c r="AO1954">
        <v>2.8129395220000002</v>
      </c>
      <c r="AP1954">
        <v>3.9831223630000001</v>
      </c>
      <c r="AQ1954">
        <v>0.94514767899999996</v>
      </c>
      <c r="AR1954" t="s">
        <v>48</v>
      </c>
      <c r="AS1954">
        <f t="shared" si="206"/>
        <v>-0.37292635231943705</v>
      </c>
      <c r="AT1954">
        <f t="shared" si="207"/>
        <v>2.928724505914726E-2</v>
      </c>
      <c r="AW1954" s="28">
        <f t="shared" si="213"/>
        <v>-0.85796126539584072</v>
      </c>
      <c r="AX1954">
        <f t="shared" si="214"/>
        <v>0.95774647887323949</v>
      </c>
      <c r="AY1954" s="62">
        <f t="shared" si="215"/>
        <v>-0.82170938094249535</v>
      </c>
      <c r="AZ1954" s="68" t="str">
        <f t="shared" si="216"/>
        <v>No</v>
      </c>
      <c r="BA1954" s="68" t="str">
        <f t="shared" si="217"/>
        <v>No</v>
      </c>
    </row>
    <row r="1955" spans="1:53" hidden="1">
      <c r="A1955" t="s">
        <v>908</v>
      </c>
      <c r="B1955" t="s">
        <v>490</v>
      </c>
      <c r="C1955" t="s">
        <v>474</v>
      </c>
      <c r="D1955" s="25">
        <v>13</v>
      </c>
      <c r="E1955" s="25">
        <v>302</v>
      </c>
      <c r="F1955" t="s">
        <v>1241</v>
      </c>
      <c r="G1955" t="s">
        <v>475</v>
      </c>
      <c r="H1955" s="3" t="s">
        <v>812</v>
      </c>
      <c r="I1955">
        <v>2004</v>
      </c>
      <c r="J1955" t="s">
        <v>476</v>
      </c>
      <c r="K1955" t="s">
        <v>162</v>
      </c>
      <c r="L1955" t="s">
        <v>477</v>
      </c>
      <c r="M1955" s="25" t="s">
        <v>35</v>
      </c>
      <c r="N1955" t="s">
        <v>36</v>
      </c>
      <c r="O1955" t="s">
        <v>37</v>
      </c>
      <c r="P1955" t="s">
        <v>60</v>
      </c>
      <c r="Q1955" t="s">
        <v>899</v>
      </c>
      <c r="R1955" t="s">
        <v>828</v>
      </c>
      <c r="S1955" t="s">
        <v>810</v>
      </c>
      <c r="T1955">
        <v>33.683332999999998</v>
      </c>
      <c r="U1955">
        <v>135.35</v>
      </c>
      <c r="V1955" t="s">
        <v>905</v>
      </c>
      <c r="W1955" s="25" t="s">
        <v>38</v>
      </c>
      <c r="X1955">
        <v>6</v>
      </c>
      <c r="Y1955" t="s">
        <v>39</v>
      </c>
      <c r="Z1955">
        <v>10</v>
      </c>
      <c r="AA1955">
        <v>10</v>
      </c>
      <c r="AC1955">
        <v>375</v>
      </c>
      <c r="AE1955">
        <v>10000</v>
      </c>
      <c r="AG1955">
        <v>2108</v>
      </c>
      <c r="AH1955">
        <v>4</v>
      </c>
      <c r="AI1955">
        <v>24</v>
      </c>
      <c r="AJ1955" t="s">
        <v>487</v>
      </c>
      <c r="AK1955" t="s">
        <v>59</v>
      </c>
      <c r="AL1955" s="25" t="s">
        <v>60</v>
      </c>
      <c r="AM1955" t="s">
        <v>61</v>
      </c>
      <c r="AN1955">
        <v>5.783403657</v>
      </c>
      <c r="AO1955">
        <v>2.8129395220000002</v>
      </c>
      <c r="AP1955">
        <v>0.45007032299999999</v>
      </c>
      <c r="AQ1955">
        <v>0.38255977499999999</v>
      </c>
      <c r="AR1955" t="s">
        <v>48</v>
      </c>
      <c r="AS1955">
        <f t="shared" si="206"/>
        <v>-2.5533438124564891</v>
      </c>
      <c r="AT1955">
        <f t="shared" si="207"/>
        <v>9.5906679304030865E-2</v>
      </c>
      <c r="AW1955" s="28">
        <f t="shared" si="213"/>
        <v>-2.6568905676567969</v>
      </c>
      <c r="AX1955">
        <f t="shared" si="214"/>
        <v>0.95774647887323949</v>
      </c>
      <c r="AY1955" s="62">
        <f t="shared" si="215"/>
        <v>-2.5446275859248195</v>
      </c>
      <c r="AZ1955" s="68" t="str">
        <f t="shared" si="216"/>
        <v>No</v>
      </c>
      <c r="BA1955" s="68" t="str">
        <f t="shared" si="217"/>
        <v>No</v>
      </c>
    </row>
    <row r="1956" spans="1:53" hidden="1">
      <c r="A1956" t="s">
        <v>908</v>
      </c>
      <c r="B1956" t="s">
        <v>521</v>
      </c>
      <c r="C1956" t="s">
        <v>522</v>
      </c>
      <c r="D1956" s="25">
        <v>42</v>
      </c>
      <c r="E1956" s="25">
        <v>352</v>
      </c>
      <c r="F1956" t="s">
        <v>1241</v>
      </c>
      <c r="G1956" t="s">
        <v>475</v>
      </c>
      <c r="H1956" s="3" t="s">
        <v>809</v>
      </c>
      <c r="I1956">
        <v>2004</v>
      </c>
      <c r="J1956" t="s">
        <v>523</v>
      </c>
      <c r="K1956" t="s">
        <v>162</v>
      </c>
      <c r="L1956" t="s">
        <v>524</v>
      </c>
      <c r="M1956" s="25" t="s">
        <v>35</v>
      </c>
      <c r="N1956" t="s">
        <v>36</v>
      </c>
      <c r="O1956" t="s">
        <v>37</v>
      </c>
      <c r="P1956" t="s">
        <v>60</v>
      </c>
      <c r="Q1956" t="s">
        <v>899</v>
      </c>
      <c r="R1956" t="s">
        <v>828</v>
      </c>
      <c r="S1956" t="s">
        <v>811</v>
      </c>
      <c r="T1956">
        <v>33.683332999999998</v>
      </c>
      <c r="U1956">
        <v>135.35</v>
      </c>
      <c r="V1956" t="s">
        <v>905</v>
      </c>
      <c r="W1956" s="25" t="s">
        <v>38</v>
      </c>
      <c r="X1956">
        <v>4</v>
      </c>
      <c r="Y1956" t="s">
        <v>39</v>
      </c>
      <c r="Z1956">
        <v>3</v>
      </c>
      <c r="AA1956">
        <v>3</v>
      </c>
      <c r="AC1956">
        <v>365</v>
      </c>
      <c r="AE1956">
        <v>2365</v>
      </c>
      <c r="AG1956">
        <v>2182</v>
      </c>
      <c r="AH1956">
        <v>3.373831145</v>
      </c>
      <c r="AI1956">
        <v>24</v>
      </c>
      <c r="AJ1956" t="s">
        <v>525</v>
      </c>
      <c r="AK1956" t="s">
        <v>69</v>
      </c>
      <c r="AL1956" s="25" t="s">
        <v>60</v>
      </c>
      <c r="AM1956" t="s">
        <v>61</v>
      </c>
      <c r="AN1956">
        <v>79.185750639999995</v>
      </c>
      <c r="AO1956">
        <v>14.86005089</v>
      </c>
      <c r="AP1956">
        <v>66.972010179999998</v>
      </c>
      <c r="AQ1956">
        <v>18.931297709999999</v>
      </c>
      <c r="AR1956" t="s">
        <v>44</v>
      </c>
      <c r="AS1956">
        <f t="shared" si="206"/>
        <v>-0.16752159287380142</v>
      </c>
      <c r="AT1956">
        <f t="shared" si="207"/>
        <v>3.837385106427061E-2</v>
      </c>
      <c r="AW1956" s="28">
        <f t="shared" si="213"/>
        <v>-0.71770129559655849</v>
      </c>
      <c r="AX1956">
        <f t="shared" si="214"/>
        <v>0.8</v>
      </c>
      <c r="AY1956" s="62">
        <f t="shared" si="215"/>
        <v>-0.57416103647724681</v>
      </c>
      <c r="AZ1956" s="68" t="str">
        <f t="shared" si="216"/>
        <v>No</v>
      </c>
      <c r="BA1956" s="68" t="str">
        <f t="shared" si="217"/>
        <v>No</v>
      </c>
    </row>
    <row r="1957" spans="1:53" hidden="1">
      <c r="A1957" t="s">
        <v>908</v>
      </c>
      <c r="B1957" t="s">
        <v>526</v>
      </c>
      <c r="C1957" t="s">
        <v>522</v>
      </c>
      <c r="D1957" s="25">
        <v>42</v>
      </c>
      <c r="E1957" s="25">
        <v>353</v>
      </c>
      <c r="F1957" t="s">
        <v>1241</v>
      </c>
      <c r="G1957" t="s">
        <v>475</v>
      </c>
      <c r="H1957" s="3" t="s">
        <v>809</v>
      </c>
      <c r="I1957">
        <v>2004</v>
      </c>
      <c r="J1957" t="s">
        <v>523</v>
      </c>
      <c r="K1957" t="s">
        <v>162</v>
      </c>
      <c r="L1957" t="s">
        <v>524</v>
      </c>
      <c r="M1957" s="25" t="s">
        <v>35</v>
      </c>
      <c r="N1957" t="s">
        <v>36</v>
      </c>
      <c r="O1957" t="s">
        <v>37</v>
      </c>
      <c r="P1957" t="s">
        <v>60</v>
      </c>
      <c r="Q1957" t="s">
        <v>899</v>
      </c>
      <c r="R1957" t="s">
        <v>828</v>
      </c>
      <c r="S1957" t="s">
        <v>811</v>
      </c>
      <c r="T1957">
        <v>33.683332999999998</v>
      </c>
      <c r="U1957">
        <v>135.35</v>
      </c>
      <c r="V1957" t="s">
        <v>905</v>
      </c>
      <c r="W1957" s="25" t="s">
        <v>38</v>
      </c>
      <c r="X1957">
        <v>4</v>
      </c>
      <c r="Y1957" t="s">
        <v>39</v>
      </c>
      <c r="Z1957">
        <v>3</v>
      </c>
      <c r="AA1957">
        <v>3</v>
      </c>
      <c r="AC1957">
        <v>365</v>
      </c>
      <c r="AE1957">
        <v>10365</v>
      </c>
      <c r="AG1957">
        <v>2182</v>
      </c>
      <c r="AH1957">
        <v>4.0155693059999997</v>
      </c>
      <c r="AI1957">
        <v>24</v>
      </c>
      <c r="AJ1957" t="s">
        <v>525</v>
      </c>
      <c r="AK1957" t="s">
        <v>69</v>
      </c>
      <c r="AL1957" s="25" t="s">
        <v>60</v>
      </c>
      <c r="AM1957" t="s">
        <v>61</v>
      </c>
      <c r="AN1957">
        <v>79.185750639999995</v>
      </c>
      <c r="AO1957">
        <v>14.86005089</v>
      </c>
      <c r="AP1957">
        <v>72.671755730000001</v>
      </c>
      <c r="AQ1957">
        <v>16.284987279999999</v>
      </c>
      <c r="AR1957" t="s">
        <v>44</v>
      </c>
      <c r="AS1957">
        <f t="shared" si="206"/>
        <v>-8.5843561821473457E-2</v>
      </c>
      <c r="AT1957">
        <f t="shared" si="207"/>
        <v>2.847756378593113E-2</v>
      </c>
      <c r="AW1957" s="28">
        <f t="shared" si="213"/>
        <v>-0.41786354363148948</v>
      </c>
      <c r="AX1957">
        <f t="shared" si="214"/>
        <v>0.8</v>
      </c>
      <c r="AY1957" s="62">
        <f t="shared" si="215"/>
        <v>-0.33429083490519163</v>
      </c>
      <c r="AZ1957" s="68" t="str">
        <f t="shared" si="216"/>
        <v>No</v>
      </c>
      <c r="BA1957" s="68" t="str">
        <f t="shared" si="217"/>
        <v>No</v>
      </c>
    </row>
    <row r="1958" spans="1:53" hidden="1">
      <c r="A1958" t="s">
        <v>908</v>
      </c>
      <c r="B1958" t="s">
        <v>527</v>
      </c>
      <c r="C1958" t="s">
        <v>522</v>
      </c>
      <c r="D1958" s="25">
        <v>42</v>
      </c>
      <c r="E1958" s="25">
        <v>354</v>
      </c>
      <c r="F1958" t="s">
        <v>1241</v>
      </c>
      <c r="G1958" t="s">
        <v>475</v>
      </c>
      <c r="H1958" s="3" t="s">
        <v>809</v>
      </c>
      <c r="I1958">
        <v>2004</v>
      </c>
      <c r="J1958" t="s">
        <v>523</v>
      </c>
      <c r="K1958" t="s">
        <v>162</v>
      </c>
      <c r="L1958" t="s">
        <v>524</v>
      </c>
      <c r="M1958" s="25" t="s">
        <v>35</v>
      </c>
      <c r="N1958" t="s">
        <v>36</v>
      </c>
      <c r="O1958" t="s">
        <v>37</v>
      </c>
      <c r="P1958" t="s">
        <v>60</v>
      </c>
      <c r="Q1958" t="s">
        <v>899</v>
      </c>
      <c r="R1958" t="s">
        <v>828</v>
      </c>
      <c r="S1958" t="s">
        <v>811</v>
      </c>
      <c r="T1958">
        <v>33.683332999999998</v>
      </c>
      <c r="U1958">
        <v>135.35</v>
      </c>
      <c r="V1958" t="s">
        <v>905</v>
      </c>
      <c r="W1958" s="25" t="s">
        <v>38</v>
      </c>
      <c r="X1958">
        <v>6</v>
      </c>
      <c r="Y1958" t="s">
        <v>39</v>
      </c>
      <c r="Z1958">
        <v>3</v>
      </c>
      <c r="AA1958">
        <v>3</v>
      </c>
      <c r="AC1958">
        <v>365</v>
      </c>
      <c r="AE1958">
        <v>2365</v>
      </c>
      <c r="AG1958">
        <v>2183</v>
      </c>
      <c r="AH1958">
        <v>3.373831145</v>
      </c>
      <c r="AI1958">
        <v>24</v>
      </c>
      <c r="AJ1958" t="s">
        <v>525</v>
      </c>
      <c r="AK1958" t="s">
        <v>69</v>
      </c>
      <c r="AL1958" s="25" t="s">
        <v>60</v>
      </c>
      <c r="AM1958" t="s">
        <v>61</v>
      </c>
      <c r="AN1958">
        <v>63.715012719999997</v>
      </c>
      <c r="AO1958">
        <v>19.745547070000001</v>
      </c>
      <c r="AP1958">
        <v>51.297709920000003</v>
      </c>
      <c r="AQ1958">
        <v>32.162849870000002</v>
      </c>
      <c r="AR1958" t="s">
        <v>44</v>
      </c>
      <c r="AS1958">
        <f t="shared" si="206"/>
        <v>-0.21677410305862477</v>
      </c>
      <c r="AT1958">
        <f t="shared" si="207"/>
        <v>0.16304989323865182</v>
      </c>
      <c r="AW1958" s="28">
        <f t="shared" si="213"/>
        <v>-0.46530327993589399</v>
      </c>
      <c r="AX1958">
        <f t="shared" si="214"/>
        <v>0.8</v>
      </c>
      <c r="AY1958" s="62">
        <f t="shared" si="215"/>
        <v>-0.37224262394871521</v>
      </c>
      <c r="AZ1958" s="68" t="str">
        <f t="shared" si="216"/>
        <v>No</v>
      </c>
      <c r="BA1958" s="68" t="str">
        <f t="shared" si="217"/>
        <v>No</v>
      </c>
    </row>
    <row r="1959" spans="1:53" hidden="1">
      <c r="A1959" t="s">
        <v>908</v>
      </c>
      <c r="B1959" t="s">
        <v>528</v>
      </c>
      <c r="C1959" t="s">
        <v>522</v>
      </c>
      <c r="D1959" s="25">
        <v>42</v>
      </c>
      <c r="E1959" s="25">
        <v>355</v>
      </c>
      <c r="F1959" t="s">
        <v>1241</v>
      </c>
      <c r="G1959" t="s">
        <v>475</v>
      </c>
      <c r="H1959" s="3" t="s">
        <v>809</v>
      </c>
      <c r="I1959">
        <v>2004</v>
      </c>
      <c r="J1959" t="s">
        <v>523</v>
      </c>
      <c r="K1959" t="s">
        <v>162</v>
      </c>
      <c r="L1959" t="s">
        <v>524</v>
      </c>
      <c r="M1959" s="25" t="s">
        <v>35</v>
      </c>
      <c r="N1959" t="s">
        <v>36</v>
      </c>
      <c r="O1959" t="s">
        <v>37</v>
      </c>
      <c r="P1959" t="s">
        <v>60</v>
      </c>
      <c r="Q1959" t="s">
        <v>899</v>
      </c>
      <c r="R1959" t="s">
        <v>828</v>
      </c>
      <c r="S1959" t="s">
        <v>811</v>
      </c>
      <c r="T1959">
        <v>33.683332999999998</v>
      </c>
      <c r="U1959">
        <v>135.35</v>
      </c>
      <c r="V1959" t="s">
        <v>905</v>
      </c>
      <c r="W1959" s="25" t="s">
        <v>38</v>
      </c>
      <c r="X1959">
        <v>6</v>
      </c>
      <c r="Y1959" t="s">
        <v>39</v>
      </c>
      <c r="Z1959">
        <v>3</v>
      </c>
      <c r="AA1959">
        <v>3</v>
      </c>
      <c r="AC1959">
        <v>365</v>
      </c>
      <c r="AE1959">
        <v>10365</v>
      </c>
      <c r="AG1959">
        <v>2183</v>
      </c>
      <c r="AH1959">
        <v>4.0155693059999997</v>
      </c>
      <c r="AI1959">
        <v>24</v>
      </c>
      <c r="AJ1959" t="s">
        <v>525</v>
      </c>
      <c r="AK1959" t="s">
        <v>69</v>
      </c>
      <c r="AL1959" s="25" t="s">
        <v>60</v>
      </c>
      <c r="AM1959" t="s">
        <v>61</v>
      </c>
      <c r="AN1959">
        <v>63.715012719999997</v>
      </c>
      <c r="AO1959">
        <v>19.745547070000001</v>
      </c>
      <c r="AP1959">
        <v>55.572519079999999</v>
      </c>
      <c r="AQ1959">
        <v>22.18829517</v>
      </c>
      <c r="AR1959" t="s">
        <v>44</v>
      </c>
      <c r="AS1959">
        <f t="shared" si="206"/>
        <v>-0.13673139538508838</v>
      </c>
      <c r="AT1959">
        <f t="shared" si="207"/>
        <v>8.5151680148084385E-2</v>
      </c>
      <c r="AW1959" s="28">
        <f t="shared" si="213"/>
        <v>-0.38769228480292678</v>
      </c>
      <c r="AX1959">
        <f t="shared" si="214"/>
        <v>0.8</v>
      </c>
      <c r="AY1959" s="62">
        <f t="shared" si="215"/>
        <v>-0.31015382784234147</v>
      </c>
      <c r="AZ1959" s="68" t="str">
        <f t="shared" si="216"/>
        <v>No</v>
      </c>
      <c r="BA1959" s="68" t="str">
        <f t="shared" si="217"/>
        <v>No</v>
      </c>
    </row>
    <row r="1960" spans="1:53" hidden="1">
      <c r="A1960" t="s">
        <v>908</v>
      </c>
      <c r="B1960" t="s">
        <v>529</v>
      </c>
      <c r="C1960" t="s">
        <v>522</v>
      </c>
      <c r="D1960" s="25">
        <v>42</v>
      </c>
      <c r="E1960" s="25">
        <v>356</v>
      </c>
      <c r="F1960" t="s">
        <v>1241</v>
      </c>
      <c r="G1960" t="s">
        <v>475</v>
      </c>
      <c r="H1960" s="3" t="s">
        <v>809</v>
      </c>
      <c r="I1960">
        <v>2004</v>
      </c>
      <c r="J1960" t="s">
        <v>523</v>
      </c>
      <c r="K1960" t="s">
        <v>162</v>
      </c>
      <c r="L1960" t="s">
        <v>524</v>
      </c>
      <c r="M1960" s="25" t="s">
        <v>35</v>
      </c>
      <c r="N1960" t="s">
        <v>36</v>
      </c>
      <c r="O1960" t="s">
        <v>37</v>
      </c>
      <c r="P1960" t="s">
        <v>60</v>
      </c>
      <c r="Q1960" t="s">
        <v>899</v>
      </c>
      <c r="R1960" t="s">
        <v>828</v>
      </c>
      <c r="S1960" t="s">
        <v>811</v>
      </c>
      <c r="T1960">
        <v>33.683332999999998</v>
      </c>
      <c r="U1960">
        <v>135.35</v>
      </c>
      <c r="V1960" t="s">
        <v>905</v>
      </c>
      <c r="W1960" s="25" t="s">
        <v>38</v>
      </c>
      <c r="X1960">
        <v>8</v>
      </c>
      <c r="Y1960" t="s">
        <v>39</v>
      </c>
      <c r="Z1960">
        <v>3</v>
      </c>
      <c r="AA1960">
        <v>3</v>
      </c>
      <c r="AC1960">
        <v>365</v>
      </c>
      <c r="AE1960">
        <v>2365</v>
      </c>
      <c r="AG1960">
        <v>2184</v>
      </c>
      <c r="AH1960">
        <v>3.373831145</v>
      </c>
      <c r="AI1960">
        <v>24</v>
      </c>
      <c r="AJ1960" t="s">
        <v>525</v>
      </c>
      <c r="AK1960" t="s">
        <v>69</v>
      </c>
      <c r="AL1960" s="25" t="s">
        <v>60</v>
      </c>
      <c r="AM1960" t="s">
        <v>61</v>
      </c>
      <c r="AN1960">
        <v>37.455470740000003</v>
      </c>
      <c r="AO1960">
        <v>42.34096692</v>
      </c>
      <c r="AP1960">
        <v>35.826972009999999</v>
      </c>
      <c r="AQ1960">
        <v>38.676844780000003</v>
      </c>
      <c r="AR1960" t="s">
        <v>44</v>
      </c>
      <c r="AS1960">
        <f t="shared" si="206"/>
        <v>-4.4451762631511738E-2</v>
      </c>
      <c r="AT1960">
        <f t="shared" si="207"/>
        <v>0.81443372857969099</v>
      </c>
      <c r="AW1960" s="28">
        <f t="shared" si="213"/>
        <v>-4.0159954420434851E-2</v>
      </c>
      <c r="AX1960">
        <f t="shared" si="214"/>
        <v>0.8</v>
      </c>
      <c r="AY1960" s="62">
        <f t="shared" si="215"/>
        <v>-3.2127963536347885E-2</v>
      </c>
      <c r="AZ1960" s="68" t="str">
        <f t="shared" si="216"/>
        <v>No</v>
      </c>
      <c r="BA1960" s="68" t="str">
        <f t="shared" si="217"/>
        <v>No</v>
      </c>
    </row>
    <row r="1961" spans="1:53" hidden="1">
      <c r="A1961" t="s">
        <v>908</v>
      </c>
      <c r="B1961" t="s">
        <v>530</v>
      </c>
      <c r="C1961" t="s">
        <v>522</v>
      </c>
      <c r="D1961" s="25">
        <v>42</v>
      </c>
      <c r="E1961" s="25">
        <v>357</v>
      </c>
      <c r="F1961" t="s">
        <v>1241</v>
      </c>
      <c r="G1961" t="s">
        <v>475</v>
      </c>
      <c r="H1961" s="3" t="s">
        <v>809</v>
      </c>
      <c r="I1961">
        <v>2004</v>
      </c>
      <c r="J1961" t="s">
        <v>523</v>
      </c>
      <c r="K1961" t="s">
        <v>162</v>
      </c>
      <c r="L1961" t="s">
        <v>524</v>
      </c>
      <c r="M1961" s="25" t="s">
        <v>35</v>
      </c>
      <c r="N1961" t="s">
        <v>36</v>
      </c>
      <c r="O1961" t="s">
        <v>37</v>
      </c>
      <c r="P1961" t="s">
        <v>60</v>
      </c>
      <c r="Q1961" t="s">
        <v>899</v>
      </c>
      <c r="R1961" t="s">
        <v>828</v>
      </c>
      <c r="S1961" t="s">
        <v>811</v>
      </c>
      <c r="T1961">
        <v>33.683332999999998</v>
      </c>
      <c r="U1961">
        <v>135.35</v>
      </c>
      <c r="V1961" t="s">
        <v>905</v>
      </c>
      <c r="W1961" s="25" t="s">
        <v>38</v>
      </c>
      <c r="X1961">
        <v>8</v>
      </c>
      <c r="Y1961" t="s">
        <v>39</v>
      </c>
      <c r="Z1961">
        <v>3</v>
      </c>
      <c r="AA1961">
        <v>3</v>
      </c>
      <c r="AC1961">
        <v>365</v>
      </c>
      <c r="AE1961">
        <v>10365</v>
      </c>
      <c r="AG1961">
        <v>2184</v>
      </c>
      <c r="AH1961">
        <v>4.0155693059999997</v>
      </c>
      <c r="AI1961">
        <v>24</v>
      </c>
      <c r="AJ1961" t="s">
        <v>525</v>
      </c>
      <c r="AK1961" t="s">
        <v>69</v>
      </c>
      <c r="AL1961" s="25" t="s">
        <v>60</v>
      </c>
      <c r="AM1961" t="s">
        <v>61</v>
      </c>
      <c r="AN1961">
        <v>37.455470740000003</v>
      </c>
      <c r="AO1961">
        <v>42.34096692</v>
      </c>
      <c r="AP1961">
        <v>30.127226459999999</v>
      </c>
      <c r="AQ1961">
        <v>29.72010178</v>
      </c>
      <c r="AR1961" t="s">
        <v>44</v>
      </c>
      <c r="AS1961">
        <f t="shared" si="206"/>
        <v>-0.21772348400361752</v>
      </c>
      <c r="AT1961">
        <f t="shared" si="207"/>
        <v>0.75034612855532168</v>
      </c>
      <c r="AW1961" s="28">
        <f t="shared" si="213"/>
        <v>-0.20034037325731086</v>
      </c>
      <c r="AX1961">
        <f t="shared" si="214"/>
        <v>0.8</v>
      </c>
      <c r="AY1961" s="62">
        <f t="shared" si="215"/>
        <v>-0.16027229860584868</v>
      </c>
      <c r="AZ1961" s="68" t="str">
        <f t="shared" si="216"/>
        <v>No</v>
      </c>
      <c r="BA1961" s="68" t="str">
        <f t="shared" si="217"/>
        <v>No</v>
      </c>
    </row>
    <row r="1962" spans="1:53" hidden="1">
      <c r="A1962" t="s">
        <v>908</v>
      </c>
      <c r="B1962" t="s">
        <v>531</v>
      </c>
      <c r="C1962" t="s">
        <v>522</v>
      </c>
      <c r="D1962" s="25">
        <v>42</v>
      </c>
      <c r="E1962" s="25">
        <v>358</v>
      </c>
      <c r="F1962" t="s">
        <v>1241</v>
      </c>
      <c r="G1962" t="s">
        <v>475</v>
      </c>
      <c r="H1962" s="3" t="s">
        <v>809</v>
      </c>
      <c r="I1962">
        <v>2004</v>
      </c>
      <c r="J1962" t="s">
        <v>523</v>
      </c>
      <c r="K1962" t="s">
        <v>162</v>
      </c>
      <c r="L1962" t="s">
        <v>524</v>
      </c>
      <c r="M1962" s="25" t="s">
        <v>35</v>
      </c>
      <c r="N1962" t="s">
        <v>36</v>
      </c>
      <c r="O1962" t="s">
        <v>37</v>
      </c>
      <c r="P1962" t="s">
        <v>60</v>
      </c>
      <c r="Q1962" t="s">
        <v>899</v>
      </c>
      <c r="R1962" t="s">
        <v>828</v>
      </c>
      <c r="S1962" t="s">
        <v>811</v>
      </c>
      <c r="T1962">
        <v>33.683332999999998</v>
      </c>
      <c r="U1962">
        <v>135.35</v>
      </c>
      <c r="V1962" t="s">
        <v>905</v>
      </c>
      <c r="W1962" s="25" t="s">
        <v>38</v>
      </c>
      <c r="X1962">
        <v>4</v>
      </c>
      <c r="Y1962" t="s">
        <v>39</v>
      </c>
      <c r="Z1962">
        <v>2</v>
      </c>
      <c r="AA1962">
        <v>2</v>
      </c>
      <c r="AC1962">
        <v>365</v>
      </c>
      <c r="AE1962">
        <v>5365</v>
      </c>
      <c r="AG1962">
        <v>2185</v>
      </c>
      <c r="AH1962">
        <v>3.7295697259999998</v>
      </c>
      <c r="AI1962">
        <v>24</v>
      </c>
      <c r="AJ1962" t="s">
        <v>532</v>
      </c>
      <c r="AK1962" t="s">
        <v>69</v>
      </c>
      <c r="AL1962" s="25" t="s">
        <v>60</v>
      </c>
      <c r="AM1962" t="s">
        <v>61</v>
      </c>
      <c r="AN1962">
        <v>69.900990100000001</v>
      </c>
      <c r="AO1962">
        <v>17.22772277</v>
      </c>
      <c r="AP1962">
        <v>69.900990100000001</v>
      </c>
      <c r="AQ1962">
        <v>7.3267326730000004</v>
      </c>
      <c r="AR1962" t="s">
        <v>44</v>
      </c>
      <c r="AS1962">
        <f t="shared" si="206"/>
        <v>0</v>
      </c>
      <c r="AT1962">
        <f t="shared" si="207"/>
        <v>3.586418315549398E-2</v>
      </c>
      <c r="AW1962" s="28">
        <f t="shared" si="213"/>
        <v>0</v>
      </c>
      <c r="AX1962">
        <f t="shared" si="214"/>
        <v>0.5714285714285714</v>
      </c>
      <c r="AY1962" s="62">
        <f t="shared" si="215"/>
        <v>0</v>
      </c>
      <c r="AZ1962" s="68" t="str">
        <f t="shared" si="216"/>
        <v>No</v>
      </c>
      <c r="BA1962" s="68" t="str">
        <f t="shared" si="217"/>
        <v>No</v>
      </c>
    </row>
    <row r="1963" spans="1:53" hidden="1">
      <c r="A1963" t="s">
        <v>908</v>
      </c>
      <c r="B1963" t="s">
        <v>533</v>
      </c>
      <c r="C1963" t="s">
        <v>522</v>
      </c>
      <c r="D1963" s="25">
        <v>42</v>
      </c>
      <c r="E1963" s="25">
        <v>359</v>
      </c>
      <c r="F1963" t="s">
        <v>1241</v>
      </c>
      <c r="G1963" t="s">
        <v>475</v>
      </c>
      <c r="H1963" s="3" t="s">
        <v>809</v>
      </c>
      <c r="I1963">
        <v>2004</v>
      </c>
      <c r="J1963" t="s">
        <v>523</v>
      </c>
      <c r="K1963" t="s">
        <v>162</v>
      </c>
      <c r="L1963" t="s">
        <v>524</v>
      </c>
      <c r="M1963" s="25" t="s">
        <v>35</v>
      </c>
      <c r="N1963" t="s">
        <v>36</v>
      </c>
      <c r="O1963" t="s">
        <v>37</v>
      </c>
      <c r="P1963" t="s">
        <v>60</v>
      </c>
      <c r="Q1963" t="s">
        <v>899</v>
      </c>
      <c r="R1963" t="s">
        <v>828</v>
      </c>
      <c r="S1963" t="s">
        <v>811</v>
      </c>
      <c r="T1963">
        <v>33.683332999999998</v>
      </c>
      <c r="U1963">
        <v>135.35</v>
      </c>
      <c r="V1963" t="s">
        <v>905</v>
      </c>
      <c r="W1963" s="25" t="s">
        <v>38</v>
      </c>
      <c r="X1963">
        <v>4</v>
      </c>
      <c r="Y1963" t="s">
        <v>39</v>
      </c>
      <c r="Z1963">
        <v>2</v>
      </c>
      <c r="AA1963">
        <v>2</v>
      </c>
      <c r="AC1963">
        <v>365</v>
      </c>
      <c r="AE1963">
        <v>10365</v>
      </c>
      <c r="AG1963">
        <v>2185</v>
      </c>
      <c r="AH1963">
        <v>4.0155693059999997</v>
      </c>
      <c r="AI1963">
        <v>24</v>
      </c>
      <c r="AJ1963" t="s">
        <v>532</v>
      </c>
      <c r="AK1963" t="s">
        <v>69</v>
      </c>
      <c r="AL1963" s="25" t="s">
        <v>60</v>
      </c>
      <c r="AM1963" t="s">
        <v>61</v>
      </c>
      <c r="AN1963">
        <v>69.900990100000001</v>
      </c>
      <c r="AO1963">
        <v>17.22772277</v>
      </c>
      <c r="AP1963">
        <v>49.900990100000001</v>
      </c>
      <c r="AQ1963">
        <v>2.1782178220000001</v>
      </c>
      <c r="AR1963" t="s">
        <v>44</v>
      </c>
      <c r="AS1963">
        <f t="shared" si="206"/>
        <v>-0.33703896941619682</v>
      </c>
      <c r="AT1963">
        <f t="shared" si="207"/>
        <v>3.1323696373966592E-2</v>
      </c>
      <c r="AW1963" s="28">
        <f t="shared" si="213"/>
        <v>-1.6288204067536205</v>
      </c>
      <c r="AX1963">
        <f t="shared" si="214"/>
        <v>0.5714285714285714</v>
      </c>
      <c r="AY1963" s="62">
        <f t="shared" si="215"/>
        <v>-0.93075451814492594</v>
      </c>
      <c r="AZ1963" s="68" t="str">
        <f t="shared" si="216"/>
        <v>No</v>
      </c>
      <c r="BA1963" s="68" t="str">
        <f t="shared" si="217"/>
        <v>No</v>
      </c>
    </row>
    <row r="1964" spans="1:53" hidden="1">
      <c r="A1964" t="s">
        <v>908</v>
      </c>
      <c r="B1964" t="s">
        <v>534</v>
      </c>
      <c r="C1964" t="s">
        <v>522</v>
      </c>
      <c r="D1964" s="25">
        <v>42</v>
      </c>
      <c r="E1964" s="25">
        <v>360</v>
      </c>
      <c r="F1964" t="s">
        <v>1241</v>
      </c>
      <c r="G1964" t="s">
        <v>475</v>
      </c>
      <c r="H1964" s="3" t="s">
        <v>809</v>
      </c>
      <c r="I1964">
        <v>2004</v>
      </c>
      <c r="J1964" t="s">
        <v>523</v>
      </c>
      <c r="K1964" t="s">
        <v>162</v>
      </c>
      <c r="L1964" t="s">
        <v>524</v>
      </c>
      <c r="M1964" s="25" t="s">
        <v>35</v>
      </c>
      <c r="N1964" t="s">
        <v>36</v>
      </c>
      <c r="O1964" t="s">
        <v>37</v>
      </c>
      <c r="P1964" t="s">
        <v>60</v>
      </c>
      <c r="Q1964" t="s">
        <v>899</v>
      </c>
      <c r="R1964" t="s">
        <v>828</v>
      </c>
      <c r="S1964" t="s">
        <v>811</v>
      </c>
      <c r="T1964">
        <v>33.683332999999998</v>
      </c>
      <c r="U1964">
        <v>135.35</v>
      </c>
      <c r="V1964" t="s">
        <v>905</v>
      </c>
      <c r="W1964" s="25" t="s">
        <v>38</v>
      </c>
      <c r="X1964">
        <v>6</v>
      </c>
      <c r="Y1964" t="s">
        <v>39</v>
      </c>
      <c r="Z1964">
        <v>2</v>
      </c>
      <c r="AA1964">
        <v>2</v>
      </c>
      <c r="AC1964">
        <v>365</v>
      </c>
      <c r="AE1964">
        <v>5365</v>
      </c>
      <c r="AG1964">
        <v>2186</v>
      </c>
      <c r="AH1964">
        <v>3.7295697259999998</v>
      </c>
      <c r="AI1964">
        <v>24</v>
      </c>
      <c r="AJ1964" t="s">
        <v>532</v>
      </c>
      <c r="AK1964" t="s">
        <v>69</v>
      </c>
      <c r="AL1964" s="25" t="s">
        <v>60</v>
      </c>
      <c r="AM1964" t="s">
        <v>61</v>
      </c>
      <c r="AN1964">
        <v>62.574257430000003</v>
      </c>
      <c r="AO1964">
        <v>17.623762379999999</v>
      </c>
      <c r="AP1964">
        <v>56.831683169999998</v>
      </c>
      <c r="AQ1964">
        <v>9.9009900989999995</v>
      </c>
      <c r="AR1964" t="s">
        <v>44</v>
      </c>
      <c r="AS1964">
        <f t="shared" si="206"/>
        <v>-9.6259997865712599E-2</v>
      </c>
      <c r="AT1964">
        <f t="shared" si="207"/>
        <v>5.4837725638162006E-2</v>
      </c>
      <c r="AW1964" s="28">
        <f t="shared" si="213"/>
        <v>-0.40175223169570867</v>
      </c>
      <c r="AX1964">
        <f t="shared" si="214"/>
        <v>0.5714285714285714</v>
      </c>
      <c r="AY1964" s="62">
        <f t="shared" si="215"/>
        <v>-0.22957270382611922</v>
      </c>
      <c r="AZ1964" s="68" t="str">
        <f t="shared" si="216"/>
        <v>No</v>
      </c>
      <c r="BA1964" s="68" t="str">
        <f t="shared" si="217"/>
        <v>No</v>
      </c>
    </row>
    <row r="1965" spans="1:53" hidden="1">
      <c r="A1965" t="s">
        <v>908</v>
      </c>
      <c r="B1965" t="s">
        <v>535</v>
      </c>
      <c r="C1965" t="s">
        <v>522</v>
      </c>
      <c r="D1965" s="25">
        <v>42</v>
      </c>
      <c r="E1965" s="25">
        <v>361</v>
      </c>
      <c r="F1965" t="s">
        <v>1241</v>
      </c>
      <c r="G1965" t="s">
        <v>475</v>
      </c>
      <c r="H1965" s="3" t="s">
        <v>809</v>
      </c>
      <c r="I1965">
        <v>2004</v>
      </c>
      <c r="J1965" t="s">
        <v>523</v>
      </c>
      <c r="K1965" t="s">
        <v>162</v>
      </c>
      <c r="L1965" t="s">
        <v>524</v>
      </c>
      <c r="M1965" s="25" t="s">
        <v>35</v>
      </c>
      <c r="N1965" t="s">
        <v>36</v>
      </c>
      <c r="O1965" t="s">
        <v>37</v>
      </c>
      <c r="P1965" t="s">
        <v>60</v>
      </c>
      <c r="Q1965" t="s">
        <v>899</v>
      </c>
      <c r="R1965" t="s">
        <v>828</v>
      </c>
      <c r="S1965" t="s">
        <v>811</v>
      </c>
      <c r="T1965">
        <v>33.683332999999998</v>
      </c>
      <c r="U1965">
        <v>135.35</v>
      </c>
      <c r="V1965" t="s">
        <v>905</v>
      </c>
      <c r="W1965" s="25" t="s">
        <v>38</v>
      </c>
      <c r="X1965">
        <v>6</v>
      </c>
      <c r="Y1965" t="s">
        <v>39</v>
      </c>
      <c r="Z1965">
        <v>2</v>
      </c>
      <c r="AA1965">
        <v>2</v>
      </c>
      <c r="AC1965">
        <v>365</v>
      </c>
      <c r="AE1965">
        <v>10365</v>
      </c>
      <c r="AG1965">
        <v>2186</v>
      </c>
      <c r="AH1965">
        <v>4.0155693059999997</v>
      </c>
      <c r="AI1965">
        <v>24</v>
      </c>
      <c r="AJ1965" t="s">
        <v>532</v>
      </c>
      <c r="AK1965" t="s">
        <v>69</v>
      </c>
      <c r="AL1965" s="25" t="s">
        <v>60</v>
      </c>
      <c r="AM1965" t="s">
        <v>61</v>
      </c>
      <c r="AN1965">
        <v>62.574257430000003</v>
      </c>
      <c r="AO1965">
        <v>17.623762379999999</v>
      </c>
      <c r="AP1965">
        <v>46.336633659999997</v>
      </c>
      <c r="AQ1965">
        <v>5.346534653</v>
      </c>
      <c r="AR1965" t="s">
        <v>44</v>
      </c>
      <c r="AS1965">
        <f t="shared" si="206"/>
        <v>-0.3004210983698985</v>
      </c>
      <c r="AT1965">
        <f t="shared" si="207"/>
        <v>4.6318918188432014E-2</v>
      </c>
      <c r="AW1965" s="28">
        <f t="shared" si="213"/>
        <v>-1.2468689112331317</v>
      </c>
      <c r="AX1965">
        <f t="shared" si="214"/>
        <v>0.5714285714285714</v>
      </c>
      <c r="AY1965" s="62">
        <f t="shared" si="215"/>
        <v>-0.71249652070464664</v>
      </c>
      <c r="AZ1965" s="68" t="str">
        <f t="shared" si="216"/>
        <v>No</v>
      </c>
      <c r="BA1965" s="68" t="str">
        <f t="shared" si="217"/>
        <v>No</v>
      </c>
    </row>
    <row r="1966" spans="1:53" hidden="1">
      <c r="A1966" t="s">
        <v>908</v>
      </c>
      <c r="B1966" t="s">
        <v>536</v>
      </c>
      <c r="C1966" t="s">
        <v>522</v>
      </c>
      <c r="D1966" s="25">
        <v>42</v>
      </c>
      <c r="E1966" s="25">
        <v>362</v>
      </c>
      <c r="F1966" t="s">
        <v>1241</v>
      </c>
      <c r="G1966" t="s">
        <v>475</v>
      </c>
      <c r="H1966" s="3" t="s">
        <v>809</v>
      </c>
      <c r="I1966">
        <v>2004</v>
      </c>
      <c r="J1966" t="s">
        <v>523</v>
      </c>
      <c r="K1966" t="s">
        <v>162</v>
      </c>
      <c r="L1966" t="s">
        <v>524</v>
      </c>
      <c r="M1966" s="25" t="s">
        <v>35</v>
      </c>
      <c r="N1966" t="s">
        <v>36</v>
      </c>
      <c r="O1966" t="s">
        <v>37</v>
      </c>
      <c r="P1966" t="s">
        <v>60</v>
      </c>
      <c r="Q1966" t="s">
        <v>899</v>
      </c>
      <c r="R1966" t="s">
        <v>828</v>
      </c>
      <c r="S1966" t="s">
        <v>811</v>
      </c>
      <c r="T1966">
        <v>33.683332999999998</v>
      </c>
      <c r="U1966">
        <v>135.35</v>
      </c>
      <c r="V1966" t="s">
        <v>905</v>
      </c>
      <c r="W1966" s="25" t="s">
        <v>38</v>
      </c>
      <c r="X1966">
        <v>8</v>
      </c>
      <c r="Y1966" t="s">
        <v>39</v>
      </c>
      <c r="Z1966">
        <v>2</v>
      </c>
      <c r="AA1966">
        <v>2</v>
      </c>
      <c r="AC1966">
        <v>365</v>
      </c>
      <c r="AE1966">
        <v>5365</v>
      </c>
      <c r="AG1966">
        <v>2187</v>
      </c>
      <c r="AH1966">
        <v>3.7295697259999998</v>
      </c>
      <c r="AI1966">
        <v>24</v>
      </c>
      <c r="AJ1966" t="s">
        <v>532</v>
      </c>
      <c r="AK1966" t="s">
        <v>69</v>
      </c>
      <c r="AL1966" s="25" t="s">
        <v>60</v>
      </c>
      <c r="AM1966" t="s">
        <v>61</v>
      </c>
      <c r="AN1966">
        <v>51.287128709999998</v>
      </c>
      <c r="AO1966">
        <v>21.782178219999999</v>
      </c>
      <c r="AP1966">
        <v>44.158415840000004</v>
      </c>
      <c r="AQ1966">
        <v>1.584158416</v>
      </c>
      <c r="AR1966" t="s">
        <v>44</v>
      </c>
      <c r="AS1966">
        <f t="shared" si="206"/>
        <v>-0.14965629021930882</v>
      </c>
      <c r="AT1966">
        <f t="shared" si="207"/>
        <v>9.0832960160518034E-2</v>
      </c>
      <c r="AW1966" s="28">
        <f t="shared" si="213"/>
        <v>-0.46161434114009242</v>
      </c>
      <c r="AX1966">
        <f t="shared" si="214"/>
        <v>0.5714285714285714</v>
      </c>
      <c r="AY1966" s="62">
        <f t="shared" si="215"/>
        <v>-0.26377962350862422</v>
      </c>
      <c r="AZ1966" s="68" t="str">
        <f t="shared" si="216"/>
        <v>No</v>
      </c>
      <c r="BA1966" s="68" t="str">
        <f t="shared" si="217"/>
        <v>No</v>
      </c>
    </row>
    <row r="1967" spans="1:53" hidden="1">
      <c r="A1967" t="s">
        <v>908</v>
      </c>
      <c r="B1967" t="s">
        <v>537</v>
      </c>
      <c r="C1967" t="s">
        <v>522</v>
      </c>
      <c r="D1967" s="25">
        <v>42</v>
      </c>
      <c r="E1967" s="25">
        <v>363</v>
      </c>
      <c r="F1967" t="s">
        <v>1241</v>
      </c>
      <c r="G1967" t="s">
        <v>475</v>
      </c>
      <c r="H1967" s="3" t="s">
        <v>809</v>
      </c>
      <c r="I1967">
        <v>2004</v>
      </c>
      <c r="J1967" t="s">
        <v>523</v>
      </c>
      <c r="K1967" t="s">
        <v>162</v>
      </c>
      <c r="L1967" t="s">
        <v>524</v>
      </c>
      <c r="M1967" s="25" t="s">
        <v>35</v>
      </c>
      <c r="N1967" t="s">
        <v>36</v>
      </c>
      <c r="O1967" t="s">
        <v>37</v>
      </c>
      <c r="P1967" t="s">
        <v>60</v>
      </c>
      <c r="Q1967" t="s">
        <v>899</v>
      </c>
      <c r="R1967" t="s">
        <v>828</v>
      </c>
      <c r="S1967" t="s">
        <v>811</v>
      </c>
      <c r="T1967">
        <v>33.683332999999998</v>
      </c>
      <c r="U1967">
        <v>135.35</v>
      </c>
      <c r="V1967" t="s">
        <v>905</v>
      </c>
      <c r="W1967" s="25" t="s">
        <v>38</v>
      </c>
      <c r="X1967">
        <v>8</v>
      </c>
      <c r="Y1967" t="s">
        <v>39</v>
      </c>
      <c r="Z1967">
        <v>2</v>
      </c>
      <c r="AA1967">
        <v>2</v>
      </c>
      <c r="AC1967">
        <v>365</v>
      </c>
      <c r="AE1967">
        <v>10365</v>
      </c>
      <c r="AG1967">
        <v>2187</v>
      </c>
      <c r="AH1967">
        <v>4.0155693059999997</v>
      </c>
      <c r="AI1967">
        <v>24</v>
      </c>
      <c r="AJ1967" t="s">
        <v>532</v>
      </c>
      <c r="AK1967" t="s">
        <v>69</v>
      </c>
      <c r="AL1967" s="25" t="s">
        <v>60</v>
      </c>
      <c r="AM1967" t="s">
        <v>61</v>
      </c>
      <c r="AN1967">
        <v>51.287128709999998</v>
      </c>
      <c r="AO1967">
        <v>21.782178219999999</v>
      </c>
      <c r="AP1967">
        <v>37.82178218</v>
      </c>
      <c r="AQ1967">
        <v>3.1683168319999999</v>
      </c>
      <c r="AR1967" t="s">
        <v>44</v>
      </c>
      <c r="AS1967">
        <f t="shared" si="206"/>
        <v>-0.30455463354980283</v>
      </c>
      <c r="AT1967">
        <f t="shared" si="207"/>
        <v>9.3698148206382101E-2</v>
      </c>
      <c r="AW1967" s="28">
        <f t="shared" si="213"/>
        <v>-0.86513714800734653</v>
      </c>
      <c r="AX1967">
        <f t="shared" si="214"/>
        <v>0.5714285714285714</v>
      </c>
      <c r="AY1967" s="62">
        <f t="shared" si="215"/>
        <v>-0.49436408457562658</v>
      </c>
      <c r="AZ1967" s="68" t="str">
        <f t="shared" si="216"/>
        <v>No</v>
      </c>
      <c r="BA1967" s="68" t="str">
        <f t="shared" si="217"/>
        <v>No</v>
      </c>
    </row>
    <row r="1968" spans="1:53" hidden="1">
      <c r="A1968" t="s">
        <v>908</v>
      </c>
      <c r="B1968" t="s">
        <v>538</v>
      </c>
      <c r="C1968" t="s">
        <v>522</v>
      </c>
      <c r="D1968" s="25">
        <v>42</v>
      </c>
      <c r="E1968" s="25">
        <v>364</v>
      </c>
      <c r="F1968" t="s">
        <v>1241</v>
      </c>
      <c r="G1968" t="s">
        <v>475</v>
      </c>
      <c r="H1968" s="3" t="s">
        <v>809</v>
      </c>
      <c r="I1968">
        <v>2004</v>
      </c>
      <c r="J1968" t="s">
        <v>523</v>
      </c>
      <c r="K1968" t="s">
        <v>162</v>
      </c>
      <c r="L1968" t="s">
        <v>524</v>
      </c>
      <c r="M1968" s="25" t="s">
        <v>35</v>
      </c>
      <c r="N1968" t="s">
        <v>36</v>
      </c>
      <c r="O1968" t="s">
        <v>37</v>
      </c>
      <c r="P1968" t="s">
        <v>60</v>
      </c>
      <c r="Q1968" t="s">
        <v>899</v>
      </c>
      <c r="R1968" t="s">
        <v>828</v>
      </c>
      <c r="S1968" t="s">
        <v>811</v>
      </c>
      <c r="T1968">
        <v>33.683332999999998</v>
      </c>
      <c r="U1968">
        <v>135.35</v>
      </c>
      <c r="V1968" t="s">
        <v>905</v>
      </c>
      <c r="W1968" s="25" t="s">
        <v>38</v>
      </c>
      <c r="X1968">
        <v>4</v>
      </c>
      <c r="Y1968" t="s">
        <v>39</v>
      </c>
      <c r="Z1968">
        <v>3</v>
      </c>
      <c r="AA1968">
        <v>3</v>
      </c>
      <c r="AC1968">
        <v>365</v>
      </c>
      <c r="AE1968">
        <v>2365</v>
      </c>
      <c r="AG1968">
        <v>2188</v>
      </c>
      <c r="AH1968">
        <v>3.373831145</v>
      </c>
      <c r="AI1968">
        <v>24</v>
      </c>
      <c r="AJ1968" t="s">
        <v>487</v>
      </c>
      <c r="AK1968" t="s">
        <v>59</v>
      </c>
      <c r="AL1968" s="25" t="s">
        <v>60</v>
      </c>
      <c r="AM1968" t="s">
        <v>61</v>
      </c>
      <c r="AN1968">
        <v>7.2607594940000002</v>
      </c>
      <c r="AO1968">
        <v>0.75949367099999998</v>
      </c>
      <c r="AP1968">
        <v>5.4683544299999998</v>
      </c>
      <c r="AQ1968">
        <v>3.9189873419999999</v>
      </c>
      <c r="AR1968" t="s">
        <v>48</v>
      </c>
      <c r="AS1968">
        <f t="shared" si="206"/>
        <v>-0.28350670115607257</v>
      </c>
      <c r="AT1968">
        <f t="shared" si="207"/>
        <v>0.17485093214634861</v>
      </c>
      <c r="AW1968" s="28">
        <f t="shared" si="213"/>
        <v>-0.63499622189549076</v>
      </c>
      <c r="AX1968">
        <f t="shared" si="214"/>
        <v>0.8</v>
      </c>
      <c r="AY1968" s="62">
        <f t="shared" si="215"/>
        <v>-0.50799697751639261</v>
      </c>
      <c r="AZ1968" s="68" t="str">
        <f t="shared" si="216"/>
        <v>No</v>
      </c>
      <c r="BA1968" s="68" t="str">
        <f t="shared" si="217"/>
        <v>No</v>
      </c>
    </row>
    <row r="1969" spans="1:53" hidden="1">
      <c r="A1969" t="s">
        <v>908</v>
      </c>
      <c r="B1969" t="s">
        <v>539</v>
      </c>
      <c r="C1969" t="s">
        <v>522</v>
      </c>
      <c r="D1969" s="25">
        <v>42</v>
      </c>
      <c r="E1969" s="25">
        <v>365</v>
      </c>
      <c r="F1969" t="s">
        <v>1241</v>
      </c>
      <c r="G1969" t="s">
        <v>475</v>
      </c>
      <c r="H1969" s="3" t="s">
        <v>809</v>
      </c>
      <c r="I1969">
        <v>2004</v>
      </c>
      <c r="J1969" t="s">
        <v>523</v>
      </c>
      <c r="K1969" t="s">
        <v>162</v>
      </c>
      <c r="L1969" t="s">
        <v>524</v>
      </c>
      <c r="M1969" s="25" t="s">
        <v>35</v>
      </c>
      <c r="N1969" t="s">
        <v>36</v>
      </c>
      <c r="O1969" t="s">
        <v>37</v>
      </c>
      <c r="P1969" t="s">
        <v>60</v>
      </c>
      <c r="Q1969" t="s">
        <v>899</v>
      </c>
      <c r="R1969" t="s">
        <v>828</v>
      </c>
      <c r="S1969" t="s">
        <v>811</v>
      </c>
      <c r="T1969">
        <v>33.683332999999998</v>
      </c>
      <c r="U1969">
        <v>135.35</v>
      </c>
      <c r="V1969" t="s">
        <v>905</v>
      </c>
      <c r="W1969" s="25" t="s">
        <v>38</v>
      </c>
      <c r="X1969">
        <v>4</v>
      </c>
      <c r="Y1969" t="s">
        <v>39</v>
      </c>
      <c r="Z1969">
        <v>3</v>
      </c>
      <c r="AA1969">
        <v>3</v>
      </c>
      <c r="AC1969">
        <v>365</v>
      </c>
      <c r="AE1969">
        <v>10365</v>
      </c>
      <c r="AG1969">
        <v>2188</v>
      </c>
      <c r="AH1969">
        <v>4.0155693059999997</v>
      </c>
      <c r="AI1969">
        <v>24</v>
      </c>
      <c r="AJ1969" t="s">
        <v>487</v>
      </c>
      <c r="AK1969" t="s">
        <v>59</v>
      </c>
      <c r="AL1969" s="25" t="s">
        <v>60</v>
      </c>
      <c r="AM1969" t="s">
        <v>61</v>
      </c>
      <c r="AN1969">
        <v>7.2607594940000002</v>
      </c>
      <c r="AO1969">
        <v>0.75949367099999998</v>
      </c>
      <c r="AP1969">
        <v>0.27341772199999997</v>
      </c>
      <c r="AQ1969">
        <v>0.24303797499999999</v>
      </c>
      <c r="AR1969" t="s">
        <v>48</v>
      </c>
      <c r="AS1969">
        <f t="shared" si="206"/>
        <v>-3.2792389728813598</v>
      </c>
      <c r="AT1969">
        <f t="shared" si="207"/>
        <v>0.26702171375485007</v>
      </c>
      <c r="AW1969" s="28">
        <f t="shared" si="213"/>
        <v>-12.39176654067415</v>
      </c>
      <c r="AX1969">
        <f t="shared" si="214"/>
        <v>0.8</v>
      </c>
      <c r="AY1969" s="62">
        <f t="shared" si="215"/>
        <v>-9.9134132325393196</v>
      </c>
      <c r="AZ1969" s="68" t="str">
        <f t="shared" si="216"/>
        <v>No</v>
      </c>
      <c r="BA1969" s="68" t="str">
        <f t="shared" si="217"/>
        <v>No</v>
      </c>
    </row>
    <row r="1970" spans="1:53" hidden="1">
      <c r="A1970" t="s">
        <v>908</v>
      </c>
      <c r="B1970" t="s">
        <v>540</v>
      </c>
      <c r="C1970" t="s">
        <v>522</v>
      </c>
      <c r="D1970" s="25">
        <v>42</v>
      </c>
      <c r="E1970" s="25">
        <v>366</v>
      </c>
      <c r="F1970" t="s">
        <v>1241</v>
      </c>
      <c r="G1970" t="s">
        <v>475</v>
      </c>
      <c r="H1970" s="3" t="s">
        <v>809</v>
      </c>
      <c r="I1970">
        <v>2004</v>
      </c>
      <c r="J1970" t="s">
        <v>523</v>
      </c>
      <c r="K1970" t="s">
        <v>162</v>
      </c>
      <c r="L1970" t="s">
        <v>524</v>
      </c>
      <c r="M1970" s="25" t="s">
        <v>35</v>
      </c>
      <c r="N1970" t="s">
        <v>36</v>
      </c>
      <c r="O1970" t="s">
        <v>37</v>
      </c>
      <c r="P1970" t="s">
        <v>60</v>
      </c>
      <c r="Q1970" t="s">
        <v>899</v>
      </c>
      <c r="R1970" t="s">
        <v>828</v>
      </c>
      <c r="S1970" t="s">
        <v>811</v>
      </c>
      <c r="T1970">
        <v>33.683332999999998</v>
      </c>
      <c r="U1970">
        <v>135.35</v>
      </c>
      <c r="V1970" t="s">
        <v>905</v>
      </c>
      <c r="W1970" s="25" t="s">
        <v>38</v>
      </c>
      <c r="X1970">
        <v>6</v>
      </c>
      <c r="Y1970" t="s">
        <v>39</v>
      </c>
      <c r="Z1970">
        <v>3</v>
      </c>
      <c r="AA1970">
        <v>3</v>
      </c>
      <c r="AC1970">
        <v>365</v>
      </c>
      <c r="AE1970">
        <v>2365</v>
      </c>
      <c r="AG1970">
        <v>2189</v>
      </c>
      <c r="AH1970">
        <v>3.373831145</v>
      </c>
      <c r="AI1970">
        <v>24</v>
      </c>
      <c r="AJ1970" t="s">
        <v>487</v>
      </c>
      <c r="AK1970" t="s">
        <v>59</v>
      </c>
      <c r="AL1970" s="25" t="s">
        <v>60</v>
      </c>
      <c r="AM1970" t="s">
        <v>61</v>
      </c>
      <c r="AN1970">
        <v>5.8025316460000003</v>
      </c>
      <c r="AO1970">
        <v>2.7645569619999999</v>
      </c>
      <c r="AP1970">
        <v>3.9797468349999998</v>
      </c>
      <c r="AQ1970">
        <v>0.91139240499999996</v>
      </c>
      <c r="AR1970" t="s">
        <v>48</v>
      </c>
      <c r="AS1970">
        <f t="shared" si="206"/>
        <v>-0.37707610503097255</v>
      </c>
      <c r="AT1970">
        <f t="shared" si="207"/>
        <v>9.3146456750687653E-2</v>
      </c>
      <c r="AW1970" s="28">
        <f t="shared" si="213"/>
        <v>-0.88556665381339639</v>
      </c>
      <c r="AX1970">
        <f t="shared" si="214"/>
        <v>0.8</v>
      </c>
      <c r="AY1970" s="62">
        <f t="shared" si="215"/>
        <v>-0.70845332305071718</v>
      </c>
      <c r="AZ1970" s="68" t="str">
        <f t="shared" si="216"/>
        <v>No</v>
      </c>
      <c r="BA1970" s="68" t="str">
        <f t="shared" si="217"/>
        <v>No</v>
      </c>
    </row>
    <row r="1971" spans="1:53" hidden="1">
      <c r="A1971" t="s">
        <v>908</v>
      </c>
      <c r="B1971" t="s">
        <v>541</v>
      </c>
      <c r="C1971" t="s">
        <v>522</v>
      </c>
      <c r="D1971" s="25">
        <v>42</v>
      </c>
      <c r="E1971" s="25">
        <v>367</v>
      </c>
      <c r="F1971" t="s">
        <v>1241</v>
      </c>
      <c r="G1971" t="s">
        <v>475</v>
      </c>
      <c r="H1971" s="3" t="s">
        <v>809</v>
      </c>
      <c r="I1971">
        <v>2004</v>
      </c>
      <c r="J1971" t="s">
        <v>523</v>
      </c>
      <c r="K1971" t="s">
        <v>162</v>
      </c>
      <c r="L1971" t="s">
        <v>524</v>
      </c>
      <c r="M1971" s="25" t="s">
        <v>35</v>
      </c>
      <c r="N1971" t="s">
        <v>36</v>
      </c>
      <c r="O1971" t="s">
        <v>37</v>
      </c>
      <c r="P1971" t="s">
        <v>60</v>
      </c>
      <c r="Q1971" t="s">
        <v>899</v>
      </c>
      <c r="R1971" t="s">
        <v>828</v>
      </c>
      <c r="S1971" t="s">
        <v>811</v>
      </c>
      <c r="T1971">
        <v>33.683332999999998</v>
      </c>
      <c r="U1971">
        <v>135.35</v>
      </c>
      <c r="V1971" t="s">
        <v>905</v>
      </c>
      <c r="W1971" s="25" t="s">
        <v>38</v>
      </c>
      <c r="X1971">
        <v>6</v>
      </c>
      <c r="Y1971" t="s">
        <v>39</v>
      </c>
      <c r="Z1971">
        <v>3</v>
      </c>
      <c r="AA1971">
        <v>3</v>
      </c>
      <c r="AC1971">
        <v>365</v>
      </c>
      <c r="AE1971">
        <v>10365</v>
      </c>
      <c r="AG1971">
        <v>2189</v>
      </c>
      <c r="AH1971">
        <v>4.0155693059999997</v>
      </c>
      <c r="AI1971">
        <v>24</v>
      </c>
      <c r="AJ1971" t="s">
        <v>487</v>
      </c>
      <c r="AK1971" t="s">
        <v>59</v>
      </c>
      <c r="AL1971" s="25" t="s">
        <v>60</v>
      </c>
      <c r="AM1971" t="s">
        <v>61</v>
      </c>
      <c r="AN1971">
        <v>5.8025316460000003</v>
      </c>
      <c r="AO1971">
        <v>2.7645569619999999</v>
      </c>
      <c r="AP1971">
        <v>0.394936709</v>
      </c>
      <c r="AQ1971">
        <v>0.42531645600000001</v>
      </c>
      <c r="AR1971" t="s">
        <v>48</v>
      </c>
      <c r="AS1971">
        <f t="shared" si="206"/>
        <v>-2.6873240703067003</v>
      </c>
      <c r="AT1971">
        <f t="shared" si="207"/>
        <v>0.46225272948489432</v>
      </c>
      <c r="AW1971" s="28">
        <f t="shared" si="213"/>
        <v>-2.7340969384563261</v>
      </c>
      <c r="AX1971">
        <f t="shared" si="214"/>
        <v>0.8</v>
      </c>
      <c r="AY1971" s="62">
        <f t="shared" si="215"/>
        <v>-2.187277550765061</v>
      </c>
      <c r="AZ1971" s="68" t="str">
        <f t="shared" si="216"/>
        <v>No</v>
      </c>
      <c r="BA1971" s="68" t="str">
        <f t="shared" si="217"/>
        <v>No</v>
      </c>
    </row>
    <row r="1972" spans="1:53" hidden="1">
      <c r="A1972" t="s">
        <v>908</v>
      </c>
      <c r="B1972" t="s">
        <v>542</v>
      </c>
      <c r="C1972" t="s">
        <v>522</v>
      </c>
      <c r="D1972" s="25">
        <v>42</v>
      </c>
      <c r="E1972" s="25">
        <v>368</v>
      </c>
      <c r="F1972" t="s">
        <v>1241</v>
      </c>
      <c r="G1972" t="s">
        <v>475</v>
      </c>
      <c r="H1972" s="3" t="s">
        <v>809</v>
      </c>
      <c r="I1972">
        <v>2004</v>
      </c>
      <c r="J1972" t="s">
        <v>523</v>
      </c>
      <c r="K1972" t="s">
        <v>162</v>
      </c>
      <c r="L1972" t="s">
        <v>524</v>
      </c>
      <c r="M1972" s="25" t="s">
        <v>35</v>
      </c>
      <c r="N1972" t="s">
        <v>36</v>
      </c>
      <c r="O1972" t="s">
        <v>37</v>
      </c>
      <c r="P1972" t="s">
        <v>60</v>
      </c>
      <c r="Q1972" t="s">
        <v>899</v>
      </c>
      <c r="R1972" t="s">
        <v>828</v>
      </c>
      <c r="S1972" t="s">
        <v>811</v>
      </c>
      <c r="T1972">
        <v>33.683332999999998</v>
      </c>
      <c r="U1972">
        <v>135.35</v>
      </c>
      <c r="V1972" t="s">
        <v>905</v>
      </c>
      <c r="W1972" s="25" t="s">
        <v>38</v>
      </c>
      <c r="X1972">
        <v>4</v>
      </c>
      <c r="Y1972" t="s">
        <v>39</v>
      </c>
      <c r="Z1972">
        <v>2</v>
      </c>
      <c r="AA1972">
        <v>2</v>
      </c>
      <c r="AC1972">
        <v>365</v>
      </c>
      <c r="AE1972">
        <v>5365</v>
      </c>
      <c r="AG1972">
        <v>2190</v>
      </c>
      <c r="AH1972">
        <v>3.7295697259999998</v>
      </c>
      <c r="AI1972">
        <v>24</v>
      </c>
      <c r="AJ1972" t="s">
        <v>543</v>
      </c>
      <c r="AK1972" t="s">
        <v>59</v>
      </c>
      <c r="AL1972" s="25" t="s">
        <v>60</v>
      </c>
      <c r="AM1972" t="s">
        <v>61</v>
      </c>
      <c r="AN1972">
        <v>16.42679901</v>
      </c>
      <c r="AO1972">
        <v>2.5310173699999998</v>
      </c>
      <c r="AP1972">
        <v>12.357320100000001</v>
      </c>
      <c r="AQ1972">
        <v>1.1910669979999999</v>
      </c>
      <c r="AR1972" t="s">
        <v>48</v>
      </c>
      <c r="AS1972">
        <f t="shared" si="206"/>
        <v>-0.28466547900770323</v>
      </c>
      <c r="AT1972">
        <f t="shared" si="207"/>
        <v>1.6515186133412855E-2</v>
      </c>
      <c r="AW1972" s="28">
        <f t="shared" si="213"/>
        <v>-2.0574071412030026</v>
      </c>
      <c r="AX1972">
        <f t="shared" si="214"/>
        <v>0.5714285714285714</v>
      </c>
      <c r="AY1972" s="62">
        <f t="shared" si="215"/>
        <v>-1.1756612235445729</v>
      </c>
      <c r="AZ1972" s="68" t="str">
        <f t="shared" si="216"/>
        <v>No</v>
      </c>
      <c r="BA1972" s="68" t="str">
        <f t="shared" si="217"/>
        <v>No</v>
      </c>
    </row>
    <row r="1973" spans="1:53" hidden="1">
      <c r="A1973" t="s">
        <v>908</v>
      </c>
      <c r="B1973" t="s">
        <v>544</v>
      </c>
      <c r="C1973" t="s">
        <v>522</v>
      </c>
      <c r="D1973" s="25">
        <v>42</v>
      </c>
      <c r="E1973" s="25">
        <v>369</v>
      </c>
      <c r="F1973" t="s">
        <v>1241</v>
      </c>
      <c r="G1973" t="s">
        <v>475</v>
      </c>
      <c r="H1973" s="3" t="s">
        <v>809</v>
      </c>
      <c r="I1973">
        <v>2004</v>
      </c>
      <c r="J1973" t="s">
        <v>523</v>
      </c>
      <c r="K1973" t="s">
        <v>162</v>
      </c>
      <c r="L1973" t="s">
        <v>524</v>
      </c>
      <c r="M1973" s="25" t="s">
        <v>35</v>
      </c>
      <c r="N1973" t="s">
        <v>36</v>
      </c>
      <c r="O1973" t="s">
        <v>37</v>
      </c>
      <c r="P1973" t="s">
        <v>60</v>
      </c>
      <c r="Q1973" t="s">
        <v>899</v>
      </c>
      <c r="R1973" t="s">
        <v>828</v>
      </c>
      <c r="S1973" t="s">
        <v>811</v>
      </c>
      <c r="T1973">
        <v>33.683332999999998</v>
      </c>
      <c r="U1973">
        <v>135.35</v>
      </c>
      <c r="V1973" t="s">
        <v>905</v>
      </c>
      <c r="W1973" s="25" t="s">
        <v>38</v>
      </c>
      <c r="X1973">
        <v>4</v>
      </c>
      <c r="Y1973" t="s">
        <v>39</v>
      </c>
      <c r="Z1973">
        <v>2</v>
      </c>
      <c r="AA1973">
        <v>2</v>
      </c>
      <c r="AC1973">
        <v>365</v>
      </c>
      <c r="AE1973">
        <v>10365</v>
      </c>
      <c r="AG1973">
        <v>2190</v>
      </c>
      <c r="AH1973">
        <v>4.0155693059999997</v>
      </c>
      <c r="AI1973">
        <v>24</v>
      </c>
      <c r="AJ1973" t="s">
        <v>543</v>
      </c>
      <c r="AK1973" t="s">
        <v>59</v>
      </c>
      <c r="AL1973" s="25" t="s">
        <v>60</v>
      </c>
      <c r="AM1973" t="s">
        <v>61</v>
      </c>
      <c r="AN1973">
        <v>16.42679901</v>
      </c>
      <c r="AO1973">
        <v>2.5310173699999998</v>
      </c>
      <c r="AP1973">
        <v>5.3598014889999996</v>
      </c>
      <c r="AQ1973">
        <v>0.44665012399999998</v>
      </c>
      <c r="AR1973" t="s">
        <v>48</v>
      </c>
      <c r="AS1973">
        <f t="shared" ref="AS1973:AS1991" si="218">LN(AP1973)-LN(AN1973)</f>
        <v>-1.119987148377414</v>
      </c>
      <c r="AT1973">
        <f t="shared" ref="AT1973:AT1991" si="219">(AQ1973^2)/(AA1973*AP1973^2) + (AO1973^2)/(Z1973*AN1973^2)</f>
        <v>1.5342321981569611E-2</v>
      </c>
      <c r="AW1973" s="28">
        <f t="shared" si="213"/>
        <v>-6.0896239432314552</v>
      </c>
      <c r="AX1973">
        <f t="shared" si="214"/>
        <v>0.5714285714285714</v>
      </c>
      <c r="AY1973" s="62">
        <f t="shared" si="215"/>
        <v>-3.479785110417974</v>
      </c>
      <c r="AZ1973" s="68" t="str">
        <f t="shared" si="216"/>
        <v>No</v>
      </c>
      <c r="BA1973" s="68" t="str">
        <f t="shared" si="217"/>
        <v>No</v>
      </c>
    </row>
    <row r="1974" spans="1:53" hidden="1">
      <c r="A1974" t="s">
        <v>908</v>
      </c>
      <c r="B1974" t="s">
        <v>545</v>
      </c>
      <c r="C1974" t="s">
        <v>522</v>
      </c>
      <c r="D1974" s="25">
        <v>42</v>
      </c>
      <c r="E1974" s="25">
        <v>370</v>
      </c>
      <c r="F1974" t="s">
        <v>1241</v>
      </c>
      <c r="G1974" t="s">
        <v>475</v>
      </c>
      <c r="H1974" s="3" t="s">
        <v>809</v>
      </c>
      <c r="I1974">
        <v>2004</v>
      </c>
      <c r="J1974" t="s">
        <v>523</v>
      </c>
      <c r="K1974" t="s">
        <v>162</v>
      </c>
      <c r="L1974" t="s">
        <v>524</v>
      </c>
      <c r="M1974" s="25" t="s">
        <v>35</v>
      </c>
      <c r="N1974" t="s">
        <v>36</v>
      </c>
      <c r="O1974" t="s">
        <v>37</v>
      </c>
      <c r="P1974" t="s">
        <v>60</v>
      </c>
      <c r="Q1974" t="s">
        <v>899</v>
      </c>
      <c r="R1974" t="s">
        <v>828</v>
      </c>
      <c r="S1974" t="s">
        <v>811</v>
      </c>
      <c r="T1974">
        <v>33.683332999999998</v>
      </c>
      <c r="U1974">
        <v>135.35</v>
      </c>
      <c r="V1974" t="s">
        <v>905</v>
      </c>
      <c r="W1974" s="25" t="s">
        <v>38</v>
      </c>
      <c r="X1974">
        <v>6</v>
      </c>
      <c r="Y1974" t="s">
        <v>39</v>
      </c>
      <c r="Z1974">
        <v>2</v>
      </c>
      <c r="AA1974">
        <v>2</v>
      </c>
      <c r="AC1974">
        <v>365</v>
      </c>
      <c r="AE1974">
        <v>5365</v>
      </c>
      <c r="AG1974">
        <v>2191</v>
      </c>
      <c r="AH1974">
        <v>3.7295697259999998</v>
      </c>
      <c r="AI1974">
        <v>24</v>
      </c>
      <c r="AJ1974" t="s">
        <v>543</v>
      </c>
      <c r="AK1974" t="s">
        <v>59</v>
      </c>
      <c r="AL1974" s="25" t="s">
        <v>60</v>
      </c>
      <c r="AM1974" t="s">
        <v>61</v>
      </c>
      <c r="AN1974">
        <v>16.129032259999999</v>
      </c>
      <c r="AO1974">
        <v>0.74441687300000003</v>
      </c>
      <c r="AP1974">
        <v>10.124069479999999</v>
      </c>
      <c r="AQ1974">
        <v>0.84367245700000004</v>
      </c>
      <c r="AR1974" t="s">
        <v>48</v>
      </c>
      <c r="AS1974">
        <f t="shared" si="218"/>
        <v>-0.46570518849767817</v>
      </c>
      <c r="AT1974">
        <f t="shared" si="219"/>
        <v>4.5373109808215812E-3</v>
      </c>
      <c r="AW1974" s="28">
        <f t="shared" si="213"/>
        <v>-7.5477726256963047</v>
      </c>
      <c r="AX1974">
        <f t="shared" si="214"/>
        <v>0.5714285714285714</v>
      </c>
      <c r="AY1974" s="62">
        <f t="shared" si="215"/>
        <v>-4.3130129289693171</v>
      </c>
      <c r="AZ1974" s="68" t="str">
        <f t="shared" si="216"/>
        <v>No</v>
      </c>
      <c r="BA1974" s="68" t="str">
        <f t="shared" si="217"/>
        <v>No</v>
      </c>
    </row>
    <row r="1975" spans="1:53" hidden="1">
      <c r="A1975" t="s">
        <v>908</v>
      </c>
      <c r="B1975" t="s">
        <v>546</v>
      </c>
      <c r="C1975" t="s">
        <v>522</v>
      </c>
      <c r="D1975" s="25">
        <v>42</v>
      </c>
      <c r="E1975" s="25">
        <v>371</v>
      </c>
      <c r="F1975" t="s">
        <v>1241</v>
      </c>
      <c r="G1975" t="s">
        <v>475</v>
      </c>
      <c r="H1975" s="3" t="s">
        <v>809</v>
      </c>
      <c r="I1975">
        <v>2004</v>
      </c>
      <c r="J1975" t="s">
        <v>523</v>
      </c>
      <c r="K1975" t="s">
        <v>162</v>
      </c>
      <c r="L1975" t="s">
        <v>524</v>
      </c>
      <c r="M1975" s="25" t="s">
        <v>35</v>
      </c>
      <c r="N1975" t="s">
        <v>36</v>
      </c>
      <c r="O1975" t="s">
        <v>37</v>
      </c>
      <c r="P1975" t="s">
        <v>60</v>
      </c>
      <c r="Q1975" t="s">
        <v>899</v>
      </c>
      <c r="R1975" t="s">
        <v>828</v>
      </c>
      <c r="S1975" t="s">
        <v>811</v>
      </c>
      <c r="T1975">
        <v>33.683332999999998</v>
      </c>
      <c r="U1975">
        <v>135.35</v>
      </c>
      <c r="V1975" t="s">
        <v>905</v>
      </c>
      <c r="W1975" s="25" t="s">
        <v>38</v>
      </c>
      <c r="X1975">
        <v>6</v>
      </c>
      <c r="Y1975" t="s">
        <v>39</v>
      </c>
      <c r="Z1975">
        <v>2</v>
      </c>
      <c r="AA1975">
        <v>2</v>
      </c>
      <c r="AC1975">
        <v>365</v>
      </c>
      <c r="AE1975">
        <v>10365</v>
      </c>
      <c r="AG1975">
        <v>2191</v>
      </c>
      <c r="AH1975">
        <v>4.0155693059999997</v>
      </c>
      <c r="AI1975">
        <v>24</v>
      </c>
      <c r="AJ1975" t="s">
        <v>543</v>
      </c>
      <c r="AK1975" t="s">
        <v>59</v>
      </c>
      <c r="AL1975" s="25" t="s">
        <v>60</v>
      </c>
      <c r="AM1975" t="s">
        <v>61</v>
      </c>
      <c r="AN1975">
        <v>16.129032259999999</v>
      </c>
      <c r="AO1975">
        <v>0.74441687300000003</v>
      </c>
      <c r="AP1975">
        <v>6.451612903</v>
      </c>
      <c r="AQ1975">
        <v>0.49627791599999999</v>
      </c>
      <c r="AR1975" t="s">
        <v>48</v>
      </c>
      <c r="AS1975">
        <f t="shared" si="218"/>
        <v>-0.91629073202915512</v>
      </c>
      <c r="AT1975">
        <f t="shared" si="219"/>
        <v>4.0236686420982246E-3</v>
      </c>
      <c r="AW1975" s="28">
        <f t="shared" si="213"/>
        <v>-15.297058547101136</v>
      </c>
      <c r="AX1975">
        <f t="shared" si="214"/>
        <v>0.5714285714285714</v>
      </c>
      <c r="AY1975" s="62">
        <f t="shared" si="215"/>
        <v>-8.7411763126292197</v>
      </c>
      <c r="AZ1975" s="68" t="str">
        <f t="shared" si="216"/>
        <v>No</v>
      </c>
      <c r="BA1975" s="68" t="str">
        <f t="shared" si="217"/>
        <v>No</v>
      </c>
    </row>
    <row r="1976" spans="1:53" hidden="1">
      <c r="A1976" t="s">
        <v>908</v>
      </c>
      <c r="B1976" t="s">
        <v>547</v>
      </c>
      <c r="C1976" t="s">
        <v>522</v>
      </c>
      <c r="D1976" s="25">
        <v>42</v>
      </c>
      <c r="E1976" s="25">
        <v>372</v>
      </c>
      <c r="F1976" t="s">
        <v>1241</v>
      </c>
      <c r="G1976" t="s">
        <v>475</v>
      </c>
      <c r="H1976" s="3" t="s">
        <v>809</v>
      </c>
      <c r="I1976">
        <v>2004</v>
      </c>
      <c r="J1976" t="s">
        <v>523</v>
      </c>
      <c r="K1976" t="s">
        <v>162</v>
      </c>
      <c r="L1976" t="s">
        <v>524</v>
      </c>
      <c r="M1976" s="25" t="s">
        <v>35</v>
      </c>
      <c r="N1976" t="s">
        <v>36</v>
      </c>
      <c r="O1976" t="s">
        <v>37</v>
      </c>
      <c r="P1976" t="s">
        <v>60</v>
      </c>
      <c r="Q1976" t="s">
        <v>899</v>
      </c>
      <c r="R1976" t="s">
        <v>828</v>
      </c>
      <c r="S1976" t="s">
        <v>811</v>
      </c>
      <c r="T1976">
        <v>33.683332999999998</v>
      </c>
      <c r="U1976">
        <v>135.35</v>
      </c>
      <c r="V1976" t="s">
        <v>905</v>
      </c>
      <c r="W1976" s="25" t="s">
        <v>38</v>
      </c>
      <c r="X1976">
        <v>8</v>
      </c>
      <c r="Y1976" t="s">
        <v>39</v>
      </c>
      <c r="Z1976">
        <v>2</v>
      </c>
      <c r="AA1976">
        <v>2</v>
      </c>
      <c r="AC1976">
        <v>365</v>
      </c>
      <c r="AE1976">
        <v>5365</v>
      </c>
      <c r="AG1976">
        <v>2192</v>
      </c>
      <c r="AH1976">
        <v>3.7295697259999998</v>
      </c>
      <c r="AI1976">
        <v>24</v>
      </c>
      <c r="AJ1976" t="s">
        <v>543</v>
      </c>
      <c r="AK1976" t="s">
        <v>59</v>
      </c>
      <c r="AL1976" s="25" t="s">
        <v>60</v>
      </c>
      <c r="AM1976" t="s">
        <v>61</v>
      </c>
      <c r="AN1976">
        <v>10.42183623</v>
      </c>
      <c r="AO1976">
        <v>2.5806451610000001</v>
      </c>
      <c r="AP1976">
        <v>9.8263027300000001</v>
      </c>
      <c r="AQ1976">
        <v>9.6277915630000006</v>
      </c>
      <c r="AR1976" t="s">
        <v>48</v>
      </c>
      <c r="AS1976">
        <f t="shared" si="218"/>
        <v>-5.884050013923936E-2</v>
      </c>
      <c r="AT1976">
        <f t="shared" si="219"/>
        <v>0.51065963688948735</v>
      </c>
      <c r="AW1976" s="28">
        <f t="shared" si="213"/>
        <v>-8.4494472279573449E-2</v>
      </c>
      <c r="AX1976">
        <f t="shared" si="214"/>
        <v>0.5714285714285714</v>
      </c>
      <c r="AY1976" s="62">
        <f t="shared" si="215"/>
        <v>-4.8282555588327683E-2</v>
      </c>
      <c r="AZ1976" s="68" t="str">
        <f t="shared" si="216"/>
        <v>No</v>
      </c>
      <c r="BA1976" s="68" t="str">
        <f t="shared" si="217"/>
        <v>No</v>
      </c>
    </row>
    <row r="1977" spans="1:53" hidden="1">
      <c r="A1977" t="s">
        <v>908</v>
      </c>
      <c r="B1977" t="s">
        <v>548</v>
      </c>
      <c r="C1977" t="s">
        <v>522</v>
      </c>
      <c r="D1977" s="25">
        <v>42</v>
      </c>
      <c r="E1977" s="25">
        <v>373</v>
      </c>
      <c r="F1977" t="s">
        <v>1241</v>
      </c>
      <c r="G1977" t="s">
        <v>475</v>
      </c>
      <c r="H1977" s="3" t="s">
        <v>809</v>
      </c>
      <c r="I1977">
        <v>2004</v>
      </c>
      <c r="J1977" t="s">
        <v>523</v>
      </c>
      <c r="K1977" t="s">
        <v>162</v>
      </c>
      <c r="L1977" t="s">
        <v>524</v>
      </c>
      <c r="M1977" s="25" t="s">
        <v>35</v>
      </c>
      <c r="N1977" t="s">
        <v>36</v>
      </c>
      <c r="O1977" t="s">
        <v>37</v>
      </c>
      <c r="P1977" t="s">
        <v>60</v>
      </c>
      <c r="Q1977" t="s">
        <v>899</v>
      </c>
      <c r="R1977" t="s">
        <v>828</v>
      </c>
      <c r="S1977" t="s">
        <v>811</v>
      </c>
      <c r="T1977">
        <v>33.683332999999998</v>
      </c>
      <c r="U1977">
        <v>135.35</v>
      </c>
      <c r="V1977" t="s">
        <v>905</v>
      </c>
      <c r="W1977" s="25" t="s">
        <v>38</v>
      </c>
      <c r="X1977">
        <v>8</v>
      </c>
      <c r="Y1977" t="s">
        <v>39</v>
      </c>
      <c r="Z1977">
        <v>2</v>
      </c>
      <c r="AA1977">
        <v>2</v>
      </c>
      <c r="AC1977">
        <v>365</v>
      </c>
      <c r="AE1977">
        <v>10365</v>
      </c>
      <c r="AG1977">
        <v>2192</v>
      </c>
      <c r="AH1977">
        <v>4.0155693059999997</v>
      </c>
      <c r="AI1977">
        <v>24</v>
      </c>
      <c r="AJ1977" t="s">
        <v>543</v>
      </c>
      <c r="AK1977" t="s">
        <v>59</v>
      </c>
      <c r="AL1977" s="25" t="s">
        <v>60</v>
      </c>
      <c r="AM1977" t="s">
        <v>61</v>
      </c>
      <c r="AN1977">
        <v>10.42183623</v>
      </c>
      <c r="AO1977">
        <v>2.5806451610000001</v>
      </c>
      <c r="AP1977">
        <v>5.2605459059999999</v>
      </c>
      <c r="AQ1977">
        <v>4.5657568240000002</v>
      </c>
      <c r="AR1977" t="s">
        <v>48</v>
      </c>
      <c r="AS1977">
        <f t="shared" si="218"/>
        <v>-0.68366843671402666</v>
      </c>
      <c r="AT1977">
        <f t="shared" si="219"/>
        <v>0.40730408975648547</v>
      </c>
      <c r="AW1977" s="28">
        <f t="shared" si="213"/>
        <v>-1.391748092067058</v>
      </c>
      <c r="AX1977">
        <f t="shared" si="214"/>
        <v>0.5714285714285714</v>
      </c>
      <c r="AY1977" s="62">
        <f t="shared" si="215"/>
        <v>-0.79528462403831879</v>
      </c>
      <c r="AZ1977" s="68" t="str">
        <f t="shared" si="216"/>
        <v>No</v>
      </c>
      <c r="BA1977" s="68" t="str">
        <f t="shared" si="217"/>
        <v>No</v>
      </c>
    </row>
    <row r="1978" spans="1:53" hidden="1">
      <c r="A1978" t="s">
        <v>908</v>
      </c>
      <c r="B1978" t="s">
        <v>549</v>
      </c>
      <c r="C1978" t="s">
        <v>522</v>
      </c>
      <c r="D1978" s="25">
        <v>42</v>
      </c>
      <c r="E1978" s="25">
        <v>374</v>
      </c>
      <c r="F1978" t="s">
        <v>1241</v>
      </c>
      <c r="G1978" t="s">
        <v>475</v>
      </c>
      <c r="H1978" s="3" t="s">
        <v>809</v>
      </c>
      <c r="I1978">
        <v>2004</v>
      </c>
      <c r="J1978" t="s">
        <v>523</v>
      </c>
      <c r="K1978" t="s">
        <v>162</v>
      </c>
      <c r="L1978" t="s">
        <v>524</v>
      </c>
      <c r="M1978" s="25" t="s">
        <v>35</v>
      </c>
      <c r="N1978" t="s">
        <v>36</v>
      </c>
      <c r="O1978" t="s">
        <v>37</v>
      </c>
      <c r="P1978" t="s">
        <v>60</v>
      </c>
      <c r="Q1978" t="s">
        <v>899</v>
      </c>
      <c r="R1978" t="s">
        <v>828</v>
      </c>
      <c r="S1978" t="s">
        <v>811</v>
      </c>
      <c r="T1978">
        <v>33.683332999999998</v>
      </c>
      <c r="U1978">
        <v>135.35</v>
      </c>
      <c r="V1978" t="s">
        <v>905</v>
      </c>
      <c r="W1978" s="25" t="s">
        <v>38</v>
      </c>
      <c r="X1978">
        <v>2</v>
      </c>
      <c r="Y1978" t="s">
        <v>39</v>
      </c>
      <c r="Z1978">
        <v>4</v>
      </c>
      <c r="AA1978">
        <v>4</v>
      </c>
      <c r="AC1978">
        <v>365</v>
      </c>
      <c r="AE1978">
        <v>2365</v>
      </c>
      <c r="AG1978">
        <v>2193</v>
      </c>
      <c r="AH1978">
        <v>3.373831145</v>
      </c>
      <c r="AI1978">
        <v>24</v>
      </c>
      <c r="AJ1978" t="s">
        <v>550</v>
      </c>
      <c r="AK1978" t="s">
        <v>59</v>
      </c>
      <c r="AL1978" s="25" t="s">
        <v>60</v>
      </c>
      <c r="AM1978" t="s">
        <v>61</v>
      </c>
      <c r="AN1978">
        <v>92.182030339999997</v>
      </c>
      <c r="AO1978">
        <v>5.600933489</v>
      </c>
      <c r="AP1978">
        <v>84.130688449999994</v>
      </c>
      <c r="AQ1978">
        <v>16.33605601</v>
      </c>
      <c r="AR1978" t="s">
        <v>41</v>
      </c>
      <c r="AS1978">
        <f t="shared" si="218"/>
        <v>-9.1393808170701973E-2</v>
      </c>
      <c r="AT1978">
        <f t="shared" si="219"/>
        <v>1.0348888109455103E-2</v>
      </c>
      <c r="AW1978" s="28">
        <f t="shared" si="213"/>
        <v>-0.65932929592036549</v>
      </c>
      <c r="AX1978">
        <f t="shared" si="214"/>
        <v>0.86956521739130432</v>
      </c>
      <c r="AY1978" s="62">
        <f t="shared" si="215"/>
        <v>-0.5733298225394482</v>
      </c>
      <c r="AZ1978" s="68" t="str">
        <f t="shared" si="216"/>
        <v>No</v>
      </c>
      <c r="BA1978" s="68" t="str">
        <f t="shared" si="217"/>
        <v>No</v>
      </c>
    </row>
    <row r="1979" spans="1:53" hidden="1">
      <c r="A1979" t="s">
        <v>908</v>
      </c>
      <c r="B1979" t="s">
        <v>551</v>
      </c>
      <c r="C1979" t="s">
        <v>522</v>
      </c>
      <c r="D1979" s="25">
        <v>42</v>
      </c>
      <c r="E1979" s="25">
        <v>375</v>
      </c>
      <c r="F1979" t="s">
        <v>1241</v>
      </c>
      <c r="G1979" t="s">
        <v>475</v>
      </c>
      <c r="H1979" s="3" t="s">
        <v>809</v>
      </c>
      <c r="I1979">
        <v>2004</v>
      </c>
      <c r="J1979" t="s">
        <v>523</v>
      </c>
      <c r="K1979" t="s">
        <v>162</v>
      </c>
      <c r="L1979" t="s">
        <v>524</v>
      </c>
      <c r="M1979" s="25" t="s">
        <v>35</v>
      </c>
      <c r="N1979" t="s">
        <v>36</v>
      </c>
      <c r="O1979" t="s">
        <v>37</v>
      </c>
      <c r="P1979" t="s">
        <v>60</v>
      </c>
      <c r="Q1979" t="s">
        <v>899</v>
      </c>
      <c r="R1979" t="s">
        <v>828</v>
      </c>
      <c r="S1979" t="s">
        <v>811</v>
      </c>
      <c r="T1979">
        <v>33.683332999999998</v>
      </c>
      <c r="U1979">
        <v>135.35</v>
      </c>
      <c r="V1979" t="s">
        <v>905</v>
      </c>
      <c r="W1979" s="25" t="s">
        <v>38</v>
      </c>
      <c r="X1979">
        <v>2</v>
      </c>
      <c r="Y1979" t="s">
        <v>39</v>
      </c>
      <c r="Z1979">
        <v>4</v>
      </c>
      <c r="AA1979">
        <v>4</v>
      </c>
      <c r="AC1979">
        <v>365</v>
      </c>
      <c r="AE1979">
        <v>5365</v>
      </c>
      <c r="AG1979">
        <v>2193</v>
      </c>
      <c r="AH1979">
        <v>3.7295697259999998</v>
      </c>
      <c r="AI1979">
        <v>24</v>
      </c>
      <c r="AJ1979" t="s">
        <v>550</v>
      </c>
      <c r="AK1979" t="s">
        <v>59</v>
      </c>
      <c r="AL1979" s="25" t="s">
        <v>60</v>
      </c>
      <c r="AM1979" t="s">
        <v>61</v>
      </c>
      <c r="AN1979">
        <v>92.182030339999997</v>
      </c>
      <c r="AO1979">
        <v>5.600933489</v>
      </c>
      <c r="AP1979">
        <v>80.046674449999998</v>
      </c>
      <c r="AQ1979">
        <v>5.1341890320000001</v>
      </c>
      <c r="AR1979" t="s">
        <v>41</v>
      </c>
      <c r="AS1979">
        <f t="shared" si="218"/>
        <v>-0.14115531769944312</v>
      </c>
      <c r="AT1979">
        <f t="shared" si="219"/>
        <v>1.9514120479002159E-3</v>
      </c>
      <c r="AW1979" s="28">
        <f t="shared" si="213"/>
        <v>-2.258735661756897</v>
      </c>
      <c r="AX1979">
        <f t="shared" si="214"/>
        <v>0.86956521739130432</v>
      </c>
      <c r="AY1979" s="62">
        <f t="shared" si="215"/>
        <v>-1.9641179667451278</v>
      </c>
      <c r="AZ1979" s="68" t="str">
        <f t="shared" si="216"/>
        <v>No</v>
      </c>
      <c r="BA1979" s="68" t="str">
        <f t="shared" si="217"/>
        <v>No</v>
      </c>
    </row>
    <row r="1980" spans="1:53" hidden="1">
      <c r="A1980" t="s">
        <v>908</v>
      </c>
      <c r="B1980" t="s">
        <v>552</v>
      </c>
      <c r="C1980" t="s">
        <v>522</v>
      </c>
      <c r="D1980" s="25">
        <v>42</v>
      </c>
      <c r="E1980" s="25">
        <v>376</v>
      </c>
      <c r="F1980" t="s">
        <v>1241</v>
      </c>
      <c r="G1980" t="s">
        <v>475</v>
      </c>
      <c r="H1980" s="3" t="s">
        <v>809</v>
      </c>
      <c r="I1980">
        <v>2004</v>
      </c>
      <c r="J1980" t="s">
        <v>523</v>
      </c>
      <c r="K1980" t="s">
        <v>162</v>
      </c>
      <c r="L1980" t="s">
        <v>524</v>
      </c>
      <c r="M1980" s="25" t="s">
        <v>35</v>
      </c>
      <c r="N1980" t="s">
        <v>36</v>
      </c>
      <c r="O1980" t="s">
        <v>37</v>
      </c>
      <c r="P1980" t="s">
        <v>60</v>
      </c>
      <c r="Q1980" t="s">
        <v>899</v>
      </c>
      <c r="R1980" t="s">
        <v>828</v>
      </c>
      <c r="S1980" t="s">
        <v>811</v>
      </c>
      <c r="T1980">
        <v>33.683332999999998</v>
      </c>
      <c r="U1980">
        <v>135.35</v>
      </c>
      <c r="V1980" t="s">
        <v>905</v>
      </c>
      <c r="W1980" s="25" t="s">
        <v>38</v>
      </c>
      <c r="X1980">
        <v>2</v>
      </c>
      <c r="Y1980" t="s">
        <v>39</v>
      </c>
      <c r="Z1980">
        <v>4</v>
      </c>
      <c r="AA1980">
        <v>4</v>
      </c>
      <c r="AC1980">
        <v>365</v>
      </c>
      <c r="AE1980">
        <v>10365</v>
      </c>
      <c r="AG1980">
        <v>2194</v>
      </c>
      <c r="AH1980">
        <v>4.0155693059999997</v>
      </c>
      <c r="AI1980">
        <v>24</v>
      </c>
      <c r="AJ1980" t="s">
        <v>550</v>
      </c>
      <c r="AK1980" t="s">
        <v>59</v>
      </c>
      <c r="AL1980" s="25" t="s">
        <v>60</v>
      </c>
      <c r="AM1980" t="s">
        <v>61</v>
      </c>
      <c r="AN1980">
        <v>92.182030339999997</v>
      </c>
      <c r="AO1980">
        <v>5.600933489</v>
      </c>
      <c r="AP1980">
        <v>57.292882149999997</v>
      </c>
      <c r="AQ1980">
        <v>5.600933489</v>
      </c>
      <c r="AR1980" t="s">
        <v>41</v>
      </c>
      <c r="AS1980">
        <f t="shared" si="218"/>
        <v>-0.47558881763208039</v>
      </c>
      <c r="AT1980">
        <f t="shared" si="219"/>
        <v>3.3121674893229181E-3</v>
      </c>
      <c r="AW1980" s="28">
        <f t="shared" si="213"/>
        <v>-6.2291666663281813</v>
      </c>
      <c r="AX1980">
        <f t="shared" si="214"/>
        <v>0.86956521739130432</v>
      </c>
      <c r="AY1980" s="62">
        <f t="shared" si="215"/>
        <v>-5.4166666663723317</v>
      </c>
      <c r="AZ1980" s="68" t="str">
        <f t="shared" si="216"/>
        <v>No</v>
      </c>
      <c r="BA1980" s="68" t="str">
        <f t="shared" si="217"/>
        <v>No</v>
      </c>
    </row>
    <row r="1981" spans="1:53" hidden="1">
      <c r="A1981" t="s">
        <v>908</v>
      </c>
      <c r="B1981" t="s">
        <v>553</v>
      </c>
      <c r="C1981" t="s">
        <v>522</v>
      </c>
      <c r="D1981" s="25">
        <v>42</v>
      </c>
      <c r="E1981" s="25">
        <v>377</v>
      </c>
      <c r="F1981" t="s">
        <v>1241</v>
      </c>
      <c r="G1981" t="s">
        <v>475</v>
      </c>
      <c r="H1981" s="3" t="s">
        <v>809</v>
      </c>
      <c r="I1981">
        <v>2004</v>
      </c>
      <c r="J1981" t="s">
        <v>523</v>
      </c>
      <c r="K1981" t="s">
        <v>162</v>
      </c>
      <c r="L1981" t="s">
        <v>524</v>
      </c>
      <c r="M1981" s="25" t="s">
        <v>35</v>
      </c>
      <c r="N1981" t="s">
        <v>36</v>
      </c>
      <c r="O1981" t="s">
        <v>37</v>
      </c>
      <c r="P1981" t="s">
        <v>60</v>
      </c>
      <c r="Q1981" t="s">
        <v>899</v>
      </c>
      <c r="R1981" t="s">
        <v>828</v>
      </c>
      <c r="S1981" t="s">
        <v>811</v>
      </c>
      <c r="T1981">
        <v>33.683332999999998</v>
      </c>
      <c r="U1981">
        <v>135.35</v>
      </c>
      <c r="V1981" t="s">
        <v>905</v>
      </c>
      <c r="W1981" s="25" t="s">
        <v>38</v>
      </c>
      <c r="X1981">
        <v>2</v>
      </c>
      <c r="Y1981" t="s">
        <v>39</v>
      </c>
      <c r="Z1981">
        <v>4</v>
      </c>
      <c r="AA1981">
        <v>4</v>
      </c>
      <c r="AC1981">
        <v>365</v>
      </c>
      <c r="AE1981">
        <v>2365</v>
      </c>
      <c r="AG1981">
        <v>2194</v>
      </c>
      <c r="AH1981">
        <v>3.373831145</v>
      </c>
      <c r="AI1981">
        <v>24</v>
      </c>
      <c r="AJ1981" t="s">
        <v>554</v>
      </c>
      <c r="AK1981" t="s">
        <v>69</v>
      </c>
      <c r="AL1981" s="25" t="s">
        <v>60</v>
      </c>
      <c r="AM1981" t="s">
        <v>61</v>
      </c>
      <c r="AN1981">
        <v>9.4366197179999993</v>
      </c>
      <c r="AO1981">
        <v>10.91549296</v>
      </c>
      <c r="AP1981">
        <v>26.267605629999998</v>
      </c>
      <c r="AQ1981">
        <v>11.1971831</v>
      </c>
      <c r="AR1981" t="s">
        <v>43</v>
      </c>
      <c r="AS1981">
        <f t="shared" si="218"/>
        <v>1.0237386195809681</v>
      </c>
      <c r="AT1981">
        <f t="shared" si="219"/>
        <v>0.37992548339423216</v>
      </c>
      <c r="AW1981" s="28">
        <f t="shared" si="213"/>
        <v>1.5221694904675533</v>
      </c>
      <c r="AX1981">
        <f t="shared" si="214"/>
        <v>0.86956521739130432</v>
      </c>
      <c r="AY1981" s="62">
        <f t="shared" si="215"/>
        <v>1.3236256438848291</v>
      </c>
      <c r="AZ1981" s="68" t="str">
        <f t="shared" si="216"/>
        <v>No</v>
      </c>
      <c r="BA1981" s="68" t="str">
        <f t="shared" si="217"/>
        <v>No</v>
      </c>
    </row>
    <row r="1982" spans="1:53" hidden="1">
      <c r="A1982" t="s">
        <v>908</v>
      </c>
      <c r="B1982" s="25" t="s">
        <v>608</v>
      </c>
      <c r="C1982" t="s">
        <v>558</v>
      </c>
      <c r="D1982" s="25">
        <v>44</v>
      </c>
      <c r="E1982" s="25">
        <v>463</v>
      </c>
      <c r="F1982" t="s">
        <v>914</v>
      </c>
      <c r="G1982" t="s">
        <v>559</v>
      </c>
      <c r="H1982" s="3" t="s">
        <v>889</v>
      </c>
      <c r="I1982">
        <v>2003</v>
      </c>
      <c r="J1982" t="s">
        <v>560</v>
      </c>
      <c r="K1982" t="s">
        <v>162</v>
      </c>
      <c r="L1982" t="s">
        <v>561</v>
      </c>
      <c r="M1982" s="25" t="s">
        <v>35</v>
      </c>
      <c r="N1982" t="s">
        <v>36</v>
      </c>
      <c r="O1982" t="s">
        <v>37</v>
      </c>
      <c r="P1982" t="s">
        <v>60</v>
      </c>
      <c r="Q1982" t="s">
        <v>900</v>
      </c>
      <c r="R1982" t="s">
        <v>888</v>
      </c>
      <c r="S1982" t="s">
        <v>894</v>
      </c>
      <c r="T1982">
        <v>35.188951199999998</v>
      </c>
      <c r="U1982">
        <v>140.37141260000001</v>
      </c>
      <c r="V1982" t="s">
        <v>905</v>
      </c>
      <c r="W1982" s="25" t="s">
        <v>38</v>
      </c>
      <c r="X1982">
        <v>1</v>
      </c>
      <c r="Y1982" t="s">
        <v>39</v>
      </c>
      <c r="Z1982">
        <v>2</v>
      </c>
      <c r="AA1982">
        <v>2</v>
      </c>
      <c r="AC1982">
        <v>320</v>
      </c>
      <c r="AE1982">
        <v>30000</v>
      </c>
      <c r="AG1982">
        <v>2219</v>
      </c>
      <c r="AH1982">
        <v>4.4771212550000001</v>
      </c>
      <c r="AI1982">
        <v>26</v>
      </c>
      <c r="AJ1982" t="s">
        <v>578</v>
      </c>
      <c r="AK1982" t="s">
        <v>69</v>
      </c>
      <c r="AL1982" s="25" t="s">
        <v>353</v>
      </c>
      <c r="AM1982" t="s">
        <v>61</v>
      </c>
      <c r="AN1982">
        <v>95.900331230000006</v>
      </c>
      <c r="AO1982">
        <v>6.1163806080000001</v>
      </c>
      <c r="AP1982">
        <v>18.269346580000001</v>
      </c>
      <c r="AQ1982">
        <v>9.8803071360000008</v>
      </c>
      <c r="AR1982" t="s">
        <v>48</v>
      </c>
      <c r="AS1982">
        <f t="shared" si="218"/>
        <v>-1.6580848306848943</v>
      </c>
      <c r="AT1982">
        <f t="shared" si="219"/>
        <v>0.14827340723674304</v>
      </c>
      <c r="AZ1982"/>
      <c r="BA1982"/>
    </row>
    <row r="1983" spans="1:53" hidden="1">
      <c r="A1983" t="s">
        <v>908</v>
      </c>
      <c r="B1983" s="25" t="s">
        <v>609</v>
      </c>
      <c r="C1983" t="s">
        <v>558</v>
      </c>
      <c r="D1983" s="25">
        <v>44</v>
      </c>
      <c r="E1983" s="25">
        <v>464</v>
      </c>
      <c r="F1983" t="s">
        <v>914</v>
      </c>
      <c r="G1983" t="s">
        <v>559</v>
      </c>
      <c r="H1983" s="3" t="s">
        <v>889</v>
      </c>
      <c r="I1983">
        <v>2003</v>
      </c>
      <c r="J1983" t="s">
        <v>560</v>
      </c>
      <c r="K1983" t="s">
        <v>162</v>
      </c>
      <c r="L1983" t="s">
        <v>561</v>
      </c>
      <c r="M1983" s="25" t="s">
        <v>35</v>
      </c>
      <c r="N1983" t="s">
        <v>36</v>
      </c>
      <c r="O1983" t="s">
        <v>37</v>
      </c>
      <c r="P1983" t="s">
        <v>60</v>
      </c>
      <c r="Q1983" t="s">
        <v>900</v>
      </c>
      <c r="R1983" t="s">
        <v>888</v>
      </c>
      <c r="S1983" t="s">
        <v>894</v>
      </c>
      <c r="T1983">
        <v>35.188951199999998</v>
      </c>
      <c r="U1983">
        <v>140.37141260000001</v>
      </c>
      <c r="V1983" t="s">
        <v>905</v>
      </c>
      <c r="W1983" s="25" t="s">
        <v>38</v>
      </c>
      <c r="X1983">
        <v>1</v>
      </c>
      <c r="Y1983" t="s">
        <v>39</v>
      </c>
      <c r="Z1983">
        <v>2</v>
      </c>
      <c r="AA1983">
        <v>2</v>
      </c>
      <c r="AC1983">
        <v>320</v>
      </c>
      <c r="AE1983">
        <v>10000</v>
      </c>
      <c r="AG1983">
        <v>2220</v>
      </c>
      <c r="AH1983">
        <v>4</v>
      </c>
      <c r="AI1983">
        <v>26</v>
      </c>
      <c r="AJ1983" t="s">
        <v>578</v>
      </c>
      <c r="AK1983" t="s">
        <v>69</v>
      </c>
      <c r="AL1983" s="25" t="s">
        <v>353</v>
      </c>
      <c r="AM1983" t="s">
        <v>61</v>
      </c>
      <c r="AN1983">
        <v>92.1364047</v>
      </c>
      <c r="AO1983">
        <v>10.35079795</v>
      </c>
      <c r="AP1983">
        <v>46.028304730000002</v>
      </c>
      <c r="AQ1983">
        <v>23.995031619999999</v>
      </c>
      <c r="AR1983" t="s">
        <v>48</v>
      </c>
      <c r="AS1983">
        <f t="shared" si="218"/>
        <v>-0.69401361130223727</v>
      </c>
      <c r="AT1983">
        <f t="shared" si="219"/>
        <v>0.14219261482580386</v>
      </c>
      <c r="AZ1983"/>
      <c r="BA1983"/>
    </row>
    <row r="1984" spans="1:53" hidden="1">
      <c r="A1984" t="s">
        <v>908</v>
      </c>
      <c r="B1984" s="25" t="s">
        <v>610</v>
      </c>
      <c r="C1984" t="s">
        <v>558</v>
      </c>
      <c r="D1984" s="25">
        <v>44</v>
      </c>
      <c r="E1984" s="25">
        <v>465</v>
      </c>
      <c r="F1984" t="s">
        <v>914</v>
      </c>
      <c r="G1984" t="s">
        <v>559</v>
      </c>
      <c r="H1984" s="3" t="s">
        <v>889</v>
      </c>
      <c r="I1984">
        <v>2003</v>
      </c>
      <c r="J1984" t="s">
        <v>560</v>
      </c>
      <c r="K1984" t="s">
        <v>162</v>
      </c>
      <c r="L1984" t="s">
        <v>561</v>
      </c>
      <c r="M1984" s="25" t="s">
        <v>35</v>
      </c>
      <c r="N1984" t="s">
        <v>36</v>
      </c>
      <c r="O1984" t="s">
        <v>37</v>
      </c>
      <c r="P1984" t="s">
        <v>60</v>
      </c>
      <c r="Q1984" t="s">
        <v>900</v>
      </c>
      <c r="R1984" t="s">
        <v>888</v>
      </c>
      <c r="S1984" t="s">
        <v>894</v>
      </c>
      <c r="T1984">
        <v>35.188951199999998</v>
      </c>
      <c r="U1984">
        <v>140.37141260000001</v>
      </c>
      <c r="V1984" t="s">
        <v>905</v>
      </c>
      <c r="W1984" s="25" t="s">
        <v>38</v>
      </c>
      <c r="X1984">
        <v>1</v>
      </c>
      <c r="Y1984" t="s">
        <v>39</v>
      </c>
      <c r="Z1984">
        <v>2</v>
      </c>
      <c r="AA1984">
        <v>2</v>
      </c>
      <c r="AC1984">
        <v>320</v>
      </c>
      <c r="AE1984">
        <v>20000</v>
      </c>
      <c r="AG1984">
        <v>2220</v>
      </c>
      <c r="AH1984">
        <v>4.3010299959999996</v>
      </c>
      <c r="AI1984">
        <v>26</v>
      </c>
      <c r="AJ1984" t="s">
        <v>578</v>
      </c>
      <c r="AK1984" t="s">
        <v>69</v>
      </c>
      <c r="AL1984" s="25" t="s">
        <v>353</v>
      </c>
      <c r="AM1984" t="s">
        <v>61</v>
      </c>
      <c r="AN1984">
        <v>92.1364047</v>
      </c>
      <c r="AO1984">
        <v>10.35079795</v>
      </c>
      <c r="AP1984">
        <v>11.682475159999999</v>
      </c>
      <c r="AQ1984">
        <v>7.0573622399999998</v>
      </c>
      <c r="AR1984" t="s">
        <v>48</v>
      </c>
      <c r="AS1984">
        <f t="shared" si="218"/>
        <v>-2.065180269443899</v>
      </c>
      <c r="AT1984">
        <f t="shared" si="219"/>
        <v>0.18877769352045928</v>
      </c>
      <c r="AZ1984"/>
      <c r="BA1984"/>
    </row>
    <row r="1985" spans="1:53" hidden="1">
      <c r="A1985" t="s">
        <v>908</v>
      </c>
      <c r="B1985" s="25" t="s">
        <v>611</v>
      </c>
      <c r="C1985" t="s">
        <v>558</v>
      </c>
      <c r="D1985" s="25">
        <v>44</v>
      </c>
      <c r="E1985" s="25">
        <v>466</v>
      </c>
      <c r="F1985" t="s">
        <v>914</v>
      </c>
      <c r="G1985" t="s">
        <v>559</v>
      </c>
      <c r="H1985" s="3" t="s">
        <v>889</v>
      </c>
      <c r="I1985">
        <v>2003</v>
      </c>
      <c r="J1985" t="s">
        <v>560</v>
      </c>
      <c r="K1985" t="s">
        <v>162</v>
      </c>
      <c r="L1985" t="s">
        <v>561</v>
      </c>
      <c r="M1985" s="25" t="s">
        <v>35</v>
      </c>
      <c r="N1985" t="s">
        <v>36</v>
      </c>
      <c r="O1985" t="s">
        <v>37</v>
      </c>
      <c r="P1985" t="s">
        <v>60</v>
      </c>
      <c r="Q1985" t="s">
        <v>900</v>
      </c>
      <c r="R1985" t="s">
        <v>888</v>
      </c>
      <c r="S1985" t="s">
        <v>894</v>
      </c>
      <c r="T1985">
        <v>35.188951199999998</v>
      </c>
      <c r="U1985">
        <v>140.37141260000001</v>
      </c>
      <c r="V1985" t="s">
        <v>905</v>
      </c>
      <c r="W1985" s="25" t="s">
        <v>38</v>
      </c>
      <c r="X1985">
        <v>1</v>
      </c>
      <c r="Y1985" t="s">
        <v>39</v>
      </c>
      <c r="Z1985">
        <v>2</v>
      </c>
      <c r="AA1985">
        <v>2</v>
      </c>
      <c r="AC1985">
        <v>320</v>
      </c>
      <c r="AE1985">
        <v>30000</v>
      </c>
      <c r="AG1985">
        <v>2220</v>
      </c>
      <c r="AH1985">
        <v>4.4771212550000001</v>
      </c>
      <c r="AI1985">
        <v>26</v>
      </c>
      <c r="AJ1985" t="s">
        <v>578</v>
      </c>
      <c r="AK1985" t="s">
        <v>69</v>
      </c>
      <c r="AL1985" s="25" t="s">
        <v>353</v>
      </c>
      <c r="AM1985" t="s">
        <v>61</v>
      </c>
      <c r="AN1985">
        <v>92.1364047</v>
      </c>
      <c r="AO1985">
        <v>10.35079795</v>
      </c>
      <c r="AP1985">
        <v>0.79795242399999999</v>
      </c>
      <c r="AQ1985">
        <v>3.293435712</v>
      </c>
      <c r="AR1985" t="s">
        <v>48</v>
      </c>
      <c r="AS1985">
        <f t="shared" si="218"/>
        <v>-4.7489764411340936</v>
      </c>
      <c r="AT1985">
        <f t="shared" si="219"/>
        <v>8.5238544280998063</v>
      </c>
      <c r="AZ1985"/>
      <c r="BA1985"/>
    </row>
    <row r="1986" spans="1:53" hidden="1">
      <c r="A1986" t="s">
        <v>908</v>
      </c>
      <c r="B1986" s="25" t="s">
        <v>612</v>
      </c>
      <c r="C1986" t="s">
        <v>558</v>
      </c>
      <c r="D1986" s="25">
        <v>44</v>
      </c>
      <c r="E1986" s="25">
        <v>467</v>
      </c>
      <c r="F1986" t="s">
        <v>914</v>
      </c>
      <c r="G1986" t="s">
        <v>559</v>
      </c>
      <c r="H1986" s="3" t="s">
        <v>889</v>
      </c>
      <c r="I1986">
        <v>2003</v>
      </c>
      <c r="J1986" t="s">
        <v>560</v>
      </c>
      <c r="K1986" t="s">
        <v>162</v>
      </c>
      <c r="L1986" t="s">
        <v>561</v>
      </c>
      <c r="M1986" s="25" t="s">
        <v>35</v>
      </c>
      <c r="N1986" t="s">
        <v>36</v>
      </c>
      <c r="O1986" t="s">
        <v>37</v>
      </c>
      <c r="P1986" t="s">
        <v>60</v>
      </c>
      <c r="Q1986" t="s">
        <v>900</v>
      </c>
      <c r="R1986" t="s">
        <v>888</v>
      </c>
      <c r="S1986" t="s">
        <v>894</v>
      </c>
      <c r="T1986">
        <v>35.188951199999998</v>
      </c>
      <c r="U1986">
        <v>140.37141260000001</v>
      </c>
      <c r="V1986" t="s">
        <v>905</v>
      </c>
      <c r="W1986" s="25" t="s">
        <v>38</v>
      </c>
      <c r="X1986">
        <v>1</v>
      </c>
      <c r="Y1986" t="s">
        <v>39</v>
      </c>
      <c r="Z1986">
        <v>2</v>
      </c>
      <c r="AA1986">
        <v>2</v>
      </c>
      <c r="AC1986">
        <v>320</v>
      </c>
      <c r="AE1986">
        <v>10000</v>
      </c>
      <c r="AG1986">
        <v>2221</v>
      </c>
      <c r="AH1986">
        <v>4</v>
      </c>
      <c r="AI1986">
        <v>26</v>
      </c>
      <c r="AJ1986" t="s">
        <v>578</v>
      </c>
      <c r="AK1986" t="s">
        <v>69</v>
      </c>
      <c r="AL1986" s="25" t="s">
        <v>353</v>
      </c>
      <c r="AM1986" t="s">
        <v>61</v>
      </c>
      <c r="AN1986">
        <v>50.733212889999997</v>
      </c>
      <c r="AO1986">
        <v>6.5868714239999999</v>
      </c>
      <c r="AP1986">
        <v>38.970942489999999</v>
      </c>
      <c r="AQ1986">
        <v>23.054049979999998</v>
      </c>
      <c r="AR1986" t="s">
        <v>48</v>
      </c>
      <c r="AS1986">
        <f t="shared" si="218"/>
        <v>-0.2637644786370732</v>
      </c>
      <c r="AT1986">
        <f t="shared" si="219"/>
        <v>0.18340604811205113</v>
      </c>
      <c r="AZ1986"/>
      <c r="BA1986"/>
    </row>
    <row r="1987" spans="1:53" hidden="1">
      <c r="A1987" t="s">
        <v>908</v>
      </c>
      <c r="B1987" s="25" t="s">
        <v>613</v>
      </c>
      <c r="C1987" t="s">
        <v>558</v>
      </c>
      <c r="D1987" s="25">
        <v>44</v>
      </c>
      <c r="E1987" s="25">
        <v>468</v>
      </c>
      <c r="F1987" t="s">
        <v>914</v>
      </c>
      <c r="G1987" t="s">
        <v>559</v>
      </c>
      <c r="H1987" s="3" t="s">
        <v>889</v>
      </c>
      <c r="I1987">
        <v>2003</v>
      </c>
      <c r="J1987" t="s">
        <v>560</v>
      </c>
      <c r="K1987" t="s">
        <v>162</v>
      </c>
      <c r="L1987" t="s">
        <v>561</v>
      </c>
      <c r="M1987" s="25" t="s">
        <v>35</v>
      </c>
      <c r="N1987" t="s">
        <v>36</v>
      </c>
      <c r="O1987" t="s">
        <v>37</v>
      </c>
      <c r="P1987" t="s">
        <v>60</v>
      </c>
      <c r="Q1987" t="s">
        <v>900</v>
      </c>
      <c r="R1987" t="s">
        <v>888</v>
      </c>
      <c r="S1987" t="s">
        <v>894</v>
      </c>
      <c r="T1987">
        <v>35.188951199999998</v>
      </c>
      <c r="U1987">
        <v>140.37141260000001</v>
      </c>
      <c r="V1987" t="s">
        <v>905</v>
      </c>
      <c r="W1987" s="25" t="s">
        <v>38</v>
      </c>
      <c r="X1987">
        <v>1</v>
      </c>
      <c r="Y1987" t="s">
        <v>39</v>
      </c>
      <c r="Z1987">
        <v>2</v>
      </c>
      <c r="AA1987">
        <v>2</v>
      </c>
      <c r="AC1987">
        <v>320</v>
      </c>
      <c r="AE1987">
        <v>20000</v>
      </c>
      <c r="AG1987">
        <v>2221</v>
      </c>
      <c r="AH1987">
        <v>4.3010299959999996</v>
      </c>
      <c r="AI1987">
        <v>26</v>
      </c>
      <c r="AJ1987" t="s">
        <v>578</v>
      </c>
      <c r="AK1987" t="s">
        <v>69</v>
      </c>
      <c r="AL1987" s="25" t="s">
        <v>353</v>
      </c>
      <c r="AM1987" t="s">
        <v>61</v>
      </c>
      <c r="AN1987">
        <v>50.733212889999997</v>
      </c>
      <c r="AO1987">
        <v>6.5868714239999999</v>
      </c>
      <c r="AP1987">
        <v>22.503763930000002</v>
      </c>
      <c r="AQ1987">
        <v>16.937669379999999</v>
      </c>
      <c r="AR1987" t="s">
        <v>48</v>
      </c>
      <c r="AS1987">
        <f t="shared" si="218"/>
        <v>-0.81289820171190463</v>
      </c>
      <c r="AT1987">
        <f t="shared" si="219"/>
        <v>0.2916764545996865</v>
      </c>
      <c r="AZ1987"/>
      <c r="BA1987"/>
    </row>
    <row r="1988" spans="1:53" hidden="1">
      <c r="A1988" t="s">
        <v>908</v>
      </c>
      <c r="B1988" s="25" t="s">
        <v>614</v>
      </c>
      <c r="C1988" t="s">
        <v>558</v>
      </c>
      <c r="D1988" s="25">
        <v>44</v>
      </c>
      <c r="E1988" s="25">
        <v>469</v>
      </c>
      <c r="F1988" t="s">
        <v>914</v>
      </c>
      <c r="G1988" t="s">
        <v>559</v>
      </c>
      <c r="H1988" s="3" t="s">
        <v>889</v>
      </c>
      <c r="I1988">
        <v>2003</v>
      </c>
      <c r="J1988" t="s">
        <v>560</v>
      </c>
      <c r="K1988" t="s">
        <v>162</v>
      </c>
      <c r="L1988" t="s">
        <v>561</v>
      </c>
      <c r="M1988" s="25" t="s">
        <v>35</v>
      </c>
      <c r="N1988" t="s">
        <v>36</v>
      </c>
      <c r="O1988" t="s">
        <v>37</v>
      </c>
      <c r="P1988" t="s">
        <v>60</v>
      </c>
      <c r="Q1988" t="s">
        <v>900</v>
      </c>
      <c r="R1988" t="s">
        <v>888</v>
      </c>
      <c r="S1988" t="s">
        <v>894</v>
      </c>
      <c r="T1988">
        <v>35.188951199999998</v>
      </c>
      <c r="U1988">
        <v>140.37141260000001</v>
      </c>
      <c r="V1988" t="s">
        <v>905</v>
      </c>
      <c r="W1988" s="25" t="s">
        <v>38</v>
      </c>
      <c r="X1988">
        <v>1</v>
      </c>
      <c r="Y1988" t="s">
        <v>39</v>
      </c>
      <c r="Z1988">
        <v>2</v>
      </c>
      <c r="AA1988">
        <v>2</v>
      </c>
      <c r="AC1988">
        <v>320</v>
      </c>
      <c r="AE1988">
        <v>30000</v>
      </c>
      <c r="AG1988">
        <v>2221</v>
      </c>
      <c r="AH1988">
        <v>4.4771212550000001</v>
      </c>
      <c r="AI1988">
        <v>26</v>
      </c>
      <c r="AJ1988" t="s">
        <v>578</v>
      </c>
      <c r="AK1988" t="s">
        <v>69</v>
      </c>
      <c r="AL1988" s="25" t="s">
        <v>353</v>
      </c>
      <c r="AM1988" t="s">
        <v>61</v>
      </c>
      <c r="AN1988">
        <v>50.733212889999997</v>
      </c>
      <c r="AO1988">
        <v>6.5868714239999999</v>
      </c>
      <c r="AP1988">
        <v>30.031616979999999</v>
      </c>
      <c r="AQ1988">
        <v>15.055706109999999</v>
      </c>
      <c r="AR1988" t="s">
        <v>48</v>
      </c>
      <c r="AS1988">
        <f t="shared" si="218"/>
        <v>-0.5243300566758835</v>
      </c>
      <c r="AT1988">
        <f t="shared" si="219"/>
        <v>0.13409351373401482</v>
      </c>
      <c r="AZ1988"/>
      <c r="BA1988"/>
    </row>
    <row r="1989" spans="1:53" hidden="1">
      <c r="A1989" t="s">
        <v>908</v>
      </c>
      <c r="B1989" s="25" t="s">
        <v>615</v>
      </c>
      <c r="C1989" t="s">
        <v>558</v>
      </c>
      <c r="D1989" s="25">
        <v>44</v>
      </c>
      <c r="E1989" s="25">
        <v>470</v>
      </c>
      <c r="F1989" t="s">
        <v>914</v>
      </c>
      <c r="G1989" t="s">
        <v>559</v>
      </c>
      <c r="H1989" s="3" t="s">
        <v>889</v>
      </c>
      <c r="I1989">
        <v>2003</v>
      </c>
      <c r="J1989" t="s">
        <v>560</v>
      </c>
      <c r="K1989" t="s">
        <v>162</v>
      </c>
      <c r="L1989" t="s">
        <v>561</v>
      </c>
      <c r="M1989" s="25" t="s">
        <v>35</v>
      </c>
      <c r="N1989" t="s">
        <v>36</v>
      </c>
      <c r="O1989" t="s">
        <v>37</v>
      </c>
      <c r="P1989" t="s">
        <v>60</v>
      </c>
      <c r="Q1989" t="s">
        <v>900</v>
      </c>
      <c r="R1989" t="s">
        <v>888</v>
      </c>
      <c r="S1989" t="s">
        <v>894</v>
      </c>
      <c r="T1989">
        <v>35.188951199999998</v>
      </c>
      <c r="U1989">
        <v>140.37141260000001</v>
      </c>
      <c r="V1989" t="s">
        <v>905</v>
      </c>
      <c r="W1989" s="25" t="s">
        <v>38</v>
      </c>
      <c r="X1989">
        <v>1</v>
      </c>
      <c r="Y1989" t="s">
        <v>39</v>
      </c>
      <c r="Z1989">
        <v>2</v>
      </c>
      <c r="AA1989">
        <v>2</v>
      </c>
      <c r="AC1989">
        <v>320</v>
      </c>
      <c r="AE1989">
        <v>50000</v>
      </c>
      <c r="AG1989">
        <v>2221</v>
      </c>
      <c r="AH1989">
        <v>4.6989700040000004</v>
      </c>
      <c r="AI1989">
        <v>26</v>
      </c>
      <c r="AJ1989" t="s">
        <v>578</v>
      </c>
      <c r="AK1989" t="s">
        <v>69</v>
      </c>
      <c r="AL1989" s="25" t="s">
        <v>353</v>
      </c>
      <c r="AM1989" t="s">
        <v>61</v>
      </c>
      <c r="AN1989">
        <v>50.733212889999997</v>
      </c>
      <c r="AO1989">
        <v>6.5868714239999999</v>
      </c>
      <c r="AP1989">
        <v>5.5660945499999999</v>
      </c>
      <c r="AQ1989">
        <v>8.4688346879999994</v>
      </c>
      <c r="AR1989" t="s">
        <v>48</v>
      </c>
      <c r="AS1989">
        <f t="shared" si="218"/>
        <v>-2.209887132685612</v>
      </c>
      <c r="AT1989">
        <f t="shared" si="219"/>
        <v>1.1659154632983428</v>
      </c>
      <c r="AZ1989"/>
      <c r="BA1989"/>
    </row>
    <row r="1990" spans="1:53" hidden="1">
      <c r="A1990" t="s">
        <v>908</v>
      </c>
      <c r="B1990" t="s">
        <v>555</v>
      </c>
      <c r="C1990" t="s">
        <v>522</v>
      </c>
      <c r="D1990" s="25">
        <v>42</v>
      </c>
      <c r="E1990" s="25">
        <v>378</v>
      </c>
      <c r="F1990" t="s">
        <v>1241</v>
      </c>
      <c r="G1990" t="s">
        <v>475</v>
      </c>
      <c r="H1990" s="3" t="s">
        <v>809</v>
      </c>
      <c r="I1990">
        <v>2004</v>
      </c>
      <c r="J1990" t="s">
        <v>523</v>
      </c>
      <c r="K1990" t="s">
        <v>162</v>
      </c>
      <c r="L1990" t="s">
        <v>524</v>
      </c>
      <c r="M1990" s="25" t="s">
        <v>35</v>
      </c>
      <c r="N1990" t="s">
        <v>36</v>
      </c>
      <c r="O1990" t="s">
        <v>37</v>
      </c>
      <c r="P1990" t="s">
        <v>60</v>
      </c>
      <c r="Q1990" t="s">
        <v>899</v>
      </c>
      <c r="R1990" t="s">
        <v>828</v>
      </c>
      <c r="S1990" t="s">
        <v>811</v>
      </c>
      <c r="T1990">
        <v>33.683332999999998</v>
      </c>
      <c r="U1990">
        <v>135.35</v>
      </c>
      <c r="V1990" t="s">
        <v>905</v>
      </c>
      <c r="W1990" s="25" t="s">
        <v>38</v>
      </c>
      <c r="X1990">
        <v>2</v>
      </c>
      <c r="Y1990" t="s">
        <v>39</v>
      </c>
      <c r="Z1990">
        <v>4</v>
      </c>
      <c r="AA1990">
        <v>4</v>
      </c>
      <c r="AC1990">
        <v>365</v>
      </c>
      <c r="AE1990">
        <v>5365</v>
      </c>
      <c r="AG1990">
        <v>2195</v>
      </c>
      <c r="AH1990">
        <v>3.7295697259999998</v>
      </c>
      <c r="AI1990">
        <v>24</v>
      </c>
      <c r="AJ1990" t="s">
        <v>554</v>
      </c>
      <c r="AK1990" t="s">
        <v>69</v>
      </c>
      <c r="AL1990" s="25" t="s">
        <v>60</v>
      </c>
      <c r="AM1990" t="s">
        <v>61</v>
      </c>
      <c r="AN1990">
        <v>9.4366197179999993</v>
      </c>
      <c r="AO1990">
        <v>10.91549296</v>
      </c>
      <c r="AP1990">
        <v>29.436619719999999</v>
      </c>
      <c r="AQ1990">
        <v>22.81690141</v>
      </c>
      <c r="AR1990" t="s">
        <v>43</v>
      </c>
      <c r="AS1990">
        <f t="shared" si="218"/>
        <v>1.1376416326640975</v>
      </c>
      <c r="AT1990">
        <f t="shared" si="219"/>
        <v>0.48470082328083786</v>
      </c>
      <c r="AW1990" s="28">
        <f t="shared" ref="AW1990:AW2021" si="220">(AP1990-$AN1990)/SQRT(((AA1990-1)*AQ1990*AQ1990+($Z1990-1)*$AO1990*$AO1990)/(AA1990+$Z1990-2))</f>
        <v>1.1182445736947302</v>
      </c>
      <c r="AX1990">
        <f t="shared" ref="AX1990:AX2021" si="221">1-(3/(4*(AA1990+$Z1990-2)-1))</f>
        <v>0.86956521739130432</v>
      </c>
      <c r="AY1990" s="62">
        <f t="shared" ref="AY1990:AY2021" si="222">AX1990*AW1990</f>
        <v>0.9723865858215045</v>
      </c>
      <c r="AZ1990" s="68" t="str">
        <f t="shared" ref="AZ1990:AZ2021" si="223">IF(AY1990&gt;10,"Yes","No")</f>
        <v>No</v>
      </c>
      <c r="BA1990" s="68" t="str">
        <f t="shared" ref="BA1990:BA2021" si="224">IF(AY1990&lt;-10,"Yes","No")</f>
        <v>No</v>
      </c>
    </row>
    <row r="1991" spans="1:53" hidden="1">
      <c r="A1991" t="s">
        <v>908</v>
      </c>
      <c r="B1991" t="s">
        <v>556</v>
      </c>
      <c r="C1991" t="s">
        <v>522</v>
      </c>
      <c r="D1991" s="25">
        <v>42</v>
      </c>
      <c r="E1991" s="25">
        <v>379</v>
      </c>
      <c r="F1991" t="s">
        <v>1241</v>
      </c>
      <c r="G1991" t="s">
        <v>475</v>
      </c>
      <c r="H1991" s="3" t="s">
        <v>809</v>
      </c>
      <c r="I1991">
        <v>2004</v>
      </c>
      <c r="J1991" t="s">
        <v>523</v>
      </c>
      <c r="K1991" t="s">
        <v>162</v>
      </c>
      <c r="L1991" t="s">
        <v>524</v>
      </c>
      <c r="M1991" s="25" t="s">
        <v>35</v>
      </c>
      <c r="N1991" t="s">
        <v>36</v>
      </c>
      <c r="O1991" t="s">
        <v>37</v>
      </c>
      <c r="P1991" t="s">
        <v>60</v>
      </c>
      <c r="Q1991" t="s">
        <v>899</v>
      </c>
      <c r="R1991" t="s">
        <v>828</v>
      </c>
      <c r="S1991" t="s">
        <v>811</v>
      </c>
      <c r="T1991">
        <v>33.683332999999998</v>
      </c>
      <c r="U1991">
        <v>135.35</v>
      </c>
      <c r="V1991" t="s">
        <v>905</v>
      </c>
      <c r="W1991" s="25" t="s">
        <v>38</v>
      </c>
      <c r="X1991">
        <v>2</v>
      </c>
      <c r="Y1991" t="s">
        <v>39</v>
      </c>
      <c r="Z1991">
        <v>4</v>
      </c>
      <c r="AA1991">
        <v>4</v>
      </c>
      <c r="AC1991">
        <v>365</v>
      </c>
      <c r="AE1991">
        <v>10365</v>
      </c>
      <c r="AG1991">
        <v>2195</v>
      </c>
      <c r="AH1991">
        <v>4.0155693059999997</v>
      </c>
      <c r="AI1991">
        <v>24</v>
      </c>
      <c r="AJ1991" t="s">
        <v>554</v>
      </c>
      <c r="AK1991" t="s">
        <v>69</v>
      </c>
      <c r="AL1991" s="25" t="s">
        <v>60</v>
      </c>
      <c r="AM1991" t="s">
        <v>61</v>
      </c>
      <c r="AN1991">
        <v>9.4366197179999993</v>
      </c>
      <c r="AO1991">
        <v>10.91549296</v>
      </c>
      <c r="AP1991">
        <v>31.4084507</v>
      </c>
      <c r="AQ1991">
        <v>5.7746478870000004</v>
      </c>
      <c r="AR1991" t="s">
        <v>43</v>
      </c>
      <c r="AS1991">
        <f t="shared" si="218"/>
        <v>1.2024791519674598</v>
      </c>
      <c r="AT1991">
        <f t="shared" si="219"/>
        <v>0.34294902138148214</v>
      </c>
      <c r="AW1991" s="28">
        <f t="shared" si="220"/>
        <v>2.5162517704341605</v>
      </c>
      <c r="AX1991">
        <f t="shared" si="221"/>
        <v>0.86956521739130432</v>
      </c>
      <c r="AY1991" s="62">
        <f t="shared" si="222"/>
        <v>2.1880450177688351</v>
      </c>
      <c r="AZ1991" s="68" t="str">
        <f t="shared" si="223"/>
        <v>No</v>
      </c>
      <c r="BA1991" s="68" t="str">
        <f t="shared" si="224"/>
        <v>No</v>
      </c>
    </row>
    <row r="1992" spans="1:53" hidden="1">
      <c r="A1992" t="s">
        <v>908</v>
      </c>
      <c r="B1992" t="s">
        <v>230</v>
      </c>
      <c r="C1992" t="s">
        <v>231</v>
      </c>
      <c r="D1992" s="25">
        <v>39</v>
      </c>
      <c r="E1992" s="25">
        <v>582</v>
      </c>
      <c r="F1992" t="s">
        <v>1241</v>
      </c>
      <c r="G1992" t="s">
        <v>232</v>
      </c>
      <c r="I1992">
        <v>2014</v>
      </c>
      <c r="J1992" t="s">
        <v>233</v>
      </c>
      <c r="K1992" t="s">
        <v>162</v>
      </c>
      <c r="L1992" t="s">
        <v>234</v>
      </c>
      <c r="M1992" s="25" t="s">
        <v>35</v>
      </c>
      <c r="N1992" t="s">
        <v>36</v>
      </c>
      <c r="O1992" t="s">
        <v>37</v>
      </c>
      <c r="P1992" t="s">
        <v>60</v>
      </c>
      <c r="Q1992" t="s">
        <v>900</v>
      </c>
      <c r="R1992" t="s">
        <v>1741</v>
      </c>
      <c r="S1992" t="s">
        <v>1646</v>
      </c>
      <c r="T1992">
        <v>35.3460416</v>
      </c>
      <c r="U1992">
        <v>139.65243609999999</v>
      </c>
      <c r="V1992" t="s">
        <v>905</v>
      </c>
      <c r="W1992" s="25" t="s">
        <v>38</v>
      </c>
      <c r="X1992">
        <v>2</v>
      </c>
      <c r="Y1992" t="s">
        <v>39</v>
      </c>
      <c r="Z1992">
        <v>5</v>
      </c>
      <c r="AA1992">
        <v>5</v>
      </c>
      <c r="AC1992">
        <v>400</v>
      </c>
      <c r="AE1992">
        <v>450</v>
      </c>
      <c r="AG1992">
        <v>711</v>
      </c>
      <c r="AH1992">
        <v>2.6532125139999998</v>
      </c>
      <c r="AI1992">
        <v>23.5</v>
      </c>
      <c r="AJ1992" t="s">
        <v>235</v>
      </c>
      <c r="AK1992" t="s">
        <v>40</v>
      </c>
      <c r="AL1992" s="25" t="s">
        <v>236</v>
      </c>
      <c r="AM1992" t="s">
        <v>61</v>
      </c>
      <c r="AN1992">
        <v>288.36565000000002</v>
      </c>
      <c r="AO1992">
        <v>90.310368859999997</v>
      </c>
      <c r="AP1992">
        <v>288.36565000000002</v>
      </c>
      <c r="AQ1992">
        <v>60.226234220000002</v>
      </c>
      <c r="AR1992" t="s">
        <v>73</v>
      </c>
      <c r="AS1992">
        <v>0</v>
      </c>
      <c r="AT1992">
        <v>2.8340322786601133E-2</v>
      </c>
      <c r="AW1992" s="28">
        <f t="shared" si="220"/>
        <v>0</v>
      </c>
      <c r="AX1992">
        <f t="shared" si="221"/>
        <v>0.90322580645161288</v>
      </c>
      <c r="AY1992" s="62">
        <f t="shared" si="222"/>
        <v>0</v>
      </c>
      <c r="AZ1992" s="68" t="str">
        <f t="shared" si="223"/>
        <v>No</v>
      </c>
      <c r="BA1992" s="68" t="str">
        <f t="shared" si="224"/>
        <v>No</v>
      </c>
    </row>
    <row r="1993" spans="1:53" hidden="1">
      <c r="A1993" t="s">
        <v>908</v>
      </c>
      <c r="B1993" t="s">
        <v>237</v>
      </c>
      <c r="C1993" t="s">
        <v>231</v>
      </c>
      <c r="D1993" s="25">
        <v>39</v>
      </c>
      <c r="E1993" s="25">
        <v>569</v>
      </c>
      <c r="F1993" t="s">
        <v>1241</v>
      </c>
      <c r="G1993" t="s">
        <v>232</v>
      </c>
      <c r="I1993">
        <v>2014</v>
      </c>
      <c r="J1993" t="s">
        <v>233</v>
      </c>
      <c r="K1993" t="s">
        <v>162</v>
      </c>
      <c r="L1993" t="s">
        <v>234</v>
      </c>
      <c r="M1993" s="25" t="s">
        <v>35</v>
      </c>
      <c r="N1993" t="s">
        <v>36</v>
      </c>
      <c r="O1993" t="s">
        <v>37</v>
      </c>
      <c r="P1993" t="s">
        <v>60</v>
      </c>
      <c r="Q1993" t="s">
        <v>900</v>
      </c>
      <c r="R1993" t="s">
        <v>1741</v>
      </c>
      <c r="S1993" t="s">
        <v>1646</v>
      </c>
      <c r="T1993">
        <v>35.3460416</v>
      </c>
      <c r="U1993">
        <v>139.65243609999999</v>
      </c>
      <c r="V1993" t="s">
        <v>905</v>
      </c>
      <c r="W1993" s="25" t="s">
        <v>38</v>
      </c>
      <c r="X1993">
        <v>2</v>
      </c>
      <c r="Y1993" t="s">
        <v>39</v>
      </c>
      <c r="Z1993">
        <v>5</v>
      </c>
      <c r="AA1993">
        <v>5</v>
      </c>
      <c r="AC1993">
        <v>400</v>
      </c>
      <c r="AE1993">
        <v>1000</v>
      </c>
      <c r="AG1993">
        <v>711</v>
      </c>
      <c r="AH1993">
        <v>3</v>
      </c>
      <c r="AI1993">
        <v>23.5</v>
      </c>
      <c r="AJ1993" t="s">
        <v>235</v>
      </c>
      <c r="AK1993" t="s">
        <v>40</v>
      </c>
      <c r="AL1993" s="25" t="s">
        <v>236</v>
      </c>
      <c r="AM1993" t="s">
        <v>61</v>
      </c>
      <c r="AN1993">
        <v>288.36565000000002</v>
      </c>
      <c r="AO1993">
        <v>90.310368859999997</v>
      </c>
      <c r="AP1993">
        <v>281.71744999999999</v>
      </c>
      <c r="AQ1993">
        <v>58.837733020000002</v>
      </c>
      <c r="AR1993" t="s">
        <v>73</v>
      </c>
      <c r="AS1993">
        <v>-2.3324674612320351E-2</v>
      </c>
      <c r="AT1993">
        <v>2.8340322785858275E-2</v>
      </c>
      <c r="AW1993" s="28">
        <f t="shared" si="220"/>
        <v>-8.7228087246719058E-2</v>
      </c>
      <c r="AX1993">
        <f t="shared" si="221"/>
        <v>0.90322580645161288</v>
      </c>
      <c r="AY1993" s="62">
        <f t="shared" si="222"/>
        <v>-7.8786659448649474E-2</v>
      </c>
      <c r="AZ1993" s="68" t="str">
        <f t="shared" si="223"/>
        <v>No</v>
      </c>
      <c r="BA1993" s="68" t="str">
        <f t="shared" si="224"/>
        <v>No</v>
      </c>
    </row>
    <row r="1994" spans="1:53" hidden="1">
      <c r="A1994" t="s">
        <v>908</v>
      </c>
      <c r="B1994" t="s">
        <v>238</v>
      </c>
      <c r="C1994" t="s">
        <v>231</v>
      </c>
      <c r="D1994" s="25">
        <v>39</v>
      </c>
      <c r="E1994" s="25">
        <v>557</v>
      </c>
      <c r="F1994" t="s">
        <v>1241</v>
      </c>
      <c r="G1994" t="s">
        <v>232</v>
      </c>
      <c r="I1994">
        <v>2014</v>
      </c>
      <c r="J1994" t="s">
        <v>233</v>
      </c>
      <c r="K1994" t="s">
        <v>162</v>
      </c>
      <c r="L1994" t="s">
        <v>234</v>
      </c>
      <c r="M1994" s="25" t="s">
        <v>35</v>
      </c>
      <c r="N1994" t="s">
        <v>36</v>
      </c>
      <c r="O1994" t="s">
        <v>37</v>
      </c>
      <c r="P1994" t="s">
        <v>60</v>
      </c>
      <c r="Q1994" t="s">
        <v>900</v>
      </c>
      <c r="R1994" t="s">
        <v>1741</v>
      </c>
      <c r="S1994" t="s">
        <v>1646</v>
      </c>
      <c r="T1994">
        <v>35.3460416</v>
      </c>
      <c r="U1994">
        <v>139.65243609999999</v>
      </c>
      <c r="V1994" t="s">
        <v>905</v>
      </c>
      <c r="W1994" s="25" t="s">
        <v>38</v>
      </c>
      <c r="X1994">
        <v>2</v>
      </c>
      <c r="Y1994" t="s">
        <v>39</v>
      </c>
      <c r="Z1994">
        <v>5</v>
      </c>
      <c r="AA1994">
        <v>5</v>
      </c>
      <c r="AC1994">
        <v>400</v>
      </c>
      <c r="AE1994">
        <v>1500</v>
      </c>
      <c r="AG1994">
        <v>711</v>
      </c>
      <c r="AH1994">
        <v>3.1760912590000001</v>
      </c>
      <c r="AI1994">
        <v>23.5</v>
      </c>
      <c r="AJ1994" t="s">
        <v>235</v>
      </c>
      <c r="AK1994" t="s">
        <v>40</v>
      </c>
      <c r="AL1994" s="25" t="s">
        <v>236</v>
      </c>
      <c r="AM1994" t="s">
        <v>61</v>
      </c>
      <c r="AN1994">
        <v>288.36565000000002</v>
      </c>
      <c r="AO1994">
        <v>90.310368859999997</v>
      </c>
      <c r="AP1994">
        <v>279.22438</v>
      </c>
      <c r="AQ1994">
        <v>58.317046120000001</v>
      </c>
      <c r="AR1994" t="s">
        <v>73</v>
      </c>
      <c r="AS1994">
        <v>-3.2213604915154015E-2</v>
      </c>
      <c r="AT1994">
        <v>2.8340322787285387E-2</v>
      </c>
      <c r="AW1994" s="28">
        <f t="shared" si="220"/>
        <v>-0.12025467612397429</v>
      </c>
      <c r="AX1994">
        <f t="shared" si="221"/>
        <v>0.90322580645161288</v>
      </c>
      <c r="AY1994" s="62">
        <f t="shared" si="222"/>
        <v>-0.1086171268216542</v>
      </c>
      <c r="AZ1994" s="68" t="str">
        <f t="shared" si="223"/>
        <v>No</v>
      </c>
      <c r="BA1994" s="68" t="str">
        <f t="shared" si="224"/>
        <v>No</v>
      </c>
    </row>
    <row r="1995" spans="1:53" hidden="1">
      <c r="A1995" t="s">
        <v>908</v>
      </c>
      <c r="B1995" t="s">
        <v>239</v>
      </c>
      <c r="C1995" t="s">
        <v>231</v>
      </c>
      <c r="D1995" s="25">
        <v>39</v>
      </c>
      <c r="E1995" s="25">
        <v>334</v>
      </c>
      <c r="F1995" t="s">
        <v>1241</v>
      </c>
      <c r="G1995" t="s">
        <v>232</v>
      </c>
      <c r="I1995">
        <v>2004</v>
      </c>
      <c r="J1995" t="s">
        <v>233</v>
      </c>
      <c r="K1995" t="s">
        <v>162</v>
      </c>
      <c r="L1995" t="s">
        <v>234</v>
      </c>
      <c r="M1995" s="25" t="s">
        <v>35</v>
      </c>
      <c r="N1995" t="s">
        <v>36</v>
      </c>
      <c r="O1995" t="s">
        <v>37</v>
      </c>
      <c r="P1995" t="s">
        <v>60</v>
      </c>
      <c r="Q1995" t="s">
        <v>900</v>
      </c>
      <c r="R1995" t="s">
        <v>1741</v>
      </c>
      <c r="S1995" t="s">
        <v>1646</v>
      </c>
      <c r="T1995">
        <v>35.3460416</v>
      </c>
      <c r="U1995">
        <v>139.65243609999999</v>
      </c>
      <c r="V1995" t="s">
        <v>905</v>
      </c>
      <c r="W1995" s="25" t="s">
        <v>38</v>
      </c>
      <c r="X1995">
        <v>2</v>
      </c>
      <c r="Y1995" t="s">
        <v>39</v>
      </c>
      <c r="Z1995">
        <v>5</v>
      </c>
      <c r="AA1995">
        <v>5</v>
      </c>
      <c r="AC1995">
        <v>400</v>
      </c>
      <c r="AE1995">
        <v>2000</v>
      </c>
      <c r="AG1995">
        <v>711</v>
      </c>
      <c r="AH1995">
        <v>3.301029996</v>
      </c>
      <c r="AI1995">
        <v>23.5</v>
      </c>
      <c r="AJ1995" t="s">
        <v>235</v>
      </c>
      <c r="AK1995" t="s">
        <v>40</v>
      </c>
      <c r="AL1995" s="25" t="s">
        <v>236</v>
      </c>
      <c r="AM1995" t="s">
        <v>61</v>
      </c>
      <c r="AN1995">
        <v>288.36565000000002</v>
      </c>
      <c r="AO1995">
        <v>90.310368859999997</v>
      </c>
      <c r="AP1995">
        <v>253.46260000000001</v>
      </c>
      <c r="AQ1995">
        <v>20.44052348</v>
      </c>
      <c r="AR1995" t="s">
        <v>73</v>
      </c>
      <c r="AS1995">
        <v>-0.1290130152778417</v>
      </c>
      <c r="AT1995">
        <v>2.0917076110229978E-2</v>
      </c>
      <c r="AW1995" s="28">
        <f t="shared" si="220"/>
        <v>-0.53307985036695116</v>
      </c>
      <c r="AX1995">
        <f t="shared" si="221"/>
        <v>0.90322580645161288</v>
      </c>
      <c r="AY1995" s="62">
        <f t="shared" si="222"/>
        <v>-0.48149147775079459</v>
      </c>
      <c r="AZ1995" s="68" t="str">
        <f t="shared" si="223"/>
        <v>No</v>
      </c>
      <c r="BA1995" s="68" t="str">
        <f t="shared" si="224"/>
        <v>No</v>
      </c>
    </row>
    <row r="1996" spans="1:53" hidden="1">
      <c r="A1996" t="s">
        <v>908</v>
      </c>
      <c r="B1996" t="s">
        <v>240</v>
      </c>
      <c r="C1996" t="s">
        <v>231</v>
      </c>
      <c r="D1996" s="25">
        <v>39</v>
      </c>
      <c r="E1996" s="25">
        <v>570</v>
      </c>
      <c r="F1996" t="s">
        <v>1241</v>
      </c>
      <c r="G1996" t="s">
        <v>232</v>
      </c>
      <c r="I1996">
        <v>2004</v>
      </c>
      <c r="J1996" t="s">
        <v>233</v>
      </c>
      <c r="K1996" t="s">
        <v>162</v>
      </c>
      <c r="L1996" t="s">
        <v>234</v>
      </c>
      <c r="M1996" s="25" t="s">
        <v>35</v>
      </c>
      <c r="N1996" t="s">
        <v>36</v>
      </c>
      <c r="O1996" t="s">
        <v>37</v>
      </c>
      <c r="P1996" t="s">
        <v>60</v>
      </c>
      <c r="Q1996" t="s">
        <v>900</v>
      </c>
      <c r="R1996" t="s">
        <v>1741</v>
      </c>
      <c r="S1996" t="s">
        <v>1646</v>
      </c>
      <c r="T1996">
        <v>35.3460416</v>
      </c>
      <c r="U1996">
        <v>139.65243609999999</v>
      </c>
      <c r="V1996" t="s">
        <v>905</v>
      </c>
      <c r="W1996" s="25" t="s">
        <v>38</v>
      </c>
      <c r="X1996">
        <v>2</v>
      </c>
      <c r="Y1996" t="s">
        <v>39</v>
      </c>
      <c r="Z1996">
        <v>3</v>
      </c>
      <c r="AA1996">
        <v>3</v>
      </c>
      <c r="AC1996">
        <v>450</v>
      </c>
      <c r="AE1996">
        <v>800</v>
      </c>
      <c r="AG1996">
        <v>712</v>
      </c>
      <c r="AH1996">
        <v>2.903089987</v>
      </c>
      <c r="AI1996">
        <v>23.5</v>
      </c>
      <c r="AJ1996" t="s">
        <v>235</v>
      </c>
      <c r="AK1996" t="s">
        <v>40</v>
      </c>
      <c r="AL1996" s="25" t="s">
        <v>236</v>
      </c>
      <c r="AM1996" t="s">
        <v>61</v>
      </c>
      <c r="AN1996">
        <v>286.47541000000001</v>
      </c>
      <c r="AO1996">
        <v>89.718383399999993</v>
      </c>
      <c r="AP1996">
        <v>287.29507999999998</v>
      </c>
      <c r="AQ1996">
        <v>60.002641709999999</v>
      </c>
      <c r="AR1996" t="s">
        <v>73</v>
      </c>
      <c r="AS1996">
        <v>2.8571373811727696E-3</v>
      </c>
      <c r="AT1996">
        <v>4.7233871310316325E-2</v>
      </c>
      <c r="AW1996" s="28">
        <f t="shared" si="220"/>
        <v>1.0739809246269971E-2</v>
      </c>
      <c r="AX1996">
        <f t="shared" si="221"/>
        <v>0.8</v>
      </c>
      <c r="AY1996" s="62">
        <f t="shared" si="222"/>
        <v>8.5918473970159771E-3</v>
      </c>
      <c r="AZ1996" s="68" t="str">
        <f t="shared" si="223"/>
        <v>No</v>
      </c>
      <c r="BA1996" s="68" t="str">
        <f t="shared" si="224"/>
        <v>No</v>
      </c>
    </row>
    <row r="1997" spans="1:53" hidden="1">
      <c r="A1997" t="s">
        <v>908</v>
      </c>
      <c r="B1997" t="s">
        <v>241</v>
      </c>
      <c r="C1997" t="s">
        <v>231</v>
      </c>
      <c r="D1997" s="25">
        <v>39</v>
      </c>
      <c r="E1997" s="25">
        <v>498</v>
      </c>
      <c r="F1997" t="s">
        <v>1241</v>
      </c>
      <c r="G1997" t="s">
        <v>232</v>
      </c>
      <c r="I1997">
        <v>2004</v>
      </c>
      <c r="J1997" t="s">
        <v>233</v>
      </c>
      <c r="K1997" t="s">
        <v>162</v>
      </c>
      <c r="L1997" t="s">
        <v>234</v>
      </c>
      <c r="M1997" s="25" t="s">
        <v>35</v>
      </c>
      <c r="N1997" t="s">
        <v>36</v>
      </c>
      <c r="O1997" t="s">
        <v>37</v>
      </c>
      <c r="P1997" t="s">
        <v>60</v>
      </c>
      <c r="Q1997" t="s">
        <v>900</v>
      </c>
      <c r="R1997" t="s">
        <v>1741</v>
      </c>
      <c r="S1997" t="s">
        <v>1646</v>
      </c>
      <c r="T1997">
        <v>35.3460416</v>
      </c>
      <c r="U1997">
        <v>139.65243609999999</v>
      </c>
      <c r="V1997" t="s">
        <v>905</v>
      </c>
      <c r="W1997" s="25" t="s">
        <v>38</v>
      </c>
      <c r="X1997">
        <v>2</v>
      </c>
      <c r="Y1997" t="s">
        <v>39</v>
      </c>
      <c r="Z1997">
        <v>3</v>
      </c>
      <c r="AA1997">
        <v>3</v>
      </c>
      <c r="AC1997">
        <v>450</v>
      </c>
      <c r="AE1997">
        <v>1000</v>
      </c>
      <c r="AG1997">
        <v>712</v>
      </c>
      <c r="AH1997">
        <v>3</v>
      </c>
      <c r="AI1997">
        <v>23.5</v>
      </c>
      <c r="AJ1997" t="s">
        <v>235</v>
      </c>
      <c r="AK1997" t="s">
        <v>40</v>
      </c>
      <c r="AL1997" s="25" t="s">
        <v>236</v>
      </c>
      <c r="AM1997" t="s">
        <v>61</v>
      </c>
      <c r="AN1997">
        <v>286.47541000000001</v>
      </c>
      <c r="AO1997">
        <v>89.718383399999993</v>
      </c>
      <c r="AP1997">
        <v>280.73770000000002</v>
      </c>
      <c r="AQ1997">
        <v>58.6331086</v>
      </c>
      <c r="AR1997" t="s">
        <v>73</v>
      </c>
      <c r="AS1997">
        <v>-2.023192206207991E-2</v>
      </c>
      <c r="AT1997">
        <v>4.7233871307375053E-2</v>
      </c>
      <c r="AW1997" s="28">
        <f t="shared" si="220"/>
        <v>-7.5708726040346008E-2</v>
      </c>
      <c r="AX1997">
        <f t="shared" si="221"/>
        <v>0.8</v>
      </c>
      <c r="AY1997" s="62">
        <f t="shared" si="222"/>
        <v>-6.0566980832276809E-2</v>
      </c>
      <c r="AZ1997" s="68" t="str">
        <f t="shared" si="223"/>
        <v>No</v>
      </c>
      <c r="BA1997" s="68" t="str">
        <f t="shared" si="224"/>
        <v>No</v>
      </c>
    </row>
    <row r="1998" spans="1:53" hidden="1">
      <c r="A1998" t="s">
        <v>908</v>
      </c>
      <c r="B1998" t="s">
        <v>242</v>
      </c>
      <c r="C1998" t="s">
        <v>231</v>
      </c>
      <c r="D1998" s="25">
        <v>39</v>
      </c>
      <c r="E1998" s="25">
        <v>317</v>
      </c>
      <c r="F1998" t="s">
        <v>1241</v>
      </c>
      <c r="G1998" t="s">
        <v>232</v>
      </c>
      <c r="I1998">
        <v>2004</v>
      </c>
      <c r="J1998" t="s">
        <v>233</v>
      </c>
      <c r="K1998" t="s">
        <v>162</v>
      </c>
      <c r="L1998" t="s">
        <v>234</v>
      </c>
      <c r="M1998" s="25" t="s">
        <v>35</v>
      </c>
      <c r="N1998" t="s">
        <v>36</v>
      </c>
      <c r="O1998" t="s">
        <v>37</v>
      </c>
      <c r="P1998" t="s">
        <v>60</v>
      </c>
      <c r="Q1998" t="s">
        <v>900</v>
      </c>
      <c r="R1998" t="s">
        <v>1741</v>
      </c>
      <c r="S1998" t="s">
        <v>1646</v>
      </c>
      <c r="T1998">
        <v>35.3460416</v>
      </c>
      <c r="U1998">
        <v>139.65243609999999</v>
      </c>
      <c r="V1998" t="s">
        <v>905</v>
      </c>
      <c r="W1998" s="25" t="s">
        <v>38</v>
      </c>
      <c r="X1998">
        <v>2</v>
      </c>
      <c r="Y1998" t="s">
        <v>39</v>
      </c>
      <c r="Z1998">
        <v>3</v>
      </c>
      <c r="AA1998">
        <v>3</v>
      </c>
      <c r="AC1998">
        <v>450</v>
      </c>
      <c r="AE1998">
        <v>1200</v>
      </c>
      <c r="AG1998">
        <v>712</v>
      </c>
      <c r="AH1998">
        <v>3.0791812460000001</v>
      </c>
      <c r="AI1998">
        <v>23.5</v>
      </c>
      <c r="AJ1998" t="s">
        <v>235</v>
      </c>
      <c r="AK1998" t="s">
        <v>40</v>
      </c>
      <c r="AL1998" s="25" t="s">
        <v>236</v>
      </c>
      <c r="AM1998" t="s">
        <v>61</v>
      </c>
      <c r="AN1998">
        <v>286.47541000000001</v>
      </c>
      <c r="AO1998">
        <v>89.718383399999993</v>
      </c>
      <c r="AP1998">
        <v>276.63934</v>
      </c>
      <c r="AQ1998">
        <v>57.777150939999999</v>
      </c>
      <c r="AR1998" t="s">
        <v>73</v>
      </c>
      <c r="AS1998">
        <v>-3.4938067340934076E-2</v>
      </c>
      <c r="AT1998">
        <v>4.7233871311312278E-2</v>
      </c>
      <c r="AW1998" s="28">
        <f t="shared" si="220"/>
        <v>-0.13035291435022939</v>
      </c>
      <c r="AX1998">
        <f t="shared" si="221"/>
        <v>0.8</v>
      </c>
      <c r="AY1998" s="62">
        <f t="shared" si="222"/>
        <v>-0.10428233148018351</v>
      </c>
      <c r="AZ1998" s="68" t="str">
        <f t="shared" si="223"/>
        <v>No</v>
      </c>
      <c r="BA1998" s="68" t="str">
        <f t="shared" si="224"/>
        <v>No</v>
      </c>
    </row>
    <row r="1999" spans="1:53" hidden="1">
      <c r="A1999" t="s">
        <v>908</v>
      </c>
      <c r="B1999" t="s">
        <v>243</v>
      </c>
      <c r="C1999" t="s">
        <v>231</v>
      </c>
      <c r="D1999" s="25">
        <v>39</v>
      </c>
      <c r="E1999" s="25">
        <v>583</v>
      </c>
      <c r="F1999" t="s">
        <v>1241</v>
      </c>
      <c r="G1999" t="s">
        <v>232</v>
      </c>
      <c r="I1999">
        <v>2004</v>
      </c>
      <c r="J1999" t="s">
        <v>233</v>
      </c>
      <c r="K1999" t="s">
        <v>162</v>
      </c>
      <c r="L1999" t="s">
        <v>234</v>
      </c>
      <c r="M1999" s="25" t="s">
        <v>35</v>
      </c>
      <c r="N1999" t="s">
        <v>36</v>
      </c>
      <c r="O1999" t="s">
        <v>37</v>
      </c>
      <c r="P1999" t="s">
        <v>60</v>
      </c>
      <c r="Q1999" t="s">
        <v>900</v>
      </c>
      <c r="R1999" t="s">
        <v>1741</v>
      </c>
      <c r="S1999" t="s">
        <v>1646</v>
      </c>
      <c r="T1999">
        <v>35.3460416</v>
      </c>
      <c r="U1999">
        <v>139.65243609999999</v>
      </c>
      <c r="V1999" t="s">
        <v>905</v>
      </c>
      <c r="W1999" s="25" t="s">
        <v>38</v>
      </c>
      <c r="X1999">
        <v>2</v>
      </c>
      <c r="Y1999" t="s">
        <v>39</v>
      </c>
      <c r="Z1999">
        <v>3</v>
      </c>
      <c r="AA1999">
        <v>3</v>
      </c>
      <c r="AC1999">
        <v>450</v>
      </c>
      <c r="AE1999">
        <v>1500</v>
      </c>
      <c r="AG1999">
        <v>712</v>
      </c>
      <c r="AH1999">
        <v>3.1760912590000001</v>
      </c>
      <c r="AI1999">
        <v>23.5</v>
      </c>
      <c r="AJ1999" t="s">
        <v>235</v>
      </c>
      <c r="AK1999" t="s">
        <v>40</v>
      </c>
      <c r="AL1999" s="25" t="s">
        <v>236</v>
      </c>
      <c r="AM1999" t="s">
        <v>61</v>
      </c>
      <c r="AN1999">
        <v>286.47541000000001</v>
      </c>
      <c r="AO1999">
        <v>89.718383399999993</v>
      </c>
      <c r="AP1999">
        <v>233.19672</v>
      </c>
      <c r="AQ1999">
        <v>48.703998820000002</v>
      </c>
      <c r="AR1999" t="s">
        <v>73</v>
      </c>
      <c r="AS1999">
        <v>-0.20577031430362691</v>
      </c>
      <c r="AT1999">
        <v>4.7233871308663307E-2</v>
      </c>
      <c r="AW1999" s="28">
        <f t="shared" si="220"/>
        <v>-0.7380811091388022</v>
      </c>
      <c r="AX1999">
        <f t="shared" si="221"/>
        <v>0.8</v>
      </c>
      <c r="AY1999" s="62">
        <f t="shared" si="222"/>
        <v>-0.59046488731104174</v>
      </c>
      <c r="AZ1999" s="68" t="str">
        <f t="shared" si="223"/>
        <v>No</v>
      </c>
      <c r="BA1999" s="68" t="str">
        <f t="shared" si="224"/>
        <v>No</v>
      </c>
    </row>
    <row r="2000" spans="1:53" hidden="1">
      <c r="A2000" t="s">
        <v>908</v>
      </c>
      <c r="B2000" t="s">
        <v>491</v>
      </c>
      <c r="C2000" t="s">
        <v>474</v>
      </c>
      <c r="D2000" s="25">
        <v>13</v>
      </c>
      <c r="E2000" s="25">
        <v>380</v>
      </c>
      <c r="F2000" t="s">
        <v>1241</v>
      </c>
      <c r="G2000" t="s">
        <v>475</v>
      </c>
      <c r="I2000">
        <v>2004</v>
      </c>
      <c r="J2000" t="s">
        <v>476</v>
      </c>
      <c r="K2000" t="s">
        <v>162</v>
      </c>
      <c r="L2000" t="s">
        <v>477</v>
      </c>
      <c r="M2000" s="25" t="s">
        <v>35</v>
      </c>
      <c r="N2000" t="s">
        <v>36</v>
      </c>
      <c r="O2000" t="s">
        <v>37</v>
      </c>
      <c r="P2000" t="s">
        <v>60</v>
      </c>
      <c r="Q2000" t="s">
        <v>900</v>
      </c>
      <c r="R2000" t="s">
        <v>946</v>
      </c>
      <c r="S2000" t="s">
        <v>1647</v>
      </c>
      <c r="T2000">
        <v>33.683332999999998</v>
      </c>
      <c r="U2000">
        <v>135.35</v>
      </c>
      <c r="V2000" t="s">
        <v>905</v>
      </c>
      <c r="W2000" s="25" t="s">
        <v>38</v>
      </c>
      <c r="X2000">
        <v>2</v>
      </c>
      <c r="Y2000" t="s">
        <v>39</v>
      </c>
      <c r="Z2000">
        <v>10</v>
      </c>
      <c r="AA2000">
        <v>10</v>
      </c>
      <c r="AC2000">
        <v>375</v>
      </c>
      <c r="AE2000">
        <v>2000</v>
      </c>
      <c r="AG2000">
        <v>2109</v>
      </c>
      <c r="AH2000">
        <v>3.301029996</v>
      </c>
      <c r="AI2000">
        <v>24</v>
      </c>
      <c r="AJ2000" t="s">
        <v>492</v>
      </c>
      <c r="AK2000" t="s">
        <v>40</v>
      </c>
      <c r="AL2000" s="25" t="s">
        <v>236</v>
      </c>
      <c r="AM2000" t="s">
        <v>61</v>
      </c>
      <c r="AN2000">
        <v>300</v>
      </c>
      <c r="AO2000">
        <v>50.512312829999999</v>
      </c>
      <c r="AP2000">
        <v>280</v>
      </c>
      <c r="AQ2000">
        <v>63.569075990000002</v>
      </c>
      <c r="AR2000" t="s">
        <v>41</v>
      </c>
      <c r="AS2000">
        <f t="shared" ref="AS2000:AS2020" si="225">LN(AP2000)-LN(AN2000)</f>
        <v>-6.8992871486951657E-2</v>
      </c>
      <c r="AT2000">
        <f t="shared" ref="AT2000:AT2020" si="226">(AQ2000^2)/(AA2000*AP2000^2) + (AO2000^2)/(Z2000*AN2000^2)</f>
        <v>7.9893647647247858E-3</v>
      </c>
      <c r="AW2000" s="28">
        <f t="shared" si="220"/>
        <v>-0.34835273687210228</v>
      </c>
      <c r="AX2000">
        <f t="shared" si="221"/>
        <v>0.95774647887323949</v>
      </c>
      <c r="AY2000" s="62">
        <f t="shared" si="222"/>
        <v>-0.33363360714511203</v>
      </c>
      <c r="AZ2000" s="68" t="str">
        <f t="shared" si="223"/>
        <v>No</v>
      </c>
      <c r="BA2000" s="68" t="str">
        <f t="shared" si="224"/>
        <v>No</v>
      </c>
    </row>
    <row r="2001" spans="1:53" hidden="1">
      <c r="A2001" t="s">
        <v>908</v>
      </c>
      <c r="B2001" t="s">
        <v>493</v>
      </c>
      <c r="C2001" t="s">
        <v>474</v>
      </c>
      <c r="D2001" s="25">
        <v>13</v>
      </c>
      <c r="E2001" s="25">
        <v>573</v>
      </c>
      <c r="F2001" t="s">
        <v>1241</v>
      </c>
      <c r="G2001" t="s">
        <v>475</v>
      </c>
      <c r="I2001">
        <v>2004</v>
      </c>
      <c r="J2001" t="s">
        <v>476</v>
      </c>
      <c r="K2001" t="s">
        <v>162</v>
      </c>
      <c r="L2001" t="s">
        <v>477</v>
      </c>
      <c r="M2001" s="25" t="s">
        <v>35</v>
      </c>
      <c r="N2001" t="s">
        <v>36</v>
      </c>
      <c r="O2001" t="s">
        <v>37</v>
      </c>
      <c r="P2001" t="s">
        <v>60</v>
      </c>
      <c r="Q2001" t="s">
        <v>900</v>
      </c>
      <c r="R2001" t="s">
        <v>946</v>
      </c>
      <c r="S2001" t="s">
        <v>1648</v>
      </c>
      <c r="T2001">
        <v>33.683332999999998</v>
      </c>
      <c r="U2001">
        <v>135.35</v>
      </c>
      <c r="V2001" t="s">
        <v>905</v>
      </c>
      <c r="W2001" s="25" t="s">
        <v>38</v>
      </c>
      <c r="X2001">
        <v>0.01</v>
      </c>
      <c r="Y2001" t="s">
        <v>39</v>
      </c>
      <c r="Z2001">
        <v>6</v>
      </c>
      <c r="AA2001">
        <v>6</v>
      </c>
      <c r="AC2001">
        <v>375</v>
      </c>
      <c r="AE2001">
        <v>500</v>
      </c>
      <c r="AG2001">
        <v>2110</v>
      </c>
      <c r="AH2001">
        <v>2.698970004</v>
      </c>
      <c r="AI2001">
        <v>24</v>
      </c>
      <c r="AJ2001" t="s">
        <v>494</v>
      </c>
      <c r="AK2001" t="s">
        <v>59</v>
      </c>
      <c r="AL2001" s="25" t="s">
        <v>236</v>
      </c>
      <c r="AM2001" t="s">
        <v>61</v>
      </c>
      <c r="AN2001">
        <v>100.7564297</v>
      </c>
      <c r="AO2001">
        <v>3.6308623299999998</v>
      </c>
      <c r="AP2001">
        <v>99.69742814</v>
      </c>
      <c r="AQ2001">
        <v>20.822177180000001</v>
      </c>
      <c r="AR2001" t="s">
        <v>45</v>
      </c>
      <c r="AS2001">
        <f t="shared" si="225"/>
        <v>-1.0566136505663515E-2</v>
      </c>
      <c r="AT2001">
        <f t="shared" si="226"/>
        <v>7.4864109512925731E-3</v>
      </c>
      <c r="AW2001" s="28">
        <f t="shared" si="220"/>
        <v>-7.0856737599796993E-2</v>
      </c>
      <c r="AX2001">
        <f t="shared" si="221"/>
        <v>0.92307692307692313</v>
      </c>
      <c r="AY2001" s="62">
        <f t="shared" si="222"/>
        <v>-6.5406219322889536E-2</v>
      </c>
      <c r="AZ2001" s="68" t="str">
        <f t="shared" si="223"/>
        <v>No</v>
      </c>
      <c r="BA2001" s="68" t="str">
        <f t="shared" si="224"/>
        <v>No</v>
      </c>
    </row>
    <row r="2002" spans="1:53" hidden="1">
      <c r="A2002" t="s">
        <v>908</v>
      </c>
      <c r="B2002" t="s">
        <v>495</v>
      </c>
      <c r="C2002" t="s">
        <v>474</v>
      </c>
      <c r="D2002" s="25">
        <v>13</v>
      </c>
      <c r="E2002" s="25">
        <v>472</v>
      </c>
      <c r="F2002" t="s">
        <v>1241</v>
      </c>
      <c r="G2002" t="s">
        <v>475</v>
      </c>
      <c r="I2002">
        <v>2004</v>
      </c>
      <c r="J2002" t="s">
        <v>476</v>
      </c>
      <c r="K2002" t="s">
        <v>162</v>
      </c>
      <c r="L2002" t="s">
        <v>477</v>
      </c>
      <c r="M2002" s="25" t="s">
        <v>35</v>
      </c>
      <c r="N2002" t="s">
        <v>36</v>
      </c>
      <c r="O2002" t="s">
        <v>37</v>
      </c>
      <c r="P2002" t="s">
        <v>60</v>
      </c>
      <c r="Q2002" t="s">
        <v>900</v>
      </c>
      <c r="R2002" t="s">
        <v>946</v>
      </c>
      <c r="S2002" t="s">
        <v>1648</v>
      </c>
      <c r="T2002">
        <v>33.683332999999998</v>
      </c>
      <c r="U2002">
        <v>135.35</v>
      </c>
      <c r="V2002" t="s">
        <v>905</v>
      </c>
      <c r="W2002" s="25" t="s">
        <v>38</v>
      </c>
      <c r="X2002">
        <v>0.01</v>
      </c>
      <c r="Y2002" t="s">
        <v>39</v>
      </c>
      <c r="Z2002">
        <v>6</v>
      </c>
      <c r="AA2002">
        <v>6</v>
      </c>
      <c r="AC2002">
        <v>375</v>
      </c>
      <c r="AE2002">
        <v>1000</v>
      </c>
      <c r="AG2002">
        <v>2110</v>
      </c>
      <c r="AH2002">
        <v>3</v>
      </c>
      <c r="AI2002">
        <v>24</v>
      </c>
      <c r="AJ2002" t="s">
        <v>494</v>
      </c>
      <c r="AK2002" t="s">
        <v>59</v>
      </c>
      <c r="AL2002" s="25" t="s">
        <v>236</v>
      </c>
      <c r="AM2002" t="s">
        <v>61</v>
      </c>
      <c r="AN2002">
        <v>100.7564297</v>
      </c>
      <c r="AO2002">
        <v>3.6308623299999998</v>
      </c>
      <c r="AP2002">
        <v>96.21785174</v>
      </c>
      <c r="AQ2002">
        <v>6.6565809380000003</v>
      </c>
      <c r="AR2002" t="s">
        <v>45</v>
      </c>
      <c r="AS2002">
        <f t="shared" si="225"/>
        <v>-4.6091107674041787E-2</v>
      </c>
      <c r="AT2002">
        <f t="shared" si="226"/>
        <v>1.0141331615871616E-3</v>
      </c>
      <c r="AW2002" s="28">
        <f t="shared" si="220"/>
        <v>-0.84649898086663655</v>
      </c>
      <c r="AX2002">
        <f t="shared" si="221"/>
        <v>0.92307692307692313</v>
      </c>
      <c r="AY2002" s="62">
        <f t="shared" si="222"/>
        <v>-0.78138367464612613</v>
      </c>
      <c r="AZ2002" s="68" t="str">
        <f t="shared" si="223"/>
        <v>No</v>
      </c>
      <c r="BA2002" s="68" t="str">
        <f t="shared" si="224"/>
        <v>No</v>
      </c>
    </row>
    <row r="2003" spans="1:53" hidden="1">
      <c r="A2003" t="s">
        <v>908</v>
      </c>
      <c r="B2003" t="s">
        <v>496</v>
      </c>
      <c r="C2003" t="s">
        <v>474</v>
      </c>
      <c r="D2003" s="25">
        <v>13</v>
      </c>
      <c r="E2003" s="25">
        <v>331</v>
      </c>
      <c r="F2003" t="s">
        <v>1241</v>
      </c>
      <c r="G2003" t="s">
        <v>475</v>
      </c>
      <c r="I2003">
        <v>2004</v>
      </c>
      <c r="J2003" t="s">
        <v>476</v>
      </c>
      <c r="K2003" t="s">
        <v>162</v>
      </c>
      <c r="L2003" t="s">
        <v>477</v>
      </c>
      <c r="M2003" s="25" t="s">
        <v>35</v>
      </c>
      <c r="N2003" t="s">
        <v>36</v>
      </c>
      <c r="O2003" t="s">
        <v>37</v>
      </c>
      <c r="P2003" t="s">
        <v>60</v>
      </c>
      <c r="Q2003" t="s">
        <v>900</v>
      </c>
      <c r="R2003" t="s">
        <v>946</v>
      </c>
      <c r="S2003" t="s">
        <v>1648</v>
      </c>
      <c r="T2003">
        <v>33.683332999999998</v>
      </c>
      <c r="U2003">
        <v>135.35</v>
      </c>
      <c r="V2003" t="s">
        <v>905</v>
      </c>
      <c r="W2003" s="25" t="s">
        <v>38</v>
      </c>
      <c r="X2003">
        <v>0.01</v>
      </c>
      <c r="Y2003" t="s">
        <v>39</v>
      </c>
      <c r="Z2003">
        <v>6</v>
      </c>
      <c r="AA2003">
        <v>6</v>
      </c>
      <c r="AC2003">
        <v>375</v>
      </c>
      <c r="AE2003">
        <v>2000</v>
      </c>
      <c r="AG2003">
        <v>2110</v>
      </c>
      <c r="AH2003">
        <v>3.301029996</v>
      </c>
      <c r="AI2003">
        <v>24</v>
      </c>
      <c r="AJ2003" t="s">
        <v>494</v>
      </c>
      <c r="AK2003" t="s">
        <v>59</v>
      </c>
      <c r="AL2003" s="25" t="s">
        <v>236</v>
      </c>
      <c r="AM2003" t="s">
        <v>61</v>
      </c>
      <c r="AN2003">
        <v>100.7564297</v>
      </c>
      <c r="AO2003">
        <v>3.6308623299999998</v>
      </c>
      <c r="AP2003">
        <v>87.74583964</v>
      </c>
      <c r="AQ2003">
        <v>20.726172470000002</v>
      </c>
      <c r="AR2003" t="s">
        <v>45</v>
      </c>
      <c r="AS2003">
        <f t="shared" si="225"/>
        <v>-0.13826156744072726</v>
      </c>
      <c r="AT2003">
        <f t="shared" si="226"/>
        <v>9.5153823147524005E-3</v>
      </c>
      <c r="AW2003" s="28">
        <f t="shared" si="220"/>
        <v>-0.87443812322314585</v>
      </c>
      <c r="AX2003">
        <f t="shared" si="221"/>
        <v>0.92307692307692313</v>
      </c>
      <c r="AY2003" s="62">
        <f t="shared" si="222"/>
        <v>-0.80717365220598081</v>
      </c>
      <c r="AZ2003" s="68" t="str">
        <f t="shared" si="223"/>
        <v>No</v>
      </c>
      <c r="BA2003" s="68" t="str">
        <f t="shared" si="224"/>
        <v>No</v>
      </c>
    </row>
    <row r="2004" spans="1:53" hidden="1">
      <c r="A2004" t="s">
        <v>908</v>
      </c>
      <c r="B2004" t="s">
        <v>497</v>
      </c>
      <c r="C2004" t="s">
        <v>474</v>
      </c>
      <c r="D2004" s="25">
        <v>13</v>
      </c>
      <c r="E2004" s="25">
        <v>283</v>
      </c>
      <c r="F2004" t="s">
        <v>1241</v>
      </c>
      <c r="G2004" t="s">
        <v>475</v>
      </c>
      <c r="I2004">
        <v>2004</v>
      </c>
      <c r="J2004" t="s">
        <v>476</v>
      </c>
      <c r="K2004" t="s">
        <v>162</v>
      </c>
      <c r="L2004" t="s">
        <v>477</v>
      </c>
      <c r="M2004" s="25" t="s">
        <v>35</v>
      </c>
      <c r="N2004" t="s">
        <v>36</v>
      </c>
      <c r="O2004" t="s">
        <v>37</v>
      </c>
      <c r="P2004" t="s">
        <v>60</v>
      </c>
      <c r="Q2004" t="s">
        <v>900</v>
      </c>
      <c r="R2004" t="s">
        <v>946</v>
      </c>
      <c r="S2004" t="s">
        <v>1648</v>
      </c>
      <c r="T2004">
        <v>33.683332999999998</v>
      </c>
      <c r="U2004">
        <v>135.35</v>
      </c>
      <c r="V2004" t="s">
        <v>905</v>
      </c>
      <c r="W2004" s="25" t="s">
        <v>38</v>
      </c>
      <c r="X2004">
        <v>0.01</v>
      </c>
      <c r="Y2004" t="s">
        <v>39</v>
      </c>
      <c r="Z2004">
        <v>6</v>
      </c>
      <c r="AA2004">
        <v>6</v>
      </c>
      <c r="AC2004">
        <v>375</v>
      </c>
      <c r="AE2004">
        <v>5000</v>
      </c>
      <c r="AG2004">
        <v>2110</v>
      </c>
      <c r="AH2004">
        <v>3.698970004</v>
      </c>
      <c r="AI2004">
        <v>24</v>
      </c>
      <c r="AJ2004" t="s">
        <v>494</v>
      </c>
      <c r="AK2004" t="s">
        <v>59</v>
      </c>
      <c r="AL2004" s="25" t="s">
        <v>236</v>
      </c>
      <c r="AM2004" t="s">
        <v>61</v>
      </c>
      <c r="AN2004">
        <v>100.7564297</v>
      </c>
      <c r="AO2004">
        <v>3.6308623299999998</v>
      </c>
      <c r="AP2004">
        <v>69.591527990000003</v>
      </c>
      <c r="AQ2004">
        <v>37.216338880000002</v>
      </c>
      <c r="AR2004" t="s">
        <v>45</v>
      </c>
      <c r="AS2004">
        <f t="shared" si="225"/>
        <v>-0.37006318150300643</v>
      </c>
      <c r="AT2004">
        <f t="shared" si="226"/>
        <v>4.788183907178295E-2</v>
      </c>
      <c r="AW2004" s="28">
        <f t="shared" si="220"/>
        <v>-1.1786640766683596</v>
      </c>
      <c r="AX2004">
        <f t="shared" si="221"/>
        <v>0.92307692307692313</v>
      </c>
      <c r="AY2004" s="62">
        <f t="shared" si="222"/>
        <v>-1.087997609232332</v>
      </c>
      <c r="AZ2004" s="68" t="str">
        <f t="shared" si="223"/>
        <v>No</v>
      </c>
      <c r="BA2004" s="68" t="str">
        <f t="shared" si="224"/>
        <v>No</v>
      </c>
    </row>
    <row r="2005" spans="1:53" hidden="1">
      <c r="A2005" t="s">
        <v>908</v>
      </c>
      <c r="B2005" t="s">
        <v>498</v>
      </c>
      <c r="C2005" t="s">
        <v>474</v>
      </c>
      <c r="D2005" s="25">
        <v>13</v>
      </c>
      <c r="E2005" s="25">
        <v>247</v>
      </c>
      <c r="F2005" t="s">
        <v>1241</v>
      </c>
      <c r="G2005" t="s">
        <v>475</v>
      </c>
      <c r="I2005">
        <v>2004</v>
      </c>
      <c r="J2005" t="s">
        <v>476</v>
      </c>
      <c r="K2005" t="s">
        <v>162</v>
      </c>
      <c r="L2005" t="s">
        <v>477</v>
      </c>
      <c r="M2005" s="25" t="s">
        <v>35</v>
      </c>
      <c r="N2005" t="s">
        <v>36</v>
      </c>
      <c r="O2005" t="s">
        <v>37</v>
      </c>
      <c r="P2005" t="s">
        <v>60</v>
      </c>
      <c r="Q2005" t="s">
        <v>900</v>
      </c>
      <c r="R2005" t="s">
        <v>946</v>
      </c>
      <c r="S2005" t="s">
        <v>1648</v>
      </c>
      <c r="T2005">
        <v>33.683332999999998</v>
      </c>
      <c r="U2005">
        <v>135.35</v>
      </c>
      <c r="V2005" t="s">
        <v>905</v>
      </c>
      <c r="W2005" s="25" t="s">
        <v>38</v>
      </c>
      <c r="X2005">
        <v>0.01</v>
      </c>
      <c r="Y2005" t="s">
        <v>39</v>
      </c>
      <c r="Z2005">
        <v>6</v>
      </c>
      <c r="AA2005">
        <v>6</v>
      </c>
      <c r="AC2005">
        <v>375</v>
      </c>
      <c r="AE2005">
        <v>10000</v>
      </c>
      <c r="AG2005">
        <v>2110</v>
      </c>
      <c r="AH2005">
        <v>4</v>
      </c>
      <c r="AI2005">
        <v>24</v>
      </c>
      <c r="AJ2005" t="s">
        <v>494</v>
      </c>
      <c r="AK2005" t="s">
        <v>59</v>
      </c>
      <c r="AL2005" s="25" t="s">
        <v>236</v>
      </c>
      <c r="AM2005" t="s">
        <v>61</v>
      </c>
      <c r="AN2005">
        <v>100.7564297</v>
      </c>
      <c r="AO2005">
        <v>3.6308623299999998</v>
      </c>
      <c r="AP2005">
        <v>44.02420575</v>
      </c>
      <c r="AQ2005">
        <v>43.419062029999999</v>
      </c>
      <c r="AR2005" t="s">
        <v>45</v>
      </c>
      <c r="AS2005">
        <f t="shared" si="225"/>
        <v>-0.82796640381909947</v>
      </c>
      <c r="AT2005">
        <f t="shared" si="226"/>
        <v>0.1623326885704327</v>
      </c>
      <c r="AW2005" s="28">
        <f t="shared" si="220"/>
        <v>-1.841412810438281</v>
      </c>
      <c r="AX2005">
        <f t="shared" si="221"/>
        <v>0.92307692307692313</v>
      </c>
      <c r="AY2005" s="62">
        <f t="shared" si="222"/>
        <v>-1.6997656711737978</v>
      </c>
      <c r="AZ2005" s="68" t="str">
        <f t="shared" si="223"/>
        <v>No</v>
      </c>
      <c r="BA2005" s="68" t="str">
        <f t="shared" si="224"/>
        <v>No</v>
      </c>
    </row>
    <row r="2006" spans="1:53" hidden="1">
      <c r="A2006" t="s">
        <v>908</v>
      </c>
      <c r="B2006" t="s">
        <v>499</v>
      </c>
      <c r="C2006" t="s">
        <v>474</v>
      </c>
      <c r="D2006" s="25">
        <v>13</v>
      </c>
      <c r="E2006" s="25">
        <v>574</v>
      </c>
      <c r="F2006" t="s">
        <v>1241</v>
      </c>
      <c r="G2006" t="s">
        <v>475</v>
      </c>
      <c r="I2006">
        <v>2005</v>
      </c>
      <c r="J2006" t="s">
        <v>476</v>
      </c>
      <c r="K2006" t="s">
        <v>162</v>
      </c>
      <c r="L2006" t="s">
        <v>477</v>
      </c>
      <c r="M2006" s="25" t="s">
        <v>35</v>
      </c>
      <c r="N2006" t="s">
        <v>36</v>
      </c>
      <c r="O2006" t="s">
        <v>37</v>
      </c>
      <c r="P2006" t="s">
        <v>60</v>
      </c>
      <c r="Q2006" t="s">
        <v>900</v>
      </c>
      <c r="R2006" t="s">
        <v>946</v>
      </c>
      <c r="S2006" t="s">
        <v>1647</v>
      </c>
      <c r="T2006">
        <v>33.683332999999998</v>
      </c>
      <c r="U2006">
        <v>135.35</v>
      </c>
      <c r="V2006" t="s">
        <v>905</v>
      </c>
      <c r="W2006" s="25" t="s">
        <v>38</v>
      </c>
      <c r="X2006">
        <v>0.01</v>
      </c>
      <c r="Y2006" t="s">
        <v>39</v>
      </c>
      <c r="Z2006">
        <v>3</v>
      </c>
      <c r="AA2006">
        <v>3</v>
      </c>
      <c r="AC2006">
        <v>375</v>
      </c>
      <c r="AE2006">
        <v>500</v>
      </c>
      <c r="AG2006">
        <v>2111</v>
      </c>
      <c r="AH2006">
        <v>2.698970004</v>
      </c>
      <c r="AI2006">
        <v>24</v>
      </c>
      <c r="AJ2006" t="s">
        <v>500</v>
      </c>
      <c r="AK2006" t="s">
        <v>59</v>
      </c>
      <c r="AL2006" s="25" t="s">
        <v>236</v>
      </c>
      <c r="AM2006" t="s">
        <v>61</v>
      </c>
      <c r="AN2006">
        <v>99.092284419999999</v>
      </c>
      <c r="AO2006">
        <v>2.4205748869999999</v>
      </c>
      <c r="AP2006">
        <v>98.638426629999998</v>
      </c>
      <c r="AQ2006">
        <v>20.601000800000001</v>
      </c>
      <c r="AR2006" t="s">
        <v>45</v>
      </c>
      <c r="AS2006">
        <f t="shared" si="225"/>
        <v>-4.5906736960619199E-3</v>
      </c>
      <c r="AT2006">
        <f t="shared" si="226"/>
        <v>1.4738857224918083E-2</v>
      </c>
      <c r="AW2006" s="28">
        <f t="shared" si="220"/>
        <v>-3.0943475789566643E-2</v>
      </c>
      <c r="AX2006">
        <f t="shared" si="221"/>
        <v>0.8</v>
      </c>
      <c r="AY2006" s="62">
        <f t="shared" si="222"/>
        <v>-2.4754780631653317E-2</v>
      </c>
      <c r="AZ2006" s="68" t="str">
        <f t="shared" si="223"/>
        <v>No</v>
      </c>
      <c r="BA2006" s="68" t="str">
        <f t="shared" si="224"/>
        <v>No</v>
      </c>
    </row>
    <row r="2007" spans="1:53" hidden="1">
      <c r="A2007" t="s">
        <v>908</v>
      </c>
      <c r="B2007" t="s">
        <v>501</v>
      </c>
      <c r="C2007" t="s">
        <v>474</v>
      </c>
      <c r="D2007" s="25">
        <v>13</v>
      </c>
      <c r="E2007" s="25">
        <v>475</v>
      </c>
      <c r="F2007" t="s">
        <v>1241</v>
      </c>
      <c r="G2007" t="s">
        <v>475</v>
      </c>
      <c r="I2007">
        <v>2005</v>
      </c>
      <c r="J2007" t="s">
        <v>476</v>
      </c>
      <c r="K2007" t="s">
        <v>162</v>
      </c>
      <c r="L2007" t="s">
        <v>477</v>
      </c>
      <c r="M2007" s="25" t="s">
        <v>35</v>
      </c>
      <c r="N2007" t="s">
        <v>36</v>
      </c>
      <c r="O2007" t="s">
        <v>37</v>
      </c>
      <c r="P2007" t="s">
        <v>60</v>
      </c>
      <c r="Q2007" t="s">
        <v>900</v>
      </c>
      <c r="R2007" t="s">
        <v>946</v>
      </c>
      <c r="S2007" t="s">
        <v>1647</v>
      </c>
      <c r="T2007">
        <v>33.683332999999998</v>
      </c>
      <c r="U2007">
        <v>135.35</v>
      </c>
      <c r="V2007" t="s">
        <v>905</v>
      </c>
      <c r="W2007" s="25" t="s">
        <v>38</v>
      </c>
      <c r="X2007">
        <v>0.01</v>
      </c>
      <c r="Y2007" t="s">
        <v>39</v>
      </c>
      <c r="Z2007">
        <v>3</v>
      </c>
      <c r="AA2007">
        <v>3</v>
      </c>
      <c r="AC2007">
        <v>375</v>
      </c>
      <c r="AE2007">
        <v>1000</v>
      </c>
      <c r="AG2007">
        <v>2111</v>
      </c>
      <c r="AH2007">
        <v>3</v>
      </c>
      <c r="AI2007">
        <v>24</v>
      </c>
      <c r="AJ2007" t="s">
        <v>500</v>
      </c>
      <c r="AK2007" t="s">
        <v>59</v>
      </c>
      <c r="AL2007" s="25" t="s">
        <v>236</v>
      </c>
      <c r="AM2007" t="s">
        <v>61</v>
      </c>
      <c r="AN2007">
        <v>99.092284419999999</v>
      </c>
      <c r="AO2007">
        <v>2.4205748869999999</v>
      </c>
      <c r="AP2007">
        <v>95.612708019999999</v>
      </c>
      <c r="AQ2007">
        <v>7.8668683809999997</v>
      </c>
      <c r="AR2007" t="s">
        <v>45</v>
      </c>
      <c r="AS2007">
        <f t="shared" si="225"/>
        <v>-3.5745841493823427E-2</v>
      </c>
      <c r="AT2007">
        <f t="shared" si="226"/>
        <v>2.4554834203925017E-3</v>
      </c>
      <c r="AW2007" s="28">
        <f t="shared" si="220"/>
        <v>-0.59785653175729503</v>
      </c>
      <c r="AX2007">
        <f t="shared" si="221"/>
        <v>0.8</v>
      </c>
      <c r="AY2007" s="62">
        <f t="shared" si="222"/>
        <v>-0.47828522540583607</v>
      </c>
      <c r="AZ2007" s="68" t="str">
        <f t="shared" si="223"/>
        <v>No</v>
      </c>
      <c r="BA2007" s="68" t="str">
        <f t="shared" si="224"/>
        <v>No</v>
      </c>
    </row>
    <row r="2008" spans="1:53" hidden="1">
      <c r="A2008" t="s">
        <v>908</v>
      </c>
      <c r="B2008" t="s">
        <v>502</v>
      </c>
      <c r="C2008" t="s">
        <v>474</v>
      </c>
      <c r="D2008" s="25">
        <v>13</v>
      </c>
      <c r="E2008" s="25">
        <v>305</v>
      </c>
      <c r="F2008" t="s">
        <v>1241</v>
      </c>
      <c r="G2008" t="s">
        <v>475</v>
      </c>
      <c r="I2008">
        <v>2005</v>
      </c>
      <c r="J2008" t="s">
        <v>476</v>
      </c>
      <c r="K2008" t="s">
        <v>162</v>
      </c>
      <c r="L2008" t="s">
        <v>477</v>
      </c>
      <c r="M2008" s="25" t="s">
        <v>35</v>
      </c>
      <c r="N2008" t="s">
        <v>36</v>
      </c>
      <c r="O2008" t="s">
        <v>37</v>
      </c>
      <c r="P2008" t="s">
        <v>60</v>
      </c>
      <c r="Q2008" t="s">
        <v>900</v>
      </c>
      <c r="R2008" t="s">
        <v>946</v>
      </c>
      <c r="S2008" t="s">
        <v>1647</v>
      </c>
      <c r="T2008">
        <v>33.683332999999998</v>
      </c>
      <c r="U2008">
        <v>135.35</v>
      </c>
      <c r="V2008" t="s">
        <v>905</v>
      </c>
      <c r="W2008" s="25" t="s">
        <v>38</v>
      </c>
      <c r="X2008">
        <v>0.01</v>
      </c>
      <c r="Y2008" t="s">
        <v>39</v>
      </c>
      <c r="Z2008">
        <v>3</v>
      </c>
      <c r="AA2008">
        <v>3</v>
      </c>
      <c r="AC2008">
        <v>375</v>
      </c>
      <c r="AE2008">
        <v>2000</v>
      </c>
      <c r="AG2008">
        <v>2111</v>
      </c>
      <c r="AH2008">
        <v>3.301029996</v>
      </c>
      <c r="AI2008">
        <v>24</v>
      </c>
      <c r="AJ2008" t="s">
        <v>500</v>
      </c>
      <c r="AK2008" t="s">
        <v>59</v>
      </c>
      <c r="AL2008" s="25" t="s">
        <v>236</v>
      </c>
      <c r="AM2008" t="s">
        <v>61</v>
      </c>
      <c r="AN2008">
        <v>99.092284419999999</v>
      </c>
      <c r="AO2008">
        <v>2.4205748869999999</v>
      </c>
      <c r="AP2008">
        <v>74.432677760000004</v>
      </c>
      <c r="AQ2008">
        <v>22.844175490000001</v>
      </c>
      <c r="AR2008" t="s">
        <v>45</v>
      </c>
      <c r="AS2008">
        <f t="shared" si="225"/>
        <v>-0.2861565191806843</v>
      </c>
      <c r="AT2008">
        <f t="shared" si="226"/>
        <v>3.1596933080494605E-2</v>
      </c>
      <c r="AW2008" s="28">
        <f t="shared" si="220"/>
        <v>-1.5181028743142213</v>
      </c>
      <c r="AX2008">
        <f t="shared" si="221"/>
        <v>0.8</v>
      </c>
      <c r="AY2008" s="62">
        <f t="shared" si="222"/>
        <v>-1.2144822994513771</v>
      </c>
      <c r="AZ2008" s="68" t="str">
        <f t="shared" si="223"/>
        <v>No</v>
      </c>
      <c r="BA2008" s="68" t="str">
        <f t="shared" si="224"/>
        <v>No</v>
      </c>
    </row>
    <row r="2009" spans="1:53" hidden="1">
      <c r="A2009" t="s">
        <v>908</v>
      </c>
      <c r="B2009" t="s">
        <v>503</v>
      </c>
      <c r="C2009" t="s">
        <v>474</v>
      </c>
      <c r="D2009" s="25">
        <v>13</v>
      </c>
      <c r="E2009" s="25">
        <v>243</v>
      </c>
      <c r="F2009" t="s">
        <v>1241</v>
      </c>
      <c r="G2009" t="s">
        <v>475</v>
      </c>
      <c r="I2009">
        <v>2005</v>
      </c>
      <c r="J2009" t="s">
        <v>476</v>
      </c>
      <c r="K2009" t="s">
        <v>162</v>
      </c>
      <c r="L2009" t="s">
        <v>477</v>
      </c>
      <c r="M2009" s="25" t="s">
        <v>35</v>
      </c>
      <c r="N2009" t="s">
        <v>36</v>
      </c>
      <c r="O2009" t="s">
        <v>37</v>
      </c>
      <c r="P2009" t="s">
        <v>60</v>
      </c>
      <c r="Q2009" t="s">
        <v>900</v>
      </c>
      <c r="R2009" t="s">
        <v>946</v>
      </c>
      <c r="S2009" t="s">
        <v>1647</v>
      </c>
      <c r="T2009">
        <v>33.683332999999998</v>
      </c>
      <c r="U2009">
        <v>135.35</v>
      </c>
      <c r="V2009" t="s">
        <v>905</v>
      </c>
      <c r="W2009" s="25" t="s">
        <v>38</v>
      </c>
      <c r="X2009">
        <v>0.01</v>
      </c>
      <c r="Y2009" t="s">
        <v>39</v>
      </c>
      <c r="Z2009">
        <v>3</v>
      </c>
      <c r="AA2009">
        <v>3</v>
      </c>
      <c r="AC2009">
        <v>375</v>
      </c>
      <c r="AE2009">
        <v>5000</v>
      </c>
      <c r="AG2009">
        <v>2111</v>
      </c>
      <c r="AH2009">
        <v>3.698970004</v>
      </c>
      <c r="AI2009">
        <v>24</v>
      </c>
      <c r="AJ2009" t="s">
        <v>500</v>
      </c>
      <c r="AK2009" t="s">
        <v>59</v>
      </c>
      <c r="AL2009" s="25" t="s">
        <v>236</v>
      </c>
      <c r="AM2009" t="s">
        <v>61</v>
      </c>
      <c r="AN2009">
        <v>99.092284419999999</v>
      </c>
      <c r="AO2009">
        <v>2.4205748869999999</v>
      </c>
      <c r="AP2009">
        <v>41.452344930000002</v>
      </c>
      <c r="AQ2009">
        <v>30.559757940000001</v>
      </c>
      <c r="AR2009" t="s">
        <v>45</v>
      </c>
      <c r="AS2009">
        <f t="shared" si="225"/>
        <v>-0.87150712931826479</v>
      </c>
      <c r="AT2009">
        <f t="shared" si="226"/>
        <v>0.18136642861110733</v>
      </c>
      <c r="AW2009" s="28">
        <f t="shared" si="220"/>
        <v>-2.6590744743565509</v>
      </c>
      <c r="AX2009">
        <f t="shared" si="221"/>
        <v>0.8</v>
      </c>
      <c r="AY2009" s="62">
        <f t="shared" si="222"/>
        <v>-2.1272595794852407</v>
      </c>
      <c r="AZ2009" s="68" t="str">
        <f t="shared" si="223"/>
        <v>No</v>
      </c>
      <c r="BA2009" s="68" t="str">
        <f t="shared" si="224"/>
        <v>No</v>
      </c>
    </row>
    <row r="2010" spans="1:53" hidden="1">
      <c r="A2010" t="s">
        <v>908</v>
      </c>
      <c r="B2010" t="s">
        <v>504</v>
      </c>
      <c r="C2010" t="s">
        <v>474</v>
      </c>
      <c r="D2010" s="25">
        <v>13</v>
      </c>
      <c r="E2010" s="25">
        <v>93</v>
      </c>
      <c r="F2010" t="s">
        <v>1241</v>
      </c>
      <c r="G2010" t="s">
        <v>475</v>
      </c>
      <c r="I2010">
        <v>2005</v>
      </c>
      <c r="J2010" t="s">
        <v>476</v>
      </c>
      <c r="K2010" t="s">
        <v>162</v>
      </c>
      <c r="L2010" t="s">
        <v>477</v>
      </c>
      <c r="M2010" s="25" t="s">
        <v>35</v>
      </c>
      <c r="N2010" t="s">
        <v>36</v>
      </c>
      <c r="O2010" t="s">
        <v>37</v>
      </c>
      <c r="P2010" t="s">
        <v>60</v>
      </c>
      <c r="Q2010" t="s">
        <v>900</v>
      </c>
      <c r="R2010" t="s">
        <v>946</v>
      </c>
      <c r="S2010" t="s">
        <v>1647</v>
      </c>
      <c r="T2010">
        <v>33.683332999999998</v>
      </c>
      <c r="U2010">
        <v>135.35</v>
      </c>
      <c r="V2010" t="s">
        <v>905</v>
      </c>
      <c r="W2010" s="25" t="s">
        <v>38</v>
      </c>
      <c r="X2010">
        <v>0.01</v>
      </c>
      <c r="Y2010" t="s">
        <v>39</v>
      </c>
      <c r="Z2010">
        <v>3</v>
      </c>
      <c r="AA2010">
        <v>3</v>
      </c>
      <c r="AC2010">
        <v>375</v>
      </c>
      <c r="AE2010">
        <v>10000</v>
      </c>
      <c r="AG2010">
        <v>2111</v>
      </c>
      <c r="AH2010">
        <v>4</v>
      </c>
      <c r="AI2010">
        <v>24</v>
      </c>
      <c r="AJ2010" t="s">
        <v>500</v>
      </c>
      <c r="AK2010" t="s">
        <v>59</v>
      </c>
      <c r="AL2010" s="25" t="s">
        <v>236</v>
      </c>
      <c r="AM2010" t="s">
        <v>61</v>
      </c>
      <c r="AN2010">
        <v>99.092284419999999</v>
      </c>
      <c r="AO2010">
        <v>2.4205748869999999</v>
      </c>
      <c r="AP2010">
        <v>7.8668683809999997</v>
      </c>
      <c r="AQ2010">
        <v>11.649016639999999</v>
      </c>
      <c r="AR2010" t="s">
        <v>45</v>
      </c>
      <c r="AS2010">
        <f t="shared" si="225"/>
        <v>-2.5333915171091346</v>
      </c>
      <c r="AT2010">
        <f t="shared" si="226"/>
        <v>0.7310914054014489</v>
      </c>
      <c r="AW2010" s="28">
        <f t="shared" si="220"/>
        <v>-10.843324581875427</v>
      </c>
      <c r="AX2010">
        <f t="shared" si="221"/>
        <v>0.8</v>
      </c>
      <c r="AY2010" s="62">
        <f t="shared" si="222"/>
        <v>-8.6746596655003412</v>
      </c>
      <c r="AZ2010" s="68" t="str">
        <f t="shared" si="223"/>
        <v>No</v>
      </c>
      <c r="BA2010" s="68" t="str">
        <f t="shared" si="224"/>
        <v>No</v>
      </c>
    </row>
    <row r="2011" spans="1:53" hidden="1">
      <c r="A2011" t="s">
        <v>908</v>
      </c>
      <c r="B2011" t="s">
        <v>505</v>
      </c>
      <c r="C2011" t="s">
        <v>506</v>
      </c>
      <c r="D2011" s="25">
        <v>14</v>
      </c>
      <c r="E2011" s="25">
        <v>572</v>
      </c>
      <c r="F2011" t="s">
        <v>1241</v>
      </c>
      <c r="G2011" t="s">
        <v>507</v>
      </c>
      <c r="I2011">
        <v>2005</v>
      </c>
      <c r="J2011" t="s">
        <v>508</v>
      </c>
      <c r="K2011" t="s">
        <v>162</v>
      </c>
      <c r="L2011" t="s">
        <v>509</v>
      </c>
      <c r="M2011" s="25" t="s">
        <v>35</v>
      </c>
      <c r="N2011" t="s">
        <v>36</v>
      </c>
      <c r="O2011" t="s">
        <v>37</v>
      </c>
      <c r="P2011" t="s">
        <v>60</v>
      </c>
      <c r="Q2011" t="s">
        <v>900</v>
      </c>
      <c r="R2011" t="s">
        <v>946</v>
      </c>
      <c r="S2011" t="s">
        <v>1648</v>
      </c>
      <c r="T2011">
        <v>33.683332999999998</v>
      </c>
      <c r="U2011">
        <v>135.35</v>
      </c>
      <c r="V2011" t="s">
        <v>905</v>
      </c>
      <c r="W2011" s="25" t="s">
        <v>38</v>
      </c>
      <c r="X2011">
        <v>0.01</v>
      </c>
      <c r="Y2011" t="s">
        <v>39</v>
      </c>
      <c r="Z2011">
        <v>6</v>
      </c>
      <c r="AA2011">
        <v>6</v>
      </c>
      <c r="AC2011">
        <v>365</v>
      </c>
      <c r="AE2011">
        <v>865</v>
      </c>
      <c r="AG2011">
        <v>2174</v>
      </c>
      <c r="AH2011">
        <v>2.9370161069999998</v>
      </c>
      <c r="AI2011">
        <v>14</v>
      </c>
      <c r="AJ2011" t="s">
        <v>510</v>
      </c>
      <c r="AK2011" t="s">
        <v>59</v>
      </c>
      <c r="AL2011" s="25" t="s">
        <v>236</v>
      </c>
      <c r="AM2011" t="s">
        <v>61</v>
      </c>
      <c r="AN2011">
        <v>99.726027400000007</v>
      </c>
      <c r="AO2011">
        <v>10.410958900000001</v>
      </c>
      <c r="AP2011">
        <v>98.630136989999997</v>
      </c>
      <c r="AQ2011">
        <v>3.0136986299999999</v>
      </c>
      <c r="AR2011" t="s">
        <v>48</v>
      </c>
      <c r="AS2011">
        <f t="shared" si="225"/>
        <v>-1.1049836176557193E-2</v>
      </c>
      <c r="AT2011">
        <f t="shared" si="226"/>
        <v>1.9720140305124049E-3</v>
      </c>
      <c r="AW2011" s="28">
        <f t="shared" si="220"/>
        <v>-0.14299400100809739</v>
      </c>
      <c r="AX2011">
        <f t="shared" si="221"/>
        <v>0.92307692307692313</v>
      </c>
      <c r="AY2011" s="62">
        <f t="shared" si="222"/>
        <v>-0.13199446246901297</v>
      </c>
      <c r="AZ2011" s="68" t="str">
        <f t="shared" si="223"/>
        <v>No</v>
      </c>
      <c r="BA2011" s="68" t="str">
        <f t="shared" si="224"/>
        <v>No</v>
      </c>
    </row>
    <row r="2012" spans="1:53" hidden="1">
      <c r="A2012" t="s">
        <v>908</v>
      </c>
      <c r="B2012" t="s">
        <v>511</v>
      </c>
      <c r="C2012" t="s">
        <v>506</v>
      </c>
      <c r="D2012" s="25">
        <v>14</v>
      </c>
      <c r="E2012" s="25">
        <v>473</v>
      </c>
      <c r="F2012" t="s">
        <v>1241</v>
      </c>
      <c r="G2012" t="s">
        <v>507</v>
      </c>
      <c r="I2012">
        <v>2005</v>
      </c>
      <c r="J2012" t="s">
        <v>508</v>
      </c>
      <c r="K2012" t="s">
        <v>162</v>
      </c>
      <c r="L2012" t="s">
        <v>509</v>
      </c>
      <c r="M2012" s="25" t="s">
        <v>35</v>
      </c>
      <c r="N2012" t="s">
        <v>36</v>
      </c>
      <c r="O2012" t="s">
        <v>37</v>
      </c>
      <c r="P2012" t="s">
        <v>60</v>
      </c>
      <c r="Q2012" t="s">
        <v>900</v>
      </c>
      <c r="R2012" t="s">
        <v>946</v>
      </c>
      <c r="S2012" t="s">
        <v>1648</v>
      </c>
      <c r="T2012">
        <v>33.683332999999998</v>
      </c>
      <c r="U2012">
        <v>135.35</v>
      </c>
      <c r="V2012" t="s">
        <v>905</v>
      </c>
      <c r="W2012" s="25" t="s">
        <v>38</v>
      </c>
      <c r="X2012">
        <v>0.01</v>
      </c>
      <c r="Y2012" t="s">
        <v>39</v>
      </c>
      <c r="Z2012">
        <v>6</v>
      </c>
      <c r="AA2012">
        <v>6</v>
      </c>
      <c r="AC2012">
        <v>365</v>
      </c>
      <c r="AE2012">
        <v>1365</v>
      </c>
      <c r="AG2012">
        <v>2174</v>
      </c>
      <c r="AH2012">
        <v>3.1351326510000002</v>
      </c>
      <c r="AI2012">
        <v>14</v>
      </c>
      <c r="AJ2012" t="s">
        <v>510</v>
      </c>
      <c r="AK2012" t="s">
        <v>59</v>
      </c>
      <c r="AL2012" s="25" t="s">
        <v>236</v>
      </c>
      <c r="AM2012" t="s">
        <v>61</v>
      </c>
      <c r="AN2012">
        <v>99.726027400000007</v>
      </c>
      <c r="AO2012">
        <v>10.410958900000001</v>
      </c>
      <c r="AP2012">
        <v>95.616438360000004</v>
      </c>
      <c r="AQ2012">
        <v>6.5753424660000004</v>
      </c>
      <c r="AR2012" t="s">
        <v>48</v>
      </c>
      <c r="AS2012">
        <f t="shared" si="225"/>
        <v>-4.2081945421671207E-2</v>
      </c>
      <c r="AT2012">
        <f t="shared" si="226"/>
        <v>2.6045779035256079E-3</v>
      </c>
      <c r="AW2012" s="28">
        <f t="shared" si="220"/>
        <v>-0.47198758164793903</v>
      </c>
      <c r="AX2012">
        <f t="shared" si="221"/>
        <v>0.92307692307692313</v>
      </c>
      <c r="AY2012" s="62">
        <f t="shared" si="222"/>
        <v>-0.43568084459809758</v>
      </c>
      <c r="AZ2012" s="68" t="str">
        <f t="shared" si="223"/>
        <v>No</v>
      </c>
      <c r="BA2012" s="68" t="str">
        <f t="shared" si="224"/>
        <v>No</v>
      </c>
    </row>
    <row r="2013" spans="1:53" hidden="1">
      <c r="A2013" t="s">
        <v>908</v>
      </c>
      <c r="B2013" t="s">
        <v>512</v>
      </c>
      <c r="C2013" t="s">
        <v>506</v>
      </c>
      <c r="D2013" s="25">
        <v>14</v>
      </c>
      <c r="E2013" s="25">
        <v>332</v>
      </c>
      <c r="F2013" t="s">
        <v>1241</v>
      </c>
      <c r="G2013" t="s">
        <v>507</v>
      </c>
      <c r="I2013">
        <v>2005</v>
      </c>
      <c r="J2013" t="s">
        <v>508</v>
      </c>
      <c r="K2013" t="s">
        <v>162</v>
      </c>
      <c r="L2013" t="s">
        <v>509</v>
      </c>
      <c r="M2013" s="25" t="s">
        <v>35</v>
      </c>
      <c r="N2013" t="s">
        <v>36</v>
      </c>
      <c r="O2013" t="s">
        <v>37</v>
      </c>
      <c r="P2013" t="s">
        <v>60</v>
      </c>
      <c r="Q2013" t="s">
        <v>900</v>
      </c>
      <c r="R2013" t="s">
        <v>946</v>
      </c>
      <c r="S2013" t="s">
        <v>1648</v>
      </c>
      <c r="T2013">
        <v>33.683332999999998</v>
      </c>
      <c r="U2013">
        <v>135.35</v>
      </c>
      <c r="V2013" t="s">
        <v>905</v>
      </c>
      <c r="W2013" s="25" t="s">
        <v>38</v>
      </c>
      <c r="X2013">
        <v>0.01</v>
      </c>
      <c r="Y2013" t="s">
        <v>39</v>
      </c>
      <c r="Z2013">
        <v>6</v>
      </c>
      <c r="AA2013">
        <v>6</v>
      </c>
      <c r="AC2013">
        <v>365</v>
      </c>
      <c r="AE2013">
        <v>2365</v>
      </c>
      <c r="AG2013">
        <v>2174</v>
      </c>
      <c r="AH2013">
        <v>3.373831145</v>
      </c>
      <c r="AI2013">
        <v>14</v>
      </c>
      <c r="AJ2013" t="s">
        <v>510</v>
      </c>
      <c r="AK2013" t="s">
        <v>59</v>
      </c>
      <c r="AL2013" s="25" t="s">
        <v>236</v>
      </c>
      <c r="AM2013" t="s">
        <v>61</v>
      </c>
      <c r="AN2013">
        <v>99.726027400000007</v>
      </c>
      <c r="AO2013">
        <v>10.410958900000001</v>
      </c>
      <c r="AP2013">
        <v>86.849315070000003</v>
      </c>
      <c r="AQ2013">
        <v>20</v>
      </c>
      <c r="AR2013" t="s">
        <v>48</v>
      </c>
      <c r="AS2013">
        <f t="shared" si="225"/>
        <v>-0.13825209376958281</v>
      </c>
      <c r="AT2013">
        <f t="shared" si="226"/>
        <v>1.0654853696833855E-2</v>
      </c>
      <c r="AW2013" s="28">
        <f t="shared" si="220"/>
        <v>-0.80764836465970136</v>
      </c>
      <c r="AX2013">
        <f t="shared" si="221"/>
        <v>0.92307692307692313</v>
      </c>
      <c r="AY2013" s="62">
        <f t="shared" si="222"/>
        <v>-0.74552156737818587</v>
      </c>
      <c r="AZ2013" s="68" t="str">
        <f t="shared" si="223"/>
        <v>No</v>
      </c>
      <c r="BA2013" s="68" t="str">
        <f t="shared" si="224"/>
        <v>No</v>
      </c>
    </row>
    <row r="2014" spans="1:53" hidden="1">
      <c r="A2014" t="s">
        <v>908</v>
      </c>
      <c r="B2014" t="s">
        <v>513</v>
      </c>
      <c r="C2014" t="s">
        <v>506</v>
      </c>
      <c r="D2014" s="25">
        <v>14</v>
      </c>
      <c r="E2014" s="25">
        <v>285</v>
      </c>
      <c r="F2014" t="s">
        <v>1241</v>
      </c>
      <c r="G2014" t="s">
        <v>507</v>
      </c>
      <c r="I2014">
        <v>2005</v>
      </c>
      <c r="J2014" t="s">
        <v>508</v>
      </c>
      <c r="K2014" t="s">
        <v>162</v>
      </c>
      <c r="L2014" t="s">
        <v>509</v>
      </c>
      <c r="M2014" s="25" t="s">
        <v>35</v>
      </c>
      <c r="N2014" t="s">
        <v>36</v>
      </c>
      <c r="O2014" t="s">
        <v>37</v>
      </c>
      <c r="P2014" t="s">
        <v>60</v>
      </c>
      <c r="Q2014" t="s">
        <v>900</v>
      </c>
      <c r="R2014" t="s">
        <v>946</v>
      </c>
      <c r="S2014" t="s">
        <v>1648</v>
      </c>
      <c r="T2014">
        <v>33.683332999999998</v>
      </c>
      <c r="U2014">
        <v>135.35</v>
      </c>
      <c r="V2014" t="s">
        <v>905</v>
      </c>
      <c r="W2014" s="25" t="s">
        <v>38</v>
      </c>
      <c r="X2014">
        <v>0.01</v>
      </c>
      <c r="Y2014" t="s">
        <v>39</v>
      </c>
      <c r="Z2014">
        <v>6</v>
      </c>
      <c r="AA2014">
        <v>6</v>
      </c>
      <c r="AC2014">
        <v>365</v>
      </c>
      <c r="AE2014">
        <v>5365</v>
      </c>
      <c r="AG2014">
        <v>2174</v>
      </c>
      <c r="AH2014">
        <v>3.7295697259999998</v>
      </c>
      <c r="AI2014">
        <v>14</v>
      </c>
      <c r="AJ2014" t="s">
        <v>510</v>
      </c>
      <c r="AK2014" t="s">
        <v>59</v>
      </c>
      <c r="AL2014" s="25" t="s">
        <v>236</v>
      </c>
      <c r="AM2014" t="s">
        <v>61</v>
      </c>
      <c r="AN2014">
        <v>99.726027400000007</v>
      </c>
      <c r="AO2014">
        <v>10.410958900000001</v>
      </c>
      <c r="AP2014">
        <v>69.589041100000003</v>
      </c>
      <c r="AQ2014">
        <v>36.164383559999997</v>
      </c>
      <c r="AR2014" t="s">
        <v>48</v>
      </c>
      <c r="AS2014">
        <f t="shared" si="225"/>
        <v>-0.35981960058662121</v>
      </c>
      <c r="AT2014">
        <f t="shared" si="226"/>
        <v>4.6828497049425086E-2</v>
      </c>
      <c r="AW2014" s="28">
        <f t="shared" si="220"/>
        <v>-1.1325170505070079</v>
      </c>
      <c r="AX2014">
        <f t="shared" si="221"/>
        <v>0.92307692307692313</v>
      </c>
      <c r="AY2014" s="62">
        <f t="shared" si="222"/>
        <v>-1.0454003543141612</v>
      </c>
      <c r="AZ2014" s="68" t="str">
        <f t="shared" si="223"/>
        <v>No</v>
      </c>
      <c r="BA2014" s="68" t="str">
        <f t="shared" si="224"/>
        <v>No</v>
      </c>
    </row>
    <row r="2015" spans="1:53" hidden="1">
      <c r="A2015" t="s">
        <v>908</v>
      </c>
      <c r="B2015" t="s">
        <v>514</v>
      </c>
      <c r="C2015" t="s">
        <v>506</v>
      </c>
      <c r="D2015" s="25">
        <v>14</v>
      </c>
      <c r="E2015" s="25">
        <v>248</v>
      </c>
      <c r="F2015" t="s">
        <v>1241</v>
      </c>
      <c r="G2015" t="s">
        <v>507</v>
      </c>
      <c r="I2015">
        <v>2005</v>
      </c>
      <c r="J2015" t="s">
        <v>508</v>
      </c>
      <c r="K2015" t="s">
        <v>162</v>
      </c>
      <c r="L2015" t="s">
        <v>509</v>
      </c>
      <c r="M2015" s="25" t="s">
        <v>35</v>
      </c>
      <c r="N2015" t="s">
        <v>36</v>
      </c>
      <c r="O2015" t="s">
        <v>37</v>
      </c>
      <c r="P2015" t="s">
        <v>60</v>
      </c>
      <c r="Q2015" t="s">
        <v>900</v>
      </c>
      <c r="R2015" t="s">
        <v>946</v>
      </c>
      <c r="S2015" t="s">
        <v>1648</v>
      </c>
      <c r="T2015">
        <v>33.683332999999998</v>
      </c>
      <c r="U2015">
        <v>135.35</v>
      </c>
      <c r="V2015" t="s">
        <v>905</v>
      </c>
      <c r="W2015" s="25" t="s">
        <v>38</v>
      </c>
      <c r="X2015">
        <v>0.01</v>
      </c>
      <c r="Y2015" t="s">
        <v>39</v>
      </c>
      <c r="Z2015">
        <v>6</v>
      </c>
      <c r="AA2015">
        <v>6</v>
      </c>
      <c r="AC2015">
        <v>365</v>
      </c>
      <c r="AE2015">
        <v>10365</v>
      </c>
      <c r="AG2015">
        <v>2174</v>
      </c>
      <c r="AH2015">
        <v>4.0155693059999997</v>
      </c>
      <c r="AI2015">
        <v>14</v>
      </c>
      <c r="AJ2015" t="s">
        <v>510</v>
      </c>
      <c r="AK2015" t="s">
        <v>59</v>
      </c>
      <c r="AL2015" s="25" t="s">
        <v>236</v>
      </c>
      <c r="AM2015" t="s">
        <v>61</v>
      </c>
      <c r="AN2015">
        <v>99.726027400000007</v>
      </c>
      <c r="AO2015">
        <v>10.410958900000001</v>
      </c>
      <c r="AP2015">
        <v>43.835616440000003</v>
      </c>
      <c r="AQ2015">
        <v>42.73972603</v>
      </c>
      <c r="AR2015" t="s">
        <v>48</v>
      </c>
      <c r="AS2015">
        <f t="shared" si="225"/>
        <v>-0.82198005239288641</v>
      </c>
      <c r="AT2015">
        <f t="shared" si="226"/>
        <v>0.16025390704206749</v>
      </c>
      <c r="AW2015" s="28">
        <f t="shared" si="220"/>
        <v>-1.7968164243719367</v>
      </c>
      <c r="AX2015">
        <f t="shared" si="221"/>
        <v>0.92307692307692313</v>
      </c>
      <c r="AY2015" s="62">
        <f t="shared" si="222"/>
        <v>-1.6585997763433262</v>
      </c>
      <c r="AZ2015" s="68" t="str">
        <f t="shared" si="223"/>
        <v>No</v>
      </c>
      <c r="BA2015" s="68" t="str">
        <f t="shared" si="224"/>
        <v>No</v>
      </c>
    </row>
    <row r="2016" spans="1:53" hidden="1">
      <c r="A2016" t="s">
        <v>908</v>
      </c>
      <c r="B2016" t="s">
        <v>515</v>
      </c>
      <c r="C2016" t="s">
        <v>506</v>
      </c>
      <c r="D2016" s="25">
        <v>14</v>
      </c>
      <c r="E2016" s="25">
        <v>581</v>
      </c>
      <c r="F2016" t="s">
        <v>1241</v>
      </c>
      <c r="G2016" t="s">
        <v>507</v>
      </c>
      <c r="I2016">
        <v>2016</v>
      </c>
      <c r="J2016" t="s">
        <v>508</v>
      </c>
      <c r="K2016" t="s">
        <v>162</v>
      </c>
      <c r="L2016" t="s">
        <v>509</v>
      </c>
      <c r="M2016" s="25" t="s">
        <v>35</v>
      </c>
      <c r="N2016" t="s">
        <v>36</v>
      </c>
      <c r="O2016" t="s">
        <v>37</v>
      </c>
      <c r="P2016" t="s">
        <v>60</v>
      </c>
      <c r="Q2016" t="s">
        <v>900</v>
      </c>
      <c r="R2016" t="s">
        <v>946</v>
      </c>
      <c r="S2016" t="s">
        <v>1647</v>
      </c>
      <c r="T2016">
        <v>33.683332999999998</v>
      </c>
      <c r="U2016">
        <v>135.35</v>
      </c>
      <c r="V2016" t="s">
        <v>905</v>
      </c>
      <c r="W2016" s="25" t="s">
        <v>38</v>
      </c>
      <c r="X2016">
        <v>0.01</v>
      </c>
      <c r="Y2016" t="s">
        <v>39</v>
      </c>
      <c r="Z2016">
        <v>3</v>
      </c>
      <c r="AA2016">
        <v>3</v>
      </c>
      <c r="AC2016">
        <v>365</v>
      </c>
      <c r="AE2016">
        <v>865</v>
      </c>
      <c r="AG2016">
        <v>2175</v>
      </c>
      <c r="AH2016">
        <v>2.9370161069999998</v>
      </c>
      <c r="AI2016">
        <v>14</v>
      </c>
      <c r="AJ2016" t="s">
        <v>516</v>
      </c>
      <c r="AK2016" t="s">
        <v>59</v>
      </c>
      <c r="AL2016" s="25" t="s">
        <v>236</v>
      </c>
      <c r="AM2016" t="s">
        <v>61</v>
      </c>
      <c r="AN2016">
        <v>98.075601370000001</v>
      </c>
      <c r="AO2016">
        <v>1.924398625</v>
      </c>
      <c r="AP2016">
        <v>97.800687289999999</v>
      </c>
      <c r="AQ2016">
        <v>2.199312715</v>
      </c>
      <c r="AR2016" t="s">
        <v>48</v>
      </c>
      <c r="AS2016">
        <f t="shared" si="225"/>
        <v>-2.8070192915423675E-3</v>
      </c>
      <c r="AT2016">
        <f t="shared" si="226"/>
        <v>2.9690109713791427E-4</v>
      </c>
      <c r="AW2016" s="28">
        <f t="shared" si="220"/>
        <v>-0.13303801652948052</v>
      </c>
      <c r="AX2016">
        <f t="shared" si="221"/>
        <v>0.8</v>
      </c>
      <c r="AY2016" s="62">
        <f t="shared" si="222"/>
        <v>-0.10643041322358443</v>
      </c>
      <c r="AZ2016" s="68" t="str">
        <f t="shared" si="223"/>
        <v>No</v>
      </c>
      <c r="BA2016" s="68" t="str">
        <f t="shared" si="224"/>
        <v>No</v>
      </c>
    </row>
    <row r="2017" spans="1:53" hidden="1">
      <c r="A2017" t="s">
        <v>908</v>
      </c>
      <c r="B2017" t="s">
        <v>517</v>
      </c>
      <c r="C2017" t="s">
        <v>506</v>
      </c>
      <c r="D2017" s="25">
        <v>14</v>
      </c>
      <c r="E2017" s="25">
        <v>474</v>
      </c>
      <c r="F2017" t="s">
        <v>1241</v>
      </c>
      <c r="G2017" t="s">
        <v>507</v>
      </c>
      <c r="I2017">
        <v>2016</v>
      </c>
      <c r="J2017" t="s">
        <v>508</v>
      </c>
      <c r="K2017" t="s">
        <v>162</v>
      </c>
      <c r="L2017" t="s">
        <v>509</v>
      </c>
      <c r="M2017" s="25" t="s">
        <v>35</v>
      </c>
      <c r="N2017" t="s">
        <v>36</v>
      </c>
      <c r="O2017" t="s">
        <v>37</v>
      </c>
      <c r="P2017" t="s">
        <v>60</v>
      </c>
      <c r="Q2017" t="s">
        <v>900</v>
      </c>
      <c r="R2017" t="s">
        <v>946</v>
      </c>
      <c r="S2017" t="s">
        <v>1647</v>
      </c>
      <c r="T2017">
        <v>33.683332999999998</v>
      </c>
      <c r="U2017">
        <v>135.35</v>
      </c>
      <c r="V2017" t="s">
        <v>905</v>
      </c>
      <c r="W2017" s="25" t="s">
        <v>38</v>
      </c>
      <c r="X2017">
        <v>0.01</v>
      </c>
      <c r="Y2017" t="s">
        <v>39</v>
      </c>
      <c r="Z2017">
        <v>3</v>
      </c>
      <c r="AA2017">
        <v>3</v>
      </c>
      <c r="AC2017">
        <v>365</v>
      </c>
      <c r="AE2017">
        <v>1365</v>
      </c>
      <c r="AG2017">
        <v>2175</v>
      </c>
      <c r="AH2017">
        <v>3.1351326510000002</v>
      </c>
      <c r="AI2017">
        <v>14</v>
      </c>
      <c r="AJ2017" t="s">
        <v>516</v>
      </c>
      <c r="AK2017" t="s">
        <v>59</v>
      </c>
      <c r="AL2017" s="25" t="s">
        <v>236</v>
      </c>
      <c r="AM2017" t="s">
        <v>61</v>
      </c>
      <c r="AN2017">
        <v>98.075601370000001</v>
      </c>
      <c r="AO2017">
        <v>1.924398625</v>
      </c>
      <c r="AP2017">
        <v>94.501718210000007</v>
      </c>
      <c r="AQ2017">
        <v>7.4226804120000001</v>
      </c>
      <c r="AR2017" t="s">
        <v>48</v>
      </c>
      <c r="AS2017">
        <f t="shared" si="225"/>
        <v>-3.7120607361927682E-2</v>
      </c>
      <c r="AT2017">
        <f t="shared" si="226"/>
        <v>2.184798325982448E-3</v>
      </c>
      <c r="AW2017" s="28">
        <f t="shared" si="220"/>
        <v>-0.65912616429369675</v>
      </c>
      <c r="AX2017">
        <f t="shared" si="221"/>
        <v>0.8</v>
      </c>
      <c r="AY2017" s="62">
        <f t="shared" si="222"/>
        <v>-0.52730093143495738</v>
      </c>
      <c r="AZ2017" s="68" t="str">
        <f t="shared" si="223"/>
        <v>No</v>
      </c>
      <c r="BA2017" s="68" t="str">
        <f t="shared" si="224"/>
        <v>No</v>
      </c>
    </row>
    <row r="2018" spans="1:53" hidden="1">
      <c r="A2018" t="s">
        <v>908</v>
      </c>
      <c r="B2018" t="s">
        <v>518</v>
      </c>
      <c r="C2018" t="s">
        <v>506</v>
      </c>
      <c r="D2018" s="25">
        <v>14</v>
      </c>
      <c r="E2018" s="25">
        <v>306</v>
      </c>
      <c r="F2018" t="s">
        <v>1241</v>
      </c>
      <c r="G2018" t="s">
        <v>507</v>
      </c>
      <c r="I2018">
        <v>2016</v>
      </c>
      <c r="J2018" t="s">
        <v>508</v>
      </c>
      <c r="K2018" t="s">
        <v>162</v>
      </c>
      <c r="L2018" t="s">
        <v>509</v>
      </c>
      <c r="M2018" s="25" t="s">
        <v>35</v>
      </c>
      <c r="N2018" t="s">
        <v>36</v>
      </c>
      <c r="O2018" t="s">
        <v>37</v>
      </c>
      <c r="P2018" t="s">
        <v>60</v>
      </c>
      <c r="Q2018" t="s">
        <v>900</v>
      </c>
      <c r="R2018" t="s">
        <v>946</v>
      </c>
      <c r="S2018" t="s">
        <v>1647</v>
      </c>
      <c r="T2018">
        <v>33.683332999999998</v>
      </c>
      <c r="U2018">
        <v>135.35</v>
      </c>
      <c r="V2018" t="s">
        <v>905</v>
      </c>
      <c r="W2018" s="25" t="s">
        <v>38</v>
      </c>
      <c r="X2018">
        <v>0.01</v>
      </c>
      <c r="Y2018" t="s">
        <v>39</v>
      </c>
      <c r="Z2018">
        <v>3</v>
      </c>
      <c r="AA2018">
        <v>3</v>
      </c>
      <c r="AC2018">
        <v>365</v>
      </c>
      <c r="AE2018">
        <v>2365</v>
      </c>
      <c r="AG2018">
        <v>2175</v>
      </c>
      <c r="AH2018">
        <v>3.373831145</v>
      </c>
      <c r="AI2018">
        <v>14</v>
      </c>
      <c r="AJ2018" t="s">
        <v>516</v>
      </c>
      <c r="AK2018" t="s">
        <v>59</v>
      </c>
      <c r="AL2018" s="25" t="s">
        <v>236</v>
      </c>
      <c r="AM2018" t="s">
        <v>61</v>
      </c>
      <c r="AN2018">
        <v>98.075601370000001</v>
      </c>
      <c r="AO2018">
        <v>1.924398625</v>
      </c>
      <c r="AP2018">
        <v>73.883161509999994</v>
      </c>
      <c r="AQ2018">
        <v>22.817869420000001</v>
      </c>
      <c r="AR2018" t="s">
        <v>48</v>
      </c>
      <c r="AS2018">
        <f t="shared" si="225"/>
        <v>-0.28325367689591463</v>
      </c>
      <c r="AT2018">
        <f t="shared" si="226"/>
        <v>3.1921809479448546E-2</v>
      </c>
      <c r="AW2018" s="28">
        <f t="shared" si="220"/>
        <v>-1.4941029461177764</v>
      </c>
      <c r="AX2018">
        <f t="shared" si="221"/>
        <v>0.8</v>
      </c>
      <c r="AY2018" s="62">
        <f t="shared" si="222"/>
        <v>-1.1952823568942212</v>
      </c>
      <c r="AZ2018" s="68" t="str">
        <f t="shared" si="223"/>
        <v>No</v>
      </c>
      <c r="BA2018" s="68" t="str">
        <f t="shared" si="224"/>
        <v>No</v>
      </c>
    </row>
    <row r="2019" spans="1:53" hidden="1">
      <c r="A2019" t="s">
        <v>908</v>
      </c>
      <c r="B2019" t="s">
        <v>519</v>
      </c>
      <c r="C2019" t="s">
        <v>506</v>
      </c>
      <c r="D2019" s="25">
        <v>14</v>
      </c>
      <c r="E2019" s="25">
        <v>244</v>
      </c>
      <c r="F2019" t="s">
        <v>1241</v>
      </c>
      <c r="G2019" t="s">
        <v>507</v>
      </c>
      <c r="I2019">
        <v>2016</v>
      </c>
      <c r="J2019" t="s">
        <v>508</v>
      </c>
      <c r="K2019" t="s">
        <v>162</v>
      </c>
      <c r="L2019" t="s">
        <v>509</v>
      </c>
      <c r="M2019" s="25" t="s">
        <v>35</v>
      </c>
      <c r="N2019" t="s">
        <v>36</v>
      </c>
      <c r="O2019" t="s">
        <v>37</v>
      </c>
      <c r="P2019" t="s">
        <v>60</v>
      </c>
      <c r="Q2019" t="s">
        <v>900</v>
      </c>
      <c r="R2019" t="s">
        <v>946</v>
      </c>
      <c r="S2019" t="s">
        <v>1647</v>
      </c>
      <c r="T2019">
        <v>33.683332999999998</v>
      </c>
      <c r="U2019">
        <v>135.35</v>
      </c>
      <c r="V2019" t="s">
        <v>905</v>
      </c>
      <c r="W2019" s="25" t="s">
        <v>38</v>
      </c>
      <c r="X2019">
        <v>0.01</v>
      </c>
      <c r="Y2019" t="s">
        <v>39</v>
      </c>
      <c r="Z2019">
        <v>3</v>
      </c>
      <c r="AA2019">
        <v>3</v>
      </c>
      <c r="AC2019">
        <v>365</v>
      </c>
      <c r="AE2019">
        <v>5365</v>
      </c>
      <c r="AG2019">
        <v>2175</v>
      </c>
      <c r="AH2019">
        <v>3.7295697259999998</v>
      </c>
      <c r="AI2019">
        <v>14</v>
      </c>
      <c r="AJ2019" t="s">
        <v>516</v>
      </c>
      <c r="AK2019" t="s">
        <v>59</v>
      </c>
      <c r="AL2019" s="25" t="s">
        <v>236</v>
      </c>
      <c r="AM2019" t="s">
        <v>61</v>
      </c>
      <c r="AN2019">
        <v>98.075601370000001</v>
      </c>
      <c r="AO2019">
        <v>1.924398625</v>
      </c>
      <c r="AP2019">
        <v>41.443298970000001</v>
      </c>
      <c r="AQ2019">
        <v>29.69072165</v>
      </c>
      <c r="AR2019" t="s">
        <v>48</v>
      </c>
      <c r="AS2019">
        <f t="shared" si="225"/>
        <v>-0.86141242068066193</v>
      </c>
      <c r="AT2019">
        <f t="shared" si="226"/>
        <v>0.17121320965119638</v>
      </c>
      <c r="AW2019" s="28">
        <f t="shared" si="220"/>
        <v>-2.691833207874665</v>
      </c>
      <c r="AX2019">
        <f t="shared" si="221"/>
        <v>0.8</v>
      </c>
      <c r="AY2019" s="62">
        <f t="shared" si="222"/>
        <v>-2.1534665662997319</v>
      </c>
      <c r="AZ2019" s="68" t="str">
        <f t="shared" si="223"/>
        <v>No</v>
      </c>
      <c r="BA2019" s="68" t="str">
        <f t="shared" si="224"/>
        <v>No</v>
      </c>
    </row>
    <row r="2020" spans="1:53" hidden="1">
      <c r="A2020" t="s">
        <v>908</v>
      </c>
      <c r="B2020" t="s">
        <v>520</v>
      </c>
      <c r="C2020" t="s">
        <v>506</v>
      </c>
      <c r="D2020" s="25">
        <v>14</v>
      </c>
      <c r="E2020" s="25">
        <v>94</v>
      </c>
      <c r="F2020" t="s">
        <v>1241</v>
      </c>
      <c r="G2020" t="s">
        <v>507</v>
      </c>
      <c r="I2020">
        <v>2016</v>
      </c>
      <c r="J2020" t="s">
        <v>508</v>
      </c>
      <c r="K2020" t="s">
        <v>162</v>
      </c>
      <c r="L2020" t="s">
        <v>509</v>
      </c>
      <c r="M2020" s="25" t="s">
        <v>35</v>
      </c>
      <c r="N2020" t="s">
        <v>36</v>
      </c>
      <c r="O2020" t="s">
        <v>37</v>
      </c>
      <c r="P2020" t="s">
        <v>60</v>
      </c>
      <c r="Q2020" t="s">
        <v>900</v>
      </c>
      <c r="R2020" t="s">
        <v>946</v>
      </c>
      <c r="S2020" t="s">
        <v>1647</v>
      </c>
      <c r="T2020">
        <v>33.683332999999998</v>
      </c>
      <c r="U2020">
        <v>135.35</v>
      </c>
      <c r="V2020" t="s">
        <v>905</v>
      </c>
      <c r="W2020" s="25" t="s">
        <v>38</v>
      </c>
      <c r="X2020">
        <v>0.01</v>
      </c>
      <c r="Y2020" t="s">
        <v>39</v>
      </c>
      <c r="Z2020">
        <v>3</v>
      </c>
      <c r="AA2020">
        <v>3</v>
      </c>
      <c r="AC2020">
        <v>365</v>
      </c>
      <c r="AE2020">
        <v>10365</v>
      </c>
      <c r="AG2020">
        <v>2175</v>
      </c>
      <c r="AH2020">
        <v>4.0155693059999997</v>
      </c>
      <c r="AI2020">
        <v>14</v>
      </c>
      <c r="AJ2020" t="s">
        <v>516</v>
      </c>
      <c r="AK2020" t="s">
        <v>59</v>
      </c>
      <c r="AL2020" s="25" t="s">
        <v>236</v>
      </c>
      <c r="AM2020" t="s">
        <v>61</v>
      </c>
      <c r="AN2020">
        <v>98.075601370000001</v>
      </c>
      <c r="AO2020">
        <v>1.924398625</v>
      </c>
      <c r="AP2020">
        <v>7.9037800689999997</v>
      </c>
      <c r="AQ2020">
        <v>11.27147766</v>
      </c>
      <c r="AR2020" t="s">
        <v>48</v>
      </c>
      <c r="AS2020">
        <f t="shared" si="225"/>
        <v>-2.5183974890326377</v>
      </c>
      <c r="AT2020">
        <f t="shared" si="226"/>
        <v>0.67803633760149029</v>
      </c>
      <c r="AW2020" s="28">
        <f t="shared" si="220"/>
        <v>-11.152334577633189</v>
      </c>
      <c r="AX2020">
        <f t="shared" si="221"/>
        <v>0.8</v>
      </c>
      <c r="AY2020" s="62">
        <f t="shared" si="222"/>
        <v>-8.9218676621065516</v>
      </c>
      <c r="AZ2020" s="68" t="str">
        <f t="shared" si="223"/>
        <v>No</v>
      </c>
      <c r="BA2020" s="68" t="str">
        <f t="shared" si="224"/>
        <v>No</v>
      </c>
    </row>
    <row r="2021" spans="1:53" hidden="1">
      <c r="A2021" t="s">
        <v>1242</v>
      </c>
      <c r="B2021" t="str">
        <f t="shared" ref="B2021:B2048" si="227">ROW()&amp;"_Kindinger"</f>
        <v>2021_Kindinger</v>
      </c>
      <c r="C2021" t="s">
        <v>1243</v>
      </c>
      <c r="F2021" t="s">
        <v>1241</v>
      </c>
      <c r="G2021" t="s">
        <v>3864</v>
      </c>
      <c r="I2021">
        <v>2016</v>
      </c>
      <c r="J2021" t="s">
        <v>3863</v>
      </c>
      <c r="L2021" s="46" t="s">
        <v>3476</v>
      </c>
      <c r="M2021" s="25" t="s">
        <v>36</v>
      </c>
      <c r="N2021" t="s">
        <v>36</v>
      </c>
      <c r="P2021" t="s">
        <v>60</v>
      </c>
      <c r="Q2021" t="s">
        <v>899</v>
      </c>
      <c r="R2021" t="s">
        <v>828</v>
      </c>
      <c r="S2021" t="s">
        <v>1254</v>
      </c>
      <c r="T2021" t="s">
        <v>1255</v>
      </c>
      <c r="V2021" t="s">
        <v>905</v>
      </c>
      <c r="Z2021" s="46">
        <v>6</v>
      </c>
      <c r="AA2021" s="46">
        <v>6</v>
      </c>
      <c r="AC2021" s="46" t="s">
        <v>3831</v>
      </c>
      <c r="AD2021" s="46" t="s">
        <v>3827</v>
      </c>
      <c r="AE2021" s="46" t="s">
        <v>3849</v>
      </c>
      <c r="AF2021" s="46" t="s">
        <v>3844</v>
      </c>
      <c r="AG2021" t="str">
        <f t="shared" ref="AG2021:AG2048" si="228">C2021 &amp; "_" &amp;
SUBSTITUTE(TRIM(S2021)," ","_") &amp; "_" &amp;
"D" &amp; TEXT(X2021,"0") &amp; "_" &amp;
"CO2" &amp; IF(AC2021&lt;&gt;"",TEXT(AC2021,"0.00"),"NA") &amp; "_" &amp;
"T" &amp; IF(AD2021&lt;&gt;"",TEXT(AD2021,"0.00"),"NA")</f>
        <v>1YIP_Acartia_D0_CO2429_23.4_T20.4_0.13</v>
      </c>
      <c r="AJ2021" t="s">
        <v>1275</v>
      </c>
      <c r="AK2021" t="s">
        <v>1279</v>
      </c>
      <c r="AM2021"/>
      <c r="AN2021" s="46">
        <v>5.5509000000000004</v>
      </c>
      <c r="AO2021" s="46">
        <v>1.4136005309999999</v>
      </c>
      <c r="AP2021" s="46">
        <v>5.1578999999999997</v>
      </c>
      <c r="AQ2021" s="46">
        <v>1.8047840420000001</v>
      </c>
      <c r="AS2021">
        <v>-7.3430556999999994E-2</v>
      </c>
      <c r="AT2021">
        <v>3.1214536000000001E-2</v>
      </c>
      <c r="AW2021" s="28">
        <f t="shared" si="220"/>
        <v>-0.24243763363397797</v>
      </c>
      <c r="AX2021">
        <f t="shared" si="221"/>
        <v>0.92307692307692313</v>
      </c>
      <c r="AY2021" s="62">
        <f t="shared" si="222"/>
        <v>-0.22378858489290276</v>
      </c>
      <c r="AZ2021" s="68" t="str">
        <f t="shared" si="223"/>
        <v>No</v>
      </c>
      <c r="BA2021" s="68" t="str">
        <f t="shared" si="224"/>
        <v>No</v>
      </c>
    </row>
    <row r="2022" spans="1:53" hidden="1">
      <c r="A2022" t="s">
        <v>1242</v>
      </c>
      <c r="B2022" t="str">
        <f t="shared" si="227"/>
        <v>2022_Kindinger</v>
      </c>
      <c r="C2022" t="s">
        <v>1243</v>
      </c>
      <c r="F2022" t="s">
        <v>1241</v>
      </c>
      <c r="G2022" t="s">
        <v>3864</v>
      </c>
      <c r="I2022">
        <v>2016</v>
      </c>
      <c r="J2022" t="s">
        <v>3863</v>
      </c>
      <c r="L2022" s="46" t="s">
        <v>3476</v>
      </c>
      <c r="M2022" s="25" t="s">
        <v>36</v>
      </c>
      <c r="N2022" t="s">
        <v>36</v>
      </c>
      <c r="P2022" t="s">
        <v>60</v>
      </c>
      <c r="Q2022" t="s">
        <v>899</v>
      </c>
      <c r="R2022" t="s">
        <v>828</v>
      </c>
      <c r="S2022" t="s">
        <v>1254</v>
      </c>
      <c r="T2022" t="s">
        <v>1255</v>
      </c>
      <c r="V2022" t="s">
        <v>905</v>
      </c>
      <c r="Z2022" s="46">
        <v>6</v>
      </c>
      <c r="AA2022" s="46">
        <v>6</v>
      </c>
      <c r="AC2022" s="46" t="s">
        <v>3831</v>
      </c>
      <c r="AD2022" s="46" t="s">
        <v>3827</v>
      </c>
      <c r="AE2022" s="46" t="s">
        <v>3850</v>
      </c>
      <c r="AF2022" s="46" t="s">
        <v>3845</v>
      </c>
      <c r="AG2022" t="str">
        <f t="shared" si="228"/>
        <v>1YIP_Acartia_D0_CO2429_23.4_T20.4_0.13</v>
      </c>
      <c r="AJ2022" t="s">
        <v>1275</v>
      </c>
      <c r="AK2022" t="s">
        <v>1279</v>
      </c>
      <c r="AM2022"/>
      <c r="AN2022" s="46">
        <v>5.5509000000000004</v>
      </c>
      <c r="AO2022" s="46">
        <v>1.4136005309999999</v>
      </c>
      <c r="AP2022" s="46">
        <v>4.8509000000000002</v>
      </c>
      <c r="AQ2022" s="46">
        <v>2.3162375009999998</v>
      </c>
      <c r="AS2022">
        <v>-0.13479582200000001</v>
      </c>
      <c r="AT2022">
        <v>4.8807582000000002E-2</v>
      </c>
      <c r="AW2022" s="28">
        <f t="shared" ref="AW2022:AW2049" si="229">(AP2022-$AN2022)/SQRT(((AA2022-1)*AQ2022*AQ2022+($Z2022-1)*$AO2022*$AO2022)/(AA2022+$Z2022-2))</f>
        <v>-0.36482036389557843</v>
      </c>
      <c r="AX2022">
        <f t="shared" ref="AX2022:AX2049" si="230">1-(3/(4*(AA2022+$Z2022-2)-1))</f>
        <v>0.92307692307692313</v>
      </c>
      <c r="AY2022" s="62">
        <f t="shared" ref="AY2022:AY2053" si="231">AX2022*AW2022</f>
        <v>-0.33675725898053394</v>
      </c>
      <c r="AZ2022" s="68" t="str">
        <f t="shared" ref="AZ2022:AZ2053" si="232">IF(AY2022&gt;10,"Yes","No")</f>
        <v>No</v>
      </c>
      <c r="BA2022" s="68" t="str">
        <f t="shared" ref="BA2022:BA2049" si="233">IF(AY2022&lt;-10,"Yes","No")</f>
        <v>No</v>
      </c>
    </row>
    <row r="2023" spans="1:53" hidden="1">
      <c r="A2023" t="s">
        <v>1242</v>
      </c>
      <c r="B2023" t="str">
        <f t="shared" si="227"/>
        <v>2023_Kindinger</v>
      </c>
      <c r="C2023" t="s">
        <v>1243</v>
      </c>
      <c r="F2023" t="s">
        <v>1241</v>
      </c>
      <c r="G2023" t="s">
        <v>3864</v>
      </c>
      <c r="I2023">
        <v>2016</v>
      </c>
      <c r="J2023" t="s">
        <v>3863</v>
      </c>
      <c r="L2023" s="46" t="s">
        <v>3476</v>
      </c>
      <c r="M2023" s="25" t="s">
        <v>36</v>
      </c>
      <c r="N2023" t="s">
        <v>36</v>
      </c>
      <c r="P2023" t="s">
        <v>60</v>
      </c>
      <c r="Q2023" t="s">
        <v>899</v>
      </c>
      <c r="R2023" t="s">
        <v>828</v>
      </c>
      <c r="S2023" t="s">
        <v>1254</v>
      </c>
      <c r="T2023" t="s">
        <v>1255</v>
      </c>
      <c r="V2023" t="s">
        <v>905</v>
      </c>
      <c r="Z2023" s="46">
        <v>6</v>
      </c>
      <c r="AA2023" s="46">
        <v>6</v>
      </c>
      <c r="AC2023" s="46" t="s">
        <v>3832</v>
      </c>
      <c r="AD2023" s="46" t="s">
        <v>3828</v>
      </c>
      <c r="AE2023" s="46" t="s">
        <v>3851</v>
      </c>
      <c r="AF2023" s="46" t="s">
        <v>3846</v>
      </c>
      <c r="AG2023" t="str">
        <f t="shared" si="228"/>
        <v>1YIP_Acartia_D0_CO2420_18.04_T20.4_0.09</v>
      </c>
      <c r="AJ2023" t="s">
        <v>1275</v>
      </c>
      <c r="AK2023" t="s">
        <v>1279</v>
      </c>
      <c r="AM2023"/>
      <c r="AN2023" s="46">
        <v>5.5509000000000004</v>
      </c>
      <c r="AO2023" s="46">
        <v>1.4136005309999999</v>
      </c>
      <c r="AP2023" s="46">
        <v>4.2736999999999998</v>
      </c>
      <c r="AQ2023" s="46">
        <v>1.41384548</v>
      </c>
      <c r="AS2023">
        <v>-0.26148011399999999</v>
      </c>
      <c r="AT2023">
        <v>2.9049576000000001E-2</v>
      </c>
      <c r="AW2023" s="28">
        <f t="shared" si="229"/>
        <v>-0.90343015586384978</v>
      </c>
      <c r="AX2023">
        <f t="shared" si="230"/>
        <v>0.92307692307692313</v>
      </c>
      <c r="AY2023" s="62">
        <f t="shared" si="231"/>
        <v>-0.83393552848970753</v>
      </c>
      <c r="AZ2023" s="68" t="str">
        <f t="shared" si="232"/>
        <v>No</v>
      </c>
      <c r="BA2023" s="68" t="str">
        <f t="shared" si="233"/>
        <v>No</v>
      </c>
    </row>
    <row r="2024" spans="1:53" hidden="1">
      <c r="A2024" t="s">
        <v>1242</v>
      </c>
      <c r="B2024" t="str">
        <f t="shared" si="227"/>
        <v>2024_Kindinger</v>
      </c>
      <c r="C2024" t="s">
        <v>1243</v>
      </c>
      <c r="F2024" t="s">
        <v>1241</v>
      </c>
      <c r="G2024" t="s">
        <v>3864</v>
      </c>
      <c r="I2024">
        <v>2016</v>
      </c>
      <c r="J2024" t="s">
        <v>3863</v>
      </c>
      <c r="L2024" s="46" t="s">
        <v>3476</v>
      </c>
      <c r="M2024" s="25" t="s">
        <v>36</v>
      </c>
      <c r="N2024" t="s">
        <v>36</v>
      </c>
      <c r="P2024" t="s">
        <v>60</v>
      </c>
      <c r="Q2024" t="s">
        <v>899</v>
      </c>
      <c r="R2024" t="s">
        <v>828</v>
      </c>
      <c r="S2024" t="s">
        <v>1254</v>
      </c>
      <c r="T2024" t="s">
        <v>1255</v>
      </c>
      <c r="V2024" t="s">
        <v>905</v>
      </c>
      <c r="Z2024" s="46">
        <v>6</v>
      </c>
      <c r="AA2024" s="46">
        <v>6</v>
      </c>
      <c r="AC2024" s="46" t="s">
        <v>3831</v>
      </c>
      <c r="AD2024" s="46" t="s">
        <v>3827</v>
      </c>
      <c r="AE2024" s="46" t="s">
        <v>3849</v>
      </c>
      <c r="AF2024" s="46" t="s">
        <v>3844</v>
      </c>
      <c r="AG2024" t="str">
        <f t="shared" si="228"/>
        <v>1YIP_Acartia_D0_CO2429_23.4_T20.4_0.13</v>
      </c>
      <c r="AJ2024" t="s">
        <v>1275</v>
      </c>
      <c r="AK2024" t="s">
        <v>1279</v>
      </c>
      <c r="AM2024"/>
      <c r="AN2024" s="46">
        <v>4.516</v>
      </c>
      <c r="AO2024" s="46">
        <v>0.79804375800000005</v>
      </c>
      <c r="AP2024" s="46">
        <v>3.6764000000000001</v>
      </c>
      <c r="AQ2024" s="46">
        <v>1.1069244149999999</v>
      </c>
      <c r="AS2024">
        <v>-0.20569263400000001</v>
      </c>
      <c r="AT2024">
        <v>2.0313802999999998E-2</v>
      </c>
      <c r="AW2024" s="28">
        <f t="shared" si="229"/>
        <v>-0.87012061007577179</v>
      </c>
      <c r="AX2024">
        <f t="shared" si="230"/>
        <v>0.92307692307692313</v>
      </c>
      <c r="AY2024" s="62">
        <f t="shared" si="231"/>
        <v>-0.80318825545455863</v>
      </c>
      <c r="AZ2024" s="68" t="str">
        <f t="shared" si="232"/>
        <v>No</v>
      </c>
      <c r="BA2024" s="68" t="str">
        <f t="shared" si="233"/>
        <v>No</v>
      </c>
    </row>
    <row r="2025" spans="1:53" hidden="1">
      <c r="A2025" t="s">
        <v>1242</v>
      </c>
      <c r="B2025" t="str">
        <f t="shared" si="227"/>
        <v>2025_Kindinger</v>
      </c>
      <c r="C2025" t="s">
        <v>1243</v>
      </c>
      <c r="F2025" t="s">
        <v>1241</v>
      </c>
      <c r="G2025" t="s">
        <v>3864</v>
      </c>
      <c r="I2025">
        <v>2016</v>
      </c>
      <c r="J2025" t="s">
        <v>3863</v>
      </c>
      <c r="L2025" s="46" t="s">
        <v>3476</v>
      </c>
      <c r="M2025" s="25" t="s">
        <v>36</v>
      </c>
      <c r="N2025" t="s">
        <v>36</v>
      </c>
      <c r="P2025" t="s">
        <v>60</v>
      </c>
      <c r="Q2025" t="s">
        <v>899</v>
      </c>
      <c r="R2025" t="s">
        <v>828</v>
      </c>
      <c r="S2025" t="s">
        <v>1254</v>
      </c>
      <c r="T2025" t="s">
        <v>1255</v>
      </c>
      <c r="V2025" t="s">
        <v>905</v>
      </c>
      <c r="Z2025" s="46">
        <v>6</v>
      </c>
      <c r="AA2025" s="46">
        <v>6</v>
      </c>
      <c r="AC2025" s="46" t="s">
        <v>3831</v>
      </c>
      <c r="AD2025" s="46" t="s">
        <v>3827</v>
      </c>
      <c r="AE2025" s="46" t="s">
        <v>3850</v>
      </c>
      <c r="AF2025" s="46" t="s">
        <v>3845</v>
      </c>
      <c r="AG2025" t="str">
        <f t="shared" si="228"/>
        <v>1YIP_Acartia_D0_CO2429_23.4_T20.4_0.13</v>
      </c>
      <c r="AJ2025" t="s">
        <v>1275</v>
      </c>
      <c r="AK2025" t="s">
        <v>1279</v>
      </c>
      <c r="AM2025"/>
      <c r="AN2025" s="46">
        <v>4.516</v>
      </c>
      <c r="AO2025" s="46">
        <v>0.79804375800000005</v>
      </c>
      <c r="AP2025" s="46">
        <v>3.35</v>
      </c>
      <c r="AQ2025" s="46">
        <v>1.1066794659999999</v>
      </c>
      <c r="AS2025">
        <v>-0.2986663</v>
      </c>
      <c r="AT2025">
        <v>2.3393433000000002E-2</v>
      </c>
      <c r="AW2025" s="28">
        <f t="shared" si="229"/>
        <v>-1.2085616637054284</v>
      </c>
      <c r="AX2025">
        <f t="shared" si="230"/>
        <v>0.92307692307692313</v>
      </c>
      <c r="AY2025" s="62">
        <f t="shared" si="231"/>
        <v>-1.115595381881934</v>
      </c>
      <c r="AZ2025" s="68" t="str">
        <f t="shared" si="232"/>
        <v>No</v>
      </c>
      <c r="BA2025" s="68" t="str">
        <f t="shared" si="233"/>
        <v>No</v>
      </c>
    </row>
    <row r="2026" spans="1:53" hidden="1">
      <c r="A2026" t="s">
        <v>1242</v>
      </c>
      <c r="B2026" t="str">
        <f t="shared" si="227"/>
        <v>2026_Kindinger</v>
      </c>
      <c r="C2026" t="s">
        <v>1243</v>
      </c>
      <c r="F2026" t="s">
        <v>1241</v>
      </c>
      <c r="G2026" t="s">
        <v>3864</v>
      </c>
      <c r="I2026">
        <v>2016</v>
      </c>
      <c r="J2026" t="s">
        <v>3863</v>
      </c>
      <c r="L2026" s="46" t="s">
        <v>3476</v>
      </c>
      <c r="M2026" s="25" t="s">
        <v>36</v>
      </c>
      <c r="N2026" t="s">
        <v>36</v>
      </c>
      <c r="P2026" t="s">
        <v>60</v>
      </c>
      <c r="Q2026" t="s">
        <v>899</v>
      </c>
      <c r="R2026" t="s">
        <v>828</v>
      </c>
      <c r="S2026" t="s">
        <v>1254</v>
      </c>
      <c r="T2026" t="s">
        <v>1255</v>
      </c>
      <c r="V2026" t="s">
        <v>905</v>
      </c>
      <c r="Z2026" s="46">
        <v>6</v>
      </c>
      <c r="AA2026" s="46">
        <v>6</v>
      </c>
      <c r="AC2026" s="46" t="s">
        <v>3832</v>
      </c>
      <c r="AD2026" s="46" t="s">
        <v>3828</v>
      </c>
      <c r="AE2026" s="46" t="s">
        <v>3851</v>
      </c>
      <c r="AF2026" s="46" t="s">
        <v>3846</v>
      </c>
      <c r="AG2026" t="str">
        <f t="shared" si="228"/>
        <v>1YIP_Acartia_D0_CO2420_18.04_T20.4_0.09</v>
      </c>
      <c r="AJ2026" t="s">
        <v>1275</v>
      </c>
      <c r="AK2026" t="s">
        <v>1279</v>
      </c>
      <c r="AM2026"/>
      <c r="AN2026" s="46">
        <v>4.516</v>
      </c>
      <c r="AO2026" s="46">
        <v>0.79804375800000005</v>
      </c>
      <c r="AP2026" s="46">
        <v>3.3609</v>
      </c>
      <c r="AQ2026" s="46">
        <v>0.46319851000000001</v>
      </c>
      <c r="AS2026">
        <v>-0.29541785100000001</v>
      </c>
      <c r="AT2026">
        <v>8.3703990000000006E-3</v>
      </c>
      <c r="AW2026" s="28">
        <f t="shared" si="229"/>
        <v>-1.7703573944267259</v>
      </c>
      <c r="AX2026">
        <f t="shared" si="230"/>
        <v>0.92307692307692313</v>
      </c>
      <c r="AY2026" s="62">
        <f t="shared" si="231"/>
        <v>-1.634176056393901</v>
      </c>
      <c r="AZ2026" s="68" t="str">
        <f t="shared" si="232"/>
        <v>No</v>
      </c>
      <c r="BA2026" s="68" t="str">
        <f t="shared" si="233"/>
        <v>No</v>
      </c>
    </row>
    <row r="2027" spans="1:53" hidden="1">
      <c r="A2027" t="s">
        <v>1242</v>
      </c>
      <c r="B2027" t="str">
        <f t="shared" si="227"/>
        <v>2027_Kindinger</v>
      </c>
      <c r="C2027" t="s">
        <v>1244</v>
      </c>
      <c r="F2027" t="s">
        <v>1241</v>
      </c>
      <c r="G2027" t="s">
        <v>3865</v>
      </c>
      <c r="I2027">
        <v>2015</v>
      </c>
      <c r="J2027" t="s">
        <v>3866</v>
      </c>
      <c r="L2027" s="46" t="s">
        <v>3816</v>
      </c>
      <c r="M2027" s="25" t="s">
        <v>36</v>
      </c>
      <c r="N2027" t="s">
        <v>36</v>
      </c>
      <c r="P2027" t="s">
        <v>60</v>
      </c>
      <c r="Q2027" t="s">
        <v>899</v>
      </c>
      <c r="R2027" t="s">
        <v>828</v>
      </c>
      <c r="S2027" t="s">
        <v>1256</v>
      </c>
      <c r="T2027" t="s">
        <v>1257</v>
      </c>
      <c r="V2027" t="s">
        <v>907</v>
      </c>
      <c r="Z2027" s="46">
        <v>3</v>
      </c>
      <c r="AA2027" s="46">
        <v>3</v>
      </c>
      <c r="AC2027" s="46" t="s">
        <v>3476</v>
      </c>
      <c r="AD2027" s="46">
        <v>2.5</v>
      </c>
      <c r="AE2027" s="46" t="s">
        <v>3476</v>
      </c>
      <c r="AF2027" s="46">
        <v>10</v>
      </c>
      <c r="AG2027" t="str">
        <f t="shared" si="228"/>
        <v>2YIP_Calanus_D0_CO2NA_T2.50</v>
      </c>
      <c r="AJ2027" t="s">
        <v>1276</v>
      </c>
      <c r="AK2027" t="s">
        <v>1279</v>
      </c>
      <c r="AM2027"/>
      <c r="AN2027" s="46">
        <v>61.784999999999997</v>
      </c>
      <c r="AO2027" s="46">
        <v>18.651567150000002</v>
      </c>
      <c r="AP2027" s="46">
        <v>100.73963329999999</v>
      </c>
      <c r="AQ2027" s="46">
        <v>9.2665287089999993</v>
      </c>
      <c r="AS2027">
        <v>0.48887868400000001</v>
      </c>
      <c r="AT2027">
        <v>3.3197299E-2</v>
      </c>
      <c r="AW2027" s="28">
        <f t="shared" si="229"/>
        <v>2.6451762760908455</v>
      </c>
      <c r="AX2027">
        <f t="shared" si="230"/>
        <v>0.8</v>
      </c>
      <c r="AY2027" s="62">
        <f t="shared" si="231"/>
        <v>2.1161410208726763</v>
      </c>
      <c r="AZ2027" s="68" t="str">
        <f t="shared" si="232"/>
        <v>No</v>
      </c>
      <c r="BA2027" s="68" t="str">
        <f t="shared" si="233"/>
        <v>No</v>
      </c>
    </row>
    <row r="2028" spans="1:53" hidden="1">
      <c r="A2028" t="s">
        <v>1242</v>
      </c>
      <c r="B2028" t="str">
        <f t="shared" si="227"/>
        <v>2028_Kindinger</v>
      </c>
      <c r="C2028" t="s">
        <v>1245</v>
      </c>
      <c r="F2028" t="s">
        <v>1241</v>
      </c>
      <c r="G2028" t="s">
        <v>3867</v>
      </c>
      <c r="I2028">
        <v>2012</v>
      </c>
      <c r="J2028" t="s">
        <v>3868</v>
      </c>
      <c r="L2028" s="46" t="s">
        <v>3817</v>
      </c>
      <c r="M2028" s="25" t="s">
        <v>36</v>
      </c>
      <c r="N2028" t="s">
        <v>36</v>
      </c>
      <c r="P2028" t="s">
        <v>60</v>
      </c>
      <c r="Q2028" t="s">
        <v>899</v>
      </c>
      <c r="R2028" t="s">
        <v>828</v>
      </c>
      <c r="S2028" t="s">
        <v>1258</v>
      </c>
      <c r="T2028" t="s">
        <v>1259</v>
      </c>
      <c r="V2028" t="s">
        <v>905</v>
      </c>
      <c r="Z2028" s="46">
        <v>3</v>
      </c>
      <c r="AA2028" s="46">
        <v>3</v>
      </c>
      <c r="AC2028" s="46" t="s">
        <v>3476</v>
      </c>
      <c r="AD2028" s="46" t="s">
        <v>3476</v>
      </c>
      <c r="AE2028" s="46" t="s">
        <v>3476</v>
      </c>
      <c r="AF2028" s="46" t="s">
        <v>3476</v>
      </c>
      <c r="AG2028" t="str">
        <f t="shared" si="228"/>
        <v>3YIP_Centropages_D0_CO2NA_TNA</v>
      </c>
      <c r="AJ2028" t="s">
        <v>1277</v>
      </c>
      <c r="AK2028" t="s">
        <v>1279</v>
      </c>
      <c r="AM2028"/>
      <c r="AN2028" s="46">
        <v>1371</v>
      </c>
      <c r="AO2028" s="46">
        <v>752</v>
      </c>
      <c r="AP2028" s="46">
        <v>2056</v>
      </c>
      <c r="AQ2028" s="46">
        <v>809</v>
      </c>
      <c r="AS2028">
        <v>0.40522194700000003</v>
      </c>
      <c r="AT2028">
        <v>0.15189530700000001</v>
      </c>
      <c r="AW2028" s="28">
        <f t="shared" si="229"/>
        <v>0.8770580193070292</v>
      </c>
      <c r="AX2028">
        <f t="shared" si="230"/>
        <v>0.8</v>
      </c>
      <c r="AY2028" s="62">
        <f t="shared" si="231"/>
        <v>0.70164641544562345</v>
      </c>
      <c r="AZ2028" s="68" t="str">
        <f t="shared" si="232"/>
        <v>No</v>
      </c>
      <c r="BA2028" s="68" t="str">
        <f t="shared" si="233"/>
        <v>No</v>
      </c>
    </row>
    <row r="2029" spans="1:53" hidden="1">
      <c r="A2029" t="s">
        <v>1242</v>
      </c>
      <c r="B2029" t="str">
        <f t="shared" si="227"/>
        <v>2029_Kindinger</v>
      </c>
      <c r="C2029" t="s">
        <v>1246</v>
      </c>
      <c r="F2029" t="s">
        <v>1241</v>
      </c>
      <c r="G2029" t="s">
        <v>3869</v>
      </c>
      <c r="I2029">
        <v>2015</v>
      </c>
      <c r="J2029" t="s">
        <v>3870</v>
      </c>
      <c r="L2029" s="46" t="s">
        <v>3818</v>
      </c>
      <c r="M2029" s="25" t="s">
        <v>36</v>
      </c>
      <c r="N2029" t="s">
        <v>36</v>
      </c>
      <c r="P2029" t="s">
        <v>60</v>
      </c>
      <c r="Q2029" t="s">
        <v>899</v>
      </c>
      <c r="R2029" t="s">
        <v>868</v>
      </c>
      <c r="S2029" t="s">
        <v>1260</v>
      </c>
      <c r="T2029" t="s">
        <v>1261</v>
      </c>
      <c r="V2029" t="s">
        <v>905</v>
      </c>
      <c r="Z2029" s="46">
        <v>3</v>
      </c>
      <c r="AA2029" s="46">
        <v>3</v>
      </c>
      <c r="AC2029" s="46" t="s">
        <v>3833</v>
      </c>
      <c r="AD2029" s="46">
        <v>20</v>
      </c>
      <c r="AE2029" s="46" t="s">
        <v>3852</v>
      </c>
      <c r="AF2029" s="46">
        <v>20</v>
      </c>
      <c r="AG2029" t="str">
        <f t="shared" si="228"/>
        <v>4YIP_Tigriopus_D0_CO2399.0_3.6_T20.00</v>
      </c>
      <c r="AJ2029" t="s">
        <v>1277</v>
      </c>
      <c r="AK2029" t="s">
        <v>1279</v>
      </c>
      <c r="AM2029"/>
      <c r="AN2029" s="46">
        <v>969.20630000000006</v>
      </c>
      <c r="AO2029" s="46">
        <v>336.54820000000001</v>
      </c>
      <c r="AP2029" s="46">
        <v>950.15869999999995</v>
      </c>
      <c r="AQ2029" s="46">
        <v>120.68859999999999</v>
      </c>
      <c r="AS2029">
        <v>-1.9848465999999999E-2</v>
      </c>
      <c r="AT2029">
        <v>4.5570089000000001E-2</v>
      </c>
      <c r="AW2029" s="28">
        <f t="shared" si="229"/>
        <v>-7.5342172115881859E-2</v>
      </c>
      <c r="AX2029">
        <f t="shared" si="230"/>
        <v>0.8</v>
      </c>
      <c r="AY2029" s="62">
        <f t="shared" si="231"/>
        <v>-6.0273737692705491E-2</v>
      </c>
      <c r="AZ2029" s="68" t="str">
        <f t="shared" si="232"/>
        <v>No</v>
      </c>
      <c r="BA2029" s="68" t="str">
        <f t="shared" si="233"/>
        <v>No</v>
      </c>
    </row>
    <row r="2030" spans="1:53" hidden="1">
      <c r="A2030" t="s">
        <v>1242</v>
      </c>
      <c r="B2030" t="str">
        <f t="shared" si="227"/>
        <v>2030_Kindinger</v>
      </c>
      <c r="C2030" t="s">
        <v>1246</v>
      </c>
      <c r="F2030" t="s">
        <v>1241</v>
      </c>
      <c r="G2030" t="s">
        <v>3869</v>
      </c>
      <c r="I2030">
        <v>2015</v>
      </c>
      <c r="J2030" t="s">
        <v>3870</v>
      </c>
      <c r="L2030" s="46" t="s">
        <v>3818</v>
      </c>
      <c r="M2030" s="25" t="s">
        <v>36</v>
      </c>
      <c r="N2030" t="s">
        <v>36</v>
      </c>
      <c r="P2030" t="s">
        <v>60</v>
      </c>
      <c r="Q2030" t="s">
        <v>899</v>
      </c>
      <c r="R2030" t="s">
        <v>868</v>
      </c>
      <c r="S2030" t="s">
        <v>1260</v>
      </c>
      <c r="T2030" t="s">
        <v>1261</v>
      </c>
      <c r="V2030" t="s">
        <v>907</v>
      </c>
      <c r="Z2030" s="46">
        <v>3</v>
      </c>
      <c r="AA2030" s="46">
        <v>3</v>
      </c>
      <c r="AC2030" s="46" t="s">
        <v>3833</v>
      </c>
      <c r="AD2030" s="46">
        <v>20</v>
      </c>
      <c r="AE2030" s="46" t="s">
        <v>3833</v>
      </c>
      <c r="AF2030" s="46">
        <v>24</v>
      </c>
      <c r="AG2030" t="str">
        <f t="shared" si="228"/>
        <v>4YIP_Tigriopus_D0_CO2399.0_3.6_T20.00</v>
      </c>
      <c r="AJ2030" t="s">
        <v>1277</v>
      </c>
      <c r="AK2030" t="s">
        <v>1279</v>
      </c>
      <c r="AM2030"/>
      <c r="AN2030" s="46">
        <v>969.20630000000006</v>
      </c>
      <c r="AO2030" s="46">
        <v>336.54820000000001</v>
      </c>
      <c r="AP2030" s="46">
        <v>1267.1098</v>
      </c>
      <c r="AQ2030" s="46">
        <v>393.70440000000002</v>
      </c>
      <c r="AS2030">
        <v>0.26801634899999999</v>
      </c>
      <c r="AT2030">
        <v>7.2372463999999997E-2</v>
      </c>
      <c r="AW2030" s="28">
        <f t="shared" si="229"/>
        <v>0.81340397947873766</v>
      </c>
      <c r="AX2030">
        <f t="shared" si="230"/>
        <v>0.8</v>
      </c>
      <c r="AY2030" s="62">
        <f t="shared" si="231"/>
        <v>0.65072318358299019</v>
      </c>
      <c r="AZ2030" s="68" t="str">
        <f t="shared" si="232"/>
        <v>No</v>
      </c>
      <c r="BA2030" s="68" t="str">
        <f t="shared" si="233"/>
        <v>No</v>
      </c>
    </row>
    <row r="2031" spans="1:53" hidden="1">
      <c r="A2031" t="s">
        <v>1242</v>
      </c>
      <c r="B2031" t="str">
        <f t="shared" si="227"/>
        <v>2031_Kindinger</v>
      </c>
      <c r="C2031" t="s">
        <v>1246</v>
      </c>
      <c r="F2031" t="s">
        <v>1241</v>
      </c>
      <c r="G2031" t="s">
        <v>3869</v>
      </c>
      <c r="I2031">
        <v>2015</v>
      </c>
      <c r="J2031" t="s">
        <v>3870</v>
      </c>
      <c r="L2031" s="46" t="s">
        <v>3818</v>
      </c>
      <c r="M2031" s="25" t="s">
        <v>36</v>
      </c>
      <c r="N2031" t="s">
        <v>36</v>
      </c>
      <c r="P2031" t="s">
        <v>60</v>
      </c>
      <c r="Q2031" t="s">
        <v>899</v>
      </c>
      <c r="R2031" t="s">
        <v>868</v>
      </c>
      <c r="S2031" t="s">
        <v>1260</v>
      </c>
      <c r="T2031" t="s">
        <v>1261</v>
      </c>
      <c r="V2031" t="s">
        <v>1015</v>
      </c>
      <c r="Z2031" s="46">
        <v>3</v>
      </c>
      <c r="AA2031" s="46">
        <v>3</v>
      </c>
      <c r="AC2031" s="46" t="s">
        <v>3833</v>
      </c>
      <c r="AD2031" s="46">
        <v>20</v>
      </c>
      <c r="AE2031" s="46" t="s">
        <v>3852</v>
      </c>
      <c r="AF2031" s="46">
        <v>24</v>
      </c>
      <c r="AG2031" t="str">
        <f t="shared" si="228"/>
        <v>4YIP_Tigriopus_D0_CO2399.0_3.6_T20.00</v>
      </c>
      <c r="AJ2031" t="s">
        <v>1277</v>
      </c>
      <c r="AK2031" t="s">
        <v>1279</v>
      </c>
      <c r="AM2031"/>
      <c r="AN2031" s="46">
        <v>969.20630000000006</v>
      </c>
      <c r="AO2031" s="46">
        <v>336.54820000000001</v>
      </c>
      <c r="AP2031" s="46">
        <v>936.95100000000002</v>
      </c>
      <c r="AQ2031" s="46">
        <v>228.6318</v>
      </c>
      <c r="AS2031">
        <v>-3.3846503E-2</v>
      </c>
      <c r="AT2031">
        <v>6.0040180999999998E-2</v>
      </c>
      <c r="AW2031" s="28">
        <f t="shared" si="229"/>
        <v>-0.11211618017202259</v>
      </c>
      <c r="AX2031">
        <f t="shared" si="230"/>
        <v>0.8</v>
      </c>
      <c r="AY2031" s="62">
        <f t="shared" si="231"/>
        <v>-8.969294413761808E-2</v>
      </c>
      <c r="AZ2031" s="68" t="str">
        <f t="shared" si="232"/>
        <v>No</v>
      </c>
      <c r="BA2031" s="68" t="str">
        <f t="shared" si="233"/>
        <v>No</v>
      </c>
    </row>
    <row r="2032" spans="1:53" hidden="1">
      <c r="A2032" t="s">
        <v>1242</v>
      </c>
      <c r="B2032" t="str">
        <f t="shared" si="227"/>
        <v>2032_Kindinger</v>
      </c>
      <c r="C2032" t="s">
        <v>1247</v>
      </c>
      <c r="F2032" t="s">
        <v>1241</v>
      </c>
      <c r="G2032" t="s">
        <v>3871</v>
      </c>
      <c r="I2032">
        <v>2019</v>
      </c>
      <c r="J2032" t="s">
        <v>3872</v>
      </c>
      <c r="L2032" s="46" t="s">
        <v>3819</v>
      </c>
      <c r="M2032" s="25" t="s">
        <v>36</v>
      </c>
      <c r="N2032" t="s">
        <v>36</v>
      </c>
      <c r="P2032" t="s">
        <v>60</v>
      </c>
      <c r="Q2032" t="s">
        <v>899</v>
      </c>
      <c r="R2032" t="s">
        <v>828</v>
      </c>
      <c r="S2032" t="s">
        <v>1254</v>
      </c>
      <c r="T2032" t="s">
        <v>1262</v>
      </c>
      <c r="V2032" t="s">
        <v>905</v>
      </c>
      <c r="Z2032" s="46">
        <v>4</v>
      </c>
      <c r="AA2032" s="46">
        <v>4</v>
      </c>
      <c r="AC2032" s="46" t="s">
        <v>3834</v>
      </c>
      <c r="AD2032" s="46" t="s">
        <v>3476</v>
      </c>
      <c r="AE2032" s="46" t="s">
        <v>3853</v>
      </c>
      <c r="AF2032" s="46" t="s">
        <v>3476</v>
      </c>
      <c r="AG2032" t="str">
        <f t="shared" si="228"/>
        <v>5YIP_Acartia_D0_CO2516_39_TNA</v>
      </c>
      <c r="AJ2032" t="s">
        <v>1275</v>
      </c>
      <c r="AK2032" t="s">
        <v>1279</v>
      </c>
      <c r="AM2032"/>
      <c r="AN2032" s="46">
        <v>15.4445</v>
      </c>
      <c r="AO2032" s="46">
        <v>9.6295999999999999</v>
      </c>
      <c r="AP2032" s="46">
        <v>20.305299999999999</v>
      </c>
      <c r="AQ2032" s="46">
        <v>2.4693000000000001</v>
      </c>
      <c r="AS2032">
        <v>0.27362898299999999</v>
      </c>
      <c r="AT2032">
        <v>0.10088430499999999</v>
      </c>
      <c r="AW2032" s="28">
        <f t="shared" si="229"/>
        <v>0.69148973571893513</v>
      </c>
      <c r="AX2032">
        <f t="shared" si="230"/>
        <v>0.86956521739130432</v>
      </c>
      <c r="AY2032" s="62">
        <f t="shared" si="231"/>
        <v>0.60129542236429145</v>
      </c>
      <c r="AZ2032" s="68" t="str">
        <f t="shared" si="232"/>
        <v>No</v>
      </c>
      <c r="BA2032" s="68" t="str">
        <f t="shared" si="233"/>
        <v>No</v>
      </c>
    </row>
    <row r="2033" spans="1:53" hidden="1">
      <c r="A2033" t="s">
        <v>1242</v>
      </c>
      <c r="B2033" t="str">
        <f t="shared" si="227"/>
        <v>2033_Kindinger</v>
      </c>
      <c r="C2033" t="s">
        <v>1247</v>
      </c>
      <c r="F2033" t="s">
        <v>1241</v>
      </c>
      <c r="G2033" t="s">
        <v>3871</v>
      </c>
      <c r="I2033">
        <v>2019</v>
      </c>
      <c r="J2033" t="s">
        <v>3872</v>
      </c>
      <c r="L2033" s="46" t="s">
        <v>3819</v>
      </c>
      <c r="M2033" s="25" t="s">
        <v>36</v>
      </c>
      <c r="N2033" t="s">
        <v>36</v>
      </c>
      <c r="P2033" t="s">
        <v>60</v>
      </c>
      <c r="Q2033" t="s">
        <v>899</v>
      </c>
      <c r="R2033" t="s">
        <v>828</v>
      </c>
      <c r="S2033" t="s">
        <v>1254</v>
      </c>
      <c r="T2033" t="s">
        <v>1262</v>
      </c>
      <c r="V2033" t="s">
        <v>905</v>
      </c>
      <c r="Z2033" s="46">
        <v>4</v>
      </c>
      <c r="AA2033" s="46">
        <v>4</v>
      </c>
      <c r="AC2033" s="46" t="s">
        <v>3835</v>
      </c>
      <c r="AD2033" s="46" t="s">
        <v>3476</v>
      </c>
      <c r="AE2033" s="46" t="s">
        <v>3854</v>
      </c>
      <c r="AF2033" s="46" t="s">
        <v>3476</v>
      </c>
      <c r="AG2033" t="str">
        <f t="shared" si="228"/>
        <v>5YIP_Acartia_D0_CO2458_45_TNA</v>
      </c>
      <c r="AJ2033" t="s">
        <v>1275</v>
      </c>
      <c r="AK2033" t="s">
        <v>1279</v>
      </c>
      <c r="AM2033"/>
      <c r="AN2033" s="46">
        <v>8.6355000000000004</v>
      </c>
      <c r="AO2033" s="46">
        <v>3.2103000000000002</v>
      </c>
      <c r="AP2033" s="46">
        <v>23.208300000000001</v>
      </c>
      <c r="AQ2033" s="46">
        <v>3.6221000000000001</v>
      </c>
      <c r="AS2033">
        <v>0.98862835999999998</v>
      </c>
      <c r="AT2033">
        <v>4.0640049999999997E-2</v>
      </c>
      <c r="AW2033" s="28">
        <f t="shared" si="229"/>
        <v>4.258065335909138</v>
      </c>
      <c r="AX2033">
        <f t="shared" si="230"/>
        <v>0.86956521739130432</v>
      </c>
      <c r="AY2033" s="62">
        <f t="shared" si="231"/>
        <v>3.7026655094862071</v>
      </c>
      <c r="AZ2033" s="68" t="str">
        <f t="shared" si="232"/>
        <v>No</v>
      </c>
      <c r="BA2033" s="68" t="str">
        <f t="shared" si="233"/>
        <v>No</v>
      </c>
    </row>
    <row r="2034" spans="1:53" hidden="1">
      <c r="A2034" t="s">
        <v>1242</v>
      </c>
      <c r="B2034" t="str">
        <f t="shared" si="227"/>
        <v>2034_Kindinger</v>
      </c>
      <c r="C2034" t="s">
        <v>1247</v>
      </c>
      <c r="F2034" t="s">
        <v>1241</v>
      </c>
      <c r="G2034" t="s">
        <v>3871</v>
      </c>
      <c r="I2034">
        <v>2019</v>
      </c>
      <c r="J2034" t="s">
        <v>3872</v>
      </c>
      <c r="L2034" s="46" t="s">
        <v>3819</v>
      </c>
      <c r="M2034" s="25" t="s">
        <v>36</v>
      </c>
      <c r="N2034" t="s">
        <v>36</v>
      </c>
      <c r="P2034" t="s">
        <v>60</v>
      </c>
      <c r="Q2034" t="s">
        <v>899</v>
      </c>
      <c r="R2034" t="s">
        <v>828</v>
      </c>
      <c r="S2034" t="s">
        <v>1254</v>
      </c>
      <c r="T2034" t="s">
        <v>1262</v>
      </c>
      <c r="V2034" t="s">
        <v>905</v>
      </c>
      <c r="Z2034" s="46">
        <v>4</v>
      </c>
      <c r="AA2034" s="46">
        <v>4</v>
      </c>
      <c r="AC2034" s="46" t="s">
        <v>3834</v>
      </c>
      <c r="AD2034" s="46" t="s">
        <v>3476</v>
      </c>
      <c r="AE2034" s="46" t="s">
        <v>3853</v>
      </c>
      <c r="AF2034" s="46" t="s">
        <v>3476</v>
      </c>
      <c r="AG2034" t="str">
        <f t="shared" si="228"/>
        <v>5YIP_Acartia_D0_CO2516_39_TNA</v>
      </c>
      <c r="AJ2034" t="s">
        <v>1275</v>
      </c>
      <c r="AK2034" t="s">
        <v>1279</v>
      </c>
      <c r="AM2034"/>
      <c r="AN2034" s="46">
        <v>8.8489000000000004</v>
      </c>
      <c r="AO2034" s="46">
        <v>5.1853999999999996</v>
      </c>
      <c r="AP2034" s="46">
        <v>10.8292</v>
      </c>
      <c r="AQ2034" s="46">
        <v>4.0327999999999999</v>
      </c>
      <c r="AS2034">
        <v>0.201953032</v>
      </c>
      <c r="AT2034">
        <v>0.120517707</v>
      </c>
      <c r="AW2034" s="28">
        <f t="shared" si="229"/>
        <v>0.42633037935052948</v>
      </c>
      <c r="AX2034">
        <f t="shared" si="230"/>
        <v>0.86956521739130432</v>
      </c>
      <c r="AY2034" s="62">
        <f t="shared" si="231"/>
        <v>0.3707220690004604</v>
      </c>
      <c r="AZ2034" s="68" t="str">
        <f t="shared" si="232"/>
        <v>No</v>
      </c>
      <c r="BA2034" s="68" t="str">
        <f t="shared" si="233"/>
        <v>No</v>
      </c>
    </row>
    <row r="2035" spans="1:53" hidden="1">
      <c r="A2035" t="s">
        <v>1242</v>
      </c>
      <c r="B2035" t="str">
        <f t="shared" si="227"/>
        <v>2035_Kindinger</v>
      </c>
      <c r="C2035" t="s">
        <v>1247</v>
      </c>
      <c r="F2035" t="s">
        <v>1241</v>
      </c>
      <c r="G2035" t="s">
        <v>3871</v>
      </c>
      <c r="I2035">
        <v>2019</v>
      </c>
      <c r="J2035" t="s">
        <v>3872</v>
      </c>
      <c r="L2035" s="46" t="s">
        <v>3819</v>
      </c>
      <c r="M2035" s="25" t="s">
        <v>36</v>
      </c>
      <c r="N2035" t="s">
        <v>36</v>
      </c>
      <c r="P2035" t="s">
        <v>60</v>
      </c>
      <c r="Q2035" t="s">
        <v>899</v>
      </c>
      <c r="R2035" t="s">
        <v>828</v>
      </c>
      <c r="S2035" t="s">
        <v>1254</v>
      </c>
      <c r="T2035" t="s">
        <v>1262</v>
      </c>
      <c r="V2035" t="s">
        <v>905</v>
      </c>
      <c r="Z2035" s="46">
        <v>4</v>
      </c>
      <c r="AA2035" s="46">
        <v>4</v>
      </c>
      <c r="AC2035" s="46" t="s">
        <v>3835</v>
      </c>
      <c r="AD2035" s="46" t="s">
        <v>3476</v>
      </c>
      <c r="AE2035" s="46" t="s">
        <v>3854</v>
      </c>
      <c r="AF2035" s="46" t="s">
        <v>3476</v>
      </c>
      <c r="AG2035" t="str">
        <f t="shared" si="228"/>
        <v>5YIP_Acartia_D0_CO2458_45_TNA</v>
      </c>
      <c r="AJ2035" t="s">
        <v>1275</v>
      </c>
      <c r="AK2035" t="s">
        <v>1279</v>
      </c>
      <c r="AM2035"/>
      <c r="AN2035" s="46">
        <v>28.789100000000001</v>
      </c>
      <c r="AO2035" s="46">
        <v>5.9256000000000002</v>
      </c>
      <c r="AP2035" s="46">
        <v>19.246500000000001</v>
      </c>
      <c r="AQ2035" s="46">
        <v>5.35</v>
      </c>
      <c r="AS2035">
        <v>-0.40266761699999998</v>
      </c>
      <c r="AT2035">
        <v>2.9908475E-2</v>
      </c>
      <c r="AW2035" s="28">
        <f t="shared" si="229"/>
        <v>-1.6904094839607804</v>
      </c>
      <c r="AX2035">
        <f t="shared" si="230"/>
        <v>0.86956521739130432</v>
      </c>
      <c r="AY2035" s="62">
        <f t="shared" si="231"/>
        <v>-1.4699212904006786</v>
      </c>
      <c r="AZ2035" s="68" t="str">
        <f t="shared" si="232"/>
        <v>No</v>
      </c>
      <c r="BA2035" s="68" t="str">
        <f t="shared" si="233"/>
        <v>No</v>
      </c>
    </row>
    <row r="2036" spans="1:53" hidden="1">
      <c r="A2036" t="s">
        <v>1242</v>
      </c>
      <c r="B2036" t="str">
        <f t="shared" si="227"/>
        <v>2036_Kindinger</v>
      </c>
      <c r="C2036" t="s">
        <v>1248</v>
      </c>
      <c r="F2036" t="s">
        <v>1241</v>
      </c>
      <c r="G2036" t="s">
        <v>3873</v>
      </c>
      <c r="I2036">
        <v>2018</v>
      </c>
      <c r="J2036" t="s">
        <v>3874</v>
      </c>
      <c r="L2036" s="46" t="s">
        <v>3820</v>
      </c>
      <c r="M2036" s="25" t="s">
        <v>36</v>
      </c>
      <c r="N2036" t="s">
        <v>36</v>
      </c>
      <c r="P2036" t="s">
        <v>60</v>
      </c>
      <c r="Q2036" t="s">
        <v>899</v>
      </c>
      <c r="R2036" t="s">
        <v>855</v>
      </c>
      <c r="S2036" t="s">
        <v>1263</v>
      </c>
      <c r="T2036" t="s">
        <v>1264</v>
      </c>
      <c r="V2036" t="s">
        <v>905</v>
      </c>
      <c r="Z2036" s="46">
        <v>3</v>
      </c>
      <c r="AA2036" s="46">
        <v>3</v>
      </c>
      <c r="AC2036" s="46" t="s">
        <v>3836</v>
      </c>
      <c r="AD2036" s="46" t="s">
        <v>3476</v>
      </c>
      <c r="AE2036" s="46" t="s">
        <v>3855</v>
      </c>
      <c r="AF2036" s="46" t="s">
        <v>3476</v>
      </c>
      <c r="AG2036" t="str">
        <f t="shared" si="228"/>
        <v>6YIP_Eutintinnus_D0_CO2260_78_TNA</v>
      </c>
      <c r="AJ2036" t="s">
        <v>1278</v>
      </c>
      <c r="AK2036" t="s">
        <v>1279</v>
      </c>
      <c r="AM2036"/>
      <c r="AN2036" s="46">
        <v>5.4846000000000004</v>
      </c>
      <c r="AO2036" s="46">
        <v>0.58330000000000004</v>
      </c>
      <c r="AP2036" s="46">
        <v>9.6166999999999998</v>
      </c>
      <c r="AQ2036" s="46">
        <v>1.0007999999999999</v>
      </c>
      <c r="AS2036">
        <v>0.56155700600000003</v>
      </c>
      <c r="AT2036">
        <v>7.3803890000000002E-3</v>
      </c>
      <c r="AW2036" s="28">
        <f t="shared" si="229"/>
        <v>5.0447021556485723</v>
      </c>
      <c r="AX2036">
        <f t="shared" si="230"/>
        <v>0.8</v>
      </c>
      <c r="AY2036" s="62">
        <f t="shared" si="231"/>
        <v>4.0357617245188582</v>
      </c>
      <c r="AZ2036" s="68" t="str">
        <f t="shared" si="232"/>
        <v>No</v>
      </c>
      <c r="BA2036" s="68" t="str">
        <f t="shared" si="233"/>
        <v>No</v>
      </c>
    </row>
    <row r="2037" spans="1:53" hidden="1">
      <c r="A2037" t="s">
        <v>1242</v>
      </c>
      <c r="B2037" t="str">
        <f t="shared" si="227"/>
        <v>2037_Kindinger</v>
      </c>
      <c r="C2037" t="s">
        <v>1248</v>
      </c>
      <c r="F2037" t="s">
        <v>1241</v>
      </c>
      <c r="G2037" t="s">
        <v>3873</v>
      </c>
      <c r="I2037">
        <v>2018</v>
      </c>
      <c r="J2037" t="s">
        <v>3874</v>
      </c>
      <c r="L2037" s="46" t="s">
        <v>3820</v>
      </c>
      <c r="M2037" s="25" t="s">
        <v>36</v>
      </c>
      <c r="N2037" t="s">
        <v>36</v>
      </c>
      <c r="P2037" t="s">
        <v>60</v>
      </c>
      <c r="Q2037" t="s">
        <v>899</v>
      </c>
      <c r="R2037" t="s">
        <v>855</v>
      </c>
      <c r="S2037" t="s">
        <v>1265</v>
      </c>
      <c r="T2037" t="s">
        <v>1264</v>
      </c>
      <c r="V2037" t="s">
        <v>905</v>
      </c>
      <c r="Z2037" s="46">
        <v>3</v>
      </c>
      <c r="AA2037" s="46">
        <v>3</v>
      </c>
      <c r="AC2037" s="46" t="s">
        <v>3837</v>
      </c>
      <c r="AD2037" s="46" t="s">
        <v>3476</v>
      </c>
      <c r="AE2037" s="46" t="s">
        <v>3856</v>
      </c>
      <c r="AF2037" s="46" t="s">
        <v>3476</v>
      </c>
      <c r="AG2037" t="str">
        <f t="shared" si="228"/>
        <v>6YIP_Schmidingerella_D0_CO2385_10_TNA</v>
      </c>
      <c r="AJ2037" t="s">
        <v>1278</v>
      </c>
      <c r="AK2037" t="s">
        <v>1279</v>
      </c>
      <c r="AM2037"/>
      <c r="AN2037" s="46">
        <v>8.5055999999999994</v>
      </c>
      <c r="AO2037" s="46">
        <v>0.83430000000000004</v>
      </c>
      <c r="AP2037" s="46">
        <v>8.1231000000000009</v>
      </c>
      <c r="AQ2037" s="46">
        <v>0.83409999999999995</v>
      </c>
      <c r="AS2037">
        <v>-4.6012915000000001E-2</v>
      </c>
      <c r="AT2037">
        <v>6.7216699999999999E-3</v>
      </c>
      <c r="AW2037" s="28">
        <f t="shared" si="229"/>
        <v>-0.45852313264411165</v>
      </c>
      <c r="AX2037">
        <f t="shared" si="230"/>
        <v>0.8</v>
      </c>
      <c r="AY2037" s="62">
        <f t="shared" si="231"/>
        <v>-0.36681850611528932</v>
      </c>
      <c r="AZ2037" s="68" t="str">
        <f t="shared" si="232"/>
        <v>No</v>
      </c>
      <c r="BA2037" s="68" t="str">
        <f t="shared" si="233"/>
        <v>No</v>
      </c>
    </row>
    <row r="2038" spans="1:53" hidden="1">
      <c r="A2038" t="s">
        <v>1242</v>
      </c>
      <c r="B2038" t="str">
        <f t="shared" si="227"/>
        <v>2038_Kindinger</v>
      </c>
      <c r="C2038" t="s">
        <v>1248</v>
      </c>
      <c r="F2038" t="s">
        <v>1241</v>
      </c>
      <c r="G2038" t="s">
        <v>3873</v>
      </c>
      <c r="I2038">
        <v>2018</v>
      </c>
      <c r="J2038" t="s">
        <v>3874</v>
      </c>
      <c r="L2038" s="46" t="s">
        <v>3820</v>
      </c>
      <c r="M2038" s="25" t="s">
        <v>36</v>
      </c>
      <c r="N2038" t="s">
        <v>36</v>
      </c>
      <c r="P2038" t="s">
        <v>60</v>
      </c>
      <c r="Q2038" t="s">
        <v>899</v>
      </c>
      <c r="R2038" t="s">
        <v>834</v>
      </c>
      <c r="S2038" t="s">
        <v>1266</v>
      </c>
      <c r="T2038" t="s">
        <v>1267</v>
      </c>
      <c r="V2038" t="s">
        <v>905</v>
      </c>
      <c r="Z2038" s="46">
        <v>3</v>
      </c>
      <c r="AA2038" s="46">
        <v>3</v>
      </c>
      <c r="AC2038" s="46" t="s">
        <v>3838</v>
      </c>
      <c r="AD2038" s="46" t="s">
        <v>3476</v>
      </c>
      <c r="AE2038" s="46" t="s">
        <v>3857</v>
      </c>
      <c r="AF2038" s="46" t="s">
        <v>3476</v>
      </c>
      <c r="AG2038" t="str">
        <f t="shared" si="228"/>
        <v>6YIP_Oxyrrhis_D0_CO2379_43_TNA</v>
      </c>
      <c r="AJ2038" t="s">
        <v>1278</v>
      </c>
      <c r="AK2038" t="s">
        <v>1279</v>
      </c>
      <c r="AM2038"/>
      <c r="AN2038" s="46">
        <v>4.2709999999999999</v>
      </c>
      <c r="AO2038" s="46">
        <v>0.2082</v>
      </c>
      <c r="AP2038" s="46">
        <v>5.0431999999999997</v>
      </c>
      <c r="AQ2038" s="46">
        <v>0.22889999999999999</v>
      </c>
      <c r="AS2038">
        <v>0.166192809</v>
      </c>
      <c r="AT2038">
        <v>1.478788E-3</v>
      </c>
      <c r="AW2038" s="28">
        <f t="shared" si="229"/>
        <v>3.5293321052449902</v>
      </c>
      <c r="AX2038">
        <f t="shared" si="230"/>
        <v>0.8</v>
      </c>
      <c r="AY2038" s="62">
        <f t="shared" si="231"/>
        <v>2.8234656841959924</v>
      </c>
      <c r="AZ2038" s="68" t="str">
        <f t="shared" si="232"/>
        <v>No</v>
      </c>
      <c r="BA2038" s="68" t="str">
        <f t="shared" si="233"/>
        <v>No</v>
      </c>
    </row>
    <row r="2039" spans="1:53" hidden="1">
      <c r="A2039" t="s">
        <v>1242</v>
      </c>
      <c r="B2039" t="str">
        <f t="shared" si="227"/>
        <v>2039_Kindinger</v>
      </c>
      <c r="C2039" t="s">
        <v>1249</v>
      </c>
      <c r="F2039" t="s">
        <v>1241</v>
      </c>
      <c r="G2039" t="s">
        <v>3875</v>
      </c>
      <c r="I2039">
        <v>2018</v>
      </c>
      <c r="J2039" t="s">
        <v>3876</v>
      </c>
      <c r="L2039" s="46" t="s">
        <v>3825</v>
      </c>
      <c r="M2039" s="25" t="s">
        <v>36</v>
      </c>
      <c r="N2039" t="s">
        <v>36</v>
      </c>
      <c r="P2039" t="s">
        <v>60</v>
      </c>
      <c r="Q2039" t="s">
        <v>899</v>
      </c>
      <c r="R2039" t="s">
        <v>849</v>
      </c>
      <c r="S2039" t="s">
        <v>1268</v>
      </c>
      <c r="T2039" t="s">
        <v>1269</v>
      </c>
      <c r="V2039" t="s">
        <v>905</v>
      </c>
      <c r="Z2039" s="46">
        <v>5</v>
      </c>
      <c r="AA2039" s="46">
        <v>5</v>
      </c>
      <c r="AC2039" s="46" t="s">
        <v>3839</v>
      </c>
      <c r="AD2039" s="46" t="s">
        <v>3829</v>
      </c>
      <c r="AE2039" s="46" t="s">
        <v>3858</v>
      </c>
      <c r="AF2039" s="46" t="s">
        <v>3847</v>
      </c>
      <c r="AG2039" t="str">
        <f t="shared" si="228"/>
        <v>7YIP_Thysanoessa_D0_CO2453.7_26.5_T7.3_0.4</v>
      </c>
      <c r="AJ2039" t="s">
        <v>1275</v>
      </c>
      <c r="AK2039" t="s">
        <v>1279</v>
      </c>
      <c r="AM2039"/>
      <c r="AN2039" s="46">
        <v>4121.3388999999997</v>
      </c>
      <c r="AO2039" s="46">
        <v>1924.6862000000001</v>
      </c>
      <c r="AP2039" s="46">
        <v>4331.7821000000004</v>
      </c>
      <c r="AQ2039" s="46">
        <v>3549.0628999999999</v>
      </c>
      <c r="AS2039">
        <v>4.9800941000000001E-2</v>
      </c>
      <c r="AT2039">
        <v>0.17787180599999999</v>
      </c>
      <c r="AW2039" s="28">
        <f t="shared" si="229"/>
        <v>7.3714439883581104E-2</v>
      </c>
      <c r="AX2039">
        <f t="shared" si="230"/>
        <v>0.90322580645161288</v>
      </c>
      <c r="AY2039" s="62">
        <f t="shared" si="231"/>
        <v>6.6580784410976479E-2</v>
      </c>
      <c r="AZ2039" s="68" t="str">
        <f t="shared" si="232"/>
        <v>No</v>
      </c>
      <c r="BA2039" s="68" t="str">
        <f t="shared" si="233"/>
        <v>No</v>
      </c>
    </row>
    <row r="2040" spans="1:53" hidden="1">
      <c r="A2040" t="s">
        <v>1242</v>
      </c>
      <c r="B2040" t="str">
        <f t="shared" si="227"/>
        <v>2040_Kindinger</v>
      </c>
      <c r="C2040" t="s">
        <v>1250</v>
      </c>
      <c r="F2040" t="s">
        <v>1241</v>
      </c>
      <c r="G2040" t="s">
        <v>3879</v>
      </c>
      <c r="I2040">
        <v>2014</v>
      </c>
      <c r="J2040" t="s">
        <v>3880</v>
      </c>
      <c r="L2040" s="46" t="s">
        <v>3821</v>
      </c>
      <c r="M2040" s="25" t="s">
        <v>36</v>
      </c>
      <c r="N2040" t="s">
        <v>36</v>
      </c>
      <c r="P2040" t="s">
        <v>60</v>
      </c>
      <c r="Q2040" t="s">
        <v>899</v>
      </c>
      <c r="R2040" t="s">
        <v>828</v>
      </c>
      <c r="S2040" t="s">
        <v>1256</v>
      </c>
      <c r="T2040" t="s">
        <v>1270</v>
      </c>
      <c r="V2040" t="s">
        <v>905</v>
      </c>
      <c r="Z2040" s="46">
        <v>3</v>
      </c>
      <c r="AA2040" s="46">
        <v>3</v>
      </c>
      <c r="AC2040" s="46" t="s">
        <v>3840</v>
      </c>
      <c r="AD2040" s="46" t="s">
        <v>3830</v>
      </c>
      <c r="AE2040" s="46" t="s">
        <v>3859</v>
      </c>
      <c r="AF2040" s="46" t="s">
        <v>3848</v>
      </c>
      <c r="AG2040" t="str">
        <f t="shared" si="228"/>
        <v>8YIP_Calanus_D0_CO2421_16_T9.79_0.1</v>
      </c>
      <c r="AJ2040" t="s">
        <v>1277</v>
      </c>
      <c r="AK2040" t="s">
        <v>1279</v>
      </c>
      <c r="AM2040"/>
      <c r="AN2040" s="46">
        <v>1.064233333</v>
      </c>
      <c r="AO2040" s="46">
        <v>9.5864088E-2</v>
      </c>
      <c r="AP2040" s="46">
        <v>1.0206</v>
      </c>
      <c r="AQ2040" s="46">
        <v>0.46834504399999999</v>
      </c>
      <c r="AS2040">
        <v>-4.1863974999999998E-2</v>
      </c>
      <c r="AT2040">
        <v>7.2898603000000006E-2</v>
      </c>
      <c r="AW2040" s="28">
        <f t="shared" si="229"/>
        <v>-0.12907886021435844</v>
      </c>
      <c r="AX2040">
        <f t="shared" si="230"/>
        <v>0.8</v>
      </c>
      <c r="AY2040" s="62">
        <f t="shared" si="231"/>
        <v>-0.10326308817148676</v>
      </c>
      <c r="AZ2040" s="68" t="str">
        <f t="shared" si="232"/>
        <v>No</v>
      </c>
      <c r="BA2040" s="68" t="str">
        <f t="shared" si="233"/>
        <v>No</v>
      </c>
    </row>
    <row r="2041" spans="1:53" hidden="1">
      <c r="A2041" t="s">
        <v>1242</v>
      </c>
      <c r="B2041" t="str">
        <f t="shared" si="227"/>
        <v>2041_Kindinger</v>
      </c>
      <c r="C2041" t="s">
        <v>1251</v>
      </c>
      <c r="F2041" t="s">
        <v>1241</v>
      </c>
      <c r="G2041" t="s">
        <v>3881</v>
      </c>
      <c r="I2041">
        <v>2016</v>
      </c>
      <c r="J2041" t="s">
        <v>3882</v>
      </c>
      <c r="L2041" s="46" t="s">
        <v>3822</v>
      </c>
      <c r="M2041" s="25" t="s">
        <v>36</v>
      </c>
      <c r="N2041" t="s">
        <v>36</v>
      </c>
      <c r="P2041" t="s">
        <v>60</v>
      </c>
      <c r="Q2041" t="s">
        <v>899</v>
      </c>
      <c r="R2041" t="s">
        <v>828</v>
      </c>
      <c r="S2041" t="s">
        <v>1256</v>
      </c>
      <c r="T2041" t="s">
        <v>1270</v>
      </c>
      <c r="V2041" t="s">
        <v>905</v>
      </c>
      <c r="Z2041" s="46">
        <v>10</v>
      </c>
      <c r="AA2041" s="46">
        <v>10</v>
      </c>
      <c r="AC2041" s="46" t="s">
        <v>3841</v>
      </c>
      <c r="AD2041" s="46" t="s">
        <v>3476</v>
      </c>
      <c r="AE2041" s="46" t="s">
        <v>3860</v>
      </c>
      <c r="AF2041" s="46" t="s">
        <v>3476</v>
      </c>
      <c r="AG2041" t="str">
        <f t="shared" si="228"/>
        <v>9YIP_Calanus_D0_CO2584.3_71.5_TNA</v>
      </c>
      <c r="AJ2041" t="s">
        <v>1275</v>
      </c>
      <c r="AK2041" t="s">
        <v>1279</v>
      </c>
      <c r="AM2041"/>
      <c r="AN2041" s="46">
        <v>347910</v>
      </c>
      <c r="AO2041" s="46">
        <v>417380</v>
      </c>
      <c r="AP2041" s="46">
        <v>237040</v>
      </c>
      <c r="AQ2041" s="46">
        <v>130600</v>
      </c>
      <c r="AS2041">
        <v>-0.38371492200000001</v>
      </c>
      <c r="AT2041">
        <v>0.17427864600000001</v>
      </c>
      <c r="AW2041" s="28">
        <f t="shared" si="229"/>
        <v>-0.35852068465782055</v>
      </c>
      <c r="AX2041">
        <f t="shared" si="230"/>
        <v>0.95774647887323949</v>
      </c>
      <c r="AY2041" s="62">
        <f t="shared" si="231"/>
        <v>-0.34337192333425071</v>
      </c>
      <c r="AZ2041" s="68" t="str">
        <f t="shared" si="232"/>
        <v>No</v>
      </c>
      <c r="BA2041" s="68" t="str">
        <f t="shared" si="233"/>
        <v>No</v>
      </c>
    </row>
    <row r="2042" spans="1:53" hidden="1">
      <c r="A2042" t="s">
        <v>1242</v>
      </c>
      <c r="B2042" t="str">
        <f t="shared" si="227"/>
        <v>2042_Kindinger</v>
      </c>
      <c r="C2042" t="s">
        <v>1252</v>
      </c>
      <c r="F2042" t="s">
        <v>1241</v>
      </c>
      <c r="G2042" t="s">
        <v>3883</v>
      </c>
      <c r="I2042">
        <v>2012</v>
      </c>
      <c r="J2042" t="s">
        <v>3884</v>
      </c>
      <c r="L2042" s="46" t="s">
        <v>3826</v>
      </c>
      <c r="M2042" s="25" t="s">
        <v>36</v>
      </c>
      <c r="N2042" t="s">
        <v>36</v>
      </c>
      <c r="P2042" t="s">
        <v>60</v>
      </c>
      <c r="Q2042" t="s">
        <v>899</v>
      </c>
      <c r="R2042" t="s">
        <v>849</v>
      </c>
      <c r="S2042" t="s">
        <v>1271</v>
      </c>
      <c r="T2042" t="s">
        <v>1272</v>
      </c>
      <c r="V2042" t="s">
        <v>905</v>
      </c>
      <c r="Z2042" s="46">
        <v>10</v>
      </c>
      <c r="AA2042" s="46">
        <v>10</v>
      </c>
      <c r="AC2042" s="46" t="s">
        <v>3842</v>
      </c>
      <c r="AD2042" s="46" t="s">
        <v>3476</v>
      </c>
      <c r="AE2042" s="46" t="s">
        <v>3861</v>
      </c>
      <c r="AF2042" s="46" t="s">
        <v>3476</v>
      </c>
      <c r="AG2042" t="str">
        <f t="shared" si="228"/>
        <v>10YIP_Euphausia_D0_CO2389.2_45.5_TNA</v>
      </c>
      <c r="AJ2042" t="s">
        <v>1275</v>
      </c>
      <c r="AK2042" t="s">
        <v>1279</v>
      </c>
      <c r="AM2042"/>
      <c r="AN2042" s="46">
        <v>27.604900000000001</v>
      </c>
      <c r="AO2042" s="46">
        <v>45.786618240000003</v>
      </c>
      <c r="AP2042" s="46">
        <v>85.791499999999999</v>
      </c>
      <c r="AQ2042" s="46">
        <v>56.484761679999998</v>
      </c>
      <c r="AS2042">
        <v>1.133926641</v>
      </c>
      <c r="AT2042">
        <v>0.31845748899999998</v>
      </c>
      <c r="AW2042" s="28">
        <f t="shared" si="229"/>
        <v>1.1317113631246454</v>
      </c>
      <c r="AX2042">
        <f t="shared" si="230"/>
        <v>0.95774647887323949</v>
      </c>
      <c r="AY2042" s="62">
        <f t="shared" si="231"/>
        <v>1.0838925731334632</v>
      </c>
      <c r="AZ2042" s="68" t="str">
        <f t="shared" si="232"/>
        <v>No</v>
      </c>
      <c r="BA2042" s="68" t="str">
        <f t="shared" si="233"/>
        <v>No</v>
      </c>
    </row>
    <row r="2043" spans="1:53" hidden="1">
      <c r="A2043" t="s">
        <v>1242</v>
      </c>
      <c r="B2043" t="str">
        <f t="shared" si="227"/>
        <v>2043_Kindinger</v>
      </c>
      <c r="C2043" t="s">
        <v>1253</v>
      </c>
      <c r="F2043" t="s">
        <v>1241</v>
      </c>
      <c r="G2043" t="s">
        <v>3877</v>
      </c>
      <c r="I2043">
        <v>2015</v>
      </c>
      <c r="J2043" t="s">
        <v>3878</v>
      </c>
      <c r="L2043" s="46" t="s">
        <v>3823</v>
      </c>
      <c r="M2043" s="25" t="s">
        <v>36</v>
      </c>
      <c r="N2043" t="s">
        <v>36</v>
      </c>
      <c r="P2043" t="s">
        <v>60</v>
      </c>
      <c r="Q2043" t="s">
        <v>899</v>
      </c>
      <c r="R2043" t="s">
        <v>828</v>
      </c>
      <c r="S2043" t="s">
        <v>1273</v>
      </c>
      <c r="T2043" t="s">
        <v>1274</v>
      </c>
      <c r="V2043" t="s">
        <v>905</v>
      </c>
      <c r="Z2043" s="46">
        <v>3</v>
      </c>
      <c r="AA2043" s="46">
        <v>3</v>
      </c>
      <c r="AC2043" s="46" t="s">
        <v>3476</v>
      </c>
      <c r="AD2043" s="46" t="s">
        <v>3476</v>
      </c>
      <c r="AE2043" s="46" t="s">
        <v>3476</v>
      </c>
      <c r="AF2043" s="46" t="s">
        <v>3476</v>
      </c>
      <c r="AG2043" t="str">
        <f t="shared" si="228"/>
        <v>11YIP_Pseudocalanus_D0_CO2NA_TNA</v>
      </c>
      <c r="AJ2043" t="s">
        <v>1275</v>
      </c>
      <c r="AK2043" t="s">
        <v>1279</v>
      </c>
      <c r="AM2043"/>
      <c r="AN2043" s="46">
        <v>0.15029999999999999</v>
      </c>
      <c r="AO2043" s="46">
        <v>3.0099999999999998E-2</v>
      </c>
      <c r="AP2043" s="46">
        <v>6.3799999999999996E-2</v>
      </c>
      <c r="AQ2043" s="46">
        <v>4.3200000000000002E-2</v>
      </c>
      <c r="AS2043">
        <v>-0.85688010599999997</v>
      </c>
      <c r="AT2043">
        <v>0.16619752800000001</v>
      </c>
      <c r="AW2043" s="28">
        <f t="shared" si="229"/>
        <v>-2.3233514465678877</v>
      </c>
      <c r="AX2043">
        <f t="shared" si="230"/>
        <v>0.8</v>
      </c>
      <c r="AY2043" s="62">
        <f t="shared" si="231"/>
        <v>-1.8586811572543103</v>
      </c>
      <c r="AZ2043" s="68" t="str">
        <f t="shared" si="232"/>
        <v>No</v>
      </c>
      <c r="BA2043" s="68" t="str">
        <f t="shared" si="233"/>
        <v>No</v>
      </c>
    </row>
    <row r="2044" spans="1:53" hidden="1">
      <c r="A2044" t="s">
        <v>1242</v>
      </c>
      <c r="B2044" t="str">
        <f t="shared" si="227"/>
        <v>2044_Kindinger</v>
      </c>
      <c r="C2044" t="s">
        <v>1253</v>
      </c>
      <c r="F2044" t="s">
        <v>1241</v>
      </c>
      <c r="G2044" t="s">
        <v>3877</v>
      </c>
      <c r="I2044">
        <v>2015</v>
      </c>
      <c r="J2044" t="s">
        <v>3878</v>
      </c>
      <c r="L2044" s="46" t="s">
        <v>3823</v>
      </c>
      <c r="M2044" s="25" t="s">
        <v>36</v>
      </c>
      <c r="N2044" t="s">
        <v>36</v>
      </c>
      <c r="P2044" t="s">
        <v>60</v>
      </c>
      <c r="Q2044" t="s">
        <v>899</v>
      </c>
      <c r="R2044" t="s">
        <v>828</v>
      </c>
      <c r="S2044" t="s">
        <v>1273</v>
      </c>
      <c r="T2044" t="s">
        <v>1274</v>
      </c>
      <c r="V2044" t="s">
        <v>905</v>
      </c>
      <c r="Z2044" s="46">
        <v>3</v>
      </c>
      <c r="AA2044" s="46">
        <v>3</v>
      </c>
      <c r="AC2044" s="46" t="s">
        <v>3476</v>
      </c>
      <c r="AD2044" s="46" t="s">
        <v>3476</v>
      </c>
      <c r="AE2044" s="46" t="s">
        <v>3476</v>
      </c>
      <c r="AF2044" s="46" t="s">
        <v>3476</v>
      </c>
      <c r="AG2044" t="str">
        <f t="shared" si="228"/>
        <v>11YIP_Pseudocalanus_D0_CO2NA_TNA</v>
      </c>
      <c r="AJ2044" t="s">
        <v>1275</v>
      </c>
      <c r="AK2044" t="s">
        <v>1279</v>
      </c>
      <c r="AM2044"/>
      <c r="AN2044" s="46">
        <v>0.15029999999999999</v>
      </c>
      <c r="AO2044" s="46">
        <v>0.13400000000000001</v>
      </c>
      <c r="AP2044" s="46">
        <v>0.29730000000000001</v>
      </c>
      <c r="AQ2044" s="46">
        <v>7.3499999999999996E-2</v>
      </c>
      <c r="AS2044">
        <v>0.68210843300000001</v>
      </c>
      <c r="AT2044">
        <v>0.28532734399999998</v>
      </c>
      <c r="AW2044" s="28">
        <f t="shared" si="229"/>
        <v>1.3602294750686781</v>
      </c>
      <c r="AX2044">
        <f t="shared" si="230"/>
        <v>0.8</v>
      </c>
      <c r="AY2044" s="62">
        <f t="shared" si="231"/>
        <v>1.0881835800549424</v>
      </c>
      <c r="AZ2044" s="68" t="str">
        <f t="shared" si="232"/>
        <v>No</v>
      </c>
      <c r="BA2044" s="68" t="str">
        <f t="shared" si="233"/>
        <v>No</v>
      </c>
    </row>
    <row r="2045" spans="1:53" hidden="1">
      <c r="A2045" t="s">
        <v>1242</v>
      </c>
      <c r="B2045" t="str">
        <f t="shared" si="227"/>
        <v>2045_Kindinger</v>
      </c>
      <c r="C2045" t="s">
        <v>1253</v>
      </c>
      <c r="F2045" t="s">
        <v>1241</v>
      </c>
      <c r="G2045" t="s">
        <v>3877</v>
      </c>
      <c r="I2045">
        <v>2015</v>
      </c>
      <c r="J2045" t="s">
        <v>3878</v>
      </c>
      <c r="L2045" s="46" t="s">
        <v>3823</v>
      </c>
      <c r="M2045" s="25" t="s">
        <v>36</v>
      </c>
      <c r="N2045" t="s">
        <v>36</v>
      </c>
      <c r="P2045" t="s">
        <v>60</v>
      </c>
      <c r="Q2045" t="s">
        <v>899</v>
      </c>
      <c r="R2045" t="s">
        <v>828</v>
      </c>
      <c r="S2045" t="s">
        <v>1273</v>
      </c>
      <c r="T2045" t="s">
        <v>1274</v>
      </c>
      <c r="V2045" t="s">
        <v>905</v>
      </c>
      <c r="Z2045" s="46">
        <v>3</v>
      </c>
      <c r="AA2045" s="46">
        <v>3</v>
      </c>
      <c r="AC2045" s="46" t="s">
        <v>3476</v>
      </c>
      <c r="AD2045" s="46" t="s">
        <v>3476</v>
      </c>
      <c r="AE2045" s="46" t="s">
        <v>3476</v>
      </c>
      <c r="AF2045" s="46" t="s">
        <v>3476</v>
      </c>
      <c r="AG2045" t="str">
        <f t="shared" si="228"/>
        <v>11YIP_Pseudocalanus_D0_CO2NA_TNA</v>
      </c>
      <c r="AJ2045" t="s">
        <v>1275</v>
      </c>
      <c r="AK2045" t="s">
        <v>1279</v>
      </c>
      <c r="AM2045"/>
      <c r="AN2045" s="46">
        <v>1.0713999999999999</v>
      </c>
      <c r="AO2045" s="46">
        <v>3.0200000000000001E-2</v>
      </c>
      <c r="AP2045" s="46">
        <v>0.60860000000000003</v>
      </c>
      <c r="AQ2045" s="46">
        <v>0.1038</v>
      </c>
      <c r="AS2045">
        <v>-0.56556024599999999</v>
      </c>
      <c r="AT2045">
        <v>9.9612220000000005E-3</v>
      </c>
      <c r="AW2045" s="28">
        <f t="shared" si="229"/>
        <v>-6.0543355611449954</v>
      </c>
      <c r="AX2045">
        <f t="shared" si="230"/>
        <v>0.8</v>
      </c>
      <c r="AY2045" s="62">
        <f t="shared" si="231"/>
        <v>-4.8434684489159965</v>
      </c>
      <c r="AZ2045" s="68" t="str">
        <f t="shared" si="232"/>
        <v>No</v>
      </c>
      <c r="BA2045" s="68" t="str">
        <f t="shared" si="233"/>
        <v>No</v>
      </c>
    </row>
    <row r="2046" spans="1:53" hidden="1">
      <c r="A2046" t="s">
        <v>1242</v>
      </c>
      <c r="B2046" t="str">
        <f t="shared" si="227"/>
        <v>2046_Kindinger</v>
      </c>
      <c r="C2046" t="s">
        <v>1253</v>
      </c>
      <c r="F2046" t="s">
        <v>1241</v>
      </c>
      <c r="G2046" t="s">
        <v>3877</v>
      </c>
      <c r="I2046">
        <v>2015</v>
      </c>
      <c r="J2046" t="s">
        <v>3878</v>
      </c>
      <c r="L2046" s="46" t="s">
        <v>3824</v>
      </c>
      <c r="M2046" s="25" t="s">
        <v>36</v>
      </c>
      <c r="N2046" t="s">
        <v>36</v>
      </c>
      <c r="P2046" t="s">
        <v>60</v>
      </c>
      <c r="Q2046" t="s">
        <v>899</v>
      </c>
      <c r="R2046" t="s">
        <v>828</v>
      </c>
      <c r="S2046" t="s">
        <v>1273</v>
      </c>
      <c r="T2046" t="s">
        <v>1274</v>
      </c>
      <c r="V2046" t="s">
        <v>905</v>
      </c>
      <c r="Z2046" s="46">
        <v>3</v>
      </c>
      <c r="AA2046" s="46">
        <v>3</v>
      </c>
      <c r="AC2046" s="46" t="s">
        <v>3843</v>
      </c>
      <c r="AD2046" s="46" t="s">
        <v>3476</v>
      </c>
      <c r="AE2046" s="46" t="s">
        <v>3862</v>
      </c>
      <c r="AF2046" s="46" t="s">
        <v>3476</v>
      </c>
      <c r="AG2046" t="str">
        <f t="shared" si="228"/>
        <v>11YIP_Pseudocalanus_D0_CO2561_58_TNA</v>
      </c>
      <c r="AJ2046" t="s">
        <v>1275</v>
      </c>
      <c r="AK2046" t="s">
        <v>1279</v>
      </c>
      <c r="AM2046"/>
      <c r="AN2046" s="46">
        <v>0.1085</v>
      </c>
      <c r="AO2046" s="46">
        <v>3.0599999999999999E-2</v>
      </c>
      <c r="AP2046" s="46">
        <v>0.1216</v>
      </c>
      <c r="AQ2046" s="46">
        <v>1.7500000000000002E-2</v>
      </c>
      <c r="AS2046">
        <v>0.113986797</v>
      </c>
      <c r="AT2046">
        <v>3.3416990000000001E-2</v>
      </c>
      <c r="AW2046" s="28">
        <f t="shared" si="229"/>
        <v>0.52555584603010219</v>
      </c>
      <c r="AX2046">
        <f t="shared" si="230"/>
        <v>0.8</v>
      </c>
      <c r="AY2046" s="62">
        <f t="shared" si="231"/>
        <v>0.42044467682408176</v>
      </c>
      <c r="AZ2046" s="68" t="str">
        <f t="shared" si="232"/>
        <v>No</v>
      </c>
      <c r="BA2046" s="68" t="str">
        <f t="shared" si="233"/>
        <v>No</v>
      </c>
    </row>
    <row r="2047" spans="1:53" hidden="1">
      <c r="A2047" t="s">
        <v>1242</v>
      </c>
      <c r="B2047" t="str">
        <f t="shared" si="227"/>
        <v>2047_Kindinger</v>
      </c>
      <c r="C2047" t="s">
        <v>1253</v>
      </c>
      <c r="F2047" t="s">
        <v>1241</v>
      </c>
      <c r="G2047" t="s">
        <v>3877</v>
      </c>
      <c r="I2047">
        <v>2015</v>
      </c>
      <c r="J2047" t="s">
        <v>3878</v>
      </c>
      <c r="L2047" s="46" t="s">
        <v>3824</v>
      </c>
      <c r="M2047" s="25" t="s">
        <v>36</v>
      </c>
      <c r="N2047" t="s">
        <v>36</v>
      </c>
      <c r="P2047" t="s">
        <v>60</v>
      </c>
      <c r="Q2047" t="s">
        <v>899</v>
      </c>
      <c r="R2047" t="s">
        <v>828</v>
      </c>
      <c r="S2047" t="s">
        <v>1273</v>
      </c>
      <c r="T2047" t="s">
        <v>1274</v>
      </c>
      <c r="V2047" t="s">
        <v>905</v>
      </c>
      <c r="Z2047" s="46">
        <v>3</v>
      </c>
      <c r="AA2047" s="46">
        <v>3</v>
      </c>
      <c r="AC2047" s="46" t="s">
        <v>3843</v>
      </c>
      <c r="AD2047" s="46" t="s">
        <v>3476</v>
      </c>
      <c r="AE2047" s="46" t="s">
        <v>3862</v>
      </c>
      <c r="AF2047" s="46" t="s">
        <v>3476</v>
      </c>
      <c r="AG2047" t="str">
        <f t="shared" si="228"/>
        <v>11YIP_Pseudocalanus_D0_CO2561_58_TNA</v>
      </c>
      <c r="AJ2047" t="s">
        <v>1275</v>
      </c>
      <c r="AK2047" t="s">
        <v>1279</v>
      </c>
      <c r="AM2047"/>
      <c r="AN2047" s="46">
        <v>0.17860000000000001</v>
      </c>
      <c r="AO2047" s="46">
        <v>5.6899999999999999E-2</v>
      </c>
      <c r="AP2047" s="46">
        <v>0.27500000000000002</v>
      </c>
      <c r="AQ2047" s="46">
        <v>5.6899999999999999E-2</v>
      </c>
      <c r="AS2047">
        <v>0.43162242899999997</v>
      </c>
      <c r="AT2047">
        <v>4.8103446000000001E-2</v>
      </c>
      <c r="AW2047" s="28">
        <f t="shared" si="229"/>
        <v>1.6942003514938491</v>
      </c>
      <c r="AX2047">
        <f t="shared" si="230"/>
        <v>0.8</v>
      </c>
      <c r="AY2047" s="62">
        <f t="shared" si="231"/>
        <v>1.3553602811950793</v>
      </c>
      <c r="AZ2047" s="68" t="str">
        <f t="shared" si="232"/>
        <v>No</v>
      </c>
      <c r="BA2047" s="68" t="str">
        <f t="shared" si="233"/>
        <v>No</v>
      </c>
    </row>
    <row r="2048" spans="1:53" hidden="1">
      <c r="A2048" t="s">
        <v>1242</v>
      </c>
      <c r="B2048" t="str">
        <f t="shared" si="227"/>
        <v>2048_Kindinger</v>
      </c>
      <c r="C2048" t="s">
        <v>1253</v>
      </c>
      <c r="F2048" t="s">
        <v>1241</v>
      </c>
      <c r="G2048" t="s">
        <v>3877</v>
      </c>
      <c r="I2048">
        <v>2015</v>
      </c>
      <c r="J2048" t="s">
        <v>3878</v>
      </c>
      <c r="L2048" s="46" t="s">
        <v>3824</v>
      </c>
      <c r="M2048" s="25" t="s">
        <v>36</v>
      </c>
      <c r="N2048" t="s">
        <v>36</v>
      </c>
      <c r="P2048" t="s">
        <v>60</v>
      </c>
      <c r="Q2048" t="s">
        <v>899</v>
      </c>
      <c r="R2048" t="s">
        <v>828</v>
      </c>
      <c r="S2048" t="s">
        <v>1273</v>
      </c>
      <c r="T2048" t="s">
        <v>1274</v>
      </c>
      <c r="V2048" t="s">
        <v>905</v>
      </c>
      <c r="Z2048" s="46">
        <v>3</v>
      </c>
      <c r="AA2048" s="46">
        <v>3</v>
      </c>
      <c r="AC2048" s="46" t="s">
        <v>3843</v>
      </c>
      <c r="AD2048" s="46" t="s">
        <v>3476</v>
      </c>
      <c r="AE2048" s="46" t="s">
        <v>3862</v>
      </c>
      <c r="AF2048" s="46" t="s">
        <v>3476</v>
      </c>
      <c r="AG2048" t="str">
        <f t="shared" si="228"/>
        <v>11YIP_Pseudocalanus_D0_CO2561_58_TNA</v>
      </c>
      <c r="AJ2048" t="s">
        <v>1275</v>
      </c>
      <c r="AK2048" t="s">
        <v>1279</v>
      </c>
      <c r="AM2048"/>
      <c r="AN2048" s="46">
        <v>0.78749999999999998</v>
      </c>
      <c r="AO2048" s="46">
        <v>9.6500000000000002E-2</v>
      </c>
      <c r="AP2048" s="46">
        <v>0.52029999999999998</v>
      </c>
      <c r="AQ2048" s="46">
        <v>0.14030000000000001</v>
      </c>
      <c r="AS2048">
        <v>-0.41445780199999999</v>
      </c>
      <c r="AT2048">
        <v>2.9242746999999999E-2</v>
      </c>
      <c r="AW2048" s="28">
        <f t="shared" si="229"/>
        <v>-2.2191152599355428</v>
      </c>
      <c r="AX2048">
        <f t="shared" si="230"/>
        <v>0.8</v>
      </c>
      <c r="AY2048" s="62">
        <f t="shared" si="231"/>
        <v>-1.7752922079484343</v>
      </c>
      <c r="AZ2048" s="68" t="str">
        <f t="shared" si="232"/>
        <v>No</v>
      </c>
      <c r="BA2048" s="68" t="str">
        <f t="shared" si="233"/>
        <v>No</v>
      </c>
    </row>
    <row r="2049" spans="1:53" hidden="1">
      <c r="A2049" t="s">
        <v>1039</v>
      </c>
      <c r="B2049" t="s">
        <v>3633</v>
      </c>
      <c r="C2049" t="s">
        <v>1040</v>
      </c>
      <c r="F2049" t="s">
        <v>1241</v>
      </c>
      <c r="G2049" t="s">
        <v>3470</v>
      </c>
      <c r="I2049">
        <v>2010</v>
      </c>
      <c r="J2049" t="s">
        <v>3471</v>
      </c>
      <c r="M2049" s="25" t="s">
        <v>36</v>
      </c>
      <c r="N2049" t="s">
        <v>36</v>
      </c>
      <c r="P2049" t="s">
        <v>60</v>
      </c>
      <c r="Q2049" t="s">
        <v>900</v>
      </c>
      <c r="R2049" t="s">
        <v>1741</v>
      </c>
      <c r="S2049" t="s">
        <v>1067</v>
      </c>
      <c r="T2049">
        <v>-70.325192000000001</v>
      </c>
      <c r="U2049">
        <v>-18.464272000000001</v>
      </c>
      <c r="V2049" t="s">
        <v>907</v>
      </c>
      <c r="X2049" t="s">
        <v>3477</v>
      </c>
      <c r="Z2049">
        <v>90</v>
      </c>
      <c r="AA2049">
        <v>90</v>
      </c>
      <c r="AC2049" t="s">
        <v>3476</v>
      </c>
      <c r="AD2049">
        <v>17.8</v>
      </c>
      <c r="AF2049">
        <v>24.6</v>
      </c>
      <c r="AG2049" t="str">
        <f t="shared" ref="AG2049:AG2090" si="234">C2049 &amp; "_" &amp;
SUBSTITUTE(TRIM(S2049)," ","_") &amp; "_" &amp;
"D" &amp; TEXT(X2049,"0") &amp; "_" &amp;
"CO2_" &amp; IF(AC2049&lt;&gt;"",TEXT(AC2049,"0.00"),"NA") &amp; "_" &amp;
"T" &amp; IF(AD2049&lt;&gt;"",TEXT(AD2049,"0.00"),"NA")</f>
        <v>1KYP_Donax_ohesulus_D16 days_CO2_NA_T17.80</v>
      </c>
      <c r="AJ2049" t="s">
        <v>1089</v>
      </c>
      <c r="AK2049" t="s">
        <v>40</v>
      </c>
      <c r="AM2049"/>
      <c r="AN2049">
        <v>161.04</v>
      </c>
      <c r="AO2049">
        <v>8.1999999999999993</v>
      </c>
      <c r="AP2049">
        <v>177.16</v>
      </c>
      <c r="AQ2049">
        <v>7.65</v>
      </c>
      <c r="AR2049" t="s">
        <v>3496</v>
      </c>
      <c r="AS2049">
        <f t="shared" ref="AS2049:AS2090" si="235">LN(AP2049)-LN(AN2049)</f>
        <v>9.5400497723461264E-2</v>
      </c>
      <c r="AT2049">
        <f t="shared" ref="AT2049:AT2090" si="236">(AQ2049^2)/(AA2049*AP2049^2) + (AO2049^2)/(Z2049*AN2049^2)</f>
        <v>4.9526359408942291E-5</v>
      </c>
      <c r="AW2049" s="28">
        <f t="shared" si="229"/>
        <v>2.0328458818821322</v>
      </c>
      <c r="AX2049">
        <f t="shared" si="230"/>
        <v>0.99578059071729963</v>
      </c>
      <c r="AY2049" s="62">
        <f t="shared" si="231"/>
        <v>2.0242684730978193</v>
      </c>
      <c r="AZ2049" s="68" t="str">
        <f t="shared" si="232"/>
        <v>No</v>
      </c>
      <c r="BA2049" s="68" t="str">
        <f t="shared" si="233"/>
        <v>No</v>
      </c>
    </row>
    <row r="2050" spans="1:53" hidden="1">
      <c r="A2050" t="s">
        <v>1039</v>
      </c>
      <c r="B2050" t="s">
        <v>3634</v>
      </c>
      <c r="C2050" t="s">
        <v>1041</v>
      </c>
      <c r="F2050" t="s">
        <v>914</v>
      </c>
      <c r="G2050" t="s">
        <v>1036</v>
      </c>
      <c r="I2050">
        <v>2016</v>
      </c>
      <c r="M2050" s="25" t="s">
        <v>36</v>
      </c>
      <c r="N2050" t="s">
        <v>36</v>
      </c>
      <c r="P2050" t="s">
        <v>60</v>
      </c>
      <c r="Q2050" t="s">
        <v>900</v>
      </c>
      <c r="R2050" t="s">
        <v>1741</v>
      </c>
      <c r="S2050" t="s">
        <v>1068</v>
      </c>
      <c r="T2050">
        <v>-71.972581000000005</v>
      </c>
      <c r="U2050">
        <v>41.051594999999999</v>
      </c>
      <c r="V2050" t="s">
        <v>1086</v>
      </c>
      <c r="X2050" t="s">
        <v>3478</v>
      </c>
      <c r="Z2050">
        <v>10</v>
      </c>
      <c r="AA2050">
        <v>10</v>
      </c>
      <c r="AG2050" t="str">
        <f t="shared" si="234"/>
        <v>2KYP_Crassostrea_virginica_D14 days_CO2_NA_TNA</v>
      </c>
      <c r="AJ2050" t="s">
        <v>1089</v>
      </c>
      <c r="AK2050" t="s">
        <v>40</v>
      </c>
      <c r="AM2050"/>
      <c r="AN2050">
        <v>1.4</v>
      </c>
      <c r="AO2050">
        <v>0.67</v>
      </c>
      <c r="AP2050">
        <v>0.7</v>
      </c>
      <c r="AQ2050">
        <v>0.05</v>
      </c>
      <c r="AR2050" t="s">
        <v>3497</v>
      </c>
      <c r="AS2050">
        <f t="shared" si="235"/>
        <v>-0.6931471805599454</v>
      </c>
      <c r="AT2050">
        <f t="shared" si="236"/>
        <v>2.3413265306122453E-2</v>
      </c>
      <c r="AZ2050"/>
      <c r="BA2050"/>
    </row>
    <row r="2051" spans="1:53" hidden="1">
      <c r="A2051" t="s">
        <v>1039</v>
      </c>
      <c r="B2051" t="s">
        <v>3635</v>
      </c>
      <c r="C2051" t="s">
        <v>1041</v>
      </c>
      <c r="F2051" t="s">
        <v>1241</v>
      </c>
      <c r="G2051" t="s">
        <v>3472</v>
      </c>
      <c r="I2051">
        <v>2016</v>
      </c>
      <c r="J2051" t="s">
        <v>3473</v>
      </c>
      <c r="M2051" s="25" t="s">
        <v>36</v>
      </c>
      <c r="N2051" t="s">
        <v>36</v>
      </c>
      <c r="P2051" t="s">
        <v>60</v>
      </c>
      <c r="Q2051" t="s">
        <v>900</v>
      </c>
      <c r="R2051" t="s">
        <v>1741</v>
      </c>
      <c r="S2051" t="s">
        <v>1068</v>
      </c>
      <c r="T2051">
        <v>-71.972581000000005</v>
      </c>
      <c r="U2051">
        <v>41.051594999999999</v>
      </c>
      <c r="V2051" t="s">
        <v>905</v>
      </c>
      <c r="X2051" t="s">
        <v>3478</v>
      </c>
      <c r="Z2051">
        <v>10</v>
      </c>
      <c r="AA2051">
        <v>10</v>
      </c>
      <c r="AC2051">
        <v>7.9</v>
      </c>
      <c r="AE2051">
        <v>7.2</v>
      </c>
      <c r="AG2051" t="str">
        <f t="shared" si="234"/>
        <v>2KYP_Crassostrea_virginica_D14 days_CO2_7.90_TNA</v>
      </c>
      <c r="AJ2051" t="s">
        <v>1089</v>
      </c>
      <c r="AK2051" t="s">
        <v>40</v>
      </c>
      <c r="AM2051"/>
      <c r="AN2051">
        <v>1.4</v>
      </c>
      <c r="AO2051">
        <v>0.67</v>
      </c>
      <c r="AP2051">
        <v>1.1000000000000001</v>
      </c>
      <c r="AQ2051">
        <v>0.35</v>
      </c>
      <c r="AR2051" t="s">
        <v>3497</v>
      </c>
      <c r="AS2051">
        <f t="shared" si="235"/>
        <v>-0.24116205681688796</v>
      </c>
      <c r="AT2051">
        <f t="shared" si="236"/>
        <v>3.3027028166638557E-2</v>
      </c>
      <c r="AW2051" s="28">
        <f>(AP2051-$AN2051)/SQRT(((AA2051-1)*AQ2051*AQ2051+($Z2051-1)*$AO2051*$AO2051)/(AA2051+$Z2051-2))</f>
        <v>-0.56126263975748369</v>
      </c>
      <c r="AX2051">
        <f>1-(3/(4*(AA2051+$Z2051-2)-1))</f>
        <v>0.95774647887323949</v>
      </c>
      <c r="AY2051" s="62">
        <f>AX2051*AW2051</f>
        <v>-0.53754731695082947</v>
      </c>
      <c r="AZ2051" s="68" t="str">
        <f>IF(AY2051&gt;10,"Yes","No")</f>
        <v>No</v>
      </c>
      <c r="BA2051" s="68" t="str">
        <f>IF(AY2051&lt;-10,"Yes","No")</f>
        <v>No</v>
      </c>
    </row>
    <row r="2052" spans="1:53" hidden="1">
      <c r="A2052" t="s">
        <v>1039</v>
      </c>
      <c r="B2052" t="s">
        <v>3636</v>
      </c>
      <c r="C2052" t="s">
        <v>1041</v>
      </c>
      <c r="F2052" t="s">
        <v>914</v>
      </c>
      <c r="G2052" t="s">
        <v>1036</v>
      </c>
      <c r="I2052">
        <v>2016</v>
      </c>
      <c r="M2052" s="25" t="s">
        <v>36</v>
      </c>
      <c r="N2052" t="s">
        <v>36</v>
      </c>
      <c r="P2052" t="s">
        <v>60</v>
      </c>
      <c r="Q2052" t="s">
        <v>900</v>
      </c>
      <c r="R2052" t="s">
        <v>1741</v>
      </c>
      <c r="S2052" t="s">
        <v>1068</v>
      </c>
      <c r="T2052">
        <v>-71.972581000000005</v>
      </c>
      <c r="U2052">
        <v>41.051594999999999</v>
      </c>
      <c r="V2052" t="s">
        <v>1087</v>
      </c>
      <c r="X2052" t="s">
        <v>3478</v>
      </c>
      <c r="Z2052">
        <v>10</v>
      </c>
      <c r="AA2052">
        <v>10</v>
      </c>
      <c r="AG2052" t="str">
        <f t="shared" si="234"/>
        <v>2KYP_Crassostrea_virginica_D14 days_CO2_NA_TNA</v>
      </c>
      <c r="AJ2052" t="s">
        <v>1089</v>
      </c>
      <c r="AK2052" t="s">
        <v>40</v>
      </c>
      <c r="AM2052"/>
      <c r="AN2052">
        <v>1.4</v>
      </c>
      <c r="AO2052">
        <v>0.67</v>
      </c>
      <c r="AP2052">
        <v>0.19</v>
      </c>
      <c r="AQ2052">
        <v>0.13</v>
      </c>
      <c r="AR2052" t="s">
        <v>3497</v>
      </c>
      <c r="AS2052">
        <f t="shared" si="235"/>
        <v>-1.9972034434428638</v>
      </c>
      <c r="AT2052">
        <f t="shared" si="236"/>
        <v>6.9717465656622776E-2</v>
      </c>
      <c r="AZ2052"/>
      <c r="BA2052"/>
    </row>
    <row r="2053" spans="1:53" hidden="1">
      <c r="A2053" t="s">
        <v>1039</v>
      </c>
      <c r="B2053" t="s">
        <v>3637</v>
      </c>
      <c r="C2053" t="s">
        <v>1041</v>
      </c>
      <c r="F2053" t="s">
        <v>914</v>
      </c>
      <c r="G2053" t="s">
        <v>1036</v>
      </c>
      <c r="I2053">
        <v>2016</v>
      </c>
      <c r="M2053" s="25" t="s">
        <v>36</v>
      </c>
      <c r="N2053" t="s">
        <v>36</v>
      </c>
      <c r="P2053" t="s">
        <v>60</v>
      </c>
      <c r="Q2053" t="s">
        <v>900</v>
      </c>
      <c r="R2053" t="s">
        <v>1741</v>
      </c>
      <c r="S2053" t="s">
        <v>1069</v>
      </c>
      <c r="T2053">
        <v>-71.972581000000005</v>
      </c>
      <c r="U2053">
        <v>41.051594999999999</v>
      </c>
      <c r="V2053" t="s">
        <v>1086</v>
      </c>
      <c r="X2053" t="s">
        <v>3478</v>
      </c>
      <c r="Z2053">
        <v>10</v>
      </c>
      <c r="AA2053">
        <v>10</v>
      </c>
      <c r="AG2053" t="str">
        <f t="shared" si="234"/>
        <v>2KYP_Argopecten_irradians_D14 days_CO2_NA_TNA</v>
      </c>
      <c r="AJ2053" t="s">
        <v>1089</v>
      </c>
      <c r="AK2053" t="s">
        <v>40</v>
      </c>
      <c r="AM2053"/>
      <c r="AN2053">
        <v>13</v>
      </c>
      <c r="AO2053">
        <v>1</v>
      </c>
      <c r="AP2053">
        <v>9.4</v>
      </c>
      <c r="AQ2053">
        <v>1.95</v>
      </c>
      <c r="AR2053" t="s">
        <v>3497</v>
      </c>
      <c r="AS2053">
        <f t="shared" si="235"/>
        <v>-0.32423966818557837</v>
      </c>
      <c r="AT2053">
        <f t="shared" si="236"/>
        <v>4.8951338124563031E-3</v>
      </c>
      <c r="AZ2053"/>
      <c r="BA2053"/>
    </row>
    <row r="2054" spans="1:53" hidden="1">
      <c r="A2054" t="s">
        <v>1039</v>
      </c>
      <c r="B2054" t="s">
        <v>3638</v>
      </c>
      <c r="C2054" t="s">
        <v>1041</v>
      </c>
      <c r="F2054" t="s">
        <v>1241</v>
      </c>
      <c r="G2054" t="s">
        <v>3472</v>
      </c>
      <c r="I2054">
        <v>2016</v>
      </c>
      <c r="J2054" t="s">
        <v>3473</v>
      </c>
      <c r="M2054" s="25" t="s">
        <v>36</v>
      </c>
      <c r="N2054" t="s">
        <v>36</v>
      </c>
      <c r="P2054" t="s">
        <v>60</v>
      </c>
      <c r="Q2054" t="s">
        <v>900</v>
      </c>
      <c r="R2054" t="s">
        <v>1741</v>
      </c>
      <c r="S2054" t="s">
        <v>1069</v>
      </c>
      <c r="T2054">
        <v>-71.972581000000005</v>
      </c>
      <c r="U2054">
        <v>41.051594999999999</v>
      </c>
      <c r="V2054" t="s">
        <v>905</v>
      </c>
      <c r="X2054" t="s">
        <v>3478</v>
      </c>
      <c r="Z2054">
        <v>10</v>
      </c>
      <c r="AA2054">
        <v>10</v>
      </c>
      <c r="AC2054">
        <v>7.9</v>
      </c>
      <c r="AE2054">
        <v>7.2</v>
      </c>
      <c r="AG2054" t="str">
        <f t="shared" si="234"/>
        <v>2KYP_Argopecten_irradians_D14 days_CO2_7.90_TNA</v>
      </c>
      <c r="AJ2054" t="s">
        <v>1089</v>
      </c>
      <c r="AK2054" t="s">
        <v>40</v>
      </c>
      <c r="AM2054"/>
      <c r="AN2054">
        <v>13</v>
      </c>
      <c r="AO2054">
        <v>1</v>
      </c>
      <c r="AP2054">
        <v>7.4</v>
      </c>
      <c r="AQ2054">
        <v>1.1200000000000001</v>
      </c>
      <c r="AR2054" t="s">
        <v>3497</v>
      </c>
      <c r="AS2054">
        <f t="shared" si="235"/>
        <v>-0.56346935725141245</v>
      </c>
      <c r="AT2054">
        <f t="shared" si="236"/>
        <v>2.8824391319193813E-3</v>
      </c>
      <c r="AW2054" s="28">
        <f>(AP2054-$AN2054)/SQRT(((AA2054-1)*AQ2054*AQ2054+($Z2054-1)*$AO2054*$AO2054)/(AA2054+$Z2054-2))</f>
        <v>-5.2745757887812044</v>
      </c>
      <c r="AX2054">
        <f>1-(3/(4*(AA2054+$Z2054-2)-1))</f>
        <v>0.95774647887323949</v>
      </c>
      <c r="AY2054" s="62">
        <f>AX2054*AW2054</f>
        <v>-5.0517063892552381</v>
      </c>
      <c r="AZ2054" s="68" t="str">
        <f>IF(AY2054&gt;10,"Yes","No")</f>
        <v>No</v>
      </c>
      <c r="BA2054" s="68" t="str">
        <f>IF(AY2054&lt;-10,"Yes","No")</f>
        <v>No</v>
      </c>
    </row>
    <row r="2055" spans="1:53" hidden="1">
      <c r="A2055" t="s">
        <v>1039</v>
      </c>
      <c r="B2055" t="s">
        <v>3639</v>
      </c>
      <c r="C2055" t="s">
        <v>1041</v>
      </c>
      <c r="F2055" t="s">
        <v>914</v>
      </c>
      <c r="G2055" t="s">
        <v>1036</v>
      </c>
      <c r="I2055">
        <v>2016</v>
      </c>
      <c r="M2055" s="25" t="s">
        <v>36</v>
      </c>
      <c r="N2055" t="s">
        <v>36</v>
      </c>
      <c r="P2055" t="s">
        <v>60</v>
      </c>
      <c r="Q2055" t="s">
        <v>900</v>
      </c>
      <c r="R2055" t="s">
        <v>1741</v>
      </c>
      <c r="S2055" t="s">
        <v>1069</v>
      </c>
      <c r="T2055">
        <v>-71.972581000000005</v>
      </c>
      <c r="U2055">
        <v>41.051594999999999</v>
      </c>
      <c r="V2055" t="s">
        <v>1087</v>
      </c>
      <c r="X2055" t="s">
        <v>3478</v>
      </c>
      <c r="Z2055">
        <v>10</v>
      </c>
      <c r="AA2055">
        <v>10</v>
      </c>
      <c r="AG2055" t="str">
        <f t="shared" si="234"/>
        <v>2KYP_Argopecten_irradians_D14 days_CO2_NA_TNA</v>
      </c>
      <c r="AJ2055" t="s">
        <v>1089</v>
      </c>
      <c r="AK2055" t="s">
        <v>40</v>
      </c>
      <c r="AM2055"/>
      <c r="AN2055">
        <v>13</v>
      </c>
      <c r="AO2055">
        <v>1</v>
      </c>
      <c r="AP2055">
        <v>6.3</v>
      </c>
      <c r="AQ2055">
        <v>0.89</v>
      </c>
      <c r="AR2055" t="s">
        <v>3497</v>
      </c>
      <c r="AS2055">
        <f t="shared" si="235"/>
        <v>-0.72439972406404984</v>
      </c>
      <c r="AT2055">
        <f t="shared" si="236"/>
        <v>2.5874327815719757E-3</v>
      </c>
      <c r="AZ2055"/>
      <c r="BA2055"/>
    </row>
    <row r="2056" spans="1:53" hidden="1">
      <c r="A2056" t="s">
        <v>1039</v>
      </c>
      <c r="B2056" t="s">
        <v>3640</v>
      </c>
      <c r="C2056" t="s">
        <v>1041</v>
      </c>
      <c r="F2056" t="s">
        <v>914</v>
      </c>
      <c r="G2056" t="s">
        <v>1036</v>
      </c>
      <c r="I2056">
        <v>2016</v>
      </c>
      <c r="M2056" s="25" t="s">
        <v>36</v>
      </c>
      <c r="N2056" t="s">
        <v>36</v>
      </c>
      <c r="P2056" t="s">
        <v>60</v>
      </c>
      <c r="Q2056" t="s">
        <v>900</v>
      </c>
      <c r="R2056" t="s">
        <v>1741</v>
      </c>
      <c r="S2056" t="s">
        <v>1070</v>
      </c>
      <c r="T2056">
        <v>-71.972581000000005</v>
      </c>
      <c r="U2056">
        <v>41.051594999999999</v>
      </c>
      <c r="V2056" t="s">
        <v>1086</v>
      </c>
      <c r="X2056" t="s">
        <v>3478</v>
      </c>
      <c r="Z2056">
        <v>10</v>
      </c>
      <c r="AA2056">
        <v>10</v>
      </c>
      <c r="AG2056" t="str">
        <f t="shared" si="234"/>
        <v>2KYP_Mercenaria_mercenaria_D14 days_CO2_NA_TNA</v>
      </c>
      <c r="AJ2056" t="s">
        <v>1089</v>
      </c>
      <c r="AK2056" t="s">
        <v>40</v>
      </c>
      <c r="AM2056"/>
      <c r="AN2056">
        <v>8.5</v>
      </c>
      <c r="AO2056">
        <v>0.4</v>
      </c>
      <c r="AP2056">
        <v>8.1</v>
      </c>
      <c r="AQ2056">
        <v>0.56999999999999995</v>
      </c>
      <c r="AR2056" t="s">
        <v>3497</v>
      </c>
      <c r="AS2056">
        <f t="shared" si="235"/>
        <v>-4.8202101817877541E-2</v>
      </c>
      <c r="AT2056">
        <f t="shared" si="236"/>
        <v>7.1665218980354183E-4</v>
      </c>
      <c r="AZ2056"/>
      <c r="BA2056"/>
    </row>
    <row r="2057" spans="1:53" hidden="1">
      <c r="A2057" t="s">
        <v>1039</v>
      </c>
      <c r="B2057" t="s">
        <v>3641</v>
      </c>
      <c r="C2057" t="s">
        <v>1041</v>
      </c>
      <c r="F2057" t="s">
        <v>1241</v>
      </c>
      <c r="G2057" t="s">
        <v>3472</v>
      </c>
      <c r="I2057">
        <v>2016</v>
      </c>
      <c r="J2057" t="s">
        <v>3473</v>
      </c>
      <c r="M2057" s="25" t="s">
        <v>36</v>
      </c>
      <c r="N2057" t="s">
        <v>36</v>
      </c>
      <c r="P2057" t="s">
        <v>60</v>
      </c>
      <c r="Q2057" t="s">
        <v>900</v>
      </c>
      <c r="R2057" t="s">
        <v>1741</v>
      </c>
      <c r="S2057" t="s">
        <v>1070</v>
      </c>
      <c r="T2057">
        <v>-71.972581000000005</v>
      </c>
      <c r="U2057">
        <v>41.051594999999999</v>
      </c>
      <c r="V2057" t="s">
        <v>905</v>
      </c>
      <c r="X2057" t="s">
        <v>3478</v>
      </c>
      <c r="Z2057">
        <v>10</v>
      </c>
      <c r="AA2057">
        <v>10</v>
      </c>
      <c r="AC2057">
        <v>7.9</v>
      </c>
      <c r="AE2057">
        <v>7.2</v>
      </c>
      <c r="AG2057" t="str">
        <f t="shared" si="234"/>
        <v>2KYP_Mercenaria_mercenaria_D14 days_CO2_7.90_TNA</v>
      </c>
      <c r="AJ2057" t="s">
        <v>1089</v>
      </c>
      <c r="AK2057" t="s">
        <v>40</v>
      </c>
      <c r="AM2057"/>
      <c r="AN2057">
        <v>8.5</v>
      </c>
      <c r="AO2057">
        <v>0.4</v>
      </c>
      <c r="AP2057">
        <v>8.6</v>
      </c>
      <c r="AQ2057">
        <v>0.65</v>
      </c>
      <c r="AR2057" t="s">
        <v>3497</v>
      </c>
      <c r="AS2057">
        <f t="shared" si="235"/>
        <v>1.1696039763191113E-2</v>
      </c>
      <c r="AT2057">
        <f t="shared" si="236"/>
        <v>7.9270801948495503E-4</v>
      </c>
      <c r="AW2057" s="28">
        <f>(AP2057-$AN2057)/SQRT(((AA2057-1)*AQ2057*AQ2057+($Z2057-1)*$AO2057*$AO2057)/(AA2057+$Z2057-2))</f>
        <v>0.18529642184483111</v>
      </c>
      <c r="AX2057">
        <f>1-(3/(4*(AA2057+$Z2057-2)-1))</f>
        <v>0.95774647887323949</v>
      </c>
      <c r="AY2057" s="62">
        <f>AX2057*AW2057</f>
        <v>0.17746699556969742</v>
      </c>
      <c r="AZ2057" s="68" t="str">
        <f>IF(AY2057&gt;10,"Yes","No")</f>
        <v>No</v>
      </c>
      <c r="BA2057" s="68" t="str">
        <f>IF(AY2057&lt;-10,"Yes","No")</f>
        <v>No</v>
      </c>
    </row>
    <row r="2058" spans="1:53" hidden="1">
      <c r="A2058" t="s">
        <v>1039</v>
      </c>
      <c r="B2058" t="s">
        <v>3642</v>
      </c>
      <c r="C2058" t="s">
        <v>1041</v>
      </c>
      <c r="F2058" t="s">
        <v>914</v>
      </c>
      <c r="G2058" t="s">
        <v>1036</v>
      </c>
      <c r="I2058">
        <v>2016</v>
      </c>
      <c r="M2058" s="25" t="s">
        <v>36</v>
      </c>
      <c r="N2058" t="s">
        <v>36</v>
      </c>
      <c r="P2058" t="s">
        <v>60</v>
      </c>
      <c r="Q2058" t="s">
        <v>900</v>
      </c>
      <c r="R2058" t="s">
        <v>1741</v>
      </c>
      <c r="S2058" t="s">
        <v>1070</v>
      </c>
      <c r="T2058">
        <v>-71.972581000000005</v>
      </c>
      <c r="U2058">
        <v>41.051594999999999</v>
      </c>
      <c r="V2058" t="s">
        <v>1087</v>
      </c>
      <c r="X2058" t="s">
        <v>3478</v>
      </c>
      <c r="Z2058">
        <v>10</v>
      </c>
      <c r="AA2058">
        <v>10</v>
      </c>
      <c r="AG2058" t="str">
        <f t="shared" si="234"/>
        <v>2KYP_Mercenaria_mercenaria_D14 days_CO2_NA_TNA</v>
      </c>
      <c r="AJ2058" t="s">
        <v>1089</v>
      </c>
      <c r="AK2058" t="s">
        <v>40</v>
      </c>
      <c r="AM2058"/>
      <c r="AN2058">
        <v>8.5</v>
      </c>
      <c r="AO2058">
        <v>0.4</v>
      </c>
      <c r="AP2058">
        <v>7.5</v>
      </c>
      <c r="AQ2058">
        <v>0.39</v>
      </c>
      <c r="AR2058" t="s">
        <v>3497</v>
      </c>
      <c r="AS2058">
        <f t="shared" si="235"/>
        <v>-0.1251631429540061</v>
      </c>
      <c r="AT2058">
        <f t="shared" si="236"/>
        <v>4.9185328719723192E-4</v>
      </c>
      <c r="AZ2058"/>
      <c r="BA2058"/>
    </row>
    <row r="2059" spans="1:53" hidden="1">
      <c r="A2059" t="s">
        <v>1039</v>
      </c>
      <c r="B2059" t="s">
        <v>3643</v>
      </c>
      <c r="C2059" t="s">
        <v>1042</v>
      </c>
      <c r="F2059" t="s">
        <v>1241</v>
      </c>
      <c r="G2059" t="s">
        <v>3523</v>
      </c>
      <c r="I2059">
        <v>2016</v>
      </c>
      <c r="J2059" t="s">
        <v>3524</v>
      </c>
      <c r="M2059" s="25" t="s">
        <v>36</v>
      </c>
      <c r="N2059" t="s">
        <v>36</v>
      </c>
      <c r="P2059" t="s">
        <v>60</v>
      </c>
      <c r="Q2059" t="s">
        <v>900</v>
      </c>
      <c r="R2059" t="s">
        <v>1741</v>
      </c>
      <c r="S2059" t="s">
        <v>1071</v>
      </c>
      <c r="T2059">
        <v>117.503354</v>
      </c>
      <c r="U2059">
        <v>23.812498000000001</v>
      </c>
      <c r="V2059" t="s">
        <v>905</v>
      </c>
      <c r="X2059" t="s">
        <v>3479</v>
      </c>
      <c r="Z2059">
        <v>200</v>
      </c>
      <c r="AA2059">
        <v>200</v>
      </c>
      <c r="AC2059">
        <v>8.19</v>
      </c>
      <c r="AE2059">
        <v>7.91</v>
      </c>
      <c r="AG2059" t="str">
        <f t="shared" si="234"/>
        <v>3KYP_Paphia_undulate_D10 days_CO2_8.19_TNA</v>
      </c>
      <c r="AJ2059" t="s">
        <v>1090</v>
      </c>
      <c r="AK2059" t="s">
        <v>40</v>
      </c>
      <c r="AM2059"/>
      <c r="AN2059">
        <v>205.4</v>
      </c>
      <c r="AO2059">
        <v>5.8</v>
      </c>
      <c r="AP2059">
        <v>249</v>
      </c>
      <c r="AQ2059">
        <v>3.3</v>
      </c>
      <c r="AR2059" t="s">
        <v>3498</v>
      </c>
      <c r="AS2059">
        <f t="shared" si="235"/>
        <v>0.1924935989702492</v>
      </c>
      <c r="AT2059">
        <f t="shared" si="236"/>
        <v>4.8650177312740279E-6</v>
      </c>
      <c r="AW2059" s="28">
        <f>(AP2059-$AN2059)/SQRT(((AA2059-1)*AQ2059*AQ2059+($Z2059-1)*$AO2059*$AO2059)/(AA2059+$Z2059-2))</f>
        <v>9.2400674089524468</v>
      </c>
      <c r="AX2059">
        <f>1-(3/(4*(AA2059+$Z2059-2)-1))</f>
        <v>0.99811439346323072</v>
      </c>
      <c r="AY2059" s="62">
        <f>AX2059*AW2059</f>
        <v>9.2226442774459372</v>
      </c>
      <c r="AZ2059" s="68" t="str">
        <f>IF(AY2059&gt;10,"Yes","No")</f>
        <v>No</v>
      </c>
      <c r="BA2059" s="68" t="str">
        <f>IF(AY2059&lt;-10,"Yes","No")</f>
        <v>No</v>
      </c>
    </row>
    <row r="2060" spans="1:53" hidden="1">
      <c r="A2060" t="s">
        <v>1039</v>
      </c>
      <c r="B2060" t="s">
        <v>3644</v>
      </c>
      <c r="C2060" t="s">
        <v>1043</v>
      </c>
      <c r="F2060" t="s">
        <v>914</v>
      </c>
      <c r="G2060" t="s">
        <v>1037</v>
      </c>
      <c r="I2060">
        <v>2020</v>
      </c>
      <c r="M2060" s="25" t="s">
        <v>36</v>
      </c>
      <c r="N2060" t="s">
        <v>36</v>
      </c>
      <c r="P2060" t="s">
        <v>60</v>
      </c>
      <c r="Q2060" t="s">
        <v>900</v>
      </c>
      <c r="R2060" t="s">
        <v>1741</v>
      </c>
      <c r="S2060" t="s">
        <v>1072</v>
      </c>
      <c r="T2060">
        <v>122.70409100000001</v>
      </c>
      <c r="U2060">
        <v>11.589452</v>
      </c>
      <c r="V2060" t="s">
        <v>1088</v>
      </c>
      <c r="X2060" t="s">
        <v>3522</v>
      </c>
      <c r="Z2060">
        <v>45</v>
      </c>
      <c r="AA2060">
        <v>45</v>
      </c>
      <c r="AG2060" t="str">
        <f t="shared" si="234"/>
        <v>4KYP_Perna_viridis_D15 days_CO2_NA_TNA</v>
      </c>
      <c r="AJ2060" t="s">
        <v>1091</v>
      </c>
      <c r="AK2060" t="s">
        <v>40</v>
      </c>
      <c r="AM2060"/>
      <c r="AN2060">
        <v>245</v>
      </c>
      <c r="AO2060">
        <v>5</v>
      </c>
      <c r="AP2060">
        <v>229</v>
      </c>
      <c r="AQ2060">
        <v>5</v>
      </c>
      <c r="AR2060" t="s">
        <v>3518</v>
      </c>
      <c r="AS2060">
        <f t="shared" si="235"/>
        <v>-6.7536206990487457E-2</v>
      </c>
      <c r="AT2060">
        <f t="shared" si="236"/>
        <v>1.9849318967255921E-5</v>
      </c>
      <c r="AZ2060"/>
      <c r="BA2060"/>
    </row>
    <row r="2061" spans="1:53" hidden="1">
      <c r="A2061" t="s">
        <v>1039</v>
      </c>
      <c r="B2061" t="s">
        <v>3645</v>
      </c>
      <c r="C2061" t="s">
        <v>1043</v>
      </c>
      <c r="F2061" t="s">
        <v>914</v>
      </c>
      <c r="G2061" t="s">
        <v>1037</v>
      </c>
      <c r="I2061">
        <v>2020</v>
      </c>
      <c r="M2061" s="25" t="s">
        <v>36</v>
      </c>
      <c r="N2061" t="s">
        <v>36</v>
      </c>
      <c r="P2061" t="s">
        <v>60</v>
      </c>
      <c r="Q2061" t="s">
        <v>900</v>
      </c>
      <c r="R2061" t="s">
        <v>1741</v>
      </c>
      <c r="S2061" t="s">
        <v>1072</v>
      </c>
      <c r="T2061">
        <v>122.70409100000001</v>
      </c>
      <c r="U2061">
        <v>11.589452</v>
      </c>
      <c r="V2061" t="s">
        <v>1088</v>
      </c>
      <c r="X2061" t="s">
        <v>3522</v>
      </c>
      <c r="Z2061">
        <v>45</v>
      </c>
      <c r="AA2061">
        <v>45</v>
      </c>
      <c r="AG2061" t="str">
        <f t="shared" si="234"/>
        <v>4KYP_Perna_viridis_D15 days_CO2_NA_TNA</v>
      </c>
      <c r="AJ2061" t="s">
        <v>1092</v>
      </c>
      <c r="AK2061" t="s">
        <v>40</v>
      </c>
      <c r="AM2061"/>
      <c r="AN2061">
        <v>225</v>
      </c>
      <c r="AO2061">
        <v>1</v>
      </c>
      <c r="AP2061">
        <v>208</v>
      </c>
      <c r="AQ2061">
        <v>4</v>
      </c>
      <c r="AR2061" t="s">
        <v>3519</v>
      </c>
      <c r="AS2061">
        <f t="shared" si="235"/>
        <v>-7.8562322503102244E-2</v>
      </c>
      <c r="AT2061">
        <f t="shared" si="236"/>
        <v>8.6572349250411923E-6</v>
      </c>
      <c r="AZ2061"/>
      <c r="BA2061"/>
    </row>
    <row r="2062" spans="1:53" hidden="1">
      <c r="A2062" t="s">
        <v>1039</v>
      </c>
      <c r="B2062" t="s">
        <v>3646</v>
      </c>
      <c r="C2062" t="s">
        <v>1044</v>
      </c>
      <c r="F2062" t="s">
        <v>1241</v>
      </c>
      <c r="G2062" t="s">
        <v>3525</v>
      </c>
      <c r="I2062">
        <v>2019</v>
      </c>
      <c r="J2062" t="s">
        <v>3526</v>
      </c>
      <c r="M2062" s="25" t="s">
        <v>36</v>
      </c>
      <c r="N2062" t="s">
        <v>36</v>
      </c>
      <c r="P2062" t="s">
        <v>60</v>
      </c>
      <c r="Q2062" t="s">
        <v>900</v>
      </c>
      <c r="R2062" t="s">
        <v>1741</v>
      </c>
      <c r="S2062" t="s">
        <v>1073</v>
      </c>
      <c r="T2062">
        <v>122.755661</v>
      </c>
      <c r="U2062">
        <v>39.026800999999999</v>
      </c>
      <c r="V2062" t="s">
        <v>905</v>
      </c>
      <c r="X2062" t="s">
        <v>3477</v>
      </c>
      <c r="Z2062">
        <v>30</v>
      </c>
      <c r="AA2062">
        <v>30</v>
      </c>
      <c r="AC2062">
        <v>8</v>
      </c>
      <c r="AE2062">
        <v>7.6</v>
      </c>
      <c r="AG2062" t="str">
        <f t="shared" si="234"/>
        <v>5KYP_Panopea_japonica_D16 days_CO2_8.00_TNA</v>
      </c>
      <c r="AJ2062" t="s">
        <v>1093</v>
      </c>
      <c r="AK2062" t="s">
        <v>40</v>
      </c>
      <c r="AM2062"/>
      <c r="AN2062">
        <v>47.5</v>
      </c>
      <c r="AO2062">
        <v>4.2</v>
      </c>
      <c r="AP2062">
        <v>36.799999999999997</v>
      </c>
      <c r="AQ2062">
        <v>9.6</v>
      </c>
      <c r="AR2062" t="s">
        <v>3499</v>
      </c>
      <c r="AS2062">
        <f t="shared" si="235"/>
        <v>-0.25523186586571001</v>
      </c>
      <c r="AT2062">
        <f t="shared" si="236"/>
        <v>2.5290404201729079E-3</v>
      </c>
      <c r="AW2062" s="28">
        <f t="shared" ref="AW2062:AW2125" si="237">(AP2062-$AN2062)/SQRT(((AA2062-1)*AQ2062*AQ2062+($Z2062-1)*$AO2062*$AO2062)/(AA2062+$Z2062-2))</f>
        <v>-1.4441011221524005</v>
      </c>
      <c r="AX2062">
        <f t="shared" ref="AX2062:AX2125" si="238">1-(3/(4*(AA2062+$Z2062-2)-1))</f>
        <v>0.98701298701298701</v>
      </c>
      <c r="AY2062" s="62">
        <f t="shared" ref="AY2062:AY2125" si="239">AX2062*AW2062</f>
        <v>-1.4253465621244472</v>
      </c>
      <c r="AZ2062" s="68" t="str">
        <f t="shared" ref="AZ2062:AZ2125" si="240">IF(AY2062&gt;10,"Yes","No")</f>
        <v>No</v>
      </c>
      <c r="BA2062" s="68" t="str">
        <f t="shared" ref="BA2062:BA2125" si="241">IF(AY2062&lt;-10,"Yes","No")</f>
        <v>No</v>
      </c>
    </row>
    <row r="2063" spans="1:53" hidden="1">
      <c r="A2063" t="s">
        <v>1039</v>
      </c>
      <c r="B2063" t="s">
        <v>3647</v>
      </c>
      <c r="C2063" t="s">
        <v>1045</v>
      </c>
      <c r="F2063" t="s">
        <v>1241</v>
      </c>
      <c r="G2063" t="s">
        <v>3527</v>
      </c>
      <c r="I2063">
        <v>2016</v>
      </c>
      <c r="J2063" t="s">
        <v>3528</v>
      </c>
      <c r="M2063" s="25" t="s">
        <v>36</v>
      </c>
      <c r="N2063" t="s">
        <v>36</v>
      </c>
      <c r="P2063" t="s">
        <v>60</v>
      </c>
      <c r="Q2063" t="s">
        <v>900</v>
      </c>
      <c r="R2063" t="s">
        <v>1741</v>
      </c>
      <c r="S2063" t="s">
        <v>1074</v>
      </c>
      <c r="T2063">
        <v>23.537756999999999</v>
      </c>
      <c r="U2063">
        <v>59.790210999999999</v>
      </c>
      <c r="V2063" t="s">
        <v>905</v>
      </c>
      <c r="X2063" t="s">
        <v>3480</v>
      </c>
      <c r="Z2063">
        <v>70</v>
      </c>
      <c r="AA2063">
        <v>70</v>
      </c>
      <c r="AC2063">
        <v>7.94</v>
      </c>
      <c r="AE2063">
        <v>7.43</v>
      </c>
      <c r="AG2063" t="str">
        <f t="shared" si="234"/>
        <v>6KYP_Macoma_balthica_Dmeasurements at 10 days_CO2_7.94_TNA</v>
      </c>
      <c r="AJ2063" t="s">
        <v>1094</v>
      </c>
      <c r="AK2063" t="s">
        <v>40</v>
      </c>
      <c r="AM2063"/>
      <c r="AN2063">
        <v>286.3</v>
      </c>
      <c r="AO2063">
        <v>29.283100928692644</v>
      </c>
      <c r="AP2063">
        <v>313.5</v>
      </c>
      <c r="AQ2063">
        <v>25.099800796022265</v>
      </c>
      <c r="AR2063" t="s">
        <v>3500</v>
      </c>
      <c r="AS2063">
        <f t="shared" si="235"/>
        <v>9.0759147968905829E-2</v>
      </c>
      <c r="AT2063">
        <f t="shared" si="236"/>
        <v>2.4102212562869673E-4</v>
      </c>
      <c r="AW2063" s="28">
        <f t="shared" si="237"/>
        <v>0.99736796476669343</v>
      </c>
      <c r="AX2063">
        <f t="shared" si="238"/>
        <v>0.99455535390199634</v>
      </c>
      <c r="AY2063" s="62">
        <f t="shared" si="239"/>
        <v>0.99193764916905258</v>
      </c>
      <c r="AZ2063" s="68" t="str">
        <f t="shared" si="240"/>
        <v>No</v>
      </c>
      <c r="BA2063" s="68" t="str">
        <f t="shared" si="241"/>
        <v>No</v>
      </c>
    </row>
    <row r="2064" spans="1:53" hidden="1">
      <c r="A2064" t="s">
        <v>1039</v>
      </c>
      <c r="B2064" t="s">
        <v>3648</v>
      </c>
      <c r="C2064" t="s">
        <v>1046</v>
      </c>
      <c r="F2064" t="s">
        <v>1241</v>
      </c>
      <c r="G2064" t="s">
        <v>3529</v>
      </c>
      <c r="I2064">
        <v>2016</v>
      </c>
      <c r="J2064" t="s">
        <v>3530</v>
      </c>
      <c r="M2064" s="25" t="s">
        <v>36</v>
      </c>
      <c r="N2064" t="s">
        <v>36</v>
      </c>
      <c r="P2064" t="s">
        <v>60</v>
      </c>
      <c r="Q2064" t="s">
        <v>900</v>
      </c>
      <c r="R2064" t="s">
        <v>1741</v>
      </c>
      <c r="S2064" t="s">
        <v>1075</v>
      </c>
      <c r="T2064">
        <v>-119.843834</v>
      </c>
      <c r="U2064">
        <v>34.404809999999998</v>
      </c>
      <c r="V2064" t="s">
        <v>905</v>
      </c>
      <c r="X2064" t="s">
        <v>3481</v>
      </c>
      <c r="Z2064">
        <v>30</v>
      </c>
      <c r="AA2064">
        <v>30</v>
      </c>
      <c r="AC2064">
        <v>8.1</v>
      </c>
      <c r="AE2064">
        <v>7.6</v>
      </c>
      <c r="AG2064" t="str">
        <f t="shared" si="234"/>
        <v>7KYP_Mytilus_californianus_D63h_CO2_8.10_TNA</v>
      </c>
      <c r="AJ2064" t="s">
        <v>1094</v>
      </c>
      <c r="AK2064" t="s">
        <v>40</v>
      </c>
      <c r="AM2064"/>
      <c r="AN2064">
        <v>110.5</v>
      </c>
      <c r="AO2064">
        <v>3.2863353450309964</v>
      </c>
      <c r="AP2064">
        <v>106.5</v>
      </c>
      <c r="AQ2064">
        <v>3.2863353450309964</v>
      </c>
      <c r="AR2064" t="s">
        <v>3501</v>
      </c>
      <c r="AS2064">
        <f t="shared" si="235"/>
        <v>-3.6870535808327887E-2</v>
      </c>
      <c r="AT2064">
        <f t="shared" si="236"/>
        <v>6.122315999000858E-5</v>
      </c>
      <c r="AW2064" s="28">
        <f t="shared" si="237"/>
        <v>-1.2171612389003692</v>
      </c>
      <c r="AX2064">
        <f t="shared" si="238"/>
        <v>0.98701298701298701</v>
      </c>
      <c r="AY2064" s="62">
        <f t="shared" si="239"/>
        <v>-1.2013539500834813</v>
      </c>
      <c r="AZ2064" s="68" t="str">
        <f t="shared" si="240"/>
        <v>No</v>
      </c>
      <c r="BA2064" s="68" t="str">
        <f t="shared" si="241"/>
        <v>No</v>
      </c>
    </row>
    <row r="2065" spans="1:53" hidden="1">
      <c r="A2065" t="s">
        <v>1039</v>
      </c>
      <c r="B2065" t="s">
        <v>3649</v>
      </c>
      <c r="C2065" t="s">
        <v>1047</v>
      </c>
      <c r="F2065" t="s">
        <v>1241</v>
      </c>
      <c r="G2065" t="s">
        <v>3531</v>
      </c>
      <c r="I2065">
        <v>2016</v>
      </c>
      <c r="J2065" t="s">
        <v>3532</v>
      </c>
      <c r="M2065" s="25" t="s">
        <v>36</v>
      </c>
      <c r="N2065" t="s">
        <v>36</v>
      </c>
      <c r="P2065" t="s">
        <v>60</v>
      </c>
      <c r="Q2065" t="s">
        <v>900</v>
      </c>
      <c r="R2065" t="s">
        <v>1741</v>
      </c>
      <c r="S2065" t="s">
        <v>1076</v>
      </c>
      <c r="T2065">
        <v>126.27977799999999</v>
      </c>
      <c r="U2065">
        <v>36.669922</v>
      </c>
      <c r="V2065" t="s">
        <v>905</v>
      </c>
      <c r="X2065" t="s">
        <v>3482</v>
      </c>
      <c r="Z2065">
        <v>15</v>
      </c>
      <c r="AA2065">
        <v>15</v>
      </c>
      <c r="AC2065" t="s">
        <v>3474</v>
      </c>
      <c r="AE2065" t="s">
        <v>3475</v>
      </c>
      <c r="AG2065" t="str">
        <f t="shared" si="234"/>
        <v>8KYP_Mactra_veneriformis_D22 days_CO2_400*10^-6 atm_TNA</v>
      </c>
      <c r="AJ2065" t="s">
        <v>1094</v>
      </c>
      <c r="AK2065" t="s">
        <v>40</v>
      </c>
      <c r="AM2065"/>
      <c r="AN2065">
        <v>245.4</v>
      </c>
      <c r="AO2065">
        <v>4.5999999999999996</v>
      </c>
      <c r="AP2065">
        <v>228.5</v>
      </c>
      <c r="AQ2065">
        <v>3.3</v>
      </c>
      <c r="AR2065" t="s">
        <v>3502</v>
      </c>
      <c r="AS2065">
        <f t="shared" si="235"/>
        <v>-7.1353321942551062E-2</v>
      </c>
      <c r="AT2065">
        <f t="shared" si="236"/>
        <v>3.7329550299818783E-5</v>
      </c>
      <c r="AW2065" s="28">
        <f t="shared" si="237"/>
        <v>-4.2217030818233123</v>
      </c>
      <c r="AX2065">
        <f t="shared" si="238"/>
        <v>0.97297297297297303</v>
      </c>
      <c r="AY2065" s="62">
        <f t="shared" si="239"/>
        <v>-4.1076029985307905</v>
      </c>
      <c r="AZ2065" s="68" t="str">
        <f t="shared" si="240"/>
        <v>No</v>
      </c>
      <c r="BA2065" s="68" t="str">
        <f t="shared" si="241"/>
        <v>No</v>
      </c>
    </row>
    <row r="2066" spans="1:53" hidden="1">
      <c r="A2066" t="s">
        <v>1039</v>
      </c>
      <c r="B2066" t="s">
        <v>3650</v>
      </c>
      <c r="C2066" t="s">
        <v>1048</v>
      </c>
      <c r="F2066" t="s">
        <v>1241</v>
      </c>
      <c r="G2066" t="s">
        <v>3543</v>
      </c>
      <c r="I2066">
        <v>2009</v>
      </c>
      <c r="J2066" t="s">
        <v>3544</v>
      </c>
      <c r="M2066" s="25" t="s">
        <v>36</v>
      </c>
      <c r="N2066" t="s">
        <v>36</v>
      </c>
      <c r="P2066" t="s">
        <v>60</v>
      </c>
      <c r="Q2066" t="s">
        <v>900</v>
      </c>
      <c r="R2066" t="s">
        <v>1741</v>
      </c>
      <c r="S2066" t="s">
        <v>1077</v>
      </c>
      <c r="T2066">
        <v>129.866265</v>
      </c>
      <c r="U2066">
        <v>32.747723999999998</v>
      </c>
      <c r="V2066" t="s">
        <v>905</v>
      </c>
      <c r="X2066" t="s">
        <v>3483</v>
      </c>
      <c r="Z2066">
        <v>100</v>
      </c>
      <c r="AA2066">
        <v>100</v>
      </c>
      <c r="AC2066">
        <v>8.1</v>
      </c>
      <c r="AE2066">
        <v>7.4</v>
      </c>
      <c r="AG2066" t="str">
        <f t="shared" si="234"/>
        <v>9KYP_Mytilus_galloprovincialis_D114h / 6 days_CO2_8.10_TNA</v>
      </c>
      <c r="AJ2066" t="s">
        <v>1095</v>
      </c>
      <c r="AK2066" t="s">
        <v>40</v>
      </c>
      <c r="AM2066"/>
      <c r="AN2066">
        <v>85.5</v>
      </c>
      <c r="AO2066">
        <v>1.3</v>
      </c>
      <c r="AP2066">
        <v>69.2</v>
      </c>
      <c r="AQ2066">
        <v>1.9</v>
      </c>
      <c r="AR2066" t="s">
        <v>3503</v>
      </c>
      <c r="AS2066">
        <f t="shared" si="235"/>
        <v>-0.21151551331909069</v>
      </c>
      <c r="AT2066">
        <f t="shared" si="236"/>
        <v>9.8504973049374159E-6</v>
      </c>
      <c r="AW2066" s="28">
        <f t="shared" si="237"/>
        <v>-10.013010404393402</v>
      </c>
      <c r="AX2066">
        <f t="shared" si="238"/>
        <v>0.99620733249051829</v>
      </c>
      <c r="AY2066" s="62">
        <f t="shared" si="239"/>
        <v>-9.9750343851605567</v>
      </c>
      <c r="AZ2066" s="68" t="str">
        <f t="shared" si="240"/>
        <v>No</v>
      </c>
      <c r="BA2066" s="68" t="str">
        <f t="shared" si="241"/>
        <v>No</v>
      </c>
    </row>
    <row r="2067" spans="1:53" hidden="1">
      <c r="A2067" t="s">
        <v>1039</v>
      </c>
      <c r="B2067" t="s">
        <v>3651</v>
      </c>
      <c r="C2067" t="s">
        <v>1049</v>
      </c>
      <c r="F2067" t="s">
        <v>1241</v>
      </c>
      <c r="G2067" t="s">
        <v>3545</v>
      </c>
      <c r="I2067">
        <v>2007</v>
      </c>
      <c r="J2067" t="s">
        <v>3546</v>
      </c>
      <c r="M2067" s="25" t="s">
        <v>36</v>
      </c>
      <c r="N2067" t="s">
        <v>36</v>
      </c>
      <c r="P2067" t="s">
        <v>60</v>
      </c>
      <c r="Q2067" t="s">
        <v>900</v>
      </c>
      <c r="R2067" t="s">
        <v>1741</v>
      </c>
      <c r="S2067" t="s">
        <v>1078</v>
      </c>
      <c r="T2067">
        <v>129.866265</v>
      </c>
      <c r="U2067">
        <v>32.747723999999998</v>
      </c>
      <c r="V2067" t="s">
        <v>905</v>
      </c>
      <c r="X2067" t="s">
        <v>3484</v>
      </c>
      <c r="Z2067">
        <v>100</v>
      </c>
      <c r="AA2067">
        <v>100</v>
      </c>
      <c r="AC2067">
        <v>8.1999999999999993</v>
      </c>
      <c r="AE2067">
        <v>7.4</v>
      </c>
      <c r="AG2067" t="str">
        <f t="shared" si="234"/>
        <v>10KYP_Magallana_gigas_D48h_CO2_8.20_TNA</v>
      </c>
      <c r="AJ2067" t="s">
        <v>1095</v>
      </c>
      <c r="AK2067" t="s">
        <v>40</v>
      </c>
      <c r="AM2067"/>
      <c r="AN2067">
        <v>72.3</v>
      </c>
      <c r="AO2067">
        <v>1.6</v>
      </c>
      <c r="AP2067">
        <v>56.7</v>
      </c>
      <c r="AQ2067">
        <v>4.3</v>
      </c>
      <c r="AR2067" t="s">
        <v>3504</v>
      </c>
      <c r="AS2067">
        <f t="shared" si="235"/>
        <v>-0.2430499184310122</v>
      </c>
      <c r="AT2067">
        <f t="shared" si="236"/>
        <v>6.2411007003367662E-5</v>
      </c>
      <c r="AW2067" s="28">
        <f t="shared" si="237"/>
        <v>-4.8085434656746786</v>
      </c>
      <c r="AX2067">
        <f t="shared" si="238"/>
        <v>0.99620733249051829</v>
      </c>
      <c r="AY2067" s="62">
        <f t="shared" si="239"/>
        <v>-4.7903062591044838</v>
      </c>
      <c r="AZ2067" s="68" t="str">
        <f t="shared" si="240"/>
        <v>No</v>
      </c>
      <c r="BA2067" s="68" t="str">
        <f t="shared" si="241"/>
        <v>No</v>
      </c>
    </row>
    <row r="2068" spans="1:53" hidden="1">
      <c r="A2068" t="s">
        <v>1039</v>
      </c>
      <c r="B2068" t="s">
        <v>3652</v>
      </c>
      <c r="C2068" t="s">
        <v>1050</v>
      </c>
      <c r="F2068" t="s">
        <v>1241</v>
      </c>
      <c r="G2068" t="s">
        <v>3547</v>
      </c>
      <c r="I2068">
        <v>2014</v>
      </c>
      <c r="J2068" t="s">
        <v>3548</v>
      </c>
      <c r="M2068" s="25" t="s">
        <v>36</v>
      </c>
      <c r="N2068" t="s">
        <v>36</v>
      </c>
      <c r="P2068" t="s">
        <v>60</v>
      </c>
      <c r="Q2068" t="s">
        <v>900</v>
      </c>
      <c r="R2068" t="s">
        <v>1741</v>
      </c>
      <c r="S2068" t="s">
        <v>1079</v>
      </c>
      <c r="T2068">
        <v>122.184693</v>
      </c>
      <c r="U2068">
        <v>37.482990999999998</v>
      </c>
      <c r="V2068" t="s">
        <v>905</v>
      </c>
      <c r="X2068" t="s">
        <v>3485</v>
      </c>
      <c r="Z2068">
        <v>50</v>
      </c>
      <c r="AA2068">
        <v>50</v>
      </c>
      <c r="AC2068">
        <v>8.1999999999999993</v>
      </c>
      <c r="AE2068">
        <v>7.9</v>
      </c>
      <c r="AG2068" t="str">
        <f t="shared" si="234"/>
        <v>11KYP_Arca_inflata_D120h post fertilasation_CO2_8.20_TNA</v>
      </c>
      <c r="AJ2068" t="s">
        <v>1094</v>
      </c>
      <c r="AK2068" t="s">
        <v>40</v>
      </c>
      <c r="AM2068"/>
      <c r="AN2068">
        <v>91.5</v>
      </c>
      <c r="AO2068">
        <v>2.8</v>
      </c>
      <c r="AP2068">
        <v>92.1</v>
      </c>
      <c r="AQ2068">
        <v>3.1</v>
      </c>
      <c r="AR2068" t="s">
        <v>3505</v>
      </c>
      <c r="AS2068">
        <f t="shared" si="235"/>
        <v>6.5359709797849774E-3</v>
      </c>
      <c r="AT2068">
        <f t="shared" si="236"/>
        <v>4.1387192521489218E-5</v>
      </c>
      <c r="AW2068" s="28">
        <f t="shared" si="237"/>
        <v>0.20312741071965787</v>
      </c>
      <c r="AX2068">
        <f t="shared" si="238"/>
        <v>0.99232736572890023</v>
      </c>
      <c r="AY2068" s="62">
        <f t="shared" si="239"/>
        <v>0.20156888838677048</v>
      </c>
      <c r="AZ2068" s="68" t="str">
        <f t="shared" si="240"/>
        <v>No</v>
      </c>
      <c r="BA2068" s="68" t="str">
        <f t="shared" si="241"/>
        <v>No</v>
      </c>
    </row>
    <row r="2069" spans="1:53" hidden="1">
      <c r="A2069" t="s">
        <v>1039</v>
      </c>
      <c r="B2069" t="s">
        <v>3653</v>
      </c>
      <c r="C2069" t="s">
        <v>1050</v>
      </c>
      <c r="F2069" t="s">
        <v>1241</v>
      </c>
      <c r="G2069" t="s">
        <v>1038</v>
      </c>
      <c r="I2069">
        <v>2014</v>
      </c>
      <c r="J2069" t="s">
        <v>3548</v>
      </c>
      <c r="M2069" s="25" t="s">
        <v>36</v>
      </c>
      <c r="N2069" t="s">
        <v>36</v>
      </c>
      <c r="P2069" t="s">
        <v>60</v>
      </c>
      <c r="Q2069" t="s">
        <v>900</v>
      </c>
      <c r="R2069" t="s">
        <v>1741</v>
      </c>
      <c r="S2069" t="s">
        <v>1078</v>
      </c>
      <c r="T2069">
        <v>122.184693</v>
      </c>
      <c r="U2069">
        <v>37.482990999999998</v>
      </c>
      <c r="V2069" t="s">
        <v>905</v>
      </c>
      <c r="X2069" t="s">
        <v>3485</v>
      </c>
      <c r="Z2069">
        <v>50</v>
      </c>
      <c r="AA2069">
        <v>50</v>
      </c>
      <c r="AC2069">
        <v>8.1999999999999993</v>
      </c>
      <c r="AE2069">
        <v>7.9</v>
      </c>
      <c r="AG2069" t="str">
        <f t="shared" si="234"/>
        <v>11KYP_Magallana_gigas_D120h post fertilasation_CO2_8.20_TNA</v>
      </c>
      <c r="AJ2069" t="s">
        <v>1094</v>
      </c>
      <c r="AK2069" t="s">
        <v>40</v>
      </c>
      <c r="AM2069"/>
      <c r="AN2069">
        <v>82.9</v>
      </c>
      <c r="AO2069">
        <v>2.9</v>
      </c>
      <c r="AP2069">
        <v>84.9</v>
      </c>
      <c r="AQ2069">
        <v>3.6</v>
      </c>
      <c r="AR2069" t="s">
        <v>3505</v>
      </c>
      <c r="AS2069">
        <f t="shared" si="235"/>
        <v>2.3839031176052572E-2</v>
      </c>
      <c r="AT2069">
        <f t="shared" si="236"/>
        <v>6.0434669329063431E-5</v>
      </c>
      <c r="AW2069" s="28">
        <f t="shared" si="237"/>
        <v>0.61184685554257945</v>
      </c>
      <c r="AX2069">
        <f t="shared" si="238"/>
        <v>0.99232736572890023</v>
      </c>
      <c r="AY2069" s="62">
        <f t="shared" si="239"/>
        <v>0.60715237839007885</v>
      </c>
      <c r="AZ2069" s="68" t="str">
        <f t="shared" si="240"/>
        <v>No</v>
      </c>
      <c r="BA2069" s="68" t="str">
        <f t="shared" si="241"/>
        <v>No</v>
      </c>
    </row>
    <row r="2070" spans="1:53" hidden="1">
      <c r="A2070" t="s">
        <v>1039</v>
      </c>
      <c r="B2070" t="s">
        <v>3654</v>
      </c>
      <c r="C2070" t="s">
        <v>1051</v>
      </c>
      <c r="F2070" t="s">
        <v>1241</v>
      </c>
      <c r="G2070" t="s">
        <v>3549</v>
      </c>
      <c r="I2070">
        <v>2020</v>
      </c>
      <c r="J2070" t="s">
        <v>3550</v>
      </c>
      <c r="M2070" s="25" t="s">
        <v>36</v>
      </c>
      <c r="N2070" t="s">
        <v>36</v>
      </c>
      <c r="P2070" t="s">
        <v>60</v>
      </c>
      <c r="Q2070" t="s">
        <v>900</v>
      </c>
      <c r="R2070" t="s">
        <v>1741</v>
      </c>
      <c r="S2070" t="s">
        <v>1068</v>
      </c>
      <c r="T2070">
        <v>-76.119778999999994</v>
      </c>
      <c r="U2070">
        <v>37.471316000000002</v>
      </c>
      <c r="V2070" t="s">
        <v>905</v>
      </c>
      <c r="X2070" t="s">
        <v>3486</v>
      </c>
      <c r="Z2070">
        <v>58</v>
      </c>
      <c r="AA2070">
        <v>60</v>
      </c>
      <c r="AC2070">
        <v>280</v>
      </c>
      <c r="AE2070">
        <v>800</v>
      </c>
      <c r="AG2070" t="str">
        <f t="shared" si="234"/>
        <v>12KYP_Crassostrea_virginica_D3months_CO2_280.00_TNA</v>
      </c>
      <c r="AJ2070" t="s">
        <v>1095</v>
      </c>
      <c r="AK2070" t="s">
        <v>40</v>
      </c>
      <c r="AM2070"/>
      <c r="AN2070">
        <v>52</v>
      </c>
      <c r="AO2070">
        <v>5.3310411741047359</v>
      </c>
      <c r="AP2070">
        <v>50.6</v>
      </c>
      <c r="AQ2070">
        <v>6.9713700231733506</v>
      </c>
      <c r="AR2070" t="s">
        <v>3498</v>
      </c>
      <c r="AS2070">
        <f t="shared" si="235"/>
        <v>-2.7292142288007692E-2</v>
      </c>
      <c r="AT2070">
        <f t="shared" si="236"/>
        <v>4.9757477937875042E-4</v>
      </c>
      <c r="AW2070" s="28">
        <f t="shared" si="237"/>
        <v>-0.22509328637139117</v>
      </c>
      <c r="AX2070">
        <f t="shared" si="238"/>
        <v>0.99352051835853128</v>
      </c>
      <c r="AY2070" s="62">
        <f t="shared" si="239"/>
        <v>-0.22363479855472987</v>
      </c>
      <c r="AZ2070" s="68" t="str">
        <f t="shared" si="240"/>
        <v>No</v>
      </c>
      <c r="BA2070" s="68" t="str">
        <f t="shared" si="241"/>
        <v>No</v>
      </c>
    </row>
    <row r="2071" spans="1:53" hidden="1">
      <c r="A2071" t="s">
        <v>1039</v>
      </c>
      <c r="B2071" t="s">
        <v>3655</v>
      </c>
      <c r="C2071" t="s">
        <v>1052</v>
      </c>
      <c r="F2071" t="s">
        <v>1241</v>
      </c>
      <c r="G2071" t="s">
        <v>3551</v>
      </c>
      <c r="I2071">
        <v>2013</v>
      </c>
      <c r="J2071" t="s">
        <v>3552</v>
      </c>
      <c r="M2071" s="25" t="s">
        <v>36</v>
      </c>
      <c r="N2071" t="s">
        <v>36</v>
      </c>
      <c r="P2071" t="s">
        <v>60</v>
      </c>
      <c r="Q2071" t="s">
        <v>900</v>
      </c>
      <c r="R2071" t="s">
        <v>1741</v>
      </c>
      <c r="S2071" t="s">
        <v>1078</v>
      </c>
      <c r="T2071">
        <v>-7.6231920000000004</v>
      </c>
      <c r="U2071">
        <v>37.116543999999998</v>
      </c>
      <c r="V2071" t="s">
        <v>905</v>
      </c>
      <c r="X2071" t="s">
        <v>3487</v>
      </c>
      <c r="Z2071">
        <v>50</v>
      </c>
      <c r="AA2071">
        <v>50</v>
      </c>
      <c r="AC2071">
        <v>8.09</v>
      </c>
      <c r="AE2071">
        <v>7.76</v>
      </c>
      <c r="AG2071" t="str">
        <f t="shared" si="234"/>
        <v>13KYP_Magallana_gigas_D144 hours_CO2_8.09_TNA</v>
      </c>
      <c r="AJ2071" t="s">
        <v>1096</v>
      </c>
      <c r="AK2071" t="s">
        <v>40</v>
      </c>
      <c r="AM2071"/>
      <c r="AN2071">
        <v>94.3</v>
      </c>
      <c r="AO2071">
        <v>7.7781745930520234</v>
      </c>
      <c r="AP2071">
        <v>83.7</v>
      </c>
      <c r="AQ2071">
        <v>18.384776310850238</v>
      </c>
      <c r="AR2071" t="s">
        <v>3506</v>
      </c>
      <c r="AS2071">
        <f t="shared" si="235"/>
        <v>-0.11924221214398223</v>
      </c>
      <c r="AT2071">
        <f t="shared" si="236"/>
        <v>1.1009998102158543E-3</v>
      </c>
      <c r="AW2071" s="28">
        <f t="shared" si="237"/>
        <v>-0.75094252779436288</v>
      </c>
      <c r="AX2071">
        <f t="shared" si="238"/>
        <v>0.99232736572890023</v>
      </c>
      <c r="AY2071" s="62">
        <f t="shared" si="239"/>
        <v>-0.74518082041998157</v>
      </c>
      <c r="AZ2071" s="68" t="str">
        <f t="shared" si="240"/>
        <v>No</v>
      </c>
      <c r="BA2071" s="68" t="str">
        <f t="shared" si="241"/>
        <v>No</v>
      </c>
    </row>
    <row r="2072" spans="1:53" hidden="1">
      <c r="A2072" t="s">
        <v>1039</v>
      </c>
      <c r="B2072" t="s">
        <v>3656</v>
      </c>
      <c r="C2072" t="s">
        <v>1053</v>
      </c>
      <c r="F2072" t="s">
        <v>1241</v>
      </c>
      <c r="G2072" t="s">
        <v>3553</v>
      </c>
      <c r="I2072">
        <v>2016</v>
      </c>
      <c r="J2072" t="s">
        <v>3554</v>
      </c>
      <c r="M2072" s="25" t="s">
        <v>36</v>
      </c>
      <c r="N2072" t="s">
        <v>36</v>
      </c>
      <c r="P2072" t="s">
        <v>60</v>
      </c>
      <c r="Q2072" t="s">
        <v>900</v>
      </c>
      <c r="R2072" t="s">
        <v>1741</v>
      </c>
      <c r="S2072" t="s">
        <v>1080</v>
      </c>
      <c r="T2072">
        <v>-9.0852489999999992</v>
      </c>
      <c r="U2072">
        <v>38.762951000000001</v>
      </c>
      <c r="V2072" t="s">
        <v>905</v>
      </c>
      <c r="X2072" t="s">
        <v>3488</v>
      </c>
      <c r="Z2072">
        <v>150</v>
      </c>
      <c r="AA2072">
        <v>150</v>
      </c>
      <c r="AC2072">
        <v>7.93</v>
      </c>
      <c r="AE2072">
        <v>7.54</v>
      </c>
      <c r="AG2072" t="str">
        <f t="shared" si="234"/>
        <v>14KYP_Donax_trunculus_D9 days_CO2_7.93_TNA</v>
      </c>
      <c r="AJ2072" t="s">
        <v>1097</v>
      </c>
      <c r="AK2072" t="s">
        <v>40</v>
      </c>
      <c r="AM2072"/>
      <c r="AN2072">
        <v>104</v>
      </c>
      <c r="AO2072">
        <v>13.47219358530748</v>
      </c>
      <c r="AP2072">
        <v>106.1</v>
      </c>
      <c r="AQ2072">
        <v>11.022703842524301</v>
      </c>
      <c r="AR2072" t="s">
        <v>3507</v>
      </c>
      <c r="AS2072">
        <f t="shared" si="235"/>
        <v>1.9991146478564481E-2</v>
      </c>
      <c r="AT2072">
        <f t="shared" si="236"/>
        <v>1.8382518732938384E-4</v>
      </c>
      <c r="AW2072" s="28">
        <f t="shared" si="237"/>
        <v>0.17061333737750092</v>
      </c>
      <c r="AX2072">
        <f t="shared" si="238"/>
        <v>0.9974811083123426</v>
      </c>
      <c r="AY2072" s="62">
        <f t="shared" si="239"/>
        <v>0.17018358086017724</v>
      </c>
      <c r="AZ2072" s="68" t="str">
        <f t="shared" si="240"/>
        <v>No</v>
      </c>
      <c r="BA2072" s="68" t="str">
        <f t="shared" si="241"/>
        <v>No</v>
      </c>
    </row>
    <row r="2073" spans="1:53" hidden="1">
      <c r="A2073" t="s">
        <v>1039</v>
      </c>
      <c r="B2073" t="s">
        <v>3657</v>
      </c>
      <c r="C2073" t="s">
        <v>1054</v>
      </c>
      <c r="F2073" t="s">
        <v>1241</v>
      </c>
      <c r="G2073" t="s">
        <v>3555</v>
      </c>
      <c r="I2073">
        <v>2011</v>
      </c>
      <c r="J2073" t="s">
        <v>3556</v>
      </c>
      <c r="M2073" s="25" t="s">
        <v>36</v>
      </c>
      <c r="N2073" t="s">
        <v>36</v>
      </c>
      <c r="P2073" t="s">
        <v>60</v>
      </c>
      <c r="Q2073" t="s">
        <v>900</v>
      </c>
      <c r="R2073" t="s">
        <v>1741</v>
      </c>
      <c r="S2073" t="s">
        <v>1081</v>
      </c>
      <c r="T2073">
        <v>2.58786</v>
      </c>
      <c r="U2073">
        <v>41.571736000000001</v>
      </c>
      <c r="V2073" t="s">
        <v>907</v>
      </c>
      <c r="X2073" t="s">
        <v>3489</v>
      </c>
      <c r="Z2073">
        <v>50</v>
      </c>
      <c r="AA2073">
        <v>50</v>
      </c>
      <c r="AC2073" t="s">
        <v>3476</v>
      </c>
      <c r="AD2073">
        <v>19</v>
      </c>
      <c r="AF2073">
        <v>23</v>
      </c>
      <c r="AG2073" t="str">
        <f t="shared" si="234"/>
        <v>15KYP_Callista_chione_D53 days_CO2_NA_T19.00</v>
      </c>
      <c r="AJ2073" t="s">
        <v>1098</v>
      </c>
      <c r="AK2073" t="s">
        <v>40</v>
      </c>
      <c r="AM2073"/>
      <c r="AN2073">
        <v>223.1</v>
      </c>
      <c r="AO2073">
        <v>11.2</v>
      </c>
      <c r="AP2073">
        <v>230.2</v>
      </c>
      <c r="AQ2073">
        <v>17.8</v>
      </c>
      <c r="AR2073" t="s">
        <v>3498</v>
      </c>
      <c r="AS2073">
        <f t="shared" si="235"/>
        <v>3.1328394849295726E-2</v>
      </c>
      <c r="AT2073">
        <f t="shared" si="236"/>
        <v>1.6998444397516173E-4</v>
      </c>
      <c r="AW2073" s="28">
        <f t="shared" si="237"/>
        <v>0.47744648028789155</v>
      </c>
      <c r="AX2073">
        <f t="shared" si="238"/>
        <v>0.99232736572890023</v>
      </c>
      <c r="AY2073" s="62">
        <f t="shared" si="239"/>
        <v>0.47378320806061869</v>
      </c>
      <c r="AZ2073" s="68" t="str">
        <f t="shared" si="240"/>
        <v>No</v>
      </c>
      <c r="BA2073" s="68" t="str">
        <f t="shared" si="241"/>
        <v>No</v>
      </c>
    </row>
    <row r="2074" spans="1:53" hidden="1">
      <c r="A2074" t="s">
        <v>1039</v>
      </c>
      <c r="B2074" t="s">
        <v>3572</v>
      </c>
      <c r="C2074" t="s">
        <v>1055</v>
      </c>
      <c r="F2074" t="s">
        <v>1241</v>
      </c>
      <c r="G2074" t="s">
        <v>3557</v>
      </c>
      <c r="I2074">
        <v>2012</v>
      </c>
      <c r="J2074" t="s">
        <v>3558</v>
      </c>
      <c r="M2074" s="25" t="s">
        <v>36</v>
      </c>
      <c r="N2074" t="s">
        <v>36</v>
      </c>
      <c r="P2074" t="s">
        <v>60</v>
      </c>
      <c r="Q2074" t="s">
        <v>900</v>
      </c>
      <c r="R2074" t="s">
        <v>1741</v>
      </c>
      <c r="S2074" t="s">
        <v>1077</v>
      </c>
      <c r="T2074">
        <v>-5.289466</v>
      </c>
      <c r="U2074">
        <v>36.237661000000003</v>
      </c>
      <c r="V2074" t="s">
        <v>907</v>
      </c>
      <c r="X2074" t="s">
        <v>3490</v>
      </c>
      <c r="Z2074">
        <v>30</v>
      </c>
      <c r="AA2074">
        <v>30</v>
      </c>
      <c r="AC2074" t="s">
        <v>3476</v>
      </c>
      <c r="AD2074">
        <v>20</v>
      </c>
      <c r="AF2074">
        <v>24</v>
      </c>
      <c r="AG2074" t="str">
        <f t="shared" si="234"/>
        <v>16KYP_Mytilus_galloprovincialis_D16 days _CO2_NA_T20.00</v>
      </c>
      <c r="AJ2074" t="s">
        <v>1099</v>
      </c>
      <c r="AK2074" t="s">
        <v>40</v>
      </c>
      <c r="AM2074"/>
      <c r="AN2074">
        <v>9.06</v>
      </c>
      <c r="AO2074">
        <v>6.5726706900619929</v>
      </c>
      <c r="AP2074">
        <v>8.7100000000000009</v>
      </c>
      <c r="AQ2074">
        <v>2.1908902300206647</v>
      </c>
      <c r="AR2074" t="s">
        <v>3508</v>
      </c>
      <c r="AS2074">
        <f t="shared" si="235"/>
        <v>-3.9397329190476338E-2</v>
      </c>
      <c r="AT2074">
        <f t="shared" si="236"/>
        <v>1.9652124659828348E-2</v>
      </c>
      <c r="AW2074" s="28">
        <f t="shared" si="237"/>
        <v>-7.1443450831175967E-2</v>
      </c>
      <c r="AX2074">
        <f t="shared" si="238"/>
        <v>0.98701298701298701</v>
      </c>
      <c r="AY2074" s="62">
        <f t="shared" si="239"/>
        <v>-7.0515613807394462E-2</v>
      </c>
      <c r="AZ2074" s="68" t="str">
        <f t="shared" si="240"/>
        <v>No</v>
      </c>
      <c r="BA2074" s="68" t="str">
        <f t="shared" si="241"/>
        <v>No</v>
      </c>
    </row>
    <row r="2075" spans="1:53" hidden="1">
      <c r="A2075" t="s">
        <v>1039</v>
      </c>
      <c r="B2075" t="s">
        <v>3573</v>
      </c>
      <c r="C2075" t="s">
        <v>1056</v>
      </c>
      <c r="F2075" t="s">
        <v>1241</v>
      </c>
      <c r="G2075" t="s">
        <v>3559</v>
      </c>
      <c r="I2075">
        <v>2009</v>
      </c>
      <c r="J2075" t="s">
        <v>3560</v>
      </c>
      <c r="M2075" s="25" t="s">
        <v>36</v>
      </c>
      <c r="N2075" t="s">
        <v>36</v>
      </c>
      <c r="P2075" t="s">
        <v>60</v>
      </c>
      <c r="Q2075" t="s">
        <v>900</v>
      </c>
      <c r="R2075" t="s">
        <v>1741</v>
      </c>
      <c r="S2075" t="s">
        <v>1068</v>
      </c>
      <c r="T2075">
        <v>-72.476386000000005</v>
      </c>
      <c r="U2075">
        <v>40.843426000000001</v>
      </c>
      <c r="V2075" t="s">
        <v>905</v>
      </c>
      <c r="X2075" t="s">
        <v>3491</v>
      </c>
      <c r="Z2075">
        <v>15</v>
      </c>
      <c r="AA2075">
        <v>15</v>
      </c>
      <c r="AC2075">
        <v>8</v>
      </c>
      <c r="AE2075">
        <v>7.8</v>
      </c>
      <c r="AG2075" t="str">
        <f t="shared" si="234"/>
        <v>17KYP_Crassostrea_virginica_D20 days_CO2_8.00_TNA</v>
      </c>
      <c r="AJ2075" t="s">
        <v>1100</v>
      </c>
      <c r="AK2075" t="s">
        <v>40</v>
      </c>
      <c r="AM2075"/>
      <c r="AN2075">
        <v>359.76</v>
      </c>
      <c r="AO2075">
        <v>41.247272637108992</v>
      </c>
      <c r="AP2075">
        <v>261.54000000000002</v>
      </c>
      <c r="AQ2075">
        <v>45.856122819095816</v>
      </c>
      <c r="AR2075" t="s">
        <v>3509</v>
      </c>
      <c r="AS2075">
        <f t="shared" si="235"/>
        <v>-0.31884990698409599</v>
      </c>
      <c r="AT2075">
        <f t="shared" si="236"/>
        <v>2.9257437256818165E-3</v>
      </c>
      <c r="AW2075" s="28">
        <f t="shared" si="237"/>
        <v>-2.2521003491137943</v>
      </c>
      <c r="AX2075">
        <f t="shared" si="238"/>
        <v>0.97297297297297303</v>
      </c>
      <c r="AY2075" s="62">
        <f t="shared" si="239"/>
        <v>-2.1912327721107188</v>
      </c>
      <c r="AZ2075" s="68" t="str">
        <f t="shared" si="240"/>
        <v>No</v>
      </c>
      <c r="BA2075" s="68" t="str">
        <f t="shared" si="241"/>
        <v>No</v>
      </c>
    </row>
    <row r="2076" spans="1:53" hidden="1">
      <c r="A2076" t="s">
        <v>1039</v>
      </c>
      <c r="B2076" t="s">
        <v>3574</v>
      </c>
      <c r="C2076" t="s">
        <v>1056</v>
      </c>
      <c r="F2076" t="s">
        <v>1241</v>
      </c>
      <c r="G2076" t="s">
        <v>3559</v>
      </c>
      <c r="I2076">
        <v>2009</v>
      </c>
      <c r="J2076" t="s">
        <v>3560</v>
      </c>
      <c r="M2076" s="25" t="s">
        <v>36</v>
      </c>
      <c r="N2076" t="s">
        <v>36</v>
      </c>
      <c r="P2076" t="s">
        <v>60</v>
      </c>
      <c r="Q2076" t="s">
        <v>900</v>
      </c>
      <c r="R2076" t="s">
        <v>1741</v>
      </c>
      <c r="S2076" t="s">
        <v>1069</v>
      </c>
      <c r="T2076">
        <v>-72.476386000000005</v>
      </c>
      <c r="U2076">
        <v>40.843426000000001</v>
      </c>
      <c r="V2076" t="s">
        <v>905</v>
      </c>
      <c r="X2076" t="s">
        <v>3492</v>
      </c>
      <c r="Z2076">
        <v>15</v>
      </c>
      <c r="AA2076">
        <v>15</v>
      </c>
      <c r="AC2076">
        <v>8</v>
      </c>
      <c r="AE2076">
        <v>7.8</v>
      </c>
      <c r="AG2076" t="str">
        <f t="shared" si="234"/>
        <v>17KYP_Argopecten_irradians_D19 days_CO2_8.00_TNA</v>
      </c>
      <c r="AJ2076" t="s">
        <v>1100</v>
      </c>
      <c r="AK2076" t="s">
        <v>40</v>
      </c>
      <c r="AM2076"/>
      <c r="AN2076">
        <v>400</v>
      </c>
      <c r="AO2076">
        <v>23.973766913023912</v>
      </c>
      <c r="AP2076">
        <v>200.62</v>
      </c>
      <c r="AQ2076">
        <v>33.578765611618309</v>
      </c>
      <c r="AR2076" t="s">
        <v>3509</v>
      </c>
      <c r="AS2076">
        <f t="shared" si="235"/>
        <v>-0.69005197565264265</v>
      </c>
      <c r="AT2076">
        <f t="shared" si="236"/>
        <v>2.1071009004135395E-3</v>
      </c>
      <c r="AW2076" s="28">
        <f t="shared" si="237"/>
        <v>-6.8341062888777593</v>
      </c>
      <c r="AX2076">
        <f t="shared" si="238"/>
        <v>0.97297297297297303</v>
      </c>
      <c r="AY2076" s="62">
        <f t="shared" si="239"/>
        <v>-6.6494007135026854</v>
      </c>
      <c r="AZ2076" s="68" t="str">
        <f t="shared" si="240"/>
        <v>No</v>
      </c>
      <c r="BA2076" s="68" t="str">
        <f t="shared" si="241"/>
        <v>No</v>
      </c>
    </row>
    <row r="2077" spans="1:53" hidden="1">
      <c r="A2077" t="s">
        <v>1039</v>
      </c>
      <c r="B2077" t="s">
        <v>3575</v>
      </c>
      <c r="C2077" t="s">
        <v>1056</v>
      </c>
      <c r="F2077" t="s">
        <v>1241</v>
      </c>
      <c r="G2077" t="s">
        <v>3559</v>
      </c>
      <c r="I2077">
        <v>2009</v>
      </c>
      <c r="J2077" t="s">
        <v>3560</v>
      </c>
      <c r="M2077" s="25" t="s">
        <v>36</v>
      </c>
      <c r="N2077" t="s">
        <v>36</v>
      </c>
      <c r="P2077" t="s">
        <v>60</v>
      </c>
      <c r="Q2077" t="s">
        <v>900</v>
      </c>
      <c r="R2077" t="s">
        <v>1741</v>
      </c>
      <c r="S2077" t="s">
        <v>1070</v>
      </c>
      <c r="T2077">
        <v>-72.476386000000005</v>
      </c>
      <c r="U2077">
        <v>40.843426000000001</v>
      </c>
      <c r="V2077" t="s">
        <v>905</v>
      </c>
      <c r="X2077" t="s">
        <v>3493</v>
      </c>
      <c r="Z2077">
        <v>15</v>
      </c>
      <c r="AA2077">
        <v>15</v>
      </c>
      <c r="AC2077">
        <v>8</v>
      </c>
      <c r="AE2077">
        <v>7.8</v>
      </c>
      <c r="AG2077" t="str">
        <f t="shared" si="234"/>
        <v>17KYP_Mercenaria_mercenaria_D18 days_CO2_8.00_TNA</v>
      </c>
      <c r="AJ2077" t="s">
        <v>1100</v>
      </c>
      <c r="AK2077" t="s">
        <v>40</v>
      </c>
      <c r="AM2077"/>
      <c r="AN2077">
        <v>221.23</v>
      </c>
      <c r="AO2077">
        <v>37.141910290129125</v>
      </c>
      <c r="AP2077">
        <v>172.6</v>
      </c>
      <c r="AQ2077">
        <v>18.551590228333527</v>
      </c>
      <c r="AR2077" t="s">
        <v>3509</v>
      </c>
      <c r="AS2077">
        <f t="shared" si="235"/>
        <v>-0.24822610567256831</v>
      </c>
      <c r="AT2077">
        <f t="shared" si="236"/>
        <v>2.6492719457674721E-3</v>
      </c>
      <c r="AW2077" s="28">
        <f t="shared" si="237"/>
        <v>-1.6564966739741986</v>
      </c>
      <c r="AX2077">
        <f t="shared" si="238"/>
        <v>0.97297297297297303</v>
      </c>
      <c r="AY2077" s="62">
        <f t="shared" si="239"/>
        <v>-1.6117264935965177</v>
      </c>
      <c r="AZ2077" s="68" t="str">
        <f t="shared" si="240"/>
        <v>No</v>
      </c>
      <c r="BA2077" s="68" t="str">
        <f t="shared" si="241"/>
        <v>No</v>
      </c>
    </row>
    <row r="2078" spans="1:53" hidden="1">
      <c r="A2078" t="s">
        <v>1039</v>
      </c>
      <c r="B2078" t="s">
        <v>3576</v>
      </c>
      <c r="C2078" t="s">
        <v>1057</v>
      </c>
      <c r="F2078" t="s">
        <v>1241</v>
      </c>
      <c r="G2078" t="s">
        <v>3559</v>
      </c>
      <c r="I2078">
        <v>2010</v>
      </c>
      <c r="J2078" t="s">
        <v>3561</v>
      </c>
      <c r="M2078" s="25" t="s">
        <v>36</v>
      </c>
      <c r="N2078" t="s">
        <v>36</v>
      </c>
      <c r="P2078" t="s">
        <v>60</v>
      </c>
      <c r="Q2078" t="s">
        <v>900</v>
      </c>
      <c r="R2078" t="s">
        <v>1741</v>
      </c>
      <c r="S2078" t="s">
        <v>1069</v>
      </c>
      <c r="T2078">
        <v>-72.108735999999993</v>
      </c>
      <c r="U2078">
        <v>41.004224000000001</v>
      </c>
      <c r="V2078" t="s">
        <v>905</v>
      </c>
      <c r="X2078" t="s">
        <v>3493</v>
      </c>
      <c r="Z2078">
        <v>15</v>
      </c>
      <c r="AA2078">
        <v>15</v>
      </c>
      <c r="AC2078">
        <v>8.1999999999999993</v>
      </c>
      <c r="AE2078">
        <v>7.8</v>
      </c>
      <c r="AG2078" t="str">
        <f t="shared" si="234"/>
        <v>18KYP_Argopecten_irradians_D18 days_CO2_8.20_TNA</v>
      </c>
      <c r="AJ2078" t="s">
        <v>1101</v>
      </c>
      <c r="AK2078" t="s">
        <v>40</v>
      </c>
      <c r="AM2078"/>
      <c r="AN2078">
        <v>530.70000000000005</v>
      </c>
      <c r="AO2078">
        <v>50.4</v>
      </c>
      <c r="AP2078">
        <v>382.2</v>
      </c>
      <c r="AQ2078">
        <v>25.2</v>
      </c>
      <c r="AR2078" t="s">
        <v>3498</v>
      </c>
      <c r="AS2078">
        <f t="shared" si="235"/>
        <v>-0.32825285802767645</v>
      </c>
      <c r="AT2078">
        <f t="shared" si="236"/>
        <v>8.9109298166621729E-4</v>
      </c>
      <c r="AW2078" s="28">
        <f t="shared" si="237"/>
        <v>-3.7269700994841632</v>
      </c>
      <c r="AX2078">
        <f t="shared" si="238"/>
        <v>0.97297297297297303</v>
      </c>
      <c r="AY2078" s="62">
        <f t="shared" si="239"/>
        <v>-3.6262411778764831</v>
      </c>
      <c r="AZ2078" s="68" t="str">
        <f t="shared" si="240"/>
        <v>No</v>
      </c>
      <c r="BA2078" s="68" t="str">
        <f t="shared" si="241"/>
        <v>No</v>
      </c>
    </row>
    <row r="2079" spans="1:53" hidden="1">
      <c r="A2079" t="s">
        <v>1039</v>
      </c>
      <c r="B2079" t="s">
        <v>3577</v>
      </c>
      <c r="C2079" t="s">
        <v>1057</v>
      </c>
      <c r="F2079" t="s">
        <v>1241</v>
      </c>
      <c r="G2079" t="s">
        <v>3559</v>
      </c>
      <c r="I2079">
        <v>2010</v>
      </c>
      <c r="J2079" t="s">
        <v>3561</v>
      </c>
      <c r="M2079" s="25" t="s">
        <v>36</v>
      </c>
      <c r="N2079" t="s">
        <v>36</v>
      </c>
      <c r="P2079" t="s">
        <v>60</v>
      </c>
      <c r="Q2079" t="s">
        <v>900</v>
      </c>
      <c r="R2079" t="s">
        <v>1741</v>
      </c>
      <c r="S2079" t="s">
        <v>1070</v>
      </c>
      <c r="T2079">
        <v>-72.108735999999993</v>
      </c>
      <c r="U2079">
        <v>41.004224000000001</v>
      </c>
      <c r="V2079" t="s">
        <v>905</v>
      </c>
      <c r="X2079" t="s">
        <v>3494</v>
      </c>
      <c r="Z2079">
        <v>15</v>
      </c>
      <c r="AA2079">
        <v>15</v>
      </c>
      <c r="AC2079">
        <v>8.1999999999999993</v>
      </c>
      <c r="AE2079">
        <v>7.8</v>
      </c>
      <c r="AG2079" t="str">
        <f t="shared" si="234"/>
        <v>18KYP_Mercenaria_mercenaria_D24 days_CO2_8.20_TNA</v>
      </c>
      <c r="AJ2079" t="s">
        <v>1101</v>
      </c>
      <c r="AK2079" t="s">
        <v>40</v>
      </c>
      <c r="AM2079"/>
      <c r="AN2079">
        <v>522.79999999999995</v>
      </c>
      <c r="AO2079">
        <v>36.200000000000003</v>
      </c>
      <c r="AP2079">
        <v>279.39999999999998</v>
      </c>
      <c r="AQ2079">
        <v>11</v>
      </c>
      <c r="AR2079" t="s">
        <v>3498</v>
      </c>
      <c r="AS2079">
        <f t="shared" si="235"/>
        <v>-0.62655453492720525</v>
      </c>
      <c r="AT2079">
        <f t="shared" si="236"/>
        <v>4.2296883126454805E-4</v>
      </c>
      <c r="AW2079" s="28">
        <f t="shared" si="237"/>
        <v>-9.0980642038461834</v>
      </c>
      <c r="AX2079">
        <f t="shared" si="238"/>
        <v>0.97297297297297303</v>
      </c>
      <c r="AY2079" s="62">
        <f t="shared" si="239"/>
        <v>-8.8521705767152064</v>
      </c>
      <c r="AZ2079" s="68" t="str">
        <f t="shared" si="240"/>
        <v>No</v>
      </c>
      <c r="BA2079" s="68" t="str">
        <f t="shared" si="241"/>
        <v>No</v>
      </c>
    </row>
    <row r="2080" spans="1:53" hidden="1">
      <c r="A2080" t="s">
        <v>1039</v>
      </c>
      <c r="B2080" t="s">
        <v>3578</v>
      </c>
      <c r="C2080" t="s">
        <v>1058</v>
      </c>
      <c r="F2080" t="s">
        <v>1241</v>
      </c>
      <c r="G2080" t="s">
        <v>3562</v>
      </c>
      <c r="I2080">
        <v>2012</v>
      </c>
      <c r="J2080" t="s">
        <v>3563</v>
      </c>
      <c r="M2080" s="25" t="s">
        <v>36</v>
      </c>
      <c r="N2080" t="s">
        <v>36</v>
      </c>
      <c r="P2080" t="s">
        <v>60</v>
      </c>
      <c r="Q2080" t="s">
        <v>900</v>
      </c>
      <c r="R2080" t="s">
        <v>1741</v>
      </c>
      <c r="S2080" t="s">
        <v>1082</v>
      </c>
      <c r="T2080">
        <v>3.718089</v>
      </c>
      <c r="U2080">
        <v>51.395251999999999</v>
      </c>
      <c r="V2080" t="s">
        <v>905</v>
      </c>
      <c r="X2080" t="s">
        <v>3492</v>
      </c>
      <c r="Z2080">
        <v>32</v>
      </c>
      <c r="AA2080">
        <v>32</v>
      </c>
      <c r="AC2080">
        <v>8.1</v>
      </c>
      <c r="AE2080">
        <v>7.5</v>
      </c>
      <c r="AG2080" t="str">
        <f t="shared" si="234"/>
        <v>19KYP_Macoma_balthica_/_Limecola_balthica_D19 days_CO2_8.10_TNA</v>
      </c>
      <c r="AJ2080" t="s">
        <v>1102</v>
      </c>
      <c r="AK2080" t="s">
        <v>40</v>
      </c>
      <c r="AM2080"/>
      <c r="AN2080">
        <v>308.39999999999998</v>
      </c>
      <c r="AO2080">
        <v>19.233304448274094</v>
      </c>
      <c r="AP2080">
        <v>257.60000000000002</v>
      </c>
      <c r="AQ2080">
        <v>18.10193359837562</v>
      </c>
      <c r="AR2080" t="s">
        <v>1652</v>
      </c>
      <c r="AS2080">
        <f t="shared" si="235"/>
        <v>-0.17998964745897528</v>
      </c>
      <c r="AT2080">
        <f t="shared" si="236"/>
        <v>2.7585779448342947E-4</v>
      </c>
      <c r="AW2080" s="28">
        <f t="shared" si="237"/>
        <v>-2.7200411491760552</v>
      </c>
      <c r="AX2080">
        <f t="shared" si="238"/>
        <v>0.98785425101214575</v>
      </c>
      <c r="AY2080" s="62">
        <f t="shared" si="239"/>
        <v>-2.6870042121415283</v>
      </c>
      <c r="AZ2080" s="68" t="str">
        <f t="shared" si="240"/>
        <v>No</v>
      </c>
      <c r="BA2080" s="68" t="str">
        <f t="shared" si="241"/>
        <v>No</v>
      </c>
    </row>
    <row r="2081" spans="1:53" hidden="1">
      <c r="A2081" t="s">
        <v>1039</v>
      </c>
      <c r="B2081" t="s">
        <v>3579</v>
      </c>
      <c r="C2081" t="s">
        <v>1059</v>
      </c>
      <c r="F2081" t="s">
        <v>1241</v>
      </c>
      <c r="G2081" t="s">
        <v>3564</v>
      </c>
      <c r="I2081">
        <v>2016</v>
      </c>
      <c r="J2081" t="s">
        <v>3565</v>
      </c>
      <c r="M2081" s="25" t="s">
        <v>36</v>
      </c>
      <c r="N2081" t="s">
        <v>36</v>
      </c>
      <c r="P2081" t="s">
        <v>60</v>
      </c>
      <c r="Q2081" t="s">
        <v>900</v>
      </c>
      <c r="R2081" t="s">
        <v>1741</v>
      </c>
      <c r="S2081" t="s">
        <v>1083</v>
      </c>
      <c r="T2081">
        <v>18.820430999999999</v>
      </c>
      <c r="U2081">
        <v>59.576644999999999</v>
      </c>
      <c r="V2081" t="s">
        <v>905</v>
      </c>
      <c r="X2081" t="s">
        <v>3494</v>
      </c>
      <c r="Z2081">
        <v>48</v>
      </c>
      <c r="AA2081">
        <v>55</v>
      </c>
      <c r="AC2081">
        <v>8.1</v>
      </c>
      <c r="AE2081">
        <v>7.85</v>
      </c>
      <c r="AG2081" t="str">
        <f t="shared" si="234"/>
        <v>20KYP_Mytilus_edulis_D24 days_CO2_8.10_TNA</v>
      </c>
      <c r="AJ2081" t="s">
        <v>1094</v>
      </c>
      <c r="AK2081" t="s">
        <v>40</v>
      </c>
      <c r="AM2081"/>
      <c r="AN2081">
        <v>146.1</v>
      </c>
      <c r="AO2081">
        <v>3.4641016151377544</v>
      </c>
      <c r="AP2081">
        <v>154.6</v>
      </c>
      <c r="AQ2081">
        <v>60.812827594184434</v>
      </c>
      <c r="AR2081" t="s">
        <v>3510</v>
      </c>
      <c r="AS2081">
        <f t="shared" si="235"/>
        <v>5.6549817396668089E-2</v>
      </c>
      <c r="AT2081">
        <f t="shared" si="236"/>
        <v>2.8249648081181242E-3</v>
      </c>
      <c r="AW2081" s="28">
        <f t="shared" si="237"/>
        <v>0.19088646412285179</v>
      </c>
      <c r="AX2081">
        <f t="shared" si="238"/>
        <v>0.99255583126550873</v>
      </c>
      <c r="AY2081" s="62">
        <f t="shared" si="239"/>
        <v>0.18946547307479086</v>
      </c>
      <c r="AZ2081" s="68" t="str">
        <f t="shared" si="240"/>
        <v>No</v>
      </c>
      <c r="BA2081" s="68" t="str">
        <f t="shared" si="241"/>
        <v>No</v>
      </c>
    </row>
    <row r="2082" spans="1:53" hidden="1">
      <c r="A2082" t="s">
        <v>1039</v>
      </c>
      <c r="B2082" t="s">
        <v>3580</v>
      </c>
      <c r="C2082" t="s">
        <v>1060</v>
      </c>
      <c r="F2082" t="s">
        <v>1241</v>
      </c>
      <c r="G2082" t="s">
        <v>3566</v>
      </c>
      <c r="I2082">
        <v>2016</v>
      </c>
      <c r="J2082" t="s">
        <v>3567</v>
      </c>
      <c r="M2082" s="25" t="s">
        <v>36</v>
      </c>
      <c r="N2082" t="s">
        <v>36</v>
      </c>
      <c r="P2082" t="s">
        <v>60</v>
      </c>
      <c r="Q2082" t="s">
        <v>900</v>
      </c>
      <c r="R2082" t="s">
        <v>1741</v>
      </c>
      <c r="S2082" t="s">
        <v>1069</v>
      </c>
      <c r="T2082">
        <v>120.412019</v>
      </c>
      <c r="U2082">
        <v>36.049433999999998</v>
      </c>
      <c r="V2082" t="s">
        <v>905</v>
      </c>
      <c r="X2082" t="s">
        <v>3484</v>
      </c>
      <c r="Z2082">
        <v>100</v>
      </c>
      <c r="AA2082">
        <v>100</v>
      </c>
      <c r="AC2082">
        <v>8.3000000000000007</v>
      </c>
      <c r="AE2082">
        <v>7.6</v>
      </c>
      <c r="AG2082" t="str">
        <f t="shared" si="234"/>
        <v>21KYP_Argopecten_irradians_D48h_CO2_8.30_TNA</v>
      </c>
      <c r="AJ2082" t="s">
        <v>1095</v>
      </c>
      <c r="AK2082" t="s">
        <v>40</v>
      </c>
      <c r="AM2082"/>
      <c r="AN2082">
        <v>73.5</v>
      </c>
      <c r="AO2082">
        <v>4.4000000000000004</v>
      </c>
      <c r="AP2082">
        <v>64</v>
      </c>
      <c r="AQ2082">
        <v>3</v>
      </c>
      <c r="AR2082" t="s">
        <v>3511</v>
      </c>
      <c r="AS2082">
        <f t="shared" si="235"/>
        <v>-0.13840232285911913</v>
      </c>
      <c r="AT2082">
        <f t="shared" si="236"/>
        <v>5.7809576051934386E-5</v>
      </c>
      <c r="AW2082" s="28">
        <f t="shared" si="237"/>
        <v>-2.522815495708687</v>
      </c>
      <c r="AX2082">
        <f t="shared" si="238"/>
        <v>0.99620733249051829</v>
      </c>
      <c r="AY2082" s="62">
        <f t="shared" si="239"/>
        <v>-2.5132472953456957</v>
      </c>
      <c r="AZ2082" s="68" t="str">
        <f t="shared" si="240"/>
        <v>No</v>
      </c>
      <c r="BA2082" s="68" t="str">
        <f t="shared" si="241"/>
        <v>No</v>
      </c>
    </row>
    <row r="2083" spans="1:53" hidden="1">
      <c r="A2083" t="s">
        <v>1039</v>
      </c>
      <c r="B2083" t="s">
        <v>3581</v>
      </c>
      <c r="C2083" t="s">
        <v>1061</v>
      </c>
      <c r="F2083" t="s">
        <v>1241</v>
      </c>
      <c r="G2083" t="s">
        <v>3568</v>
      </c>
      <c r="I2083">
        <v>2013</v>
      </c>
      <c r="J2083" t="s">
        <v>3569</v>
      </c>
      <c r="M2083" s="25" t="s">
        <v>36</v>
      </c>
      <c r="N2083" t="s">
        <v>36</v>
      </c>
      <c r="P2083" t="s">
        <v>60</v>
      </c>
      <c r="Q2083" t="s">
        <v>900</v>
      </c>
      <c r="R2083" t="s">
        <v>1741</v>
      </c>
      <c r="S2083" t="s">
        <v>1069</v>
      </c>
      <c r="T2083">
        <v>-70.459367</v>
      </c>
      <c r="U2083">
        <v>41.589173000000002</v>
      </c>
      <c r="V2083" t="s">
        <v>905</v>
      </c>
      <c r="X2083" t="s">
        <v>3495</v>
      </c>
      <c r="Z2083">
        <v>90</v>
      </c>
      <c r="AA2083">
        <v>90</v>
      </c>
      <c r="AC2083">
        <v>7.93</v>
      </c>
      <c r="AE2083">
        <v>7.39</v>
      </c>
      <c r="AG2083" t="str">
        <f t="shared" si="234"/>
        <v>22KYP_Argopecten_irradians_D7 days_CO2_7.93_TNA</v>
      </c>
      <c r="AJ2083" t="s">
        <v>1094</v>
      </c>
      <c r="AK2083" t="s">
        <v>40</v>
      </c>
      <c r="AM2083"/>
      <c r="AN2083">
        <v>131.69999999999999</v>
      </c>
      <c r="AO2083">
        <v>9.3000000000000007</v>
      </c>
      <c r="AP2083">
        <v>116.8</v>
      </c>
      <c r="AQ2083">
        <v>6.5</v>
      </c>
      <c r="AR2083" t="s">
        <v>3498</v>
      </c>
      <c r="AS2083">
        <f t="shared" si="235"/>
        <v>-0.12006353835510897</v>
      </c>
      <c r="AT2083">
        <f t="shared" si="236"/>
        <v>8.9816464266371517E-5</v>
      </c>
      <c r="AW2083" s="28">
        <f t="shared" si="237"/>
        <v>-1.8571394428128605</v>
      </c>
      <c r="AX2083">
        <f t="shared" si="238"/>
        <v>0.99578059071729963</v>
      </c>
      <c r="AY2083" s="62">
        <f t="shared" si="239"/>
        <v>-1.8493034114085869</v>
      </c>
      <c r="AZ2083" s="68" t="str">
        <f t="shared" si="240"/>
        <v>No</v>
      </c>
      <c r="BA2083" s="68" t="str">
        <f t="shared" si="241"/>
        <v>No</v>
      </c>
    </row>
    <row r="2084" spans="1:53" hidden="1">
      <c r="A2084" t="s">
        <v>1039</v>
      </c>
      <c r="B2084" t="s">
        <v>3582</v>
      </c>
      <c r="C2084" t="s">
        <v>1061</v>
      </c>
      <c r="F2084" t="s">
        <v>1241</v>
      </c>
      <c r="G2084" t="s">
        <v>3570</v>
      </c>
      <c r="I2084">
        <v>2014</v>
      </c>
      <c r="J2084" t="s">
        <v>3571</v>
      </c>
      <c r="M2084" s="25" t="s">
        <v>36</v>
      </c>
      <c r="N2084" t="s">
        <v>36</v>
      </c>
      <c r="P2084" t="s">
        <v>60</v>
      </c>
      <c r="Q2084" t="s">
        <v>900</v>
      </c>
      <c r="R2084" t="s">
        <v>1741</v>
      </c>
      <c r="S2084" t="s">
        <v>1069</v>
      </c>
      <c r="T2084">
        <v>-70.677002999999999</v>
      </c>
      <c r="U2084">
        <v>41.535443000000001</v>
      </c>
      <c r="V2084" t="s">
        <v>905</v>
      </c>
      <c r="X2084" t="s">
        <v>3495</v>
      </c>
      <c r="Z2084">
        <v>375</v>
      </c>
      <c r="AA2084">
        <v>375</v>
      </c>
      <c r="AC2084">
        <v>7.96</v>
      </c>
      <c r="AE2084">
        <v>7.3</v>
      </c>
      <c r="AG2084" t="str">
        <f t="shared" si="234"/>
        <v>22KYP_Argopecten_irradians_D7 days_CO2_7.96_TNA</v>
      </c>
      <c r="AJ2084" t="s">
        <v>1094</v>
      </c>
      <c r="AK2084" t="s">
        <v>40</v>
      </c>
      <c r="AM2084"/>
      <c r="AN2084">
        <v>136.6</v>
      </c>
      <c r="AO2084">
        <v>7.3</v>
      </c>
      <c r="AP2084">
        <v>119.7</v>
      </c>
      <c r="AQ2084">
        <v>5.3</v>
      </c>
      <c r="AR2084" t="s">
        <v>3512</v>
      </c>
      <c r="AS2084">
        <f t="shared" si="235"/>
        <v>-0.13206833457276179</v>
      </c>
      <c r="AT2084">
        <f t="shared" si="236"/>
        <v>1.2843715542148051E-5</v>
      </c>
      <c r="AW2084" s="28">
        <f t="shared" si="237"/>
        <v>-2.6493714969919706</v>
      </c>
      <c r="AX2084">
        <f t="shared" si="238"/>
        <v>0.99899699097291872</v>
      </c>
      <c r="AY2084" s="62">
        <f t="shared" si="239"/>
        <v>-2.6467141534643956</v>
      </c>
      <c r="AZ2084" s="68" t="str">
        <f t="shared" si="240"/>
        <v>No</v>
      </c>
      <c r="BA2084" s="68" t="str">
        <f t="shared" si="241"/>
        <v>No</v>
      </c>
    </row>
    <row r="2085" spans="1:53" hidden="1">
      <c r="A2085" t="s">
        <v>1039</v>
      </c>
      <c r="B2085" t="s">
        <v>3583</v>
      </c>
      <c r="C2085" t="s">
        <v>1061</v>
      </c>
      <c r="F2085" t="s">
        <v>1241</v>
      </c>
      <c r="G2085" t="s">
        <v>3570</v>
      </c>
      <c r="I2085">
        <v>2014</v>
      </c>
      <c r="J2085" t="s">
        <v>3571</v>
      </c>
      <c r="M2085" s="25" t="s">
        <v>36</v>
      </c>
      <c r="N2085" t="s">
        <v>36</v>
      </c>
      <c r="P2085" t="s">
        <v>60</v>
      </c>
      <c r="Q2085" t="s">
        <v>900</v>
      </c>
      <c r="R2085" t="s">
        <v>1741</v>
      </c>
      <c r="S2085" t="s">
        <v>1069</v>
      </c>
      <c r="T2085">
        <v>-70.677002999999999</v>
      </c>
      <c r="U2085">
        <v>41.535443000000001</v>
      </c>
      <c r="V2085" t="s">
        <v>905</v>
      </c>
      <c r="X2085" t="s">
        <v>3495</v>
      </c>
      <c r="Z2085">
        <v>375</v>
      </c>
      <c r="AA2085">
        <v>375</v>
      </c>
      <c r="AC2085">
        <v>7.96</v>
      </c>
      <c r="AE2085">
        <v>7.3</v>
      </c>
      <c r="AG2085" t="str">
        <f t="shared" si="234"/>
        <v>22KYP_Argopecten_irradians_D7 days_CO2_7.96_TNA</v>
      </c>
      <c r="AJ2085" t="s">
        <v>1094</v>
      </c>
      <c r="AK2085" t="s">
        <v>40</v>
      </c>
      <c r="AM2085"/>
      <c r="AN2085">
        <v>132.5</v>
      </c>
      <c r="AO2085">
        <v>1.2</v>
      </c>
      <c r="AP2085">
        <v>112.4</v>
      </c>
      <c r="AQ2085">
        <v>3.4</v>
      </c>
      <c r="AR2085" t="s">
        <v>3512</v>
      </c>
      <c r="AS2085">
        <f t="shared" si="235"/>
        <v>-0.16451870796668544</v>
      </c>
      <c r="AT2085">
        <f t="shared" si="236"/>
        <v>2.6587486588812431E-6</v>
      </c>
      <c r="AW2085" s="28">
        <f t="shared" si="237"/>
        <v>-7.8838686325549965</v>
      </c>
      <c r="AX2085">
        <f t="shared" si="238"/>
        <v>0.99899699097291872</v>
      </c>
      <c r="AY2085" s="62">
        <f t="shared" si="239"/>
        <v>-7.875961041148221</v>
      </c>
      <c r="AZ2085" s="68" t="str">
        <f t="shared" si="240"/>
        <v>No</v>
      </c>
      <c r="BA2085" s="68" t="str">
        <f t="shared" si="241"/>
        <v>No</v>
      </c>
    </row>
    <row r="2086" spans="1:53" hidden="1">
      <c r="A2086" t="s">
        <v>1039</v>
      </c>
      <c r="B2086" t="s">
        <v>3584</v>
      </c>
      <c r="C2086" t="s">
        <v>1062</v>
      </c>
      <c r="F2086" t="s">
        <v>1241</v>
      </c>
      <c r="G2086" t="s">
        <v>3541</v>
      </c>
      <c r="I2086">
        <v>2011</v>
      </c>
      <c r="J2086" t="s">
        <v>3542</v>
      </c>
      <c r="M2086" s="25" t="s">
        <v>36</v>
      </c>
      <c r="N2086" t="s">
        <v>36</v>
      </c>
      <c r="P2086" t="s">
        <v>60</v>
      </c>
      <c r="Q2086" t="s">
        <v>900</v>
      </c>
      <c r="R2086" t="s">
        <v>1741</v>
      </c>
      <c r="S2086" t="s">
        <v>1083</v>
      </c>
      <c r="T2086">
        <v>5.985468</v>
      </c>
      <c r="U2086">
        <v>58.930363</v>
      </c>
      <c r="V2086" t="s">
        <v>905</v>
      </c>
      <c r="Z2086">
        <v>102</v>
      </c>
      <c r="AA2086">
        <v>139</v>
      </c>
      <c r="AC2086">
        <v>8.06</v>
      </c>
      <c r="AE2086">
        <v>7.62</v>
      </c>
      <c r="AG2086" t="str">
        <f t="shared" si="234"/>
        <v>23KYP_Mytilus_edulis_D0_CO2_8.06_TNA</v>
      </c>
      <c r="AJ2086" t="s">
        <v>1103</v>
      </c>
      <c r="AK2086" t="s">
        <v>40</v>
      </c>
      <c r="AM2086"/>
      <c r="AN2086">
        <v>0.13500000000000001</v>
      </c>
      <c r="AO2086">
        <v>4.5999999999999999E-2</v>
      </c>
      <c r="AP2086">
        <v>9.7000000000000003E-2</v>
      </c>
      <c r="AQ2086">
        <v>4.2999999999999997E-2</v>
      </c>
      <c r="AR2086" t="s">
        <v>3513</v>
      </c>
      <c r="AS2086">
        <f t="shared" si="235"/>
        <v>-0.33056379993504637</v>
      </c>
      <c r="AT2086">
        <f t="shared" si="236"/>
        <v>2.5520465956892068E-3</v>
      </c>
      <c r="AW2086" s="28">
        <f t="shared" si="237"/>
        <v>-0.85793151061649775</v>
      </c>
      <c r="AX2086">
        <f t="shared" si="238"/>
        <v>0.99685863874345548</v>
      </c>
      <c r="AY2086" s="62">
        <f t="shared" si="239"/>
        <v>-0.8552364378082784</v>
      </c>
      <c r="AZ2086" s="68" t="str">
        <f t="shared" si="240"/>
        <v>No</v>
      </c>
      <c r="BA2086" s="68" t="str">
        <f t="shared" si="241"/>
        <v>No</v>
      </c>
    </row>
    <row r="2087" spans="1:53" hidden="1">
      <c r="A2087" t="s">
        <v>1039</v>
      </c>
      <c r="B2087" t="s">
        <v>3585</v>
      </c>
      <c r="C2087" t="s">
        <v>1063</v>
      </c>
      <c r="F2087" t="s">
        <v>1241</v>
      </c>
      <c r="G2087" t="s">
        <v>3539</v>
      </c>
      <c r="I2087">
        <v>2010</v>
      </c>
      <c r="J2087" t="s">
        <v>3540</v>
      </c>
      <c r="M2087" s="25" t="s">
        <v>36</v>
      </c>
      <c r="N2087" t="s">
        <v>36</v>
      </c>
      <c r="P2087" t="s">
        <v>60</v>
      </c>
      <c r="Q2087" t="s">
        <v>900</v>
      </c>
      <c r="R2087" t="s">
        <v>1741</v>
      </c>
      <c r="S2087" t="s">
        <v>1083</v>
      </c>
      <c r="T2087">
        <v>4.0662789999999998</v>
      </c>
      <c r="U2087">
        <v>51.496222000000003</v>
      </c>
      <c r="V2087" t="s">
        <v>905</v>
      </c>
      <c r="Z2087">
        <v>3</v>
      </c>
      <c r="AA2087">
        <v>3</v>
      </c>
      <c r="AC2087">
        <v>8.06</v>
      </c>
      <c r="AE2087">
        <v>7.78</v>
      </c>
      <c r="AG2087" t="str">
        <f t="shared" si="234"/>
        <v>24KYP_Mytilus_edulis_D0_CO2_8.06_TNA</v>
      </c>
      <c r="AJ2087" t="s">
        <v>1104</v>
      </c>
      <c r="AK2087" t="s">
        <v>40</v>
      </c>
      <c r="AM2087"/>
      <c r="AN2087">
        <v>206.3</v>
      </c>
      <c r="AO2087">
        <v>4.7</v>
      </c>
      <c r="AP2087">
        <v>194.4</v>
      </c>
      <c r="AQ2087">
        <v>1E-4</v>
      </c>
      <c r="AR2087" t="s">
        <v>3514</v>
      </c>
      <c r="AS2087">
        <f t="shared" si="235"/>
        <v>-5.9413528050868081E-2</v>
      </c>
      <c r="AT2087">
        <f t="shared" si="236"/>
        <v>1.7301191190742348E-4</v>
      </c>
      <c r="AW2087" s="28">
        <f t="shared" si="237"/>
        <v>-3.5806683805171522</v>
      </c>
      <c r="AX2087">
        <f t="shared" si="238"/>
        <v>0.8</v>
      </c>
      <c r="AY2087" s="62">
        <f t="shared" si="239"/>
        <v>-2.8645347044137219</v>
      </c>
      <c r="AZ2087" s="68" t="str">
        <f t="shared" si="240"/>
        <v>No</v>
      </c>
      <c r="BA2087" s="68" t="str">
        <f t="shared" si="241"/>
        <v>No</v>
      </c>
    </row>
    <row r="2088" spans="1:53" hidden="1">
      <c r="A2088" t="s">
        <v>1039</v>
      </c>
      <c r="B2088" t="s">
        <v>3586</v>
      </c>
      <c r="C2088" t="s">
        <v>1064</v>
      </c>
      <c r="F2088" t="s">
        <v>1241</v>
      </c>
      <c r="G2088" t="s">
        <v>3537</v>
      </c>
      <c r="I2088">
        <v>2013</v>
      </c>
      <c r="J2088" t="s">
        <v>3538</v>
      </c>
      <c r="M2088" s="25" t="s">
        <v>36</v>
      </c>
      <c r="N2088" t="s">
        <v>36</v>
      </c>
      <c r="P2088" t="s">
        <v>60</v>
      </c>
      <c r="Q2088" t="s">
        <v>900</v>
      </c>
      <c r="R2088" t="s">
        <v>1741</v>
      </c>
      <c r="S2088" t="s">
        <v>1074</v>
      </c>
      <c r="T2088">
        <v>23.249438000000001</v>
      </c>
      <c r="U2088">
        <v>59.845821999999998</v>
      </c>
      <c r="V2088" t="s">
        <v>905</v>
      </c>
      <c r="Z2088">
        <v>105</v>
      </c>
      <c r="AA2088">
        <v>105</v>
      </c>
      <c r="AC2088">
        <v>8.0299999999999994</v>
      </c>
      <c r="AE2088">
        <v>7.7</v>
      </c>
      <c r="AG2088" t="str">
        <f t="shared" si="234"/>
        <v>25KYP_Macoma_balthica_D0_CO2_8.03_TNA</v>
      </c>
      <c r="AJ2088" t="s">
        <v>1105</v>
      </c>
      <c r="AK2088" t="s">
        <v>40</v>
      </c>
      <c r="AM2088"/>
      <c r="AN2088">
        <v>234</v>
      </c>
      <c r="AO2088">
        <v>18</v>
      </c>
      <c r="AP2088">
        <v>214</v>
      </c>
      <c r="AQ2088">
        <v>31</v>
      </c>
      <c r="AR2088" t="s">
        <v>3515</v>
      </c>
      <c r="AS2088">
        <f t="shared" si="235"/>
        <v>-8.9345100335850525E-2</v>
      </c>
      <c r="AT2088">
        <f t="shared" si="236"/>
        <v>2.5620500200073824E-4</v>
      </c>
      <c r="AW2088" s="28">
        <f t="shared" si="237"/>
        <v>-0.7890298431524716</v>
      </c>
      <c r="AX2088">
        <f t="shared" si="238"/>
        <v>0.99638989169675085</v>
      </c>
      <c r="AY2088" s="62">
        <f t="shared" si="239"/>
        <v>-0.78618135996419547</v>
      </c>
      <c r="AZ2088" s="68" t="str">
        <f t="shared" si="240"/>
        <v>No</v>
      </c>
      <c r="BA2088" s="68" t="str">
        <f t="shared" si="241"/>
        <v>No</v>
      </c>
    </row>
    <row r="2089" spans="1:53" hidden="1">
      <c r="A2089" t="s">
        <v>1039</v>
      </c>
      <c r="B2089" t="s">
        <v>3587</v>
      </c>
      <c r="C2089" t="s">
        <v>1065</v>
      </c>
      <c r="F2089" t="s">
        <v>1241</v>
      </c>
      <c r="G2089" t="s">
        <v>3535</v>
      </c>
      <c r="I2089">
        <v>2016</v>
      </c>
      <c r="J2089" t="s">
        <v>3536</v>
      </c>
      <c r="M2089" s="25" t="s">
        <v>36</v>
      </c>
      <c r="N2089" t="s">
        <v>36</v>
      </c>
      <c r="P2089" t="s">
        <v>60</v>
      </c>
      <c r="Q2089" t="s">
        <v>900</v>
      </c>
      <c r="R2089" t="s">
        <v>1741</v>
      </c>
      <c r="S2089" t="s">
        <v>1084</v>
      </c>
      <c r="T2089">
        <v>12.291492999999999</v>
      </c>
      <c r="U2089">
        <v>45.403950000000002</v>
      </c>
      <c r="V2089" t="s">
        <v>905</v>
      </c>
      <c r="Z2089">
        <v>200</v>
      </c>
      <c r="AA2089">
        <v>200</v>
      </c>
      <c r="AC2089">
        <v>8.1</v>
      </c>
      <c r="AE2089">
        <v>7.8</v>
      </c>
      <c r="AG2089" t="str">
        <f t="shared" si="234"/>
        <v>26KYP_Ruditapes_philippinarum_D0_CO2_8.10_TNA</v>
      </c>
      <c r="AJ2089" t="s">
        <v>1106</v>
      </c>
      <c r="AK2089" t="s">
        <v>40</v>
      </c>
      <c r="AM2089"/>
      <c r="AN2089">
        <v>114.94</v>
      </c>
      <c r="AO2089">
        <v>11.5</v>
      </c>
      <c r="AP2089">
        <v>114</v>
      </c>
      <c r="AQ2089">
        <v>11.86</v>
      </c>
      <c r="AR2089" t="s">
        <v>3516</v>
      </c>
      <c r="AS2089">
        <f t="shared" si="235"/>
        <v>-8.211804685100077E-3</v>
      </c>
      <c r="AT2089">
        <f t="shared" si="236"/>
        <v>1.0416871215703515E-4</v>
      </c>
      <c r="AW2089" s="28">
        <f t="shared" si="237"/>
        <v>-8.0469896916209926E-2</v>
      </c>
      <c r="AX2089">
        <f t="shared" si="238"/>
        <v>0.99811439346323072</v>
      </c>
      <c r="AY2089" s="62">
        <f t="shared" si="239"/>
        <v>-8.0318162352571568E-2</v>
      </c>
      <c r="AZ2089" s="68" t="str">
        <f t="shared" si="240"/>
        <v>No</v>
      </c>
      <c r="BA2089" s="68" t="str">
        <f t="shared" si="241"/>
        <v>No</v>
      </c>
    </row>
    <row r="2090" spans="1:53" hidden="1">
      <c r="A2090" t="s">
        <v>1039</v>
      </c>
      <c r="B2090" t="s">
        <v>3588</v>
      </c>
      <c r="C2090" t="s">
        <v>1066</v>
      </c>
      <c r="F2090" t="s">
        <v>1241</v>
      </c>
      <c r="G2090" t="s">
        <v>3533</v>
      </c>
      <c r="I2090">
        <v>2016</v>
      </c>
      <c r="J2090" t="s">
        <v>3534</v>
      </c>
      <c r="M2090" s="25" t="s">
        <v>36</v>
      </c>
      <c r="N2090" t="s">
        <v>36</v>
      </c>
      <c r="P2090" t="s">
        <v>60</v>
      </c>
      <c r="Q2090" t="s">
        <v>900</v>
      </c>
      <c r="R2090" t="s">
        <v>1741</v>
      </c>
      <c r="S2090" t="s">
        <v>1085</v>
      </c>
      <c r="T2090">
        <v>-0.55525999999999998</v>
      </c>
      <c r="U2090">
        <v>38.187049999999999</v>
      </c>
      <c r="V2090" t="s">
        <v>905</v>
      </c>
      <c r="Z2090">
        <v>3</v>
      </c>
      <c r="AA2090">
        <v>3</v>
      </c>
      <c r="AC2090">
        <v>7.9</v>
      </c>
      <c r="AE2090">
        <v>7.6</v>
      </c>
      <c r="AG2090" t="str">
        <f t="shared" si="234"/>
        <v>27KYP_Ostrea_edulis_D0_CO2_7.90_TNA</v>
      </c>
      <c r="AJ2090" t="s">
        <v>50</v>
      </c>
      <c r="AK2090" t="s">
        <v>40</v>
      </c>
      <c r="AM2090"/>
      <c r="AN2090">
        <v>158.1</v>
      </c>
      <c r="AO2090">
        <v>0.5</v>
      </c>
      <c r="AP2090">
        <v>160.1</v>
      </c>
      <c r="AQ2090">
        <v>0.3</v>
      </c>
      <c r="AR2090" t="s">
        <v>3517</v>
      </c>
      <c r="AS2090">
        <f t="shared" si="235"/>
        <v>1.2570875787242031E-2</v>
      </c>
      <c r="AT2090">
        <f t="shared" si="236"/>
        <v>4.5043302978667522E-6</v>
      </c>
      <c r="AW2090" s="28">
        <f t="shared" si="237"/>
        <v>4.8507125007266598</v>
      </c>
      <c r="AX2090">
        <f t="shared" si="238"/>
        <v>0.8</v>
      </c>
      <c r="AY2090" s="62">
        <f t="shared" si="239"/>
        <v>3.8805700005813279</v>
      </c>
      <c r="AZ2090" s="68" t="str">
        <f t="shared" si="240"/>
        <v>No</v>
      </c>
      <c r="BA2090" s="68" t="str">
        <f t="shared" si="241"/>
        <v>No</v>
      </c>
    </row>
    <row r="2091" spans="1:53" hidden="1">
      <c r="A2091" t="s">
        <v>930</v>
      </c>
      <c r="B2091" t="s">
        <v>2122</v>
      </c>
      <c r="C2091" t="s">
        <v>940</v>
      </c>
      <c r="F2091" t="s">
        <v>1241</v>
      </c>
      <c r="G2091" t="s">
        <v>924</v>
      </c>
      <c r="I2091">
        <v>2020</v>
      </c>
      <c r="M2091" s="25" t="s">
        <v>36</v>
      </c>
      <c r="N2091" t="s">
        <v>36</v>
      </c>
      <c r="P2091" t="s">
        <v>60</v>
      </c>
      <c r="Q2091" t="s">
        <v>900</v>
      </c>
      <c r="R2091" t="s">
        <v>946</v>
      </c>
      <c r="S2091" t="s">
        <v>955</v>
      </c>
      <c r="T2091">
        <v>-33.980194089999998</v>
      </c>
      <c r="U2091">
        <v>151.24595640000001</v>
      </c>
      <c r="V2091" t="s">
        <v>907</v>
      </c>
      <c r="Z2091">
        <v>6</v>
      </c>
      <c r="AA2091">
        <v>6</v>
      </c>
      <c r="AD2091">
        <v>18</v>
      </c>
      <c r="AF2091">
        <v>20</v>
      </c>
      <c r="AG2091" t="s">
        <v>2189</v>
      </c>
      <c r="AJ2091" t="s">
        <v>988</v>
      </c>
      <c r="AK2091" t="s">
        <v>69</v>
      </c>
      <c r="AM2091"/>
      <c r="AN2091">
        <v>96.07</v>
      </c>
      <c r="AO2091">
        <v>4.83</v>
      </c>
      <c r="AP2091">
        <v>99.39</v>
      </c>
      <c r="AQ2091">
        <v>7.01</v>
      </c>
      <c r="AS2091">
        <v>3.4000000000000002E-2</v>
      </c>
      <c r="AT2091">
        <v>1.2485E-3</v>
      </c>
      <c r="AW2091" s="28">
        <f t="shared" si="237"/>
        <v>0.55153991426622961</v>
      </c>
      <c r="AX2091">
        <f t="shared" si="238"/>
        <v>0.92307692307692313</v>
      </c>
      <c r="AY2091" s="62">
        <f t="shared" si="239"/>
        <v>0.50911376701498123</v>
      </c>
      <c r="AZ2091" s="68" t="str">
        <f t="shared" si="240"/>
        <v>No</v>
      </c>
      <c r="BA2091" s="68" t="str">
        <f t="shared" si="241"/>
        <v>No</v>
      </c>
    </row>
    <row r="2092" spans="1:53" hidden="1">
      <c r="A2092" t="s">
        <v>930</v>
      </c>
      <c r="B2092" t="s">
        <v>2123</v>
      </c>
      <c r="C2092" t="s">
        <v>940</v>
      </c>
      <c r="F2092" t="s">
        <v>1241</v>
      </c>
      <c r="G2092" t="s">
        <v>924</v>
      </c>
      <c r="I2092">
        <v>2020</v>
      </c>
      <c r="M2092" s="25" t="s">
        <v>36</v>
      </c>
      <c r="N2092" t="s">
        <v>36</v>
      </c>
      <c r="P2092" t="s">
        <v>60</v>
      </c>
      <c r="Q2092" t="s">
        <v>900</v>
      </c>
      <c r="R2092" t="s">
        <v>946</v>
      </c>
      <c r="S2092" t="s">
        <v>955</v>
      </c>
      <c r="T2092">
        <v>-33.980194089999998</v>
      </c>
      <c r="U2092">
        <v>151.24595640000001</v>
      </c>
      <c r="V2092" t="s">
        <v>907</v>
      </c>
      <c r="Z2092">
        <v>6</v>
      </c>
      <c r="AA2092">
        <v>6</v>
      </c>
      <c r="AD2092">
        <v>18</v>
      </c>
      <c r="AF2092">
        <v>22</v>
      </c>
      <c r="AG2092" t="s">
        <v>2189</v>
      </c>
      <c r="AJ2092" t="s">
        <v>988</v>
      </c>
      <c r="AK2092" t="s">
        <v>69</v>
      </c>
      <c r="AM2092"/>
      <c r="AN2092">
        <v>96.07</v>
      </c>
      <c r="AO2092">
        <v>4.83</v>
      </c>
      <c r="AP2092">
        <v>96.16</v>
      </c>
      <c r="AQ2092">
        <v>5.05</v>
      </c>
      <c r="AS2092">
        <v>8.9999999999999998E-4</v>
      </c>
      <c r="AT2092">
        <v>8.7940000000000002E-4</v>
      </c>
      <c r="AW2092" s="28">
        <f t="shared" si="237"/>
        <v>1.8214108504469775E-2</v>
      </c>
      <c r="AX2092">
        <f t="shared" si="238"/>
        <v>0.92307692307692313</v>
      </c>
      <c r="AY2092" s="62">
        <f t="shared" si="239"/>
        <v>1.6813023234895176E-2</v>
      </c>
      <c r="AZ2092" s="68" t="str">
        <f t="shared" si="240"/>
        <v>No</v>
      </c>
      <c r="BA2092" s="68" t="str">
        <f t="shared" si="241"/>
        <v>No</v>
      </c>
    </row>
    <row r="2093" spans="1:53" hidden="1">
      <c r="A2093" t="s">
        <v>930</v>
      </c>
      <c r="B2093" t="s">
        <v>2124</v>
      </c>
      <c r="C2093" t="s">
        <v>940</v>
      </c>
      <c r="F2093" t="s">
        <v>1241</v>
      </c>
      <c r="G2093" t="s">
        <v>924</v>
      </c>
      <c r="I2093">
        <v>2020</v>
      </c>
      <c r="M2093" s="25" t="s">
        <v>36</v>
      </c>
      <c r="N2093" t="s">
        <v>36</v>
      </c>
      <c r="P2093" t="s">
        <v>60</v>
      </c>
      <c r="Q2093" t="s">
        <v>900</v>
      </c>
      <c r="R2093" t="s">
        <v>946</v>
      </c>
      <c r="S2093" t="s">
        <v>955</v>
      </c>
      <c r="T2093">
        <v>-33.980194089999998</v>
      </c>
      <c r="U2093">
        <v>151.24595640000001</v>
      </c>
      <c r="V2093" t="s">
        <v>907</v>
      </c>
      <c r="Z2093">
        <v>6</v>
      </c>
      <c r="AA2093">
        <v>6</v>
      </c>
      <c r="AD2093">
        <v>18</v>
      </c>
      <c r="AF2093">
        <v>24</v>
      </c>
      <c r="AG2093" t="s">
        <v>2189</v>
      </c>
      <c r="AJ2093" t="s">
        <v>988</v>
      </c>
      <c r="AK2093" t="s">
        <v>69</v>
      </c>
      <c r="AM2093"/>
      <c r="AN2093">
        <v>96.07</v>
      </c>
      <c r="AO2093">
        <v>4.83</v>
      </c>
      <c r="AP2093">
        <v>83.61</v>
      </c>
      <c r="AQ2093">
        <v>8.2799999999999994</v>
      </c>
      <c r="AS2093">
        <v>-0.1389</v>
      </c>
      <c r="AT2093">
        <v>2.0547E-3</v>
      </c>
      <c r="AW2093" s="28">
        <f t="shared" si="237"/>
        <v>-1.8382530487097739</v>
      </c>
      <c r="AX2093">
        <f t="shared" si="238"/>
        <v>0.92307692307692313</v>
      </c>
      <c r="AY2093" s="62">
        <f t="shared" si="239"/>
        <v>-1.6968489680397913</v>
      </c>
      <c r="AZ2093" s="68" t="str">
        <f t="shared" si="240"/>
        <v>No</v>
      </c>
      <c r="BA2093" s="68" t="str">
        <f t="shared" si="241"/>
        <v>No</v>
      </c>
    </row>
    <row r="2094" spans="1:53" hidden="1">
      <c r="A2094" t="s">
        <v>930</v>
      </c>
      <c r="B2094" t="s">
        <v>2125</v>
      </c>
      <c r="C2094" t="s">
        <v>940</v>
      </c>
      <c r="F2094" t="s">
        <v>1241</v>
      </c>
      <c r="G2094" t="s">
        <v>924</v>
      </c>
      <c r="I2094">
        <v>2020</v>
      </c>
      <c r="M2094" s="25" t="s">
        <v>36</v>
      </c>
      <c r="N2094" t="s">
        <v>36</v>
      </c>
      <c r="P2094" t="s">
        <v>60</v>
      </c>
      <c r="Q2094" t="s">
        <v>900</v>
      </c>
      <c r="R2094" t="s">
        <v>946</v>
      </c>
      <c r="S2094" t="s">
        <v>955</v>
      </c>
      <c r="T2094">
        <v>-33.980194089999998</v>
      </c>
      <c r="U2094">
        <v>151.24595640000001</v>
      </c>
      <c r="V2094" t="s">
        <v>907</v>
      </c>
      <c r="Z2094">
        <v>6</v>
      </c>
      <c r="AA2094">
        <v>6</v>
      </c>
      <c r="AD2094">
        <v>18</v>
      </c>
      <c r="AF2094">
        <v>26</v>
      </c>
      <c r="AG2094" t="s">
        <v>2189</v>
      </c>
      <c r="AJ2094" t="s">
        <v>988</v>
      </c>
      <c r="AK2094" t="s">
        <v>69</v>
      </c>
      <c r="AM2094"/>
      <c r="AN2094">
        <v>96.07</v>
      </c>
      <c r="AO2094">
        <v>4.83</v>
      </c>
      <c r="AP2094">
        <v>14.25</v>
      </c>
      <c r="AQ2094">
        <v>17.32</v>
      </c>
      <c r="AS2094">
        <v>-1.9083000000000001</v>
      </c>
      <c r="AT2094">
        <v>0.24657570000000001</v>
      </c>
      <c r="AW2094" s="28">
        <f t="shared" si="237"/>
        <v>-6.4352293709394282</v>
      </c>
      <c r="AX2094">
        <f t="shared" si="238"/>
        <v>0.92307692307692313</v>
      </c>
      <c r="AY2094" s="62">
        <f t="shared" si="239"/>
        <v>-5.9402117270210111</v>
      </c>
      <c r="AZ2094" s="68" t="str">
        <f t="shared" si="240"/>
        <v>No</v>
      </c>
      <c r="BA2094" s="68" t="str">
        <f t="shared" si="241"/>
        <v>No</v>
      </c>
    </row>
    <row r="2095" spans="1:53" hidden="1">
      <c r="A2095" t="s">
        <v>930</v>
      </c>
      <c r="B2095" t="s">
        <v>2126</v>
      </c>
      <c r="C2095" t="s">
        <v>940</v>
      </c>
      <c r="F2095" t="s">
        <v>1241</v>
      </c>
      <c r="G2095" t="s">
        <v>924</v>
      </c>
      <c r="I2095">
        <v>2020</v>
      </c>
      <c r="M2095" s="25" t="s">
        <v>36</v>
      </c>
      <c r="N2095" t="s">
        <v>36</v>
      </c>
      <c r="P2095" t="s">
        <v>60</v>
      </c>
      <c r="Q2095" t="s">
        <v>900</v>
      </c>
      <c r="R2095" t="s">
        <v>946</v>
      </c>
      <c r="S2095" t="s">
        <v>955</v>
      </c>
      <c r="T2095">
        <v>-33.980194089999998</v>
      </c>
      <c r="U2095">
        <v>151.24595640000001</v>
      </c>
      <c r="V2095" t="s">
        <v>907</v>
      </c>
      <c r="Z2095">
        <v>6</v>
      </c>
      <c r="AA2095">
        <v>6</v>
      </c>
      <c r="AD2095">
        <v>18</v>
      </c>
      <c r="AF2095">
        <v>28</v>
      </c>
      <c r="AG2095" t="s">
        <v>2189</v>
      </c>
      <c r="AJ2095" t="s">
        <v>988</v>
      </c>
      <c r="AK2095" t="s">
        <v>69</v>
      </c>
      <c r="AM2095"/>
      <c r="AN2095">
        <v>96.07</v>
      </c>
      <c r="AO2095">
        <v>4.83</v>
      </c>
      <c r="AP2095">
        <v>7.63</v>
      </c>
      <c r="AQ2095">
        <v>5.85</v>
      </c>
      <c r="AS2095">
        <v>-2.5329999999999999</v>
      </c>
      <c r="AT2095">
        <v>9.8538000000000001E-2</v>
      </c>
      <c r="AW2095" s="28">
        <f t="shared" si="237"/>
        <v>-16.486777821332225</v>
      </c>
      <c r="AX2095">
        <f t="shared" si="238"/>
        <v>0.92307692307692313</v>
      </c>
      <c r="AY2095" s="62">
        <f t="shared" si="239"/>
        <v>-15.218564142768209</v>
      </c>
      <c r="AZ2095" s="68" t="str">
        <f t="shared" si="240"/>
        <v>No</v>
      </c>
      <c r="BA2095" s="68" t="str">
        <f t="shared" si="241"/>
        <v>Yes</v>
      </c>
    </row>
    <row r="2096" spans="1:53" hidden="1">
      <c r="A2096" t="s">
        <v>930</v>
      </c>
      <c r="B2096" t="s">
        <v>2144</v>
      </c>
      <c r="C2096" t="s">
        <v>943</v>
      </c>
      <c r="F2096" t="s">
        <v>1241</v>
      </c>
      <c r="G2096" t="s">
        <v>927</v>
      </c>
      <c r="I2096">
        <v>2006</v>
      </c>
      <c r="M2096" s="25" t="s">
        <v>36</v>
      </c>
      <c r="N2096" t="s">
        <v>36</v>
      </c>
      <c r="P2096" t="s">
        <v>60</v>
      </c>
      <c r="Q2096" t="s">
        <v>900</v>
      </c>
      <c r="R2096" t="s">
        <v>946</v>
      </c>
      <c r="S2096" t="s">
        <v>957</v>
      </c>
      <c r="T2096">
        <v>50.803680370000002</v>
      </c>
      <c r="U2096">
        <v>-1.258163854</v>
      </c>
      <c r="V2096" t="s">
        <v>907</v>
      </c>
      <c r="Z2096">
        <v>3</v>
      </c>
      <c r="AA2096">
        <v>3</v>
      </c>
      <c r="AD2096">
        <v>15</v>
      </c>
      <c r="AF2096">
        <v>20</v>
      </c>
      <c r="AG2096" t="s">
        <v>2195</v>
      </c>
      <c r="AJ2096" t="s">
        <v>993</v>
      </c>
      <c r="AK2096" t="s">
        <v>770</v>
      </c>
      <c r="AM2096"/>
      <c r="AN2096">
        <v>98.9</v>
      </c>
      <c r="AO2096">
        <v>2.96</v>
      </c>
      <c r="AP2096">
        <v>96.87</v>
      </c>
      <c r="AQ2096">
        <v>3.14</v>
      </c>
      <c r="AS2096">
        <v>-2.07E-2</v>
      </c>
      <c r="AT2096">
        <v>6.4880000000000005E-4</v>
      </c>
      <c r="AW2096" s="28">
        <f t="shared" si="237"/>
        <v>-0.66528419084098855</v>
      </c>
      <c r="AX2096">
        <f t="shared" si="238"/>
        <v>0.8</v>
      </c>
      <c r="AY2096" s="62">
        <f t="shared" si="239"/>
        <v>-0.53222735267279087</v>
      </c>
      <c r="AZ2096" s="68" t="str">
        <f t="shared" si="240"/>
        <v>No</v>
      </c>
      <c r="BA2096" s="68" t="str">
        <f t="shared" si="241"/>
        <v>No</v>
      </c>
    </row>
    <row r="2097" spans="1:53" hidden="1">
      <c r="A2097" t="s">
        <v>930</v>
      </c>
      <c r="B2097" t="s">
        <v>2127</v>
      </c>
      <c r="C2097" t="s">
        <v>941</v>
      </c>
      <c r="F2097" t="s">
        <v>1241</v>
      </c>
      <c r="G2097" t="s">
        <v>925</v>
      </c>
      <c r="I2097">
        <v>2021</v>
      </c>
      <c r="M2097" s="25" t="s">
        <v>36</v>
      </c>
      <c r="N2097" t="s">
        <v>36</v>
      </c>
      <c r="P2097" t="s">
        <v>60</v>
      </c>
      <c r="Q2097" t="s">
        <v>900</v>
      </c>
      <c r="R2097" t="s">
        <v>946</v>
      </c>
      <c r="S2097" t="s">
        <v>956</v>
      </c>
      <c r="T2097">
        <v>-33.856666699999998</v>
      </c>
      <c r="U2097">
        <v>151.2666667</v>
      </c>
      <c r="V2097" t="s">
        <v>907</v>
      </c>
      <c r="Z2097">
        <v>10.5</v>
      </c>
      <c r="AA2097">
        <v>10.5</v>
      </c>
      <c r="AD2097">
        <v>19.47</v>
      </c>
      <c r="AF2097">
        <v>21.02</v>
      </c>
      <c r="AG2097" t="s">
        <v>2190</v>
      </c>
      <c r="AJ2097" t="s">
        <v>989</v>
      </c>
      <c r="AK2097" t="s">
        <v>770</v>
      </c>
      <c r="AM2097"/>
      <c r="AN2097">
        <v>26.94</v>
      </c>
      <c r="AO2097">
        <v>13.16</v>
      </c>
      <c r="AP2097">
        <v>31.27</v>
      </c>
      <c r="AQ2097">
        <v>15.13</v>
      </c>
      <c r="AS2097">
        <v>0.14899999999999999</v>
      </c>
      <c r="AT2097">
        <v>4.5015800000000002E-2</v>
      </c>
      <c r="AW2097" s="28">
        <f t="shared" si="237"/>
        <v>0.30537572254168582</v>
      </c>
      <c r="AX2097">
        <f t="shared" si="238"/>
        <v>0.96</v>
      </c>
      <c r="AY2097" s="62">
        <f t="shared" si="239"/>
        <v>0.2931606936400184</v>
      </c>
      <c r="AZ2097" s="68" t="str">
        <f t="shared" si="240"/>
        <v>No</v>
      </c>
      <c r="BA2097" s="68" t="str">
        <f t="shared" si="241"/>
        <v>No</v>
      </c>
    </row>
    <row r="2098" spans="1:53" hidden="1">
      <c r="A2098" t="s">
        <v>930</v>
      </c>
      <c r="B2098" t="s">
        <v>2128</v>
      </c>
      <c r="C2098" t="s">
        <v>941</v>
      </c>
      <c r="F2098" t="s">
        <v>1241</v>
      </c>
      <c r="G2098" t="s">
        <v>925</v>
      </c>
      <c r="I2098">
        <v>2021</v>
      </c>
      <c r="M2098" s="25" t="s">
        <v>36</v>
      </c>
      <c r="N2098" t="s">
        <v>36</v>
      </c>
      <c r="P2098" t="s">
        <v>60</v>
      </c>
      <c r="Q2098" t="s">
        <v>900</v>
      </c>
      <c r="R2098" t="s">
        <v>946</v>
      </c>
      <c r="S2098" t="s">
        <v>956</v>
      </c>
      <c r="T2098">
        <v>-33.856666699999998</v>
      </c>
      <c r="U2098">
        <v>151.2666667</v>
      </c>
      <c r="V2098" t="s">
        <v>907</v>
      </c>
      <c r="Z2098">
        <v>10.5</v>
      </c>
      <c r="AA2098">
        <v>10.5</v>
      </c>
      <c r="AD2098">
        <v>19.47</v>
      </c>
      <c r="AF2098">
        <v>22.81</v>
      </c>
      <c r="AG2098" t="s">
        <v>2190</v>
      </c>
      <c r="AJ2098" t="s">
        <v>989</v>
      </c>
      <c r="AK2098" t="s">
        <v>770</v>
      </c>
      <c r="AM2098"/>
      <c r="AN2098">
        <v>26.94</v>
      </c>
      <c r="AO2098">
        <v>13.16</v>
      </c>
      <c r="AP2098">
        <v>22.37</v>
      </c>
      <c r="AQ2098">
        <v>20.16</v>
      </c>
      <c r="AS2098">
        <v>-0.18590000000000001</v>
      </c>
      <c r="AT2098">
        <v>0.1000244</v>
      </c>
      <c r="AW2098" s="28">
        <f t="shared" si="237"/>
        <v>-0.26844963231340929</v>
      </c>
      <c r="AX2098">
        <f t="shared" si="238"/>
        <v>0.96</v>
      </c>
      <c r="AY2098" s="62">
        <f t="shared" si="239"/>
        <v>-0.2577116470208729</v>
      </c>
      <c r="AZ2098" s="68" t="str">
        <f t="shared" si="240"/>
        <v>No</v>
      </c>
      <c r="BA2098" s="68" t="str">
        <f t="shared" si="241"/>
        <v>No</v>
      </c>
    </row>
    <row r="2099" spans="1:53" hidden="1">
      <c r="A2099" t="s">
        <v>930</v>
      </c>
      <c r="B2099" t="s">
        <v>2129</v>
      </c>
      <c r="C2099" t="s">
        <v>941</v>
      </c>
      <c r="F2099" t="s">
        <v>1241</v>
      </c>
      <c r="G2099" t="s">
        <v>925</v>
      </c>
      <c r="I2099">
        <v>2021</v>
      </c>
      <c r="M2099" s="25" t="s">
        <v>36</v>
      </c>
      <c r="N2099" t="s">
        <v>36</v>
      </c>
      <c r="P2099" t="s">
        <v>60</v>
      </c>
      <c r="Q2099" t="s">
        <v>900</v>
      </c>
      <c r="R2099" t="s">
        <v>946</v>
      </c>
      <c r="S2099" t="s">
        <v>956</v>
      </c>
      <c r="T2099">
        <v>-33.856666699999998</v>
      </c>
      <c r="U2099">
        <v>151.2666667</v>
      </c>
      <c r="V2099" t="s">
        <v>907</v>
      </c>
      <c r="Z2099">
        <v>10.5</v>
      </c>
      <c r="AA2099">
        <v>10.5</v>
      </c>
      <c r="AD2099">
        <v>19.47</v>
      </c>
      <c r="AF2099">
        <v>24.54</v>
      </c>
      <c r="AG2099" t="s">
        <v>2190</v>
      </c>
      <c r="AJ2099" t="s">
        <v>989</v>
      </c>
      <c r="AK2099" t="s">
        <v>770</v>
      </c>
      <c r="AM2099"/>
      <c r="AN2099">
        <v>26.94</v>
      </c>
      <c r="AO2099">
        <v>13.16</v>
      </c>
      <c r="AP2099">
        <v>30.76</v>
      </c>
      <c r="AQ2099">
        <v>21.22</v>
      </c>
      <c r="AS2099">
        <v>0.1326</v>
      </c>
      <c r="AT2099">
        <v>6.8055000000000004E-2</v>
      </c>
      <c r="AW2099" s="28">
        <f t="shared" si="237"/>
        <v>0.21635612130407775</v>
      </c>
      <c r="AX2099">
        <f t="shared" si="238"/>
        <v>0.96</v>
      </c>
      <c r="AY2099" s="62">
        <f t="shared" si="239"/>
        <v>0.20770187645191462</v>
      </c>
      <c r="AZ2099" s="68" t="str">
        <f t="shared" si="240"/>
        <v>No</v>
      </c>
      <c r="BA2099" s="68" t="str">
        <f t="shared" si="241"/>
        <v>No</v>
      </c>
    </row>
    <row r="2100" spans="1:53" hidden="1">
      <c r="A2100" t="s">
        <v>930</v>
      </c>
      <c r="B2100" t="s">
        <v>2130</v>
      </c>
      <c r="C2100" t="s">
        <v>941</v>
      </c>
      <c r="F2100" t="s">
        <v>1241</v>
      </c>
      <c r="G2100" t="s">
        <v>925</v>
      </c>
      <c r="I2100">
        <v>2021</v>
      </c>
      <c r="M2100" s="25" t="s">
        <v>36</v>
      </c>
      <c r="N2100" t="s">
        <v>36</v>
      </c>
      <c r="P2100" t="s">
        <v>60</v>
      </c>
      <c r="Q2100" t="s">
        <v>900</v>
      </c>
      <c r="R2100" t="s">
        <v>946</v>
      </c>
      <c r="S2100" t="s">
        <v>956</v>
      </c>
      <c r="T2100">
        <v>-33.856666699999998</v>
      </c>
      <c r="U2100">
        <v>151.2666667</v>
      </c>
      <c r="V2100" t="s">
        <v>907</v>
      </c>
      <c r="Z2100">
        <v>10.5</v>
      </c>
      <c r="AA2100">
        <v>10.5</v>
      </c>
      <c r="AD2100">
        <v>19.47</v>
      </c>
      <c r="AF2100">
        <v>26.42</v>
      </c>
      <c r="AG2100" t="s">
        <v>2190</v>
      </c>
      <c r="AJ2100" t="s">
        <v>989</v>
      </c>
      <c r="AK2100" t="s">
        <v>770</v>
      </c>
      <c r="AM2100"/>
      <c r="AN2100">
        <v>26.94</v>
      </c>
      <c r="AO2100">
        <v>13.16</v>
      </c>
      <c r="AP2100">
        <v>20.45</v>
      </c>
      <c r="AQ2100">
        <v>14.94</v>
      </c>
      <c r="AS2100">
        <v>-0.27560000000000001</v>
      </c>
      <c r="AT2100">
        <v>7.3529800000000006E-2</v>
      </c>
      <c r="AW2100" s="28">
        <f t="shared" si="237"/>
        <v>-0.46099773121369991</v>
      </c>
      <c r="AX2100">
        <f t="shared" si="238"/>
        <v>0.96</v>
      </c>
      <c r="AY2100" s="62">
        <f t="shared" si="239"/>
        <v>-0.44255782196515192</v>
      </c>
      <c r="AZ2100" s="68" t="str">
        <f t="shared" si="240"/>
        <v>No</v>
      </c>
      <c r="BA2100" s="68" t="str">
        <f t="shared" si="241"/>
        <v>No</v>
      </c>
    </row>
    <row r="2101" spans="1:53" hidden="1">
      <c r="A2101" t="s">
        <v>930</v>
      </c>
      <c r="B2101" t="s">
        <v>2131</v>
      </c>
      <c r="C2101" t="s">
        <v>941</v>
      </c>
      <c r="F2101" t="s">
        <v>1241</v>
      </c>
      <c r="G2101" t="s">
        <v>925</v>
      </c>
      <c r="I2101">
        <v>2021</v>
      </c>
      <c r="M2101" s="25" t="s">
        <v>36</v>
      </c>
      <c r="N2101" t="s">
        <v>36</v>
      </c>
      <c r="P2101" t="s">
        <v>60</v>
      </c>
      <c r="Q2101" t="s">
        <v>900</v>
      </c>
      <c r="R2101" t="s">
        <v>946</v>
      </c>
      <c r="S2101" t="s">
        <v>956</v>
      </c>
      <c r="T2101">
        <v>-33.856666699999998</v>
      </c>
      <c r="U2101">
        <v>151.2666667</v>
      </c>
      <c r="V2101" t="s">
        <v>907</v>
      </c>
      <c r="Z2101">
        <v>10.5</v>
      </c>
      <c r="AA2101">
        <v>10.5</v>
      </c>
      <c r="AD2101">
        <v>19.47</v>
      </c>
      <c r="AF2101">
        <v>21.02</v>
      </c>
      <c r="AG2101" t="s">
        <v>2191</v>
      </c>
      <c r="AJ2101" t="s">
        <v>990</v>
      </c>
      <c r="AK2101" t="s">
        <v>770</v>
      </c>
      <c r="AM2101"/>
      <c r="AN2101">
        <v>40.29</v>
      </c>
      <c r="AO2101">
        <v>14.52</v>
      </c>
      <c r="AP2101">
        <v>43.71</v>
      </c>
      <c r="AQ2101">
        <v>17.14</v>
      </c>
      <c r="AS2101">
        <v>8.1500000000000003E-2</v>
      </c>
      <c r="AT2101">
        <v>2.70111E-2</v>
      </c>
      <c r="AW2101" s="28">
        <f t="shared" si="237"/>
        <v>0.21530949259729576</v>
      </c>
      <c r="AX2101">
        <f t="shared" si="238"/>
        <v>0.96</v>
      </c>
      <c r="AY2101" s="62">
        <f t="shared" si="239"/>
        <v>0.20669711289340392</v>
      </c>
      <c r="AZ2101" s="68" t="str">
        <f t="shared" si="240"/>
        <v>No</v>
      </c>
      <c r="BA2101" s="68" t="str">
        <f t="shared" si="241"/>
        <v>No</v>
      </c>
    </row>
    <row r="2102" spans="1:53" hidden="1">
      <c r="A2102" t="s">
        <v>930</v>
      </c>
      <c r="B2102" t="s">
        <v>2132</v>
      </c>
      <c r="C2102" t="s">
        <v>941</v>
      </c>
      <c r="F2102" t="s">
        <v>1241</v>
      </c>
      <c r="G2102" t="s">
        <v>925</v>
      </c>
      <c r="I2102">
        <v>2021</v>
      </c>
      <c r="M2102" s="25" t="s">
        <v>36</v>
      </c>
      <c r="N2102" t="s">
        <v>36</v>
      </c>
      <c r="P2102" t="s">
        <v>60</v>
      </c>
      <c r="Q2102" t="s">
        <v>900</v>
      </c>
      <c r="R2102" t="s">
        <v>946</v>
      </c>
      <c r="S2102" t="s">
        <v>956</v>
      </c>
      <c r="T2102">
        <v>-33.856666699999998</v>
      </c>
      <c r="U2102">
        <v>151.2666667</v>
      </c>
      <c r="V2102" t="s">
        <v>907</v>
      </c>
      <c r="Z2102">
        <v>10.5</v>
      </c>
      <c r="AA2102">
        <v>10.5</v>
      </c>
      <c r="AD2102">
        <v>19.47</v>
      </c>
      <c r="AF2102">
        <v>22.81</v>
      </c>
      <c r="AG2102" t="s">
        <v>2191</v>
      </c>
      <c r="AJ2102" t="s">
        <v>990</v>
      </c>
      <c r="AK2102" t="s">
        <v>770</v>
      </c>
      <c r="AM2102"/>
      <c r="AN2102">
        <v>40.29</v>
      </c>
      <c r="AO2102">
        <v>14.52</v>
      </c>
      <c r="AP2102">
        <v>37.03</v>
      </c>
      <c r="AQ2102">
        <v>13.67</v>
      </c>
      <c r="AS2102">
        <v>-8.4400000000000003E-2</v>
      </c>
      <c r="AT2102">
        <v>2.53513E-2</v>
      </c>
      <c r="AW2102" s="28">
        <f t="shared" si="237"/>
        <v>-0.23118262176457416</v>
      </c>
      <c r="AX2102">
        <f t="shared" si="238"/>
        <v>0.96</v>
      </c>
      <c r="AY2102" s="62">
        <f t="shared" si="239"/>
        <v>-0.22193531689399118</v>
      </c>
      <c r="AZ2102" s="68" t="str">
        <f t="shared" si="240"/>
        <v>No</v>
      </c>
      <c r="BA2102" s="68" t="str">
        <f t="shared" si="241"/>
        <v>No</v>
      </c>
    </row>
    <row r="2103" spans="1:53" hidden="1">
      <c r="A2103" t="s">
        <v>930</v>
      </c>
      <c r="B2103" t="s">
        <v>2133</v>
      </c>
      <c r="C2103" t="s">
        <v>941</v>
      </c>
      <c r="F2103" t="s">
        <v>1241</v>
      </c>
      <c r="G2103" t="s">
        <v>925</v>
      </c>
      <c r="I2103">
        <v>2021</v>
      </c>
      <c r="M2103" s="25" t="s">
        <v>36</v>
      </c>
      <c r="N2103" t="s">
        <v>36</v>
      </c>
      <c r="P2103" t="s">
        <v>60</v>
      </c>
      <c r="Q2103" t="s">
        <v>900</v>
      </c>
      <c r="R2103" t="s">
        <v>946</v>
      </c>
      <c r="S2103" t="s">
        <v>956</v>
      </c>
      <c r="T2103">
        <v>-33.856666699999998</v>
      </c>
      <c r="U2103">
        <v>151.2666667</v>
      </c>
      <c r="V2103" t="s">
        <v>907</v>
      </c>
      <c r="Z2103">
        <v>10.5</v>
      </c>
      <c r="AA2103">
        <v>10.5</v>
      </c>
      <c r="AD2103">
        <v>19.47</v>
      </c>
      <c r="AF2103">
        <v>24.54</v>
      </c>
      <c r="AG2103" t="s">
        <v>2191</v>
      </c>
      <c r="AJ2103" t="s">
        <v>990</v>
      </c>
      <c r="AK2103" t="s">
        <v>770</v>
      </c>
      <c r="AM2103"/>
      <c r="AN2103">
        <v>40.29</v>
      </c>
      <c r="AO2103">
        <v>14.52</v>
      </c>
      <c r="AP2103">
        <v>47.58</v>
      </c>
      <c r="AQ2103">
        <v>15.52</v>
      </c>
      <c r="AS2103">
        <v>0.1663</v>
      </c>
      <c r="AT2103">
        <v>2.2499000000000002E-2</v>
      </c>
      <c r="AW2103" s="28">
        <f t="shared" si="237"/>
        <v>0.48508416327570325</v>
      </c>
      <c r="AX2103">
        <f t="shared" si="238"/>
        <v>0.96</v>
      </c>
      <c r="AY2103" s="62">
        <f t="shared" si="239"/>
        <v>0.46568079674467511</v>
      </c>
      <c r="AZ2103" s="68" t="str">
        <f t="shared" si="240"/>
        <v>No</v>
      </c>
      <c r="BA2103" s="68" t="str">
        <f t="shared" si="241"/>
        <v>No</v>
      </c>
    </row>
    <row r="2104" spans="1:53" hidden="1">
      <c r="A2104" t="s">
        <v>930</v>
      </c>
      <c r="B2104" t="s">
        <v>2134</v>
      </c>
      <c r="C2104" t="s">
        <v>941</v>
      </c>
      <c r="F2104" t="s">
        <v>1241</v>
      </c>
      <c r="G2104" t="s">
        <v>925</v>
      </c>
      <c r="I2104">
        <v>2021</v>
      </c>
      <c r="M2104" s="25" t="s">
        <v>36</v>
      </c>
      <c r="N2104" t="s">
        <v>36</v>
      </c>
      <c r="P2104" t="s">
        <v>60</v>
      </c>
      <c r="Q2104" t="s">
        <v>900</v>
      </c>
      <c r="R2104" t="s">
        <v>946</v>
      </c>
      <c r="S2104" t="s">
        <v>956</v>
      </c>
      <c r="T2104">
        <v>-33.856666699999998</v>
      </c>
      <c r="U2104">
        <v>151.2666667</v>
      </c>
      <c r="V2104" t="s">
        <v>907</v>
      </c>
      <c r="Z2104">
        <v>10.5</v>
      </c>
      <c r="AA2104">
        <v>10.5</v>
      </c>
      <c r="AD2104">
        <v>19.47</v>
      </c>
      <c r="AF2104">
        <v>26.42</v>
      </c>
      <c r="AG2104" t="s">
        <v>2191</v>
      </c>
      <c r="AJ2104" t="s">
        <v>990</v>
      </c>
      <c r="AK2104" t="s">
        <v>770</v>
      </c>
      <c r="AM2104"/>
      <c r="AN2104">
        <v>40.29</v>
      </c>
      <c r="AO2104">
        <v>14.52</v>
      </c>
      <c r="AP2104">
        <v>9.58</v>
      </c>
      <c r="AQ2104">
        <v>15.72</v>
      </c>
      <c r="AS2104">
        <v>-1.4363999999999999</v>
      </c>
      <c r="AT2104">
        <v>0.26866630000000002</v>
      </c>
      <c r="AW2104" s="28">
        <f t="shared" si="237"/>
        <v>-2.0294873637630992</v>
      </c>
      <c r="AX2104">
        <f t="shared" si="238"/>
        <v>0.96</v>
      </c>
      <c r="AY2104" s="62">
        <f t="shared" si="239"/>
        <v>-1.9483078692125753</v>
      </c>
      <c r="AZ2104" s="68" t="str">
        <f t="shared" si="240"/>
        <v>No</v>
      </c>
      <c r="BA2104" s="68" t="str">
        <f t="shared" si="241"/>
        <v>No</v>
      </c>
    </row>
    <row r="2105" spans="1:53" hidden="1">
      <c r="A2105" t="s">
        <v>930</v>
      </c>
      <c r="B2105" t="s">
        <v>2135</v>
      </c>
      <c r="C2105" t="s">
        <v>942</v>
      </c>
      <c r="F2105" t="s">
        <v>1241</v>
      </c>
      <c r="G2105" t="s">
        <v>926</v>
      </c>
      <c r="I2105">
        <v>2014</v>
      </c>
      <c r="M2105" s="25" t="s">
        <v>36</v>
      </c>
      <c r="N2105" t="s">
        <v>36</v>
      </c>
      <c r="P2105" t="s">
        <v>60</v>
      </c>
      <c r="Q2105" t="s">
        <v>900</v>
      </c>
      <c r="R2105" t="s">
        <v>946</v>
      </c>
      <c r="S2105" t="s">
        <v>951</v>
      </c>
      <c r="T2105">
        <v>-16.7805556</v>
      </c>
      <c r="U2105">
        <v>145.9916667</v>
      </c>
      <c r="V2105" t="s">
        <v>907</v>
      </c>
      <c r="Z2105">
        <v>6</v>
      </c>
      <c r="AA2105">
        <v>6</v>
      </c>
      <c r="AD2105">
        <v>27.2</v>
      </c>
      <c r="AF2105">
        <v>28.7</v>
      </c>
      <c r="AG2105" t="s">
        <v>2192</v>
      </c>
      <c r="AJ2105" t="s">
        <v>991</v>
      </c>
      <c r="AK2105" t="s">
        <v>770</v>
      </c>
      <c r="AM2105"/>
      <c r="AN2105">
        <v>70.459999999999994</v>
      </c>
      <c r="AO2105">
        <v>9.0399999999999991</v>
      </c>
      <c r="AP2105">
        <v>72.66</v>
      </c>
      <c r="AQ2105">
        <v>7.5</v>
      </c>
      <c r="AS2105">
        <v>3.0700000000000002E-2</v>
      </c>
      <c r="AT2105">
        <v>4.5161999999999997E-3</v>
      </c>
      <c r="AW2105" s="28">
        <f t="shared" si="237"/>
        <v>0.26487613356137096</v>
      </c>
      <c r="AX2105">
        <f t="shared" si="238"/>
        <v>0.92307692307692313</v>
      </c>
      <c r="AY2105" s="62">
        <f t="shared" si="239"/>
        <v>0.24450104636434244</v>
      </c>
      <c r="AZ2105" s="68" t="str">
        <f t="shared" si="240"/>
        <v>No</v>
      </c>
      <c r="BA2105" s="68" t="str">
        <f t="shared" si="241"/>
        <v>No</v>
      </c>
    </row>
    <row r="2106" spans="1:53" hidden="1">
      <c r="A2106" t="s">
        <v>930</v>
      </c>
      <c r="B2106" t="s">
        <v>2136</v>
      </c>
      <c r="C2106" t="s">
        <v>942</v>
      </c>
      <c r="F2106" t="s">
        <v>1241</v>
      </c>
      <c r="G2106" t="s">
        <v>926</v>
      </c>
      <c r="I2106">
        <v>2014</v>
      </c>
      <c r="M2106" s="25" t="s">
        <v>36</v>
      </c>
      <c r="N2106" t="s">
        <v>36</v>
      </c>
      <c r="P2106" t="s">
        <v>60</v>
      </c>
      <c r="Q2106" t="s">
        <v>900</v>
      </c>
      <c r="R2106" t="s">
        <v>946</v>
      </c>
      <c r="S2106" t="s">
        <v>951</v>
      </c>
      <c r="T2106">
        <v>-16.7805556</v>
      </c>
      <c r="U2106">
        <v>145.9916667</v>
      </c>
      <c r="V2106" t="s">
        <v>907</v>
      </c>
      <c r="Z2106">
        <v>6</v>
      </c>
      <c r="AA2106">
        <v>6</v>
      </c>
      <c r="AD2106">
        <v>27.2</v>
      </c>
      <c r="AF2106">
        <v>30.2</v>
      </c>
      <c r="AG2106" t="s">
        <v>2192</v>
      </c>
      <c r="AJ2106" t="s">
        <v>991</v>
      </c>
      <c r="AK2106" t="s">
        <v>770</v>
      </c>
      <c r="AM2106"/>
      <c r="AN2106">
        <v>70.459999999999994</v>
      </c>
      <c r="AO2106">
        <v>9.0399999999999991</v>
      </c>
      <c r="AP2106">
        <v>68.28</v>
      </c>
      <c r="AQ2106">
        <v>9.92</v>
      </c>
      <c r="AS2106">
        <v>-3.1399999999999997E-2</v>
      </c>
      <c r="AT2106">
        <v>6.2608999999999998E-3</v>
      </c>
      <c r="AW2106" s="28">
        <f t="shared" si="237"/>
        <v>-0.22971051630347325</v>
      </c>
      <c r="AX2106">
        <f t="shared" si="238"/>
        <v>0.92307692307692313</v>
      </c>
      <c r="AY2106" s="62">
        <f t="shared" si="239"/>
        <v>-0.21204047658782146</v>
      </c>
      <c r="AZ2106" s="68" t="str">
        <f t="shared" si="240"/>
        <v>No</v>
      </c>
      <c r="BA2106" s="68" t="str">
        <f t="shared" si="241"/>
        <v>No</v>
      </c>
    </row>
    <row r="2107" spans="1:53" hidden="1">
      <c r="A2107" t="s">
        <v>930</v>
      </c>
      <c r="B2107" t="s">
        <v>2137</v>
      </c>
      <c r="C2107" t="s">
        <v>942</v>
      </c>
      <c r="F2107" t="s">
        <v>1241</v>
      </c>
      <c r="G2107" t="s">
        <v>926</v>
      </c>
      <c r="I2107">
        <v>2014</v>
      </c>
      <c r="M2107" s="25" t="s">
        <v>36</v>
      </c>
      <c r="N2107" t="s">
        <v>36</v>
      </c>
      <c r="P2107" t="s">
        <v>60</v>
      </c>
      <c r="Q2107" t="s">
        <v>900</v>
      </c>
      <c r="R2107" t="s">
        <v>946</v>
      </c>
      <c r="S2107" t="s">
        <v>951</v>
      </c>
      <c r="T2107">
        <v>-16.7805556</v>
      </c>
      <c r="U2107">
        <v>145.9916667</v>
      </c>
      <c r="V2107" t="s">
        <v>907</v>
      </c>
      <c r="Z2107">
        <v>6</v>
      </c>
      <c r="AA2107">
        <v>6</v>
      </c>
      <c r="AD2107">
        <v>27.2</v>
      </c>
      <c r="AF2107">
        <v>31.6</v>
      </c>
      <c r="AG2107" t="s">
        <v>2192</v>
      </c>
      <c r="AJ2107" t="s">
        <v>991</v>
      </c>
      <c r="AK2107" t="s">
        <v>770</v>
      </c>
      <c r="AM2107"/>
      <c r="AN2107">
        <v>70.459999999999994</v>
      </c>
      <c r="AO2107">
        <v>9.0399999999999991</v>
      </c>
      <c r="AP2107">
        <v>61.99</v>
      </c>
      <c r="AQ2107">
        <v>10.97</v>
      </c>
      <c r="AS2107">
        <v>-0.12809999999999999</v>
      </c>
      <c r="AT2107">
        <v>7.9655000000000004E-3</v>
      </c>
      <c r="AW2107" s="28">
        <f t="shared" si="237"/>
        <v>-0.8426661472341227</v>
      </c>
      <c r="AX2107">
        <f t="shared" si="238"/>
        <v>0.92307692307692313</v>
      </c>
      <c r="AY2107" s="62">
        <f t="shared" si="239"/>
        <v>-0.77784567436995944</v>
      </c>
      <c r="AZ2107" s="68" t="str">
        <f t="shared" si="240"/>
        <v>No</v>
      </c>
      <c r="BA2107" s="68" t="str">
        <f t="shared" si="241"/>
        <v>No</v>
      </c>
    </row>
    <row r="2108" spans="1:53" hidden="1">
      <c r="A2108" t="s">
        <v>930</v>
      </c>
      <c r="B2108" t="s">
        <v>2138</v>
      </c>
      <c r="C2108" t="s">
        <v>942</v>
      </c>
      <c r="F2108" t="s">
        <v>1241</v>
      </c>
      <c r="G2108" t="s">
        <v>926</v>
      </c>
      <c r="I2108">
        <v>2014</v>
      </c>
      <c r="M2108" s="25" t="s">
        <v>36</v>
      </c>
      <c r="N2108" t="s">
        <v>36</v>
      </c>
      <c r="P2108" t="s">
        <v>60</v>
      </c>
      <c r="Q2108" t="s">
        <v>900</v>
      </c>
      <c r="R2108" t="s">
        <v>946</v>
      </c>
      <c r="S2108" t="s">
        <v>951</v>
      </c>
      <c r="T2108">
        <v>-16.7805556</v>
      </c>
      <c r="U2108">
        <v>145.9916667</v>
      </c>
      <c r="V2108" t="s">
        <v>907</v>
      </c>
      <c r="Z2108">
        <v>60</v>
      </c>
      <c r="AA2108">
        <v>60</v>
      </c>
      <c r="AD2108">
        <v>27.2</v>
      </c>
      <c r="AF2108">
        <v>28.7</v>
      </c>
      <c r="AG2108" t="s">
        <v>2193</v>
      </c>
      <c r="AJ2108" t="s">
        <v>963</v>
      </c>
      <c r="AK2108" t="s">
        <v>40</v>
      </c>
      <c r="AM2108"/>
      <c r="AN2108">
        <v>566.5</v>
      </c>
      <c r="AO2108">
        <v>121.38</v>
      </c>
      <c r="AP2108">
        <v>583.29999999999995</v>
      </c>
      <c r="AQ2108">
        <v>97.44</v>
      </c>
      <c r="AS2108">
        <v>2.92E-2</v>
      </c>
      <c r="AT2108">
        <v>1.2302999999999999E-3</v>
      </c>
      <c r="AW2108" s="28">
        <f t="shared" si="237"/>
        <v>0.15264007203391936</v>
      </c>
      <c r="AX2108">
        <f t="shared" si="238"/>
        <v>0.99363057324840764</v>
      </c>
      <c r="AY2108" s="62">
        <f t="shared" si="239"/>
        <v>0.15166784227574154</v>
      </c>
      <c r="AZ2108" s="68" t="str">
        <f t="shared" si="240"/>
        <v>No</v>
      </c>
      <c r="BA2108" s="68" t="str">
        <f t="shared" si="241"/>
        <v>No</v>
      </c>
    </row>
    <row r="2109" spans="1:53" hidden="1">
      <c r="A2109" t="s">
        <v>930</v>
      </c>
      <c r="B2109" t="s">
        <v>2139</v>
      </c>
      <c r="C2109" t="s">
        <v>942</v>
      </c>
      <c r="F2109" t="s">
        <v>1241</v>
      </c>
      <c r="G2109" t="s">
        <v>926</v>
      </c>
      <c r="I2109">
        <v>2014</v>
      </c>
      <c r="M2109" s="25" t="s">
        <v>36</v>
      </c>
      <c r="N2109" t="s">
        <v>36</v>
      </c>
      <c r="P2109" t="s">
        <v>60</v>
      </c>
      <c r="Q2109" t="s">
        <v>900</v>
      </c>
      <c r="R2109" t="s">
        <v>946</v>
      </c>
      <c r="S2109" t="s">
        <v>951</v>
      </c>
      <c r="T2109">
        <v>-16.7805556</v>
      </c>
      <c r="U2109">
        <v>145.9916667</v>
      </c>
      <c r="V2109" t="s">
        <v>907</v>
      </c>
      <c r="Z2109">
        <v>60</v>
      </c>
      <c r="AA2109">
        <v>60</v>
      </c>
      <c r="AD2109">
        <v>27.2</v>
      </c>
      <c r="AF2109">
        <v>30.2</v>
      </c>
      <c r="AG2109" t="s">
        <v>2193</v>
      </c>
      <c r="AJ2109" t="s">
        <v>963</v>
      </c>
      <c r="AK2109" t="s">
        <v>40</v>
      </c>
      <c r="AM2109"/>
      <c r="AN2109">
        <v>566.5</v>
      </c>
      <c r="AO2109">
        <v>121.38</v>
      </c>
      <c r="AP2109">
        <v>551.73</v>
      </c>
      <c r="AQ2109">
        <v>107.51</v>
      </c>
      <c r="AS2109">
        <v>-2.64E-2</v>
      </c>
      <c r="AT2109">
        <v>1.3979999999999999E-3</v>
      </c>
      <c r="AW2109" s="28">
        <f t="shared" si="237"/>
        <v>-0.128821328540666</v>
      </c>
      <c r="AX2109">
        <f t="shared" si="238"/>
        <v>0.99363057324840764</v>
      </c>
      <c r="AY2109" s="62">
        <f t="shared" si="239"/>
        <v>-0.12800081052448342</v>
      </c>
      <c r="AZ2109" s="68" t="str">
        <f t="shared" si="240"/>
        <v>No</v>
      </c>
      <c r="BA2109" s="68" t="str">
        <f t="shared" si="241"/>
        <v>No</v>
      </c>
    </row>
    <row r="2110" spans="1:53" hidden="1">
      <c r="A2110" t="s">
        <v>930</v>
      </c>
      <c r="B2110" t="s">
        <v>2140</v>
      </c>
      <c r="C2110" t="s">
        <v>942</v>
      </c>
      <c r="F2110" t="s">
        <v>1241</v>
      </c>
      <c r="G2110" t="s">
        <v>926</v>
      </c>
      <c r="I2110">
        <v>2014</v>
      </c>
      <c r="M2110" s="25" t="s">
        <v>36</v>
      </c>
      <c r="N2110" t="s">
        <v>36</v>
      </c>
      <c r="P2110" t="s">
        <v>60</v>
      </c>
      <c r="Q2110" t="s">
        <v>900</v>
      </c>
      <c r="R2110" t="s">
        <v>946</v>
      </c>
      <c r="S2110" t="s">
        <v>951</v>
      </c>
      <c r="T2110">
        <v>-16.7805556</v>
      </c>
      <c r="U2110">
        <v>145.9916667</v>
      </c>
      <c r="V2110" t="s">
        <v>907</v>
      </c>
      <c r="Z2110">
        <v>60</v>
      </c>
      <c r="AA2110">
        <v>60</v>
      </c>
      <c r="AD2110">
        <v>27.2</v>
      </c>
      <c r="AF2110">
        <v>31.6</v>
      </c>
      <c r="AG2110" t="s">
        <v>2193</v>
      </c>
      <c r="AJ2110" t="s">
        <v>963</v>
      </c>
      <c r="AK2110" t="s">
        <v>40</v>
      </c>
      <c r="AM2110"/>
      <c r="AN2110">
        <v>566.5</v>
      </c>
      <c r="AO2110">
        <v>121.38</v>
      </c>
      <c r="AP2110">
        <v>511.38</v>
      </c>
      <c r="AQ2110">
        <v>138.88999999999999</v>
      </c>
      <c r="AS2110">
        <v>-0.1024</v>
      </c>
      <c r="AT2110">
        <v>1.9945000000000002E-3</v>
      </c>
      <c r="AW2110" s="28">
        <f t="shared" si="237"/>
        <v>-0.42260485305371148</v>
      </c>
      <c r="AX2110">
        <f t="shared" si="238"/>
        <v>0.99363057324840764</v>
      </c>
      <c r="AY2110" s="62">
        <f t="shared" si="239"/>
        <v>-0.41991310239731844</v>
      </c>
      <c r="AZ2110" s="68" t="str">
        <f t="shared" si="240"/>
        <v>No</v>
      </c>
      <c r="BA2110" s="68" t="str">
        <f t="shared" si="241"/>
        <v>No</v>
      </c>
    </row>
    <row r="2111" spans="1:53" hidden="1">
      <c r="A2111" t="s">
        <v>930</v>
      </c>
      <c r="B2111" t="s">
        <v>2141</v>
      </c>
      <c r="C2111" t="s">
        <v>942</v>
      </c>
      <c r="F2111" t="s">
        <v>1241</v>
      </c>
      <c r="G2111" t="s">
        <v>926</v>
      </c>
      <c r="I2111">
        <v>2014</v>
      </c>
      <c r="M2111" s="25" t="s">
        <v>36</v>
      </c>
      <c r="N2111" t="s">
        <v>36</v>
      </c>
      <c r="P2111" t="s">
        <v>60</v>
      </c>
      <c r="Q2111" t="s">
        <v>900</v>
      </c>
      <c r="R2111" t="s">
        <v>946</v>
      </c>
      <c r="S2111" t="s">
        <v>951</v>
      </c>
      <c r="T2111">
        <v>-16.7805556</v>
      </c>
      <c r="U2111">
        <v>145.9916667</v>
      </c>
      <c r="V2111" t="s">
        <v>907</v>
      </c>
      <c r="Z2111">
        <v>60</v>
      </c>
      <c r="AA2111">
        <v>60</v>
      </c>
      <c r="AD2111">
        <v>27.2</v>
      </c>
      <c r="AF2111">
        <v>28.7</v>
      </c>
      <c r="AG2111" t="s">
        <v>2194</v>
      </c>
      <c r="AJ2111" t="s">
        <v>992</v>
      </c>
      <c r="AK2111" t="s">
        <v>40</v>
      </c>
      <c r="AM2111"/>
      <c r="AN2111">
        <v>371.8</v>
      </c>
      <c r="AO2111">
        <v>84.59</v>
      </c>
      <c r="AP2111">
        <v>381.06</v>
      </c>
      <c r="AQ2111">
        <v>76.53</v>
      </c>
      <c r="AS2111">
        <v>2.46E-2</v>
      </c>
      <c r="AT2111">
        <v>1.5349000000000001E-3</v>
      </c>
      <c r="AW2111" s="28">
        <f t="shared" si="237"/>
        <v>0.11480182725445749</v>
      </c>
      <c r="AX2111">
        <f t="shared" si="238"/>
        <v>0.99363057324840764</v>
      </c>
      <c r="AY2111" s="62">
        <f t="shared" si="239"/>
        <v>0.11407060542481126</v>
      </c>
      <c r="AZ2111" s="68" t="str">
        <f t="shared" si="240"/>
        <v>No</v>
      </c>
      <c r="BA2111" s="68" t="str">
        <f t="shared" si="241"/>
        <v>No</v>
      </c>
    </row>
    <row r="2112" spans="1:53" hidden="1">
      <c r="A2112" t="s">
        <v>930</v>
      </c>
      <c r="B2112" t="s">
        <v>2142</v>
      </c>
      <c r="C2112" t="s">
        <v>942</v>
      </c>
      <c r="F2112" t="s">
        <v>1241</v>
      </c>
      <c r="G2112" t="s">
        <v>926</v>
      </c>
      <c r="I2112">
        <v>2014</v>
      </c>
      <c r="M2112" s="25" t="s">
        <v>36</v>
      </c>
      <c r="N2112" t="s">
        <v>36</v>
      </c>
      <c r="P2112" t="s">
        <v>60</v>
      </c>
      <c r="Q2112" t="s">
        <v>900</v>
      </c>
      <c r="R2112" t="s">
        <v>946</v>
      </c>
      <c r="S2112" t="s">
        <v>951</v>
      </c>
      <c r="T2112">
        <v>-16.7805556</v>
      </c>
      <c r="U2112">
        <v>145.9916667</v>
      </c>
      <c r="V2112" t="s">
        <v>907</v>
      </c>
      <c r="Z2112">
        <v>60</v>
      </c>
      <c r="AA2112">
        <v>60</v>
      </c>
      <c r="AD2112">
        <v>27.2</v>
      </c>
      <c r="AF2112">
        <v>30.2</v>
      </c>
      <c r="AG2112" t="s">
        <v>2194</v>
      </c>
      <c r="AJ2112" t="s">
        <v>992</v>
      </c>
      <c r="AK2112" t="s">
        <v>40</v>
      </c>
      <c r="AM2112"/>
      <c r="AN2112">
        <v>371.8</v>
      </c>
      <c r="AO2112">
        <v>84.59</v>
      </c>
      <c r="AP2112">
        <v>369.72</v>
      </c>
      <c r="AQ2112">
        <v>88.69</v>
      </c>
      <c r="AS2112">
        <v>-5.5999999999999999E-3</v>
      </c>
      <c r="AT2112">
        <v>1.8217000000000001E-3</v>
      </c>
      <c r="AW2112" s="28">
        <f t="shared" si="237"/>
        <v>-2.4000669454044821E-2</v>
      </c>
      <c r="AX2112">
        <f t="shared" si="238"/>
        <v>0.99363057324840764</v>
      </c>
      <c r="AY2112" s="62">
        <f t="shared" si="239"/>
        <v>-2.3847798947968103E-2</v>
      </c>
      <c r="AZ2112" s="68" t="str">
        <f t="shared" si="240"/>
        <v>No</v>
      </c>
      <c r="BA2112" s="68" t="str">
        <f t="shared" si="241"/>
        <v>No</v>
      </c>
    </row>
    <row r="2113" spans="1:53" hidden="1">
      <c r="A2113" t="s">
        <v>930</v>
      </c>
      <c r="B2113" t="s">
        <v>2143</v>
      </c>
      <c r="C2113" t="s">
        <v>942</v>
      </c>
      <c r="F2113" t="s">
        <v>1241</v>
      </c>
      <c r="G2113" t="s">
        <v>926</v>
      </c>
      <c r="I2113">
        <v>2014</v>
      </c>
      <c r="M2113" s="25" t="s">
        <v>36</v>
      </c>
      <c r="N2113" t="s">
        <v>36</v>
      </c>
      <c r="P2113" t="s">
        <v>60</v>
      </c>
      <c r="Q2113" t="s">
        <v>900</v>
      </c>
      <c r="R2113" t="s">
        <v>946</v>
      </c>
      <c r="S2113" t="s">
        <v>951</v>
      </c>
      <c r="T2113">
        <v>-16.7805556</v>
      </c>
      <c r="U2113">
        <v>145.9916667</v>
      </c>
      <c r="V2113" t="s">
        <v>907</v>
      </c>
      <c r="Z2113">
        <v>60</v>
      </c>
      <c r="AA2113">
        <v>60</v>
      </c>
      <c r="AD2113">
        <v>27.2</v>
      </c>
      <c r="AF2113">
        <v>31.6</v>
      </c>
      <c r="AG2113" t="s">
        <v>2194</v>
      </c>
      <c r="AJ2113" t="s">
        <v>992</v>
      </c>
      <c r="AK2113" t="s">
        <v>40</v>
      </c>
      <c r="AM2113"/>
      <c r="AN2113">
        <v>371.8</v>
      </c>
      <c r="AO2113">
        <v>84.59</v>
      </c>
      <c r="AP2113">
        <v>345.14</v>
      </c>
      <c r="AQ2113">
        <v>84.2</v>
      </c>
      <c r="AS2113">
        <v>-7.4399999999999994E-2</v>
      </c>
      <c r="AT2113">
        <v>1.8545E-3</v>
      </c>
      <c r="AW2113" s="28">
        <f t="shared" si="237"/>
        <v>-0.31589464820628732</v>
      </c>
      <c r="AX2113">
        <f t="shared" si="238"/>
        <v>0.99363057324840764</v>
      </c>
      <c r="AY2113" s="62">
        <f t="shared" si="239"/>
        <v>-0.31388258038331734</v>
      </c>
      <c r="AZ2113" s="68" t="str">
        <f t="shared" si="240"/>
        <v>No</v>
      </c>
      <c r="BA2113" s="68" t="str">
        <f t="shared" si="241"/>
        <v>No</v>
      </c>
    </row>
    <row r="2114" spans="1:53" hidden="1">
      <c r="A2114" t="s">
        <v>930</v>
      </c>
      <c r="B2114" t="s">
        <v>2066</v>
      </c>
      <c r="C2114" t="s">
        <v>931</v>
      </c>
      <c r="F2114" t="s">
        <v>1241</v>
      </c>
      <c r="G2114" t="s">
        <v>915</v>
      </c>
      <c r="I2114">
        <v>2004</v>
      </c>
      <c r="M2114" s="25" t="s">
        <v>36</v>
      </c>
      <c r="N2114" t="s">
        <v>36</v>
      </c>
      <c r="P2114" t="s">
        <v>60</v>
      </c>
      <c r="Q2114" t="s">
        <v>900</v>
      </c>
      <c r="R2114" t="s">
        <v>946</v>
      </c>
      <c r="S2114" t="s">
        <v>947</v>
      </c>
      <c r="T2114">
        <v>34.993488990000003</v>
      </c>
      <c r="U2114">
        <v>128.67585930000001</v>
      </c>
      <c r="V2114" t="s">
        <v>907</v>
      </c>
      <c r="Z2114">
        <v>3</v>
      </c>
      <c r="AA2114">
        <v>3</v>
      </c>
      <c r="AD2114">
        <v>10</v>
      </c>
      <c r="AF2114">
        <v>15</v>
      </c>
      <c r="AG2114" t="s">
        <v>2155</v>
      </c>
      <c r="AJ2114" t="s">
        <v>958</v>
      </c>
      <c r="AK2114" t="s">
        <v>770</v>
      </c>
      <c r="AM2114"/>
      <c r="AN2114">
        <v>53.77</v>
      </c>
      <c r="AO2114">
        <v>8.3800000000000008</v>
      </c>
      <c r="AP2114">
        <v>66.37</v>
      </c>
      <c r="AQ2114">
        <v>16.28</v>
      </c>
      <c r="AS2114">
        <v>0.21049999999999999</v>
      </c>
      <c r="AT2114">
        <v>2.8152300000000002E-2</v>
      </c>
      <c r="AW2114" s="28">
        <f t="shared" si="237"/>
        <v>0.97317929185034291</v>
      </c>
      <c r="AX2114">
        <f t="shared" si="238"/>
        <v>0.8</v>
      </c>
      <c r="AY2114" s="62">
        <f t="shared" si="239"/>
        <v>0.77854343348027433</v>
      </c>
      <c r="AZ2114" s="68" t="str">
        <f t="shared" si="240"/>
        <v>No</v>
      </c>
      <c r="BA2114" s="68" t="str">
        <f t="shared" si="241"/>
        <v>No</v>
      </c>
    </row>
    <row r="2115" spans="1:53" hidden="1">
      <c r="A2115" t="s">
        <v>930</v>
      </c>
      <c r="B2115" t="s">
        <v>2067</v>
      </c>
      <c r="C2115" t="s">
        <v>931</v>
      </c>
      <c r="F2115" t="s">
        <v>1241</v>
      </c>
      <c r="G2115" t="s">
        <v>915</v>
      </c>
      <c r="I2115">
        <v>2004</v>
      </c>
      <c r="M2115" s="25" t="s">
        <v>36</v>
      </c>
      <c r="N2115" t="s">
        <v>36</v>
      </c>
      <c r="P2115" t="s">
        <v>60</v>
      </c>
      <c r="Q2115" t="s">
        <v>900</v>
      </c>
      <c r="R2115" t="s">
        <v>946</v>
      </c>
      <c r="S2115" t="s">
        <v>947</v>
      </c>
      <c r="T2115">
        <v>34.993488990000003</v>
      </c>
      <c r="U2115">
        <v>128.67585930000001</v>
      </c>
      <c r="V2115" t="s">
        <v>907</v>
      </c>
      <c r="Z2115">
        <v>3</v>
      </c>
      <c r="AA2115">
        <v>3</v>
      </c>
      <c r="AD2115">
        <v>10</v>
      </c>
      <c r="AF2115">
        <v>20</v>
      </c>
      <c r="AG2115" t="s">
        <v>2155</v>
      </c>
      <c r="AJ2115" t="s">
        <v>958</v>
      </c>
      <c r="AK2115" t="s">
        <v>770</v>
      </c>
      <c r="AM2115"/>
      <c r="AN2115">
        <v>53.77</v>
      </c>
      <c r="AO2115">
        <v>8.3800000000000008</v>
      </c>
      <c r="AP2115">
        <v>13.27</v>
      </c>
      <c r="AQ2115">
        <v>6.26</v>
      </c>
      <c r="AS2115">
        <v>-1.3992</v>
      </c>
      <c r="AT2115">
        <v>8.2276100000000005E-2</v>
      </c>
      <c r="AW2115" s="28">
        <f t="shared" si="237"/>
        <v>-5.4756734778983178</v>
      </c>
      <c r="AX2115">
        <f t="shared" si="238"/>
        <v>0.8</v>
      </c>
      <c r="AY2115" s="62">
        <f t="shared" si="239"/>
        <v>-4.3805387823186548</v>
      </c>
      <c r="AZ2115" s="68" t="str">
        <f t="shared" si="240"/>
        <v>No</v>
      </c>
      <c r="BA2115" s="68" t="str">
        <f t="shared" si="241"/>
        <v>No</v>
      </c>
    </row>
    <row r="2116" spans="1:53" hidden="1">
      <c r="A2116" t="s">
        <v>930</v>
      </c>
      <c r="B2116" t="s">
        <v>2096</v>
      </c>
      <c r="C2116" t="s">
        <v>937</v>
      </c>
      <c r="F2116" t="s">
        <v>1241</v>
      </c>
      <c r="G2116" t="s">
        <v>921</v>
      </c>
      <c r="I2116">
        <v>2010</v>
      </c>
      <c r="M2116" s="25" t="s">
        <v>36</v>
      </c>
      <c r="N2116" t="s">
        <v>36</v>
      </c>
      <c r="P2116" t="s">
        <v>60</v>
      </c>
      <c r="Q2116" t="s">
        <v>900</v>
      </c>
      <c r="R2116" t="s">
        <v>946</v>
      </c>
      <c r="S2116" t="s">
        <v>953</v>
      </c>
      <c r="T2116">
        <v>37.148179239999997</v>
      </c>
      <c r="U2116">
        <v>122.49700230000001</v>
      </c>
      <c r="V2116" t="s">
        <v>907</v>
      </c>
      <c r="Z2116">
        <v>3</v>
      </c>
      <c r="AA2116">
        <v>3</v>
      </c>
      <c r="AD2116">
        <v>21</v>
      </c>
      <c r="AF2116">
        <v>24</v>
      </c>
      <c r="AG2116" t="s">
        <v>2172</v>
      </c>
      <c r="AJ2116" t="s">
        <v>974</v>
      </c>
      <c r="AK2116" t="s">
        <v>770</v>
      </c>
      <c r="AM2116"/>
      <c r="AN2116">
        <v>31.76</v>
      </c>
      <c r="AO2116">
        <v>8.57</v>
      </c>
      <c r="AP2116">
        <v>23.45</v>
      </c>
      <c r="AQ2116">
        <v>8.7799999999999994</v>
      </c>
      <c r="AS2116">
        <v>-0.30330000000000001</v>
      </c>
      <c r="AT2116">
        <v>7.1035699999999993E-2</v>
      </c>
      <c r="AW2116" s="28">
        <f t="shared" si="237"/>
        <v>-0.9578549114192324</v>
      </c>
      <c r="AX2116">
        <f t="shared" si="238"/>
        <v>0.8</v>
      </c>
      <c r="AY2116" s="62">
        <f t="shared" si="239"/>
        <v>-0.76628392913538601</v>
      </c>
      <c r="AZ2116" s="68" t="str">
        <f t="shared" si="240"/>
        <v>No</v>
      </c>
      <c r="BA2116" s="68" t="str">
        <f t="shared" si="241"/>
        <v>No</v>
      </c>
    </row>
    <row r="2117" spans="1:53" hidden="1">
      <c r="A2117" t="s">
        <v>930</v>
      </c>
      <c r="B2117" t="s">
        <v>2097</v>
      </c>
      <c r="C2117" t="s">
        <v>937</v>
      </c>
      <c r="F2117" t="s">
        <v>1241</v>
      </c>
      <c r="G2117" t="s">
        <v>921</v>
      </c>
      <c r="I2117">
        <v>2010</v>
      </c>
      <c r="M2117" s="25" t="s">
        <v>36</v>
      </c>
      <c r="N2117" t="s">
        <v>36</v>
      </c>
      <c r="P2117" t="s">
        <v>60</v>
      </c>
      <c r="Q2117" t="s">
        <v>900</v>
      </c>
      <c r="R2117" t="s">
        <v>946</v>
      </c>
      <c r="S2117" t="s">
        <v>953</v>
      </c>
      <c r="T2117">
        <v>37.148179239999997</v>
      </c>
      <c r="U2117">
        <v>122.49700230000001</v>
      </c>
      <c r="V2117" t="s">
        <v>907</v>
      </c>
      <c r="Z2117">
        <v>3</v>
      </c>
      <c r="AA2117">
        <v>3</v>
      </c>
      <c r="AD2117">
        <v>21</v>
      </c>
      <c r="AF2117">
        <v>27</v>
      </c>
      <c r="AG2117" t="s">
        <v>2172</v>
      </c>
      <c r="AJ2117" t="s">
        <v>974</v>
      </c>
      <c r="AK2117" t="s">
        <v>770</v>
      </c>
      <c r="AM2117"/>
      <c r="AN2117">
        <v>31.76</v>
      </c>
      <c r="AO2117">
        <v>8.57</v>
      </c>
      <c r="AP2117">
        <v>16.5</v>
      </c>
      <c r="AQ2117">
        <v>8.3800000000000008</v>
      </c>
      <c r="AS2117">
        <v>-0.65480000000000005</v>
      </c>
      <c r="AT2117">
        <v>0.11033569999999999</v>
      </c>
      <c r="AW2117" s="28">
        <f t="shared" si="237"/>
        <v>-1.8004768577145311</v>
      </c>
      <c r="AX2117">
        <f t="shared" si="238"/>
        <v>0.8</v>
      </c>
      <c r="AY2117" s="62">
        <f t="shared" si="239"/>
        <v>-1.4403814861716251</v>
      </c>
      <c r="AZ2117" s="68" t="str">
        <f t="shared" si="240"/>
        <v>No</v>
      </c>
      <c r="BA2117" s="68" t="str">
        <f t="shared" si="241"/>
        <v>No</v>
      </c>
    </row>
    <row r="2118" spans="1:53" hidden="1">
      <c r="A2118" t="s">
        <v>930</v>
      </c>
      <c r="B2118" t="s">
        <v>2098</v>
      </c>
      <c r="C2118" t="s">
        <v>938</v>
      </c>
      <c r="F2118" t="s">
        <v>1241</v>
      </c>
      <c r="G2118" t="s">
        <v>922</v>
      </c>
      <c r="I2118">
        <v>2011</v>
      </c>
      <c r="M2118" s="25" t="s">
        <v>36</v>
      </c>
      <c r="N2118" t="s">
        <v>36</v>
      </c>
      <c r="P2118" t="s">
        <v>60</v>
      </c>
      <c r="Q2118" t="s">
        <v>900</v>
      </c>
      <c r="R2118" t="s">
        <v>946</v>
      </c>
      <c r="S2118" t="s">
        <v>953</v>
      </c>
      <c r="T2118">
        <v>37.148179239999997</v>
      </c>
      <c r="U2118">
        <v>122.49700230000001</v>
      </c>
      <c r="V2118" t="s">
        <v>907</v>
      </c>
      <c r="Z2118">
        <v>30</v>
      </c>
      <c r="AA2118">
        <v>30</v>
      </c>
      <c r="AD2118">
        <v>21</v>
      </c>
      <c r="AF2118">
        <v>24</v>
      </c>
      <c r="AG2118" t="s">
        <v>2173</v>
      </c>
      <c r="AJ2118" t="s">
        <v>975</v>
      </c>
      <c r="AK2118" t="s">
        <v>69</v>
      </c>
      <c r="AM2118"/>
      <c r="AN2118">
        <v>98.7</v>
      </c>
      <c r="AO2118">
        <v>7.12</v>
      </c>
      <c r="AP2118">
        <v>97.8</v>
      </c>
      <c r="AQ2118">
        <v>7.12</v>
      </c>
      <c r="AS2118">
        <v>-9.1999999999999998E-3</v>
      </c>
      <c r="AT2118">
        <v>3.502E-4</v>
      </c>
      <c r="AW2118" s="28">
        <f t="shared" si="237"/>
        <v>-0.12640449438202328</v>
      </c>
      <c r="AX2118">
        <f t="shared" si="238"/>
        <v>0.98701298701298701</v>
      </c>
      <c r="AY2118" s="62">
        <f t="shared" si="239"/>
        <v>-0.12476287757186713</v>
      </c>
      <c r="AZ2118" s="68" t="str">
        <f t="shared" si="240"/>
        <v>No</v>
      </c>
      <c r="BA2118" s="68" t="str">
        <f t="shared" si="241"/>
        <v>No</v>
      </c>
    </row>
    <row r="2119" spans="1:53" hidden="1">
      <c r="A2119" t="s">
        <v>930</v>
      </c>
      <c r="B2119" t="s">
        <v>2099</v>
      </c>
      <c r="C2119" t="s">
        <v>938</v>
      </c>
      <c r="F2119" t="s">
        <v>1241</v>
      </c>
      <c r="G2119" t="s">
        <v>922</v>
      </c>
      <c r="I2119">
        <v>2011</v>
      </c>
      <c r="M2119" s="25" t="s">
        <v>36</v>
      </c>
      <c r="N2119" t="s">
        <v>36</v>
      </c>
      <c r="P2119" t="s">
        <v>60</v>
      </c>
      <c r="Q2119" t="s">
        <v>900</v>
      </c>
      <c r="R2119" t="s">
        <v>946</v>
      </c>
      <c r="S2119" t="s">
        <v>953</v>
      </c>
      <c r="T2119">
        <v>37.148179239999997</v>
      </c>
      <c r="U2119">
        <v>122.49700230000001</v>
      </c>
      <c r="V2119" t="s">
        <v>907</v>
      </c>
      <c r="Z2119">
        <v>30</v>
      </c>
      <c r="AA2119">
        <v>30</v>
      </c>
      <c r="AD2119">
        <v>21</v>
      </c>
      <c r="AF2119">
        <v>27</v>
      </c>
      <c r="AG2119" t="s">
        <v>2173</v>
      </c>
      <c r="AJ2119" t="s">
        <v>975</v>
      </c>
      <c r="AK2119" t="s">
        <v>69</v>
      </c>
      <c r="AM2119"/>
      <c r="AN2119">
        <v>98.7</v>
      </c>
      <c r="AO2119">
        <v>7.12</v>
      </c>
      <c r="AP2119">
        <v>92</v>
      </c>
      <c r="AQ2119">
        <v>10.41</v>
      </c>
      <c r="AS2119">
        <v>-7.0300000000000001E-2</v>
      </c>
      <c r="AT2119">
        <v>5.9999999999999995E-4</v>
      </c>
      <c r="AW2119" s="28">
        <f t="shared" si="237"/>
        <v>-0.7512870423741469</v>
      </c>
      <c r="AX2119">
        <f t="shared" si="238"/>
        <v>0.98701298701298701</v>
      </c>
      <c r="AY2119" s="62">
        <f t="shared" si="239"/>
        <v>-0.74153006779785924</v>
      </c>
      <c r="AZ2119" s="68" t="str">
        <f t="shared" si="240"/>
        <v>No</v>
      </c>
      <c r="BA2119" s="68" t="str">
        <f t="shared" si="241"/>
        <v>No</v>
      </c>
    </row>
    <row r="2120" spans="1:53" hidden="1">
      <c r="A2120" t="s">
        <v>930</v>
      </c>
      <c r="B2120" t="s">
        <v>2100</v>
      </c>
      <c r="C2120" t="s">
        <v>938</v>
      </c>
      <c r="F2120" t="s">
        <v>1241</v>
      </c>
      <c r="G2120" t="s">
        <v>922</v>
      </c>
      <c r="I2120">
        <v>2011</v>
      </c>
      <c r="M2120" s="25" t="s">
        <v>36</v>
      </c>
      <c r="N2120" t="s">
        <v>36</v>
      </c>
      <c r="P2120" t="s">
        <v>60</v>
      </c>
      <c r="Q2120" t="s">
        <v>900</v>
      </c>
      <c r="R2120" t="s">
        <v>946</v>
      </c>
      <c r="S2120" t="s">
        <v>953</v>
      </c>
      <c r="T2120">
        <v>37.148179239999997</v>
      </c>
      <c r="U2120">
        <v>122.49700230000001</v>
      </c>
      <c r="V2120" t="s">
        <v>907</v>
      </c>
      <c r="Z2120">
        <v>30</v>
      </c>
      <c r="AA2120">
        <v>30</v>
      </c>
      <c r="AD2120">
        <v>21</v>
      </c>
      <c r="AF2120">
        <v>24</v>
      </c>
      <c r="AG2120" t="s">
        <v>2174</v>
      </c>
      <c r="AJ2120" t="s">
        <v>976</v>
      </c>
      <c r="AK2120" t="s">
        <v>69</v>
      </c>
      <c r="AM2120"/>
      <c r="AN2120">
        <v>95.9</v>
      </c>
      <c r="AO2120">
        <v>2.19</v>
      </c>
      <c r="AP2120">
        <v>91.7</v>
      </c>
      <c r="AQ2120">
        <v>4.93</v>
      </c>
      <c r="AS2120">
        <v>-4.48E-2</v>
      </c>
      <c r="AT2120">
        <v>1.137E-4</v>
      </c>
      <c r="AW2120" s="28">
        <f t="shared" si="237"/>
        <v>-1.1010583423297697</v>
      </c>
      <c r="AX2120">
        <f t="shared" si="238"/>
        <v>0.98701298701298701</v>
      </c>
      <c r="AY2120" s="62">
        <f t="shared" si="239"/>
        <v>-1.086758883338474</v>
      </c>
      <c r="AZ2120" s="68" t="str">
        <f t="shared" si="240"/>
        <v>No</v>
      </c>
      <c r="BA2120" s="68" t="str">
        <f t="shared" si="241"/>
        <v>No</v>
      </c>
    </row>
    <row r="2121" spans="1:53" hidden="1">
      <c r="A2121" t="s">
        <v>930</v>
      </c>
      <c r="B2121" t="s">
        <v>2101</v>
      </c>
      <c r="C2121" t="s">
        <v>938</v>
      </c>
      <c r="F2121" t="s">
        <v>1241</v>
      </c>
      <c r="G2121" t="s">
        <v>922</v>
      </c>
      <c r="I2121">
        <v>2011</v>
      </c>
      <c r="M2121" s="25" t="s">
        <v>36</v>
      </c>
      <c r="N2121" t="s">
        <v>36</v>
      </c>
      <c r="P2121" t="s">
        <v>60</v>
      </c>
      <c r="Q2121" t="s">
        <v>900</v>
      </c>
      <c r="R2121" t="s">
        <v>946</v>
      </c>
      <c r="S2121" t="s">
        <v>953</v>
      </c>
      <c r="T2121">
        <v>37.148179239999997</v>
      </c>
      <c r="U2121">
        <v>122.49700230000001</v>
      </c>
      <c r="V2121" t="s">
        <v>907</v>
      </c>
      <c r="Z2121">
        <v>30</v>
      </c>
      <c r="AA2121">
        <v>30</v>
      </c>
      <c r="AD2121">
        <v>21</v>
      </c>
      <c r="AF2121">
        <v>27</v>
      </c>
      <c r="AG2121" t="s">
        <v>2174</v>
      </c>
      <c r="AJ2121" t="s">
        <v>977</v>
      </c>
      <c r="AK2121" t="s">
        <v>69</v>
      </c>
      <c r="AM2121"/>
      <c r="AN2121">
        <v>95.9</v>
      </c>
      <c r="AO2121">
        <v>2.19</v>
      </c>
      <c r="AP2121">
        <v>77.3</v>
      </c>
      <c r="AQ2121">
        <v>14.79</v>
      </c>
      <c r="AS2121">
        <v>-0.21560000000000001</v>
      </c>
      <c r="AT2121">
        <v>1.2374E-3</v>
      </c>
      <c r="AW2121" s="28">
        <f t="shared" si="237"/>
        <v>-1.759341408270227</v>
      </c>
      <c r="AX2121">
        <f t="shared" si="238"/>
        <v>0.98701298701298701</v>
      </c>
      <c r="AY2121" s="62">
        <f t="shared" si="239"/>
        <v>-1.7364928185524318</v>
      </c>
      <c r="AZ2121" s="68" t="str">
        <f t="shared" si="240"/>
        <v>No</v>
      </c>
      <c r="BA2121" s="68" t="str">
        <f t="shared" si="241"/>
        <v>No</v>
      </c>
    </row>
    <row r="2122" spans="1:53" hidden="1">
      <c r="A2122" t="s">
        <v>930</v>
      </c>
      <c r="B2122" t="s">
        <v>2102</v>
      </c>
      <c r="C2122" t="s">
        <v>938</v>
      </c>
      <c r="F2122" t="s">
        <v>1241</v>
      </c>
      <c r="G2122" t="s">
        <v>922</v>
      </c>
      <c r="I2122">
        <v>2011</v>
      </c>
      <c r="M2122" s="25" t="s">
        <v>36</v>
      </c>
      <c r="N2122" t="s">
        <v>36</v>
      </c>
      <c r="P2122" t="s">
        <v>60</v>
      </c>
      <c r="Q2122" t="s">
        <v>900</v>
      </c>
      <c r="R2122" t="s">
        <v>946</v>
      </c>
      <c r="S2122" t="s">
        <v>953</v>
      </c>
      <c r="T2122">
        <v>37.148179239999997</v>
      </c>
      <c r="U2122">
        <v>122.49700230000001</v>
      </c>
      <c r="V2122" t="s">
        <v>907</v>
      </c>
      <c r="Z2122">
        <v>30</v>
      </c>
      <c r="AA2122">
        <v>30</v>
      </c>
      <c r="AD2122">
        <v>21</v>
      </c>
      <c r="AF2122">
        <v>24</v>
      </c>
      <c r="AG2122" t="s">
        <v>2175</v>
      </c>
      <c r="AJ2122" t="s">
        <v>978</v>
      </c>
      <c r="AK2122" t="s">
        <v>40</v>
      </c>
      <c r="AM2122"/>
      <c r="AN2122">
        <v>32.6</v>
      </c>
      <c r="AO2122">
        <v>15.88</v>
      </c>
      <c r="AP2122">
        <v>42.9</v>
      </c>
      <c r="AQ2122">
        <v>16.98</v>
      </c>
      <c r="AS2122">
        <v>0.27460000000000001</v>
      </c>
      <c r="AT2122">
        <v>1.3135000000000001E-2</v>
      </c>
      <c r="AW2122" s="28">
        <f t="shared" si="237"/>
        <v>0.62655105055649507</v>
      </c>
      <c r="AX2122">
        <f t="shared" si="238"/>
        <v>0.98701298701298701</v>
      </c>
      <c r="AY2122" s="62">
        <f t="shared" si="239"/>
        <v>0.61841402392589129</v>
      </c>
      <c r="AZ2122" s="68" t="str">
        <f t="shared" si="240"/>
        <v>No</v>
      </c>
      <c r="BA2122" s="68" t="str">
        <f t="shared" si="241"/>
        <v>No</v>
      </c>
    </row>
    <row r="2123" spans="1:53" hidden="1">
      <c r="A2123" t="s">
        <v>930</v>
      </c>
      <c r="B2123" t="s">
        <v>2103</v>
      </c>
      <c r="C2123" t="s">
        <v>938</v>
      </c>
      <c r="F2123" t="s">
        <v>1241</v>
      </c>
      <c r="G2123" t="s">
        <v>922</v>
      </c>
      <c r="I2123">
        <v>2011</v>
      </c>
      <c r="M2123" s="25" t="s">
        <v>36</v>
      </c>
      <c r="N2123" t="s">
        <v>36</v>
      </c>
      <c r="P2123" t="s">
        <v>60</v>
      </c>
      <c r="Q2123" t="s">
        <v>900</v>
      </c>
      <c r="R2123" t="s">
        <v>946</v>
      </c>
      <c r="S2123" t="s">
        <v>953</v>
      </c>
      <c r="T2123">
        <v>37.148179239999997</v>
      </c>
      <c r="U2123">
        <v>122.49700230000001</v>
      </c>
      <c r="V2123" t="s">
        <v>907</v>
      </c>
      <c r="Z2123">
        <v>30</v>
      </c>
      <c r="AA2123">
        <v>30</v>
      </c>
      <c r="AD2123">
        <v>21</v>
      </c>
      <c r="AF2123">
        <v>27</v>
      </c>
      <c r="AG2123" t="s">
        <v>2175</v>
      </c>
      <c r="AJ2123" t="s">
        <v>978</v>
      </c>
      <c r="AK2123" t="s">
        <v>40</v>
      </c>
      <c r="AM2123"/>
      <c r="AN2123">
        <v>32.6</v>
      </c>
      <c r="AO2123">
        <v>15.88</v>
      </c>
      <c r="AP2123">
        <v>6.7</v>
      </c>
      <c r="AQ2123">
        <v>18.07</v>
      </c>
      <c r="AS2123">
        <v>-1.5822000000000001</v>
      </c>
      <c r="AT2123">
        <v>0.25050640000000002</v>
      </c>
      <c r="AW2123" s="28">
        <f t="shared" si="237"/>
        <v>-1.522608617346312</v>
      </c>
      <c r="AX2123">
        <f t="shared" si="238"/>
        <v>0.98701298701298701</v>
      </c>
      <c r="AY2123" s="62">
        <f t="shared" si="239"/>
        <v>-1.5028344794586976</v>
      </c>
      <c r="AZ2123" s="68" t="str">
        <f t="shared" si="240"/>
        <v>No</v>
      </c>
      <c r="BA2123" s="68" t="str">
        <f t="shared" si="241"/>
        <v>No</v>
      </c>
    </row>
    <row r="2124" spans="1:53" hidden="1">
      <c r="A2124" t="s">
        <v>930</v>
      </c>
      <c r="B2124" t="s">
        <v>2104</v>
      </c>
      <c r="C2124" t="s">
        <v>938</v>
      </c>
      <c r="F2124" t="s">
        <v>1241</v>
      </c>
      <c r="G2124" t="s">
        <v>922</v>
      </c>
      <c r="I2124">
        <v>2011</v>
      </c>
      <c r="M2124" s="25" t="s">
        <v>36</v>
      </c>
      <c r="N2124" t="s">
        <v>36</v>
      </c>
      <c r="P2124" t="s">
        <v>60</v>
      </c>
      <c r="Q2124" t="s">
        <v>900</v>
      </c>
      <c r="R2124" t="s">
        <v>946</v>
      </c>
      <c r="S2124" t="s">
        <v>953</v>
      </c>
      <c r="T2124">
        <v>37.148179239999997</v>
      </c>
      <c r="U2124">
        <v>122.49700230000001</v>
      </c>
      <c r="V2124" t="s">
        <v>907</v>
      </c>
      <c r="Z2124">
        <v>30</v>
      </c>
      <c r="AA2124">
        <v>30</v>
      </c>
      <c r="AD2124">
        <v>21</v>
      </c>
      <c r="AF2124">
        <v>24</v>
      </c>
      <c r="AG2124" t="s">
        <v>2176</v>
      </c>
      <c r="AJ2124" t="s">
        <v>979</v>
      </c>
      <c r="AK2124" t="s">
        <v>40</v>
      </c>
      <c r="AM2124"/>
      <c r="AN2124">
        <v>126.8</v>
      </c>
      <c r="AO2124">
        <v>9.86</v>
      </c>
      <c r="AP2124">
        <v>145.4</v>
      </c>
      <c r="AQ2124">
        <v>9.86</v>
      </c>
      <c r="AS2124">
        <v>0.13689999999999999</v>
      </c>
      <c r="AT2124">
        <v>3.548E-4</v>
      </c>
      <c r="AW2124" s="28">
        <f t="shared" si="237"/>
        <v>1.8864097363083174</v>
      </c>
      <c r="AX2124">
        <f t="shared" si="238"/>
        <v>0.98701298701298701</v>
      </c>
      <c r="AY2124" s="62">
        <f t="shared" si="239"/>
        <v>1.8619109085640535</v>
      </c>
      <c r="AZ2124" s="68" t="str">
        <f t="shared" si="240"/>
        <v>No</v>
      </c>
      <c r="BA2124" s="68" t="str">
        <f t="shared" si="241"/>
        <v>No</v>
      </c>
    </row>
    <row r="2125" spans="1:53" hidden="1">
      <c r="A2125" t="s">
        <v>930</v>
      </c>
      <c r="B2125" t="s">
        <v>2105</v>
      </c>
      <c r="C2125" t="s">
        <v>938</v>
      </c>
      <c r="F2125" t="s">
        <v>1241</v>
      </c>
      <c r="G2125" t="s">
        <v>922</v>
      </c>
      <c r="I2125">
        <v>2011</v>
      </c>
      <c r="M2125" s="25" t="s">
        <v>36</v>
      </c>
      <c r="N2125" t="s">
        <v>36</v>
      </c>
      <c r="P2125" t="s">
        <v>60</v>
      </c>
      <c r="Q2125" t="s">
        <v>900</v>
      </c>
      <c r="R2125" t="s">
        <v>946</v>
      </c>
      <c r="S2125" t="s">
        <v>953</v>
      </c>
      <c r="T2125">
        <v>37.148179239999997</v>
      </c>
      <c r="U2125">
        <v>122.49700230000001</v>
      </c>
      <c r="V2125" t="s">
        <v>907</v>
      </c>
      <c r="Z2125">
        <v>30</v>
      </c>
      <c r="AA2125">
        <v>30</v>
      </c>
      <c r="AD2125">
        <v>21</v>
      </c>
      <c r="AF2125">
        <v>27</v>
      </c>
      <c r="AG2125" t="s">
        <v>2176</v>
      </c>
      <c r="AJ2125" t="s">
        <v>979</v>
      </c>
      <c r="AK2125" t="s">
        <v>40</v>
      </c>
      <c r="AM2125"/>
      <c r="AN2125">
        <v>126.8</v>
      </c>
      <c r="AO2125">
        <v>9.86</v>
      </c>
      <c r="AP2125">
        <v>152.5</v>
      </c>
      <c r="AQ2125">
        <v>12.6</v>
      </c>
      <c r="AS2125">
        <v>0.18459999999999999</v>
      </c>
      <c r="AT2125">
        <v>4.2900000000000002E-4</v>
      </c>
      <c r="AW2125" s="28">
        <f t="shared" si="237"/>
        <v>2.271671048258352</v>
      </c>
      <c r="AX2125">
        <f t="shared" si="238"/>
        <v>0.98701298701298701</v>
      </c>
      <c r="AY2125" s="62">
        <f t="shared" si="239"/>
        <v>2.2421688268523994</v>
      </c>
      <c r="AZ2125" s="68" t="str">
        <f t="shared" si="240"/>
        <v>No</v>
      </c>
      <c r="BA2125" s="68" t="str">
        <f t="shared" si="241"/>
        <v>No</v>
      </c>
    </row>
    <row r="2126" spans="1:53" hidden="1">
      <c r="A2126" t="s">
        <v>930</v>
      </c>
      <c r="B2126" t="s">
        <v>2106</v>
      </c>
      <c r="C2126" t="s">
        <v>938</v>
      </c>
      <c r="F2126" t="s">
        <v>1241</v>
      </c>
      <c r="G2126" t="s">
        <v>922</v>
      </c>
      <c r="I2126">
        <v>2011</v>
      </c>
      <c r="M2126" s="25" t="s">
        <v>36</v>
      </c>
      <c r="N2126" t="s">
        <v>36</v>
      </c>
      <c r="P2126" t="s">
        <v>60</v>
      </c>
      <c r="Q2126" t="s">
        <v>900</v>
      </c>
      <c r="R2126" t="s">
        <v>946</v>
      </c>
      <c r="S2126" t="s">
        <v>953</v>
      </c>
      <c r="T2126">
        <v>37.148179239999997</v>
      </c>
      <c r="U2126">
        <v>122.49700230000001</v>
      </c>
      <c r="V2126" t="s">
        <v>907</v>
      </c>
      <c r="Z2126">
        <v>30</v>
      </c>
      <c r="AA2126">
        <v>30</v>
      </c>
      <c r="AD2126">
        <v>21</v>
      </c>
      <c r="AF2126">
        <v>24</v>
      </c>
      <c r="AG2126" t="s">
        <v>2177</v>
      </c>
      <c r="AJ2126" t="s">
        <v>980</v>
      </c>
      <c r="AK2126" t="s">
        <v>69</v>
      </c>
      <c r="AM2126"/>
      <c r="AN2126">
        <v>98.3</v>
      </c>
      <c r="AO2126">
        <v>9.31</v>
      </c>
      <c r="AP2126">
        <v>96.7</v>
      </c>
      <c r="AQ2126">
        <v>9.31</v>
      </c>
      <c r="AS2126">
        <v>-1.6400000000000001E-2</v>
      </c>
      <c r="AT2126">
        <v>6.0809999999999998E-4</v>
      </c>
      <c r="AW2126" s="28">
        <f t="shared" ref="AW2126:AW2189" si="242">(AP2126-$AN2126)/SQRT(((AA2126-1)*AQ2126*AQ2126+($Z2126-1)*$AO2126*$AO2126)/(AA2126+$Z2126-2))</f>
        <v>-0.17185821697099832</v>
      </c>
      <c r="AX2126">
        <f t="shared" ref="AX2126:AX2189" si="243">1-(3/(4*(AA2126+$Z2126-2)-1))</f>
        <v>0.98701298701298701</v>
      </c>
      <c r="AY2126" s="62">
        <f t="shared" ref="AY2126:AY2189" si="244">AX2126*AW2126</f>
        <v>-0.16962629207527108</v>
      </c>
      <c r="AZ2126" s="68" t="str">
        <f t="shared" ref="AZ2126:AZ2189" si="245">IF(AY2126&gt;10,"Yes","No")</f>
        <v>No</v>
      </c>
      <c r="BA2126" s="68" t="str">
        <f t="shared" ref="BA2126:BA2189" si="246">IF(AY2126&lt;-10,"Yes","No")</f>
        <v>No</v>
      </c>
    </row>
    <row r="2127" spans="1:53" hidden="1">
      <c r="A2127" t="s">
        <v>930</v>
      </c>
      <c r="B2127" t="s">
        <v>2107</v>
      </c>
      <c r="C2127" t="s">
        <v>938</v>
      </c>
      <c r="F2127" t="s">
        <v>1241</v>
      </c>
      <c r="G2127" t="s">
        <v>922</v>
      </c>
      <c r="I2127">
        <v>2011</v>
      </c>
      <c r="M2127" s="25" t="s">
        <v>36</v>
      </c>
      <c r="N2127" t="s">
        <v>36</v>
      </c>
      <c r="P2127" t="s">
        <v>60</v>
      </c>
      <c r="Q2127" t="s">
        <v>900</v>
      </c>
      <c r="R2127" t="s">
        <v>946</v>
      </c>
      <c r="S2127" t="s">
        <v>953</v>
      </c>
      <c r="T2127">
        <v>37.148179239999997</v>
      </c>
      <c r="U2127">
        <v>122.49700230000001</v>
      </c>
      <c r="V2127" t="s">
        <v>907</v>
      </c>
      <c r="Z2127">
        <v>30</v>
      </c>
      <c r="AA2127">
        <v>30</v>
      </c>
      <c r="AD2127">
        <v>21</v>
      </c>
      <c r="AF2127">
        <v>27</v>
      </c>
      <c r="AG2127" t="s">
        <v>2177</v>
      </c>
      <c r="AJ2127" t="s">
        <v>980</v>
      </c>
      <c r="AK2127" t="s">
        <v>69</v>
      </c>
      <c r="AM2127"/>
      <c r="AN2127">
        <v>98.3</v>
      </c>
      <c r="AO2127">
        <v>9.31</v>
      </c>
      <c r="AP2127">
        <v>90</v>
      </c>
      <c r="AQ2127">
        <v>13.69</v>
      </c>
      <c r="AS2127">
        <v>-8.8200000000000001E-2</v>
      </c>
      <c r="AT2127">
        <v>1.0707E-3</v>
      </c>
      <c r="AW2127" s="28">
        <f t="shared" si="242"/>
        <v>-0.70899757838940669</v>
      </c>
      <c r="AX2127">
        <f t="shared" si="243"/>
        <v>0.98701298701298701</v>
      </c>
      <c r="AY2127" s="62">
        <f t="shared" si="244"/>
        <v>-0.69978981763110271</v>
      </c>
      <c r="AZ2127" s="68" t="str">
        <f t="shared" si="245"/>
        <v>No</v>
      </c>
      <c r="BA2127" s="68" t="str">
        <f t="shared" si="246"/>
        <v>No</v>
      </c>
    </row>
    <row r="2128" spans="1:53" hidden="1">
      <c r="A2128" t="s">
        <v>930</v>
      </c>
      <c r="B2128" t="s">
        <v>2108</v>
      </c>
      <c r="C2128" t="s">
        <v>938</v>
      </c>
      <c r="F2128" t="s">
        <v>1241</v>
      </c>
      <c r="G2128" t="s">
        <v>922</v>
      </c>
      <c r="I2128">
        <v>2011</v>
      </c>
      <c r="M2128" s="25" t="s">
        <v>36</v>
      </c>
      <c r="N2128" t="s">
        <v>36</v>
      </c>
      <c r="P2128" t="s">
        <v>60</v>
      </c>
      <c r="Q2128" t="s">
        <v>900</v>
      </c>
      <c r="R2128" t="s">
        <v>946</v>
      </c>
      <c r="S2128" t="s">
        <v>953</v>
      </c>
      <c r="T2128">
        <v>37.148179239999997</v>
      </c>
      <c r="U2128">
        <v>122.49700230000001</v>
      </c>
      <c r="V2128" t="s">
        <v>907</v>
      </c>
      <c r="Z2128">
        <v>30</v>
      </c>
      <c r="AA2128">
        <v>30</v>
      </c>
      <c r="AD2128">
        <v>21</v>
      </c>
      <c r="AF2128">
        <v>24</v>
      </c>
      <c r="AG2128" t="s">
        <v>2178</v>
      </c>
      <c r="AJ2128" t="s">
        <v>981</v>
      </c>
      <c r="AK2128" t="s">
        <v>69</v>
      </c>
      <c r="AM2128"/>
      <c r="AN2128">
        <v>90.8</v>
      </c>
      <c r="AO2128">
        <v>12.05</v>
      </c>
      <c r="AP2128">
        <v>87.7</v>
      </c>
      <c r="AQ2128">
        <v>6.57</v>
      </c>
      <c r="AS2128">
        <v>-3.4700000000000002E-2</v>
      </c>
      <c r="AT2128">
        <v>7.7430000000000001E-4</v>
      </c>
      <c r="AW2128" s="28">
        <f t="shared" si="242"/>
        <v>-0.31942861614708784</v>
      </c>
      <c r="AX2128">
        <f t="shared" si="243"/>
        <v>0.98701298701298701</v>
      </c>
      <c r="AY2128" s="62">
        <f t="shared" si="244"/>
        <v>-0.31528019256076201</v>
      </c>
      <c r="AZ2128" s="68" t="str">
        <f t="shared" si="245"/>
        <v>No</v>
      </c>
      <c r="BA2128" s="68" t="str">
        <f t="shared" si="246"/>
        <v>No</v>
      </c>
    </row>
    <row r="2129" spans="1:53" hidden="1">
      <c r="A2129" t="s">
        <v>930</v>
      </c>
      <c r="B2129" t="s">
        <v>2109</v>
      </c>
      <c r="C2129" t="s">
        <v>938</v>
      </c>
      <c r="F2129" t="s">
        <v>1241</v>
      </c>
      <c r="G2129" t="s">
        <v>922</v>
      </c>
      <c r="I2129">
        <v>2011</v>
      </c>
      <c r="M2129" s="25" t="s">
        <v>36</v>
      </c>
      <c r="N2129" t="s">
        <v>36</v>
      </c>
      <c r="P2129" t="s">
        <v>60</v>
      </c>
      <c r="Q2129" t="s">
        <v>900</v>
      </c>
      <c r="R2129" t="s">
        <v>946</v>
      </c>
      <c r="S2129" t="s">
        <v>953</v>
      </c>
      <c r="T2129">
        <v>37.148179239999997</v>
      </c>
      <c r="U2129">
        <v>122.49700230000001</v>
      </c>
      <c r="V2129" t="s">
        <v>907</v>
      </c>
      <c r="Z2129">
        <v>30</v>
      </c>
      <c r="AA2129">
        <v>30</v>
      </c>
      <c r="AD2129">
        <v>21</v>
      </c>
      <c r="AF2129">
        <v>27</v>
      </c>
      <c r="AG2129" t="s">
        <v>2178</v>
      </c>
      <c r="AJ2129" t="s">
        <v>982</v>
      </c>
      <c r="AK2129" t="s">
        <v>69</v>
      </c>
      <c r="AM2129"/>
      <c r="AN2129">
        <v>90.8</v>
      </c>
      <c r="AO2129">
        <v>12.05</v>
      </c>
      <c r="AP2129">
        <v>41.7</v>
      </c>
      <c r="AQ2129">
        <v>24.1</v>
      </c>
      <c r="AS2129">
        <v>-0.7782</v>
      </c>
      <c r="AT2129">
        <v>1.1720599999999999E-2</v>
      </c>
      <c r="AW2129" s="28">
        <f t="shared" si="242"/>
        <v>-2.5770594707762227</v>
      </c>
      <c r="AX2129">
        <f t="shared" si="243"/>
        <v>0.98701298701298701</v>
      </c>
      <c r="AY2129" s="62">
        <f t="shared" si="244"/>
        <v>-2.5435911659609469</v>
      </c>
      <c r="AZ2129" s="68" t="str">
        <f t="shared" si="245"/>
        <v>No</v>
      </c>
      <c r="BA2129" s="68" t="str">
        <f t="shared" si="246"/>
        <v>No</v>
      </c>
    </row>
    <row r="2130" spans="1:53" hidden="1">
      <c r="A2130" t="s">
        <v>930</v>
      </c>
      <c r="B2130" t="s">
        <v>2110</v>
      </c>
      <c r="C2130" t="s">
        <v>938</v>
      </c>
      <c r="F2130" t="s">
        <v>1241</v>
      </c>
      <c r="G2130" t="s">
        <v>922</v>
      </c>
      <c r="I2130">
        <v>2011</v>
      </c>
      <c r="M2130" s="25" t="s">
        <v>36</v>
      </c>
      <c r="N2130" t="s">
        <v>36</v>
      </c>
      <c r="P2130" t="s">
        <v>60</v>
      </c>
      <c r="Q2130" t="s">
        <v>900</v>
      </c>
      <c r="R2130" t="s">
        <v>946</v>
      </c>
      <c r="S2130" t="s">
        <v>953</v>
      </c>
      <c r="T2130">
        <v>37.148179239999997</v>
      </c>
      <c r="U2130">
        <v>122.49700230000001</v>
      </c>
      <c r="V2130" t="s">
        <v>907</v>
      </c>
      <c r="Z2130">
        <v>30</v>
      </c>
      <c r="AA2130">
        <v>30</v>
      </c>
      <c r="AD2130">
        <v>21</v>
      </c>
      <c r="AF2130">
        <v>24</v>
      </c>
      <c r="AG2130" t="s">
        <v>2179</v>
      </c>
      <c r="AJ2130" t="s">
        <v>983</v>
      </c>
      <c r="AK2130" t="s">
        <v>40</v>
      </c>
      <c r="AM2130"/>
      <c r="AN2130">
        <v>84.1</v>
      </c>
      <c r="AO2130">
        <v>12.6</v>
      </c>
      <c r="AP2130">
        <v>96.1</v>
      </c>
      <c r="AQ2130">
        <v>15.34</v>
      </c>
      <c r="AS2130">
        <v>0.13339999999999999</v>
      </c>
      <c r="AT2130">
        <v>1.5969000000000001E-3</v>
      </c>
      <c r="AW2130" s="28">
        <f t="shared" si="242"/>
        <v>0.85488258713454102</v>
      </c>
      <c r="AX2130">
        <f t="shared" si="243"/>
        <v>0.98701298701298701</v>
      </c>
      <c r="AY2130" s="62">
        <f t="shared" si="244"/>
        <v>0.84378021587305352</v>
      </c>
      <c r="AZ2130" s="68" t="str">
        <f t="shared" si="245"/>
        <v>No</v>
      </c>
      <c r="BA2130" s="68" t="str">
        <f t="shared" si="246"/>
        <v>No</v>
      </c>
    </row>
    <row r="2131" spans="1:53" hidden="1">
      <c r="A2131" t="s">
        <v>930</v>
      </c>
      <c r="B2131" t="s">
        <v>2111</v>
      </c>
      <c r="C2131" t="s">
        <v>938</v>
      </c>
      <c r="F2131" t="s">
        <v>1241</v>
      </c>
      <c r="G2131" t="s">
        <v>922</v>
      </c>
      <c r="I2131">
        <v>2011</v>
      </c>
      <c r="M2131" s="25" t="s">
        <v>36</v>
      </c>
      <c r="N2131" t="s">
        <v>36</v>
      </c>
      <c r="P2131" t="s">
        <v>60</v>
      </c>
      <c r="Q2131" t="s">
        <v>900</v>
      </c>
      <c r="R2131" t="s">
        <v>946</v>
      </c>
      <c r="S2131" t="s">
        <v>953</v>
      </c>
      <c r="T2131">
        <v>37.148179239999997</v>
      </c>
      <c r="U2131">
        <v>122.49700230000001</v>
      </c>
      <c r="V2131" t="s">
        <v>907</v>
      </c>
      <c r="Z2131">
        <v>30</v>
      </c>
      <c r="AA2131">
        <v>30</v>
      </c>
      <c r="AD2131">
        <v>21</v>
      </c>
      <c r="AF2131">
        <v>27</v>
      </c>
      <c r="AG2131" t="s">
        <v>2179</v>
      </c>
      <c r="AJ2131" t="s">
        <v>983</v>
      </c>
      <c r="AK2131" t="s">
        <v>40</v>
      </c>
      <c r="AM2131"/>
      <c r="AN2131">
        <v>84.1</v>
      </c>
      <c r="AO2131">
        <v>12.6</v>
      </c>
      <c r="AP2131">
        <v>118.7</v>
      </c>
      <c r="AQ2131">
        <v>14.79</v>
      </c>
      <c r="AS2131">
        <v>0.34460000000000002</v>
      </c>
      <c r="AT2131">
        <v>1.2653E-3</v>
      </c>
      <c r="AW2131" s="28">
        <f t="shared" si="242"/>
        <v>2.5184321811369688</v>
      </c>
      <c r="AX2131">
        <f t="shared" si="243"/>
        <v>0.98701298701298701</v>
      </c>
      <c r="AY2131" s="62">
        <f t="shared" si="244"/>
        <v>2.4857252696936314</v>
      </c>
      <c r="AZ2131" s="68" t="str">
        <f t="shared" si="245"/>
        <v>No</v>
      </c>
      <c r="BA2131" s="68" t="str">
        <f t="shared" si="246"/>
        <v>No</v>
      </c>
    </row>
    <row r="2132" spans="1:53" hidden="1">
      <c r="A2132" t="s">
        <v>930</v>
      </c>
      <c r="B2132" t="s">
        <v>2112</v>
      </c>
      <c r="C2132" t="s">
        <v>938</v>
      </c>
      <c r="F2132" t="s">
        <v>1241</v>
      </c>
      <c r="G2132" t="s">
        <v>922</v>
      </c>
      <c r="I2132">
        <v>2011</v>
      </c>
      <c r="M2132" s="25" t="s">
        <v>36</v>
      </c>
      <c r="N2132" t="s">
        <v>36</v>
      </c>
      <c r="P2132" t="s">
        <v>60</v>
      </c>
      <c r="Q2132" t="s">
        <v>900</v>
      </c>
      <c r="R2132" t="s">
        <v>946</v>
      </c>
      <c r="S2132" t="s">
        <v>953</v>
      </c>
      <c r="T2132">
        <v>37.148179239999997</v>
      </c>
      <c r="U2132">
        <v>122.49700230000001</v>
      </c>
      <c r="V2132" t="s">
        <v>907</v>
      </c>
      <c r="Z2132">
        <v>30</v>
      </c>
      <c r="AA2132">
        <v>30</v>
      </c>
      <c r="AD2132">
        <v>21</v>
      </c>
      <c r="AF2132">
        <v>24</v>
      </c>
      <c r="AG2132" t="s">
        <v>2180</v>
      </c>
      <c r="AJ2132" t="s">
        <v>984</v>
      </c>
      <c r="AK2132" t="s">
        <v>40</v>
      </c>
      <c r="AM2132"/>
      <c r="AN2132">
        <v>80.7</v>
      </c>
      <c r="AO2132">
        <v>9.86</v>
      </c>
      <c r="AP2132">
        <v>93.6</v>
      </c>
      <c r="AQ2132">
        <v>9.86</v>
      </c>
      <c r="AS2132">
        <v>0.14829999999999999</v>
      </c>
      <c r="AT2132">
        <v>8.6729999999999999E-4</v>
      </c>
      <c r="AW2132" s="28">
        <f t="shared" si="242"/>
        <v>1.3083164300202832</v>
      </c>
      <c r="AX2132">
        <f t="shared" si="243"/>
        <v>0.98701298701298701</v>
      </c>
      <c r="AY2132" s="62">
        <f t="shared" si="244"/>
        <v>1.2913253075524873</v>
      </c>
      <c r="AZ2132" s="68" t="str">
        <f t="shared" si="245"/>
        <v>No</v>
      </c>
      <c r="BA2132" s="68" t="str">
        <f t="shared" si="246"/>
        <v>No</v>
      </c>
    </row>
    <row r="2133" spans="1:53" hidden="1">
      <c r="A2133" t="s">
        <v>930</v>
      </c>
      <c r="B2133" t="s">
        <v>2113</v>
      </c>
      <c r="C2133" t="s">
        <v>938</v>
      </c>
      <c r="F2133" t="s">
        <v>1241</v>
      </c>
      <c r="G2133" t="s">
        <v>922</v>
      </c>
      <c r="I2133">
        <v>2011</v>
      </c>
      <c r="M2133" s="25" t="s">
        <v>36</v>
      </c>
      <c r="N2133" t="s">
        <v>36</v>
      </c>
      <c r="P2133" t="s">
        <v>60</v>
      </c>
      <c r="Q2133" t="s">
        <v>900</v>
      </c>
      <c r="R2133" t="s">
        <v>946</v>
      </c>
      <c r="S2133" t="s">
        <v>953</v>
      </c>
      <c r="T2133">
        <v>37.148179239999997</v>
      </c>
      <c r="U2133">
        <v>122.49700230000001</v>
      </c>
      <c r="V2133" t="s">
        <v>907</v>
      </c>
      <c r="Z2133">
        <v>30</v>
      </c>
      <c r="AA2133">
        <v>30</v>
      </c>
      <c r="AD2133">
        <v>21</v>
      </c>
      <c r="AF2133">
        <v>27</v>
      </c>
      <c r="AG2133" t="s">
        <v>2180</v>
      </c>
      <c r="AJ2133" t="s">
        <v>984</v>
      </c>
      <c r="AK2133" t="s">
        <v>40</v>
      </c>
      <c r="AM2133"/>
      <c r="AN2133">
        <v>80.7</v>
      </c>
      <c r="AO2133">
        <v>9.86</v>
      </c>
      <c r="AP2133">
        <v>77.3</v>
      </c>
      <c r="AQ2133">
        <v>8.76</v>
      </c>
      <c r="AS2133">
        <v>-4.2999999999999997E-2</v>
      </c>
      <c r="AT2133">
        <v>9.2590000000000001E-4</v>
      </c>
      <c r="AW2133" s="28">
        <f t="shared" si="242"/>
        <v>-0.36456310167353762</v>
      </c>
      <c r="AX2133">
        <f t="shared" si="243"/>
        <v>0.98701298701298701</v>
      </c>
      <c r="AY2133" s="62">
        <f t="shared" si="244"/>
        <v>-0.35982851593751763</v>
      </c>
      <c r="AZ2133" s="68" t="str">
        <f t="shared" si="245"/>
        <v>No</v>
      </c>
      <c r="BA2133" s="68" t="str">
        <f t="shared" si="246"/>
        <v>No</v>
      </c>
    </row>
    <row r="2134" spans="1:53" hidden="1">
      <c r="A2134" t="s">
        <v>930</v>
      </c>
      <c r="B2134" t="s">
        <v>2088</v>
      </c>
      <c r="C2134" t="s">
        <v>936</v>
      </c>
      <c r="F2134" t="s">
        <v>1241</v>
      </c>
      <c r="G2134" t="s">
        <v>920</v>
      </c>
      <c r="I2134">
        <v>2008</v>
      </c>
      <c r="M2134" s="25" t="s">
        <v>36</v>
      </c>
      <c r="N2134" t="s">
        <v>36</v>
      </c>
      <c r="P2134" t="s">
        <v>60</v>
      </c>
      <c r="Q2134" t="s">
        <v>900</v>
      </c>
      <c r="R2134" t="s">
        <v>946</v>
      </c>
      <c r="S2134" t="s">
        <v>952</v>
      </c>
      <c r="T2134">
        <v>-42.220725000000002</v>
      </c>
      <c r="U2134">
        <v>148.49047200000001</v>
      </c>
      <c r="V2134" t="s">
        <v>907</v>
      </c>
      <c r="Z2134">
        <v>3</v>
      </c>
      <c r="AA2134">
        <v>3</v>
      </c>
      <c r="AD2134">
        <v>12</v>
      </c>
      <c r="AF2134">
        <v>13</v>
      </c>
      <c r="AG2134" t="s">
        <v>2171</v>
      </c>
      <c r="AJ2134" t="s">
        <v>973</v>
      </c>
      <c r="AK2134" t="s">
        <v>770</v>
      </c>
      <c r="AM2134"/>
      <c r="AN2134">
        <v>14.66</v>
      </c>
      <c r="AO2134">
        <v>5.18</v>
      </c>
      <c r="AP2134">
        <v>15.76</v>
      </c>
      <c r="AQ2134">
        <v>8.9</v>
      </c>
      <c r="AS2134">
        <v>7.2400000000000006E-2</v>
      </c>
      <c r="AT2134">
        <v>0.14796690000000001</v>
      </c>
      <c r="AW2134" s="28">
        <f t="shared" si="242"/>
        <v>0.15106641008226551</v>
      </c>
      <c r="AX2134">
        <f t="shared" si="243"/>
        <v>0.8</v>
      </c>
      <c r="AY2134" s="62">
        <f t="shared" si="244"/>
        <v>0.12085312806581242</v>
      </c>
      <c r="AZ2134" s="68" t="str">
        <f t="shared" si="245"/>
        <v>No</v>
      </c>
      <c r="BA2134" s="68" t="str">
        <f t="shared" si="246"/>
        <v>No</v>
      </c>
    </row>
    <row r="2135" spans="1:53" hidden="1">
      <c r="A2135" t="s">
        <v>930</v>
      </c>
      <c r="B2135" t="s">
        <v>2089</v>
      </c>
      <c r="C2135" t="s">
        <v>936</v>
      </c>
      <c r="F2135" t="s">
        <v>1241</v>
      </c>
      <c r="G2135" t="s">
        <v>920</v>
      </c>
      <c r="I2135">
        <v>2008</v>
      </c>
      <c r="M2135" s="25" t="s">
        <v>36</v>
      </c>
      <c r="N2135" t="s">
        <v>36</v>
      </c>
      <c r="P2135" t="s">
        <v>60</v>
      </c>
      <c r="Q2135" t="s">
        <v>900</v>
      </c>
      <c r="R2135" t="s">
        <v>946</v>
      </c>
      <c r="S2135" t="s">
        <v>952</v>
      </c>
      <c r="T2135">
        <v>-42.220725000000002</v>
      </c>
      <c r="U2135">
        <v>148.49047200000001</v>
      </c>
      <c r="V2135" t="s">
        <v>907</v>
      </c>
      <c r="Z2135">
        <v>3</v>
      </c>
      <c r="AA2135">
        <v>3</v>
      </c>
      <c r="AD2135">
        <v>12</v>
      </c>
      <c r="AF2135">
        <v>14</v>
      </c>
      <c r="AG2135" t="s">
        <v>2171</v>
      </c>
      <c r="AJ2135" t="s">
        <v>973</v>
      </c>
      <c r="AK2135" t="s">
        <v>770</v>
      </c>
      <c r="AM2135"/>
      <c r="AN2135">
        <v>14.66</v>
      </c>
      <c r="AO2135">
        <v>5.18</v>
      </c>
      <c r="AP2135">
        <v>17.13</v>
      </c>
      <c r="AQ2135">
        <v>6.58</v>
      </c>
      <c r="AS2135">
        <v>0.15570000000000001</v>
      </c>
      <c r="AT2135">
        <v>9.0808100000000003E-2</v>
      </c>
      <c r="AW2135" s="28">
        <f t="shared" si="242"/>
        <v>0.41712262538461059</v>
      </c>
      <c r="AX2135">
        <f t="shared" si="243"/>
        <v>0.8</v>
      </c>
      <c r="AY2135" s="62">
        <f t="shared" si="244"/>
        <v>0.33369810030768848</v>
      </c>
      <c r="AZ2135" s="68" t="str">
        <f t="shared" si="245"/>
        <v>No</v>
      </c>
      <c r="BA2135" s="68" t="str">
        <f t="shared" si="246"/>
        <v>No</v>
      </c>
    </row>
    <row r="2136" spans="1:53" hidden="1">
      <c r="A2136" t="s">
        <v>930</v>
      </c>
      <c r="B2136" t="s">
        <v>2090</v>
      </c>
      <c r="C2136" t="s">
        <v>936</v>
      </c>
      <c r="F2136" t="s">
        <v>1241</v>
      </c>
      <c r="G2136" t="s">
        <v>920</v>
      </c>
      <c r="I2136">
        <v>2008</v>
      </c>
      <c r="M2136" s="25" t="s">
        <v>36</v>
      </c>
      <c r="N2136" t="s">
        <v>36</v>
      </c>
      <c r="P2136" t="s">
        <v>60</v>
      </c>
      <c r="Q2136" t="s">
        <v>900</v>
      </c>
      <c r="R2136" t="s">
        <v>946</v>
      </c>
      <c r="S2136" t="s">
        <v>952</v>
      </c>
      <c r="T2136">
        <v>-42.220725000000002</v>
      </c>
      <c r="U2136">
        <v>148.49047200000001</v>
      </c>
      <c r="V2136" t="s">
        <v>907</v>
      </c>
      <c r="Z2136">
        <v>3</v>
      </c>
      <c r="AA2136">
        <v>3</v>
      </c>
      <c r="AD2136">
        <v>12</v>
      </c>
      <c r="AF2136">
        <v>15</v>
      </c>
      <c r="AG2136" t="s">
        <v>2171</v>
      </c>
      <c r="AJ2136" t="s">
        <v>973</v>
      </c>
      <c r="AK2136" t="s">
        <v>770</v>
      </c>
      <c r="AM2136"/>
      <c r="AN2136">
        <v>14.66</v>
      </c>
      <c r="AO2136">
        <v>5.18</v>
      </c>
      <c r="AP2136">
        <v>17.149999999999999</v>
      </c>
      <c r="AQ2136">
        <v>1.33</v>
      </c>
      <c r="AS2136">
        <v>0.15690000000000001</v>
      </c>
      <c r="AT2136">
        <v>4.3614E-2</v>
      </c>
      <c r="AW2136" s="28">
        <f t="shared" si="242"/>
        <v>0.65844796270181616</v>
      </c>
      <c r="AX2136">
        <f t="shared" si="243"/>
        <v>0.8</v>
      </c>
      <c r="AY2136" s="62">
        <f t="shared" si="244"/>
        <v>0.52675837016145299</v>
      </c>
      <c r="AZ2136" s="68" t="str">
        <f t="shared" si="245"/>
        <v>No</v>
      </c>
      <c r="BA2136" s="68" t="str">
        <f t="shared" si="246"/>
        <v>No</v>
      </c>
    </row>
    <row r="2137" spans="1:53" hidden="1">
      <c r="A2137" t="s">
        <v>930</v>
      </c>
      <c r="B2137" t="s">
        <v>2091</v>
      </c>
      <c r="C2137" t="s">
        <v>936</v>
      </c>
      <c r="F2137" t="s">
        <v>1241</v>
      </c>
      <c r="G2137" t="s">
        <v>920</v>
      </c>
      <c r="I2137">
        <v>2008</v>
      </c>
      <c r="M2137" s="25" t="s">
        <v>36</v>
      </c>
      <c r="N2137" t="s">
        <v>36</v>
      </c>
      <c r="P2137" t="s">
        <v>60</v>
      </c>
      <c r="Q2137" t="s">
        <v>900</v>
      </c>
      <c r="R2137" t="s">
        <v>946</v>
      </c>
      <c r="S2137" t="s">
        <v>952</v>
      </c>
      <c r="T2137">
        <v>-42.220725000000002</v>
      </c>
      <c r="U2137">
        <v>148.49047200000001</v>
      </c>
      <c r="V2137" t="s">
        <v>907</v>
      </c>
      <c r="Z2137">
        <v>3</v>
      </c>
      <c r="AA2137">
        <v>3</v>
      </c>
      <c r="AD2137">
        <v>12</v>
      </c>
      <c r="AF2137">
        <v>16</v>
      </c>
      <c r="AG2137" t="s">
        <v>2171</v>
      </c>
      <c r="AJ2137" t="s">
        <v>973</v>
      </c>
      <c r="AK2137" t="s">
        <v>770</v>
      </c>
      <c r="AM2137"/>
      <c r="AN2137">
        <v>14.66</v>
      </c>
      <c r="AO2137">
        <v>5.18</v>
      </c>
      <c r="AP2137">
        <v>10.199999999999999</v>
      </c>
      <c r="AQ2137">
        <v>4.12</v>
      </c>
      <c r="AS2137">
        <v>-0.36270000000000002</v>
      </c>
      <c r="AT2137">
        <v>9.6042600000000006E-2</v>
      </c>
      <c r="AW2137" s="28">
        <f t="shared" si="242"/>
        <v>-0.95296969832481582</v>
      </c>
      <c r="AX2137">
        <f t="shared" si="243"/>
        <v>0.8</v>
      </c>
      <c r="AY2137" s="62">
        <f t="shared" si="244"/>
        <v>-0.76237575865985274</v>
      </c>
      <c r="AZ2137" s="68" t="str">
        <f t="shared" si="245"/>
        <v>No</v>
      </c>
      <c r="BA2137" s="68" t="str">
        <f t="shared" si="246"/>
        <v>No</v>
      </c>
    </row>
    <row r="2138" spans="1:53" hidden="1">
      <c r="A2138" t="s">
        <v>930</v>
      </c>
      <c r="B2138" t="s">
        <v>2092</v>
      </c>
      <c r="C2138" t="s">
        <v>936</v>
      </c>
      <c r="F2138" t="s">
        <v>1241</v>
      </c>
      <c r="G2138" t="s">
        <v>920</v>
      </c>
      <c r="I2138">
        <v>2008</v>
      </c>
      <c r="M2138" s="25" t="s">
        <v>36</v>
      </c>
      <c r="N2138" t="s">
        <v>36</v>
      </c>
      <c r="P2138" t="s">
        <v>60</v>
      </c>
      <c r="Q2138" t="s">
        <v>900</v>
      </c>
      <c r="R2138" t="s">
        <v>946</v>
      </c>
      <c r="S2138" t="s">
        <v>952</v>
      </c>
      <c r="T2138">
        <v>-42.220725000000002</v>
      </c>
      <c r="U2138">
        <v>148.49047200000001</v>
      </c>
      <c r="V2138" t="s">
        <v>907</v>
      </c>
      <c r="Z2138">
        <v>3</v>
      </c>
      <c r="AA2138">
        <v>3</v>
      </c>
      <c r="AD2138">
        <v>12</v>
      </c>
      <c r="AF2138">
        <v>17</v>
      </c>
      <c r="AG2138" t="s">
        <v>2171</v>
      </c>
      <c r="AJ2138" t="s">
        <v>973</v>
      </c>
      <c r="AK2138" t="s">
        <v>770</v>
      </c>
      <c r="AM2138"/>
      <c r="AN2138">
        <v>14.66</v>
      </c>
      <c r="AO2138">
        <v>5.18</v>
      </c>
      <c r="AP2138">
        <v>9.65</v>
      </c>
      <c r="AQ2138">
        <v>1.94</v>
      </c>
      <c r="AS2138">
        <v>-0.41820000000000002</v>
      </c>
      <c r="AT2138">
        <v>5.5068600000000002E-2</v>
      </c>
      <c r="AW2138" s="28">
        <f t="shared" si="242"/>
        <v>-1.2809152540624795</v>
      </c>
      <c r="AX2138">
        <f t="shared" si="243"/>
        <v>0.8</v>
      </c>
      <c r="AY2138" s="62">
        <f t="shared" si="244"/>
        <v>-1.0247322032499837</v>
      </c>
      <c r="AZ2138" s="68" t="str">
        <f t="shared" si="245"/>
        <v>No</v>
      </c>
      <c r="BA2138" s="68" t="str">
        <f t="shared" si="246"/>
        <v>No</v>
      </c>
    </row>
    <row r="2139" spans="1:53" hidden="1">
      <c r="A2139" t="s">
        <v>930</v>
      </c>
      <c r="B2139" t="s">
        <v>2093</v>
      </c>
      <c r="C2139" t="s">
        <v>936</v>
      </c>
      <c r="F2139" t="s">
        <v>1241</v>
      </c>
      <c r="G2139" t="s">
        <v>920</v>
      </c>
      <c r="I2139">
        <v>2008</v>
      </c>
      <c r="M2139" s="25" t="s">
        <v>36</v>
      </c>
      <c r="N2139" t="s">
        <v>36</v>
      </c>
      <c r="P2139" t="s">
        <v>60</v>
      </c>
      <c r="Q2139" t="s">
        <v>900</v>
      </c>
      <c r="R2139" t="s">
        <v>946</v>
      </c>
      <c r="S2139" t="s">
        <v>952</v>
      </c>
      <c r="T2139">
        <v>-42.220725000000002</v>
      </c>
      <c r="U2139">
        <v>148.49047200000001</v>
      </c>
      <c r="V2139" t="s">
        <v>907</v>
      </c>
      <c r="Z2139">
        <v>3</v>
      </c>
      <c r="AA2139">
        <v>3</v>
      </c>
      <c r="AD2139">
        <v>12</v>
      </c>
      <c r="AF2139">
        <v>18</v>
      </c>
      <c r="AG2139" t="s">
        <v>2171</v>
      </c>
      <c r="AJ2139" t="s">
        <v>973</v>
      </c>
      <c r="AK2139" t="s">
        <v>770</v>
      </c>
      <c r="AM2139"/>
      <c r="AN2139">
        <v>14.66</v>
      </c>
      <c r="AO2139">
        <v>5.18</v>
      </c>
      <c r="AP2139">
        <v>8.26</v>
      </c>
      <c r="AQ2139">
        <v>3.05</v>
      </c>
      <c r="AS2139">
        <v>-0.57369999999999999</v>
      </c>
      <c r="AT2139">
        <v>8.6999199999999999E-2</v>
      </c>
      <c r="AW2139" s="28">
        <f t="shared" si="242"/>
        <v>-1.5056760529853326</v>
      </c>
      <c r="AX2139">
        <f t="shared" si="243"/>
        <v>0.8</v>
      </c>
      <c r="AY2139" s="62">
        <f t="shared" si="244"/>
        <v>-1.2045408423882662</v>
      </c>
      <c r="AZ2139" s="68" t="str">
        <f t="shared" si="245"/>
        <v>No</v>
      </c>
      <c r="BA2139" s="68" t="str">
        <f t="shared" si="246"/>
        <v>No</v>
      </c>
    </row>
    <row r="2140" spans="1:53" hidden="1">
      <c r="A2140" t="s">
        <v>930</v>
      </c>
      <c r="B2140" t="s">
        <v>2094</v>
      </c>
      <c r="C2140" t="s">
        <v>936</v>
      </c>
      <c r="F2140" t="s">
        <v>1241</v>
      </c>
      <c r="G2140" t="s">
        <v>920</v>
      </c>
      <c r="I2140">
        <v>2008</v>
      </c>
      <c r="M2140" s="25" t="s">
        <v>36</v>
      </c>
      <c r="N2140" t="s">
        <v>36</v>
      </c>
      <c r="P2140" t="s">
        <v>60</v>
      </c>
      <c r="Q2140" t="s">
        <v>900</v>
      </c>
      <c r="R2140" t="s">
        <v>946</v>
      </c>
      <c r="S2140" t="s">
        <v>952</v>
      </c>
      <c r="T2140">
        <v>-42.220725000000002</v>
      </c>
      <c r="U2140">
        <v>148.49047200000001</v>
      </c>
      <c r="V2140" t="s">
        <v>907</v>
      </c>
      <c r="Z2140">
        <v>3</v>
      </c>
      <c r="AA2140">
        <v>3</v>
      </c>
      <c r="AD2140">
        <v>12</v>
      </c>
      <c r="AF2140">
        <v>19</v>
      </c>
      <c r="AG2140" t="s">
        <v>2171</v>
      </c>
      <c r="AJ2140" t="s">
        <v>973</v>
      </c>
      <c r="AK2140" t="s">
        <v>770</v>
      </c>
      <c r="AM2140"/>
      <c r="AN2140">
        <v>14.66</v>
      </c>
      <c r="AO2140">
        <v>5.18</v>
      </c>
      <c r="AP2140">
        <v>6.78</v>
      </c>
      <c r="AQ2140">
        <v>4.2300000000000004</v>
      </c>
      <c r="AS2140">
        <v>-0.77110000000000001</v>
      </c>
      <c r="AT2140">
        <v>0.17111319999999999</v>
      </c>
      <c r="AW2140" s="28">
        <f t="shared" si="242"/>
        <v>-1.666343701077194</v>
      </c>
      <c r="AX2140">
        <f t="shared" si="243"/>
        <v>0.8</v>
      </c>
      <c r="AY2140" s="62">
        <f t="shared" si="244"/>
        <v>-1.3330749608617554</v>
      </c>
      <c r="AZ2140" s="68" t="str">
        <f t="shared" si="245"/>
        <v>No</v>
      </c>
      <c r="BA2140" s="68" t="str">
        <f t="shared" si="246"/>
        <v>No</v>
      </c>
    </row>
    <row r="2141" spans="1:53" hidden="1">
      <c r="A2141" t="s">
        <v>930</v>
      </c>
      <c r="B2141" t="s">
        <v>2095</v>
      </c>
      <c r="C2141" t="s">
        <v>936</v>
      </c>
      <c r="F2141" t="s">
        <v>1241</v>
      </c>
      <c r="G2141" t="s">
        <v>920</v>
      </c>
      <c r="I2141">
        <v>2008</v>
      </c>
      <c r="M2141" s="25" t="s">
        <v>36</v>
      </c>
      <c r="N2141" t="s">
        <v>36</v>
      </c>
      <c r="P2141" t="s">
        <v>60</v>
      </c>
      <c r="Q2141" t="s">
        <v>900</v>
      </c>
      <c r="R2141" t="s">
        <v>946</v>
      </c>
      <c r="S2141" t="s">
        <v>952</v>
      </c>
      <c r="T2141">
        <v>-42.220725000000002</v>
      </c>
      <c r="U2141">
        <v>148.49047200000001</v>
      </c>
      <c r="V2141" t="s">
        <v>907</v>
      </c>
      <c r="Z2141">
        <v>3</v>
      </c>
      <c r="AA2141">
        <v>3</v>
      </c>
      <c r="AD2141">
        <v>12</v>
      </c>
      <c r="AF2141">
        <v>20</v>
      </c>
      <c r="AG2141" t="s">
        <v>2171</v>
      </c>
      <c r="AJ2141" t="s">
        <v>973</v>
      </c>
      <c r="AK2141" t="s">
        <v>770</v>
      </c>
      <c r="AM2141"/>
      <c r="AN2141">
        <v>14.66</v>
      </c>
      <c r="AO2141">
        <v>5.18</v>
      </c>
      <c r="AP2141">
        <v>0.11</v>
      </c>
      <c r="AQ2141">
        <v>0.16</v>
      </c>
      <c r="AS2141">
        <v>-4.8924000000000003</v>
      </c>
      <c r="AT2141">
        <v>0.71101970000000003</v>
      </c>
      <c r="AW2141" s="28">
        <f t="shared" si="242"/>
        <v>-3.9704630287218321</v>
      </c>
      <c r="AX2141">
        <f t="shared" si="243"/>
        <v>0.8</v>
      </c>
      <c r="AY2141" s="62">
        <f t="shared" si="244"/>
        <v>-3.1763704229774659</v>
      </c>
      <c r="AZ2141" s="68" t="str">
        <f t="shared" si="245"/>
        <v>No</v>
      </c>
      <c r="BA2141" s="68" t="str">
        <f t="shared" si="246"/>
        <v>No</v>
      </c>
    </row>
    <row r="2142" spans="1:53" hidden="1">
      <c r="A2142" t="s">
        <v>930</v>
      </c>
      <c r="B2142" t="s">
        <v>2114</v>
      </c>
      <c r="C2142" t="s">
        <v>939</v>
      </c>
      <c r="F2142" t="s">
        <v>1241</v>
      </c>
      <c r="G2142" t="s">
        <v>923</v>
      </c>
      <c r="I2142">
        <v>1985</v>
      </c>
      <c r="M2142" s="25" t="s">
        <v>36</v>
      </c>
      <c r="N2142" t="s">
        <v>36</v>
      </c>
      <c r="P2142" t="s">
        <v>60</v>
      </c>
      <c r="Q2142" t="s">
        <v>900</v>
      </c>
      <c r="R2142" t="s">
        <v>946</v>
      </c>
      <c r="S2142" t="s">
        <v>954</v>
      </c>
      <c r="T2142">
        <v>48.486100810000003</v>
      </c>
      <c r="U2142">
        <v>-128.42252500000001</v>
      </c>
      <c r="V2142" t="s">
        <v>907</v>
      </c>
      <c r="Z2142">
        <v>10</v>
      </c>
      <c r="AA2142">
        <v>10</v>
      </c>
      <c r="AD2142">
        <v>12</v>
      </c>
      <c r="AF2142">
        <v>17</v>
      </c>
      <c r="AG2142" t="s">
        <v>2181</v>
      </c>
      <c r="AJ2142" t="s">
        <v>963</v>
      </c>
      <c r="AK2142" t="s">
        <v>40</v>
      </c>
      <c r="AM2142"/>
      <c r="AN2142">
        <v>435</v>
      </c>
      <c r="AO2142">
        <v>25.3</v>
      </c>
      <c r="AP2142">
        <v>456</v>
      </c>
      <c r="AQ2142">
        <v>37.950000000000003</v>
      </c>
      <c r="AS2142">
        <v>4.7100000000000003E-2</v>
      </c>
      <c r="AT2142">
        <v>1.0307000000000001E-3</v>
      </c>
      <c r="AW2142" s="28">
        <f t="shared" si="242"/>
        <v>0.65113657516235013</v>
      </c>
      <c r="AX2142">
        <f t="shared" si="243"/>
        <v>0.95774647887323949</v>
      </c>
      <c r="AY2142" s="62">
        <f t="shared" si="244"/>
        <v>0.62362376212732129</v>
      </c>
      <c r="AZ2142" s="68" t="str">
        <f t="shared" si="245"/>
        <v>No</v>
      </c>
      <c r="BA2142" s="68" t="str">
        <f t="shared" si="246"/>
        <v>No</v>
      </c>
    </row>
    <row r="2143" spans="1:53" hidden="1">
      <c r="A2143" t="s">
        <v>930</v>
      </c>
      <c r="B2143" t="s">
        <v>2115</v>
      </c>
      <c r="C2143" t="s">
        <v>939</v>
      </c>
      <c r="F2143" t="s">
        <v>1241</v>
      </c>
      <c r="G2143" t="s">
        <v>923</v>
      </c>
      <c r="I2143">
        <v>1985</v>
      </c>
      <c r="M2143" s="25" t="s">
        <v>36</v>
      </c>
      <c r="N2143" t="s">
        <v>36</v>
      </c>
      <c r="P2143" t="s">
        <v>60</v>
      </c>
      <c r="Q2143" t="s">
        <v>900</v>
      </c>
      <c r="R2143" t="s">
        <v>946</v>
      </c>
      <c r="S2143" t="s">
        <v>954</v>
      </c>
      <c r="T2143">
        <v>48.486100810000003</v>
      </c>
      <c r="U2143">
        <v>-128.42252500000001</v>
      </c>
      <c r="V2143" t="s">
        <v>907</v>
      </c>
      <c r="Z2143">
        <v>10</v>
      </c>
      <c r="AA2143">
        <v>10</v>
      </c>
      <c r="AD2143">
        <v>12</v>
      </c>
      <c r="AF2143">
        <v>22</v>
      </c>
      <c r="AG2143" t="s">
        <v>2182</v>
      </c>
      <c r="AJ2143" t="s">
        <v>963</v>
      </c>
      <c r="AK2143" t="s">
        <v>40</v>
      </c>
      <c r="AM2143"/>
      <c r="AN2143">
        <v>435</v>
      </c>
      <c r="AO2143">
        <v>25.3</v>
      </c>
      <c r="AP2143">
        <v>427</v>
      </c>
      <c r="AQ2143">
        <v>34.79</v>
      </c>
      <c r="AS2143">
        <v>-1.8599999999999998E-2</v>
      </c>
      <c r="AT2143">
        <v>1.0019E-3</v>
      </c>
      <c r="AW2143" s="28">
        <f t="shared" si="242"/>
        <v>-0.26300752431842533</v>
      </c>
      <c r="AX2143">
        <f t="shared" si="243"/>
        <v>0.95774647887323949</v>
      </c>
      <c r="AY2143" s="62">
        <f t="shared" si="244"/>
        <v>-0.2518945303331398</v>
      </c>
      <c r="AZ2143" s="68" t="str">
        <f t="shared" si="245"/>
        <v>No</v>
      </c>
      <c r="BA2143" s="68" t="str">
        <f t="shared" si="246"/>
        <v>No</v>
      </c>
    </row>
    <row r="2144" spans="1:53" hidden="1">
      <c r="A2144" t="s">
        <v>930</v>
      </c>
      <c r="B2144" t="s">
        <v>2116</v>
      </c>
      <c r="C2144" t="s">
        <v>939</v>
      </c>
      <c r="F2144" t="s">
        <v>1241</v>
      </c>
      <c r="G2144" t="s">
        <v>923</v>
      </c>
      <c r="I2144">
        <v>1985</v>
      </c>
      <c r="M2144" s="25" t="s">
        <v>36</v>
      </c>
      <c r="N2144" t="s">
        <v>36</v>
      </c>
      <c r="P2144" t="s">
        <v>60</v>
      </c>
      <c r="Q2144" t="s">
        <v>900</v>
      </c>
      <c r="R2144" t="s">
        <v>946</v>
      </c>
      <c r="S2144" t="s">
        <v>954</v>
      </c>
      <c r="T2144">
        <v>48.486100810000003</v>
      </c>
      <c r="U2144">
        <v>-128.42252500000001</v>
      </c>
      <c r="V2144" t="s">
        <v>907</v>
      </c>
      <c r="Z2144">
        <v>10</v>
      </c>
      <c r="AA2144">
        <v>10</v>
      </c>
      <c r="AD2144">
        <v>12</v>
      </c>
      <c r="AF2144">
        <v>17</v>
      </c>
      <c r="AG2144" t="s">
        <v>2183</v>
      </c>
      <c r="AJ2144" t="s">
        <v>985</v>
      </c>
      <c r="AK2144" t="s">
        <v>40</v>
      </c>
      <c r="AM2144"/>
      <c r="AN2144">
        <v>2.2999999999999998</v>
      </c>
      <c r="AO2144">
        <v>0.09</v>
      </c>
      <c r="AP2144">
        <v>2.2599999999999998</v>
      </c>
      <c r="AQ2144">
        <v>0.25</v>
      </c>
      <c r="AS2144">
        <v>-1.7500000000000002E-2</v>
      </c>
      <c r="AT2144">
        <v>1.4231999999999999E-3</v>
      </c>
      <c r="AW2144" s="28">
        <f t="shared" si="242"/>
        <v>-0.21289851816493999</v>
      </c>
      <c r="AX2144">
        <f t="shared" si="243"/>
        <v>0.95774647887323949</v>
      </c>
      <c r="AY2144" s="62">
        <f t="shared" si="244"/>
        <v>-0.20390280612980169</v>
      </c>
      <c r="AZ2144" s="68" t="str">
        <f t="shared" si="245"/>
        <v>No</v>
      </c>
      <c r="BA2144" s="68" t="str">
        <f t="shared" si="246"/>
        <v>No</v>
      </c>
    </row>
    <row r="2145" spans="1:53" hidden="1">
      <c r="A2145" t="s">
        <v>930</v>
      </c>
      <c r="B2145" t="s">
        <v>2117</v>
      </c>
      <c r="C2145" t="s">
        <v>939</v>
      </c>
      <c r="F2145" t="s">
        <v>1241</v>
      </c>
      <c r="G2145" t="s">
        <v>923</v>
      </c>
      <c r="I2145">
        <v>1985</v>
      </c>
      <c r="M2145" s="25" t="s">
        <v>36</v>
      </c>
      <c r="N2145" t="s">
        <v>36</v>
      </c>
      <c r="P2145" t="s">
        <v>60</v>
      </c>
      <c r="Q2145" t="s">
        <v>900</v>
      </c>
      <c r="R2145" t="s">
        <v>946</v>
      </c>
      <c r="S2145" t="s">
        <v>954</v>
      </c>
      <c r="T2145">
        <v>48.486100810000003</v>
      </c>
      <c r="U2145">
        <v>-128.42252500000001</v>
      </c>
      <c r="V2145" t="s">
        <v>907</v>
      </c>
      <c r="Z2145">
        <v>10</v>
      </c>
      <c r="AA2145">
        <v>10</v>
      </c>
      <c r="AD2145">
        <v>12</v>
      </c>
      <c r="AF2145">
        <v>22</v>
      </c>
      <c r="AG2145" t="s">
        <v>2184</v>
      </c>
      <c r="AJ2145" t="s">
        <v>985</v>
      </c>
      <c r="AK2145" t="s">
        <v>40</v>
      </c>
      <c r="AM2145"/>
      <c r="AN2145">
        <v>2.2999999999999998</v>
      </c>
      <c r="AO2145">
        <v>0.09</v>
      </c>
      <c r="AP2145">
        <v>2.2000000000000002</v>
      </c>
      <c r="AQ2145">
        <v>0.19</v>
      </c>
      <c r="AS2145">
        <v>-4.4499999999999998E-2</v>
      </c>
      <c r="AT2145">
        <v>9.1390000000000004E-4</v>
      </c>
      <c r="AW2145" s="28">
        <f t="shared" si="242"/>
        <v>-0.67267279399631008</v>
      </c>
      <c r="AX2145">
        <f t="shared" si="243"/>
        <v>0.95774647887323949</v>
      </c>
      <c r="AY2145" s="62">
        <f t="shared" si="244"/>
        <v>-0.64424999988378995</v>
      </c>
      <c r="AZ2145" s="68" t="str">
        <f t="shared" si="245"/>
        <v>No</v>
      </c>
      <c r="BA2145" s="68" t="str">
        <f t="shared" si="246"/>
        <v>No</v>
      </c>
    </row>
    <row r="2146" spans="1:53" hidden="1">
      <c r="A2146" t="s">
        <v>930</v>
      </c>
      <c r="B2146" t="s">
        <v>2118</v>
      </c>
      <c r="C2146" t="s">
        <v>939</v>
      </c>
      <c r="F2146" t="s">
        <v>1241</v>
      </c>
      <c r="G2146" t="s">
        <v>923</v>
      </c>
      <c r="I2146">
        <v>1985</v>
      </c>
      <c r="M2146" s="25" t="s">
        <v>36</v>
      </c>
      <c r="N2146" t="s">
        <v>36</v>
      </c>
      <c r="P2146" t="s">
        <v>60</v>
      </c>
      <c r="Q2146" t="s">
        <v>900</v>
      </c>
      <c r="R2146" t="s">
        <v>946</v>
      </c>
      <c r="S2146" t="s">
        <v>954</v>
      </c>
      <c r="T2146">
        <v>48.486100810000003</v>
      </c>
      <c r="U2146">
        <v>-128.42252500000001</v>
      </c>
      <c r="V2146" t="s">
        <v>907</v>
      </c>
      <c r="Z2146">
        <v>30</v>
      </c>
      <c r="AA2146">
        <v>30</v>
      </c>
      <c r="AD2146">
        <v>12</v>
      </c>
      <c r="AF2146">
        <v>17</v>
      </c>
      <c r="AG2146" t="s">
        <v>2185</v>
      </c>
      <c r="AJ2146" t="s">
        <v>986</v>
      </c>
      <c r="AK2146" t="s">
        <v>770</v>
      </c>
      <c r="AM2146"/>
      <c r="AN2146">
        <v>1.05</v>
      </c>
      <c r="AO2146">
        <v>0.05</v>
      </c>
      <c r="AP2146">
        <v>1.04</v>
      </c>
      <c r="AQ2146">
        <v>0.05</v>
      </c>
      <c r="AS2146">
        <v>-9.5999999999999992E-3</v>
      </c>
      <c r="AT2146">
        <v>1.8320000000000001E-4</v>
      </c>
      <c r="AW2146" s="28">
        <f t="shared" si="242"/>
        <v>-0.20000000000000018</v>
      </c>
      <c r="AX2146">
        <f t="shared" si="243"/>
        <v>0.98701298701298701</v>
      </c>
      <c r="AY2146" s="62">
        <f t="shared" si="244"/>
        <v>-0.19740259740259758</v>
      </c>
      <c r="AZ2146" s="68" t="str">
        <f t="shared" si="245"/>
        <v>No</v>
      </c>
      <c r="BA2146" s="68" t="str">
        <f t="shared" si="246"/>
        <v>No</v>
      </c>
    </row>
    <row r="2147" spans="1:53" hidden="1">
      <c r="A2147" t="s">
        <v>930</v>
      </c>
      <c r="B2147" t="s">
        <v>2119</v>
      </c>
      <c r="C2147" t="s">
        <v>939</v>
      </c>
      <c r="F2147" t="s">
        <v>1241</v>
      </c>
      <c r="G2147" t="s">
        <v>923</v>
      </c>
      <c r="I2147">
        <v>1985</v>
      </c>
      <c r="M2147" s="25" t="s">
        <v>36</v>
      </c>
      <c r="N2147" t="s">
        <v>36</v>
      </c>
      <c r="P2147" t="s">
        <v>60</v>
      </c>
      <c r="Q2147" t="s">
        <v>900</v>
      </c>
      <c r="R2147" t="s">
        <v>946</v>
      </c>
      <c r="S2147" t="s">
        <v>954</v>
      </c>
      <c r="T2147">
        <v>48.486100810000003</v>
      </c>
      <c r="U2147">
        <v>-128.42252500000001</v>
      </c>
      <c r="V2147" t="s">
        <v>907</v>
      </c>
      <c r="Z2147">
        <v>30</v>
      </c>
      <c r="AA2147">
        <v>30</v>
      </c>
      <c r="AD2147">
        <v>12</v>
      </c>
      <c r="AF2147">
        <v>22</v>
      </c>
      <c r="AG2147" t="s">
        <v>2186</v>
      </c>
      <c r="AJ2147" t="s">
        <v>986</v>
      </c>
      <c r="AK2147" t="s">
        <v>770</v>
      </c>
      <c r="AM2147"/>
      <c r="AN2147">
        <v>1.05</v>
      </c>
      <c r="AO2147">
        <v>0.05</v>
      </c>
      <c r="AP2147">
        <v>1.07</v>
      </c>
      <c r="AQ2147">
        <v>0.11</v>
      </c>
      <c r="AS2147">
        <v>1.89E-2</v>
      </c>
      <c r="AT2147">
        <v>4.4010000000000002E-4</v>
      </c>
      <c r="AW2147" s="28">
        <f t="shared" si="242"/>
        <v>0.23408229439226133</v>
      </c>
      <c r="AX2147">
        <f t="shared" si="243"/>
        <v>0.98701298701298701</v>
      </c>
      <c r="AY2147" s="62">
        <f t="shared" si="244"/>
        <v>0.23104226459495925</v>
      </c>
      <c r="AZ2147" s="68" t="str">
        <f t="shared" si="245"/>
        <v>No</v>
      </c>
      <c r="BA2147" s="68" t="str">
        <f t="shared" si="246"/>
        <v>No</v>
      </c>
    </row>
    <row r="2148" spans="1:53" hidden="1">
      <c r="A2148" t="s">
        <v>930</v>
      </c>
      <c r="B2148" t="s">
        <v>2120</v>
      </c>
      <c r="C2148" t="s">
        <v>939</v>
      </c>
      <c r="F2148" t="s">
        <v>1241</v>
      </c>
      <c r="G2148" t="s">
        <v>923</v>
      </c>
      <c r="I2148">
        <v>1985</v>
      </c>
      <c r="M2148" s="25" t="s">
        <v>36</v>
      </c>
      <c r="N2148" t="s">
        <v>36</v>
      </c>
      <c r="P2148" t="s">
        <v>60</v>
      </c>
      <c r="Q2148" t="s">
        <v>900</v>
      </c>
      <c r="R2148" t="s">
        <v>946</v>
      </c>
      <c r="S2148" t="s">
        <v>954</v>
      </c>
      <c r="T2148">
        <v>48.486100810000003</v>
      </c>
      <c r="U2148">
        <v>-128.42252500000001</v>
      </c>
      <c r="V2148" t="s">
        <v>907</v>
      </c>
      <c r="Z2148">
        <v>10</v>
      </c>
      <c r="AA2148">
        <v>10</v>
      </c>
      <c r="AD2148">
        <v>12</v>
      </c>
      <c r="AF2148">
        <v>17</v>
      </c>
      <c r="AG2148" t="s">
        <v>2187</v>
      </c>
      <c r="AJ2148" t="s">
        <v>987</v>
      </c>
      <c r="AK2148" t="s">
        <v>904</v>
      </c>
      <c r="AM2148"/>
      <c r="AN2148">
        <v>110</v>
      </c>
      <c r="AO2148">
        <v>37.950000000000003</v>
      </c>
      <c r="AP2148">
        <v>87</v>
      </c>
      <c r="AQ2148">
        <v>31.62</v>
      </c>
      <c r="AS2148">
        <v>-0.2346</v>
      </c>
      <c r="AT2148">
        <v>2.5112599999999999E-2</v>
      </c>
      <c r="AW2148" s="28">
        <f t="shared" si="242"/>
        <v>-0.65848445471033124</v>
      </c>
      <c r="AX2148">
        <f t="shared" si="243"/>
        <v>0.95774647887323949</v>
      </c>
      <c r="AY2148" s="62">
        <f t="shared" si="244"/>
        <v>-0.63066116789158488</v>
      </c>
      <c r="AZ2148" s="68" t="str">
        <f t="shared" si="245"/>
        <v>No</v>
      </c>
      <c r="BA2148" s="68" t="str">
        <f t="shared" si="246"/>
        <v>No</v>
      </c>
    </row>
    <row r="2149" spans="1:53" hidden="1">
      <c r="A2149" t="s">
        <v>930</v>
      </c>
      <c r="B2149" t="s">
        <v>2121</v>
      </c>
      <c r="C2149" t="s">
        <v>939</v>
      </c>
      <c r="F2149" t="s">
        <v>1241</v>
      </c>
      <c r="G2149" t="s">
        <v>923</v>
      </c>
      <c r="I2149">
        <v>1985</v>
      </c>
      <c r="M2149" s="25" t="s">
        <v>36</v>
      </c>
      <c r="N2149" t="s">
        <v>36</v>
      </c>
      <c r="P2149" t="s">
        <v>60</v>
      </c>
      <c r="Q2149" t="s">
        <v>900</v>
      </c>
      <c r="R2149" t="s">
        <v>946</v>
      </c>
      <c r="S2149" t="s">
        <v>954</v>
      </c>
      <c r="T2149">
        <v>48.486100810000003</v>
      </c>
      <c r="U2149">
        <v>-128.42252500000001</v>
      </c>
      <c r="V2149" t="s">
        <v>907</v>
      </c>
      <c r="Z2149">
        <v>10</v>
      </c>
      <c r="AA2149">
        <v>10</v>
      </c>
      <c r="AD2149">
        <v>12</v>
      </c>
      <c r="AF2149">
        <v>22</v>
      </c>
      <c r="AG2149" t="s">
        <v>2188</v>
      </c>
      <c r="AJ2149" t="s">
        <v>987</v>
      </c>
      <c r="AK2149" t="s">
        <v>904</v>
      </c>
      <c r="AM2149"/>
      <c r="AN2149">
        <v>110</v>
      </c>
      <c r="AO2149">
        <v>37.950000000000003</v>
      </c>
      <c r="AP2149">
        <v>99</v>
      </c>
      <c r="AQ2149">
        <v>22.14</v>
      </c>
      <c r="AS2149">
        <v>-0.10539999999999999</v>
      </c>
      <c r="AT2149">
        <v>1.69003E-2</v>
      </c>
      <c r="AW2149" s="28">
        <f t="shared" si="242"/>
        <v>-0.35406748171178409</v>
      </c>
      <c r="AX2149">
        <f t="shared" si="243"/>
        <v>0.95774647887323949</v>
      </c>
      <c r="AY2149" s="62">
        <f t="shared" si="244"/>
        <v>-0.33910688389297633</v>
      </c>
      <c r="AZ2149" s="68" t="str">
        <f t="shared" si="245"/>
        <v>No</v>
      </c>
      <c r="BA2149" s="68" t="str">
        <f t="shared" si="246"/>
        <v>No</v>
      </c>
    </row>
    <row r="2150" spans="1:53" hidden="1">
      <c r="A2150" t="s">
        <v>930</v>
      </c>
      <c r="B2150" t="s">
        <v>2147</v>
      </c>
      <c r="C2150" t="s">
        <v>945</v>
      </c>
      <c r="F2150" t="s">
        <v>1241</v>
      </c>
      <c r="G2150" t="s">
        <v>929</v>
      </c>
      <c r="I2150">
        <v>2011</v>
      </c>
      <c r="M2150" s="25" t="s">
        <v>36</v>
      </c>
      <c r="N2150" t="s">
        <v>36</v>
      </c>
      <c r="P2150" t="s">
        <v>60</v>
      </c>
      <c r="Q2150" t="s">
        <v>900</v>
      </c>
      <c r="R2150" t="s">
        <v>946</v>
      </c>
      <c r="S2150" t="s">
        <v>950</v>
      </c>
      <c r="T2150">
        <v>-30.2098333</v>
      </c>
      <c r="U2150">
        <v>153.26983329999999</v>
      </c>
      <c r="V2150" t="s">
        <v>907</v>
      </c>
      <c r="Z2150">
        <v>10</v>
      </c>
      <c r="AA2150">
        <v>10</v>
      </c>
      <c r="AD2150">
        <v>23.9</v>
      </c>
      <c r="AF2150">
        <v>25.1</v>
      </c>
      <c r="AG2150" t="s">
        <v>2198</v>
      </c>
      <c r="AJ2150" t="s">
        <v>974</v>
      </c>
      <c r="AK2150" t="s">
        <v>69</v>
      </c>
      <c r="AM2150"/>
      <c r="AN2150">
        <v>81.95</v>
      </c>
      <c r="AO2150">
        <v>12.68</v>
      </c>
      <c r="AP2150">
        <v>83.09</v>
      </c>
      <c r="AQ2150">
        <v>15.4</v>
      </c>
      <c r="AS2150">
        <v>1.38E-2</v>
      </c>
      <c r="AT2150">
        <v>5.8295999999999999E-3</v>
      </c>
      <c r="AW2150" s="28">
        <f t="shared" si="242"/>
        <v>8.081830574136474E-2</v>
      </c>
      <c r="AX2150">
        <f t="shared" si="243"/>
        <v>0.95774647887323949</v>
      </c>
      <c r="AY2150" s="62">
        <f t="shared" si="244"/>
        <v>7.7403447752292992E-2</v>
      </c>
      <c r="AZ2150" s="68" t="str">
        <f t="shared" si="245"/>
        <v>No</v>
      </c>
      <c r="BA2150" s="68" t="str">
        <f t="shared" si="246"/>
        <v>No</v>
      </c>
    </row>
    <row r="2151" spans="1:53" hidden="1">
      <c r="A2151" t="s">
        <v>930</v>
      </c>
      <c r="B2151" t="s">
        <v>2148</v>
      </c>
      <c r="C2151" t="s">
        <v>945</v>
      </c>
      <c r="F2151" t="s">
        <v>1241</v>
      </c>
      <c r="G2151" t="s">
        <v>929</v>
      </c>
      <c r="I2151">
        <v>2011</v>
      </c>
      <c r="M2151" s="25" t="s">
        <v>36</v>
      </c>
      <c r="N2151" t="s">
        <v>36</v>
      </c>
      <c r="P2151" t="s">
        <v>60</v>
      </c>
      <c r="Q2151" t="s">
        <v>900</v>
      </c>
      <c r="R2151" t="s">
        <v>946</v>
      </c>
      <c r="S2151" t="s">
        <v>950</v>
      </c>
      <c r="T2151">
        <v>-30.2098333</v>
      </c>
      <c r="U2151">
        <v>153.26983329999999</v>
      </c>
      <c r="V2151" t="s">
        <v>907</v>
      </c>
      <c r="Z2151">
        <v>10</v>
      </c>
      <c r="AA2151">
        <v>10</v>
      </c>
      <c r="AD2151">
        <v>23.9</v>
      </c>
      <c r="AF2151">
        <v>28.1</v>
      </c>
      <c r="AG2151" t="s">
        <v>2198</v>
      </c>
      <c r="AJ2151" t="s">
        <v>974</v>
      </c>
      <c r="AK2151" t="s">
        <v>69</v>
      </c>
      <c r="AM2151"/>
      <c r="AN2151">
        <v>81.95</v>
      </c>
      <c r="AO2151">
        <v>12.68</v>
      </c>
      <c r="AP2151">
        <v>80.52</v>
      </c>
      <c r="AQ2151">
        <v>9.08</v>
      </c>
      <c r="AS2151">
        <v>-1.7600000000000001E-2</v>
      </c>
      <c r="AT2151">
        <v>3.6648000000000002E-3</v>
      </c>
      <c r="AW2151" s="28">
        <f t="shared" si="242"/>
        <v>-0.12967120203433755</v>
      </c>
      <c r="AX2151">
        <f t="shared" si="243"/>
        <v>0.95774647887323949</v>
      </c>
      <c r="AY2151" s="62">
        <f t="shared" si="244"/>
        <v>-0.12419213715964723</v>
      </c>
      <c r="AZ2151" s="68" t="str">
        <f t="shared" si="245"/>
        <v>No</v>
      </c>
      <c r="BA2151" s="68" t="str">
        <f t="shared" si="246"/>
        <v>No</v>
      </c>
    </row>
    <row r="2152" spans="1:53" hidden="1">
      <c r="A2152" t="s">
        <v>930</v>
      </c>
      <c r="B2152" t="s">
        <v>2149</v>
      </c>
      <c r="C2152" t="s">
        <v>945</v>
      </c>
      <c r="F2152" t="s">
        <v>1241</v>
      </c>
      <c r="G2152" t="s">
        <v>929</v>
      </c>
      <c r="I2152">
        <v>2011</v>
      </c>
      <c r="M2152" s="25" t="s">
        <v>36</v>
      </c>
      <c r="N2152" t="s">
        <v>36</v>
      </c>
      <c r="P2152" t="s">
        <v>60</v>
      </c>
      <c r="Q2152" t="s">
        <v>900</v>
      </c>
      <c r="R2152" t="s">
        <v>946</v>
      </c>
      <c r="S2152" t="s">
        <v>950</v>
      </c>
      <c r="T2152">
        <v>-30.2098333</v>
      </c>
      <c r="U2152">
        <v>153.26983329999999</v>
      </c>
      <c r="V2152" t="s">
        <v>907</v>
      </c>
      <c r="Z2152">
        <v>10</v>
      </c>
      <c r="AA2152">
        <v>10</v>
      </c>
      <c r="AD2152">
        <v>23.9</v>
      </c>
      <c r="AF2152">
        <v>30.4</v>
      </c>
      <c r="AG2152" t="s">
        <v>2198</v>
      </c>
      <c r="AJ2152" t="s">
        <v>974</v>
      </c>
      <c r="AK2152" t="s">
        <v>69</v>
      </c>
      <c r="AM2152"/>
      <c r="AN2152">
        <v>81.95</v>
      </c>
      <c r="AO2152">
        <v>12.68</v>
      </c>
      <c r="AP2152">
        <v>77.94</v>
      </c>
      <c r="AQ2152">
        <v>13.6</v>
      </c>
      <c r="AS2152">
        <v>-5.0200000000000002E-2</v>
      </c>
      <c r="AT2152">
        <v>5.4381999999999998E-3</v>
      </c>
      <c r="AW2152" s="28">
        <f t="shared" si="242"/>
        <v>-0.30498820875154303</v>
      </c>
      <c r="AX2152">
        <f t="shared" si="243"/>
        <v>0.95774647887323949</v>
      </c>
      <c r="AY2152" s="62">
        <f t="shared" si="244"/>
        <v>-0.29210138302964689</v>
      </c>
      <c r="AZ2152" s="68" t="str">
        <f t="shared" si="245"/>
        <v>No</v>
      </c>
      <c r="BA2152" s="68" t="str">
        <f t="shared" si="246"/>
        <v>No</v>
      </c>
    </row>
    <row r="2153" spans="1:53" hidden="1">
      <c r="A2153" t="s">
        <v>930</v>
      </c>
      <c r="B2153" t="s">
        <v>2150</v>
      </c>
      <c r="C2153" t="s">
        <v>945</v>
      </c>
      <c r="F2153" t="s">
        <v>1241</v>
      </c>
      <c r="G2153" t="s">
        <v>929</v>
      </c>
      <c r="I2153">
        <v>2011</v>
      </c>
      <c r="M2153" s="25" t="s">
        <v>36</v>
      </c>
      <c r="N2153" t="s">
        <v>36</v>
      </c>
      <c r="P2153" t="s">
        <v>60</v>
      </c>
      <c r="Q2153" t="s">
        <v>900</v>
      </c>
      <c r="R2153" t="s">
        <v>946</v>
      </c>
      <c r="S2153" t="s">
        <v>950</v>
      </c>
      <c r="T2153">
        <v>-30.2098333</v>
      </c>
      <c r="U2153">
        <v>153.26983329999999</v>
      </c>
      <c r="V2153" t="s">
        <v>907</v>
      </c>
      <c r="Z2153">
        <v>10</v>
      </c>
      <c r="AA2153">
        <v>10</v>
      </c>
      <c r="AD2153">
        <v>23.9</v>
      </c>
      <c r="AF2153">
        <v>33.4</v>
      </c>
      <c r="AG2153" t="s">
        <v>2198</v>
      </c>
      <c r="AJ2153" t="s">
        <v>974</v>
      </c>
      <c r="AK2153" t="s">
        <v>69</v>
      </c>
      <c r="AM2153"/>
      <c r="AN2153">
        <v>81.95</v>
      </c>
      <c r="AO2153">
        <v>12.68</v>
      </c>
      <c r="AP2153">
        <v>29.51</v>
      </c>
      <c r="AQ2153">
        <v>19.920000000000002</v>
      </c>
      <c r="AS2153">
        <v>-1.0214000000000001</v>
      </c>
      <c r="AT2153">
        <v>4.7971E-2</v>
      </c>
      <c r="AW2153" s="28">
        <f t="shared" si="242"/>
        <v>-3.1406580957520625</v>
      </c>
      <c r="AX2153">
        <f t="shared" si="243"/>
        <v>0.95774647887323949</v>
      </c>
      <c r="AY2153" s="62">
        <f t="shared" si="244"/>
        <v>-3.0079542325512714</v>
      </c>
      <c r="AZ2153" s="68" t="str">
        <f t="shared" si="245"/>
        <v>No</v>
      </c>
      <c r="BA2153" s="68" t="str">
        <f t="shared" si="246"/>
        <v>No</v>
      </c>
    </row>
    <row r="2154" spans="1:53" hidden="1">
      <c r="A2154" t="s">
        <v>930</v>
      </c>
      <c r="B2154" t="s">
        <v>2151</v>
      </c>
      <c r="C2154" t="s">
        <v>945</v>
      </c>
      <c r="F2154" t="s">
        <v>1241</v>
      </c>
      <c r="G2154" t="s">
        <v>929</v>
      </c>
      <c r="I2154">
        <v>2011</v>
      </c>
      <c r="M2154" s="25" t="s">
        <v>36</v>
      </c>
      <c r="N2154" t="s">
        <v>36</v>
      </c>
      <c r="P2154" t="s">
        <v>60</v>
      </c>
      <c r="Q2154" t="s">
        <v>900</v>
      </c>
      <c r="R2154" t="s">
        <v>946</v>
      </c>
      <c r="S2154" t="s">
        <v>950</v>
      </c>
      <c r="T2154">
        <v>-30.2098333</v>
      </c>
      <c r="U2154">
        <v>153.26983329999999</v>
      </c>
      <c r="V2154" t="s">
        <v>907</v>
      </c>
      <c r="Z2154">
        <v>10</v>
      </c>
      <c r="AA2154">
        <v>10</v>
      </c>
      <c r="AD2154">
        <v>23.9</v>
      </c>
      <c r="AF2154">
        <v>25.1</v>
      </c>
      <c r="AG2154" t="s">
        <v>2199</v>
      </c>
      <c r="AJ2154" t="s">
        <v>996</v>
      </c>
      <c r="AK2154" t="s">
        <v>69</v>
      </c>
      <c r="AM2154"/>
      <c r="AN2154">
        <v>30.66</v>
      </c>
      <c r="AO2154">
        <v>12.68</v>
      </c>
      <c r="AP2154">
        <v>30.95</v>
      </c>
      <c r="AQ2154">
        <v>10.88</v>
      </c>
      <c r="AS2154">
        <v>9.4000000000000004E-3</v>
      </c>
      <c r="AT2154">
        <v>2.94595E-2</v>
      </c>
      <c r="AW2154" s="28">
        <f t="shared" si="242"/>
        <v>2.4546461211981761E-2</v>
      </c>
      <c r="AX2154">
        <f t="shared" si="243"/>
        <v>0.95774647887323949</v>
      </c>
      <c r="AY2154" s="62">
        <f t="shared" si="244"/>
        <v>2.3509286794574081E-2</v>
      </c>
      <c r="AZ2154" s="68" t="str">
        <f t="shared" si="245"/>
        <v>No</v>
      </c>
      <c r="BA2154" s="68" t="str">
        <f t="shared" si="246"/>
        <v>No</v>
      </c>
    </row>
    <row r="2155" spans="1:53" hidden="1">
      <c r="A2155" t="s">
        <v>930</v>
      </c>
      <c r="B2155" t="s">
        <v>2152</v>
      </c>
      <c r="C2155" t="s">
        <v>945</v>
      </c>
      <c r="F2155" t="s">
        <v>1241</v>
      </c>
      <c r="G2155" t="s">
        <v>929</v>
      </c>
      <c r="I2155">
        <v>2011</v>
      </c>
      <c r="M2155" s="25" t="s">
        <v>36</v>
      </c>
      <c r="N2155" t="s">
        <v>36</v>
      </c>
      <c r="P2155" t="s">
        <v>60</v>
      </c>
      <c r="Q2155" t="s">
        <v>900</v>
      </c>
      <c r="R2155" t="s">
        <v>946</v>
      </c>
      <c r="S2155" t="s">
        <v>950</v>
      </c>
      <c r="T2155">
        <v>-30.2098333</v>
      </c>
      <c r="U2155">
        <v>153.26983329999999</v>
      </c>
      <c r="V2155" t="s">
        <v>907</v>
      </c>
      <c r="Z2155">
        <v>10</v>
      </c>
      <c r="AA2155">
        <v>10</v>
      </c>
      <c r="AD2155">
        <v>23.9</v>
      </c>
      <c r="AF2155">
        <v>28.1</v>
      </c>
      <c r="AG2155" t="s">
        <v>2199</v>
      </c>
      <c r="AJ2155" t="s">
        <v>996</v>
      </c>
      <c r="AK2155" t="s">
        <v>69</v>
      </c>
      <c r="AM2155"/>
      <c r="AN2155">
        <v>30.66</v>
      </c>
      <c r="AO2155">
        <v>12.68</v>
      </c>
      <c r="AP2155">
        <v>33.24</v>
      </c>
      <c r="AQ2155">
        <v>8.16</v>
      </c>
      <c r="AS2155">
        <v>8.0799999999999997E-2</v>
      </c>
      <c r="AT2155">
        <v>2.3130299999999999E-2</v>
      </c>
      <c r="AW2155" s="28">
        <f t="shared" si="242"/>
        <v>0.24197474061537888</v>
      </c>
      <c r="AX2155">
        <f t="shared" si="243"/>
        <v>0.95774647887323949</v>
      </c>
      <c r="AY2155" s="62">
        <f t="shared" si="244"/>
        <v>0.23175045580064457</v>
      </c>
      <c r="AZ2155" s="68" t="str">
        <f t="shared" si="245"/>
        <v>No</v>
      </c>
      <c r="BA2155" s="68" t="str">
        <f t="shared" si="246"/>
        <v>No</v>
      </c>
    </row>
    <row r="2156" spans="1:53" hidden="1">
      <c r="A2156" t="s">
        <v>930</v>
      </c>
      <c r="B2156" t="s">
        <v>2153</v>
      </c>
      <c r="C2156" t="s">
        <v>945</v>
      </c>
      <c r="F2156" t="s">
        <v>1241</v>
      </c>
      <c r="G2156" t="s">
        <v>929</v>
      </c>
      <c r="I2156">
        <v>2011</v>
      </c>
      <c r="M2156" s="25" t="s">
        <v>36</v>
      </c>
      <c r="N2156" t="s">
        <v>36</v>
      </c>
      <c r="P2156" t="s">
        <v>60</v>
      </c>
      <c r="Q2156" t="s">
        <v>900</v>
      </c>
      <c r="R2156" t="s">
        <v>946</v>
      </c>
      <c r="S2156" t="s">
        <v>950</v>
      </c>
      <c r="T2156">
        <v>-30.2098333</v>
      </c>
      <c r="U2156">
        <v>153.26983329999999</v>
      </c>
      <c r="V2156" t="s">
        <v>907</v>
      </c>
      <c r="Z2156">
        <v>10</v>
      </c>
      <c r="AA2156">
        <v>10</v>
      </c>
      <c r="AD2156">
        <v>23.9</v>
      </c>
      <c r="AF2156">
        <v>30.4</v>
      </c>
      <c r="AG2156" t="s">
        <v>2199</v>
      </c>
      <c r="AJ2156" t="s">
        <v>996</v>
      </c>
      <c r="AK2156" t="s">
        <v>69</v>
      </c>
      <c r="AM2156"/>
      <c r="AN2156">
        <v>30.66</v>
      </c>
      <c r="AO2156">
        <v>12.68</v>
      </c>
      <c r="AP2156">
        <v>18.91</v>
      </c>
      <c r="AQ2156">
        <v>10.88</v>
      </c>
      <c r="AS2156">
        <v>-0.48330000000000001</v>
      </c>
      <c r="AT2156">
        <v>5.0198699999999999E-2</v>
      </c>
      <c r="AW2156" s="28">
        <f t="shared" si="242"/>
        <v>-0.99455489393374674</v>
      </c>
      <c r="AX2156">
        <f t="shared" si="243"/>
        <v>0.95774647887323949</v>
      </c>
      <c r="AY2156" s="62">
        <f t="shared" si="244"/>
        <v>-0.95253144771119413</v>
      </c>
      <c r="AZ2156" s="68" t="str">
        <f t="shared" si="245"/>
        <v>No</v>
      </c>
      <c r="BA2156" s="68" t="str">
        <f t="shared" si="246"/>
        <v>No</v>
      </c>
    </row>
    <row r="2157" spans="1:53" hidden="1">
      <c r="A2157" t="s">
        <v>930</v>
      </c>
      <c r="B2157" t="s">
        <v>2154</v>
      </c>
      <c r="C2157" t="s">
        <v>945</v>
      </c>
      <c r="F2157" t="s">
        <v>1241</v>
      </c>
      <c r="G2157" t="s">
        <v>929</v>
      </c>
      <c r="I2157">
        <v>2011</v>
      </c>
      <c r="M2157" s="25" t="s">
        <v>36</v>
      </c>
      <c r="N2157" t="s">
        <v>36</v>
      </c>
      <c r="P2157" t="s">
        <v>60</v>
      </c>
      <c r="Q2157" t="s">
        <v>900</v>
      </c>
      <c r="R2157" t="s">
        <v>946</v>
      </c>
      <c r="S2157" t="s">
        <v>950</v>
      </c>
      <c r="T2157">
        <v>-30.2098333</v>
      </c>
      <c r="U2157">
        <v>153.26983329999999</v>
      </c>
      <c r="V2157" t="s">
        <v>907</v>
      </c>
      <c r="Z2157">
        <v>10</v>
      </c>
      <c r="AA2157">
        <v>10</v>
      </c>
      <c r="AD2157">
        <v>23.9</v>
      </c>
      <c r="AF2157">
        <v>33.4</v>
      </c>
      <c r="AG2157" t="s">
        <v>2199</v>
      </c>
      <c r="AJ2157" t="s">
        <v>996</v>
      </c>
      <c r="AK2157" t="s">
        <v>69</v>
      </c>
      <c r="AM2157"/>
      <c r="AN2157">
        <v>30.66</v>
      </c>
      <c r="AO2157">
        <v>12.68</v>
      </c>
      <c r="AP2157">
        <v>2.87</v>
      </c>
      <c r="AQ2157">
        <v>4.55</v>
      </c>
      <c r="AS2157">
        <v>-2.3685999999999998</v>
      </c>
      <c r="AT2157">
        <v>0.26885100000000001</v>
      </c>
      <c r="AW2157" s="28">
        <f t="shared" si="242"/>
        <v>-2.9173148074416315</v>
      </c>
      <c r="AX2157">
        <f t="shared" si="243"/>
        <v>0.95774647887323949</v>
      </c>
      <c r="AY2157" s="62">
        <f t="shared" si="244"/>
        <v>-2.7940479845919852</v>
      </c>
      <c r="AZ2157" s="68" t="str">
        <f t="shared" si="245"/>
        <v>No</v>
      </c>
      <c r="BA2157" s="68" t="str">
        <f t="shared" si="246"/>
        <v>No</v>
      </c>
    </row>
    <row r="2158" spans="1:53" hidden="1">
      <c r="A2158" t="s">
        <v>930</v>
      </c>
      <c r="B2158" t="s">
        <v>2070</v>
      </c>
      <c r="C2158" t="s">
        <v>933</v>
      </c>
      <c r="F2158" t="s">
        <v>1241</v>
      </c>
      <c r="G2158" t="s">
        <v>917</v>
      </c>
      <c r="I2158">
        <v>2012</v>
      </c>
      <c r="M2158" s="25" t="s">
        <v>36</v>
      </c>
      <c r="N2158" t="s">
        <v>36</v>
      </c>
      <c r="P2158" t="s">
        <v>60</v>
      </c>
      <c r="Q2158" t="s">
        <v>900</v>
      </c>
      <c r="R2158" t="s">
        <v>946</v>
      </c>
      <c r="S2158" t="s">
        <v>949</v>
      </c>
      <c r="T2158">
        <v>-33.980194089999998</v>
      </c>
      <c r="U2158">
        <v>151.24595640000001</v>
      </c>
      <c r="V2158" t="s">
        <v>907</v>
      </c>
      <c r="Z2158">
        <v>12</v>
      </c>
      <c r="AA2158">
        <v>12</v>
      </c>
      <c r="AD2158">
        <v>19</v>
      </c>
      <c r="AF2158">
        <v>21</v>
      </c>
      <c r="AG2158" t="s">
        <v>2158</v>
      </c>
      <c r="AJ2158" t="s">
        <v>960</v>
      </c>
      <c r="AK2158" t="s">
        <v>69</v>
      </c>
      <c r="AM2158"/>
      <c r="AN2158">
        <v>17.559999999999999</v>
      </c>
      <c r="AO2158">
        <v>12.57</v>
      </c>
      <c r="AP2158">
        <v>34.450000000000003</v>
      </c>
      <c r="AQ2158">
        <v>12.54</v>
      </c>
      <c r="AS2158">
        <v>-0.67390000000000005</v>
      </c>
      <c r="AT2158">
        <v>5.37749E-2</v>
      </c>
      <c r="AW2158" s="28">
        <f t="shared" si="242"/>
        <v>1.3452798045022516</v>
      </c>
      <c r="AX2158">
        <f t="shared" si="243"/>
        <v>0.96551724137931039</v>
      </c>
      <c r="AY2158" s="62">
        <f t="shared" si="244"/>
        <v>1.298890845726312</v>
      </c>
      <c r="AZ2158" s="68" t="str">
        <f t="shared" si="245"/>
        <v>No</v>
      </c>
      <c r="BA2158" s="68" t="str">
        <f t="shared" si="246"/>
        <v>No</v>
      </c>
    </row>
    <row r="2159" spans="1:53" hidden="1">
      <c r="A2159" t="s">
        <v>930</v>
      </c>
      <c r="B2159" t="s">
        <v>2071</v>
      </c>
      <c r="C2159" t="s">
        <v>933</v>
      </c>
      <c r="F2159" t="s">
        <v>1241</v>
      </c>
      <c r="G2159" t="s">
        <v>917</v>
      </c>
      <c r="I2159">
        <v>2012</v>
      </c>
      <c r="M2159" s="25" t="s">
        <v>36</v>
      </c>
      <c r="N2159" t="s">
        <v>36</v>
      </c>
      <c r="P2159" t="s">
        <v>60</v>
      </c>
      <c r="Q2159" t="s">
        <v>900</v>
      </c>
      <c r="R2159" t="s">
        <v>946</v>
      </c>
      <c r="S2159" t="s">
        <v>949</v>
      </c>
      <c r="T2159">
        <v>-33.980194089999998</v>
      </c>
      <c r="U2159">
        <v>151.24595640000001</v>
      </c>
      <c r="V2159" t="s">
        <v>907</v>
      </c>
      <c r="Z2159">
        <v>12</v>
      </c>
      <c r="AA2159">
        <v>12</v>
      </c>
      <c r="AD2159">
        <v>19</v>
      </c>
      <c r="AF2159">
        <v>23</v>
      </c>
      <c r="AG2159" t="s">
        <v>2158</v>
      </c>
      <c r="AJ2159" t="s">
        <v>961</v>
      </c>
      <c r="AK2159" t="s">
        <v>69</v>
      </c>
      <c r="AM2159"/>
      <c r="AN2159">
        <v>17.559999999999999</v>
      </c>
      <c r="AO2159">
        <v>12.57</v>
      </c>
      <c r="AP2159">
        <v>62.86</v>
      </c>
      <c r="AQ2159">
        <v>19.09</v>
      </c>
      <c r="AS2159">
        <v>-1.2753000000000001</v>
      </c>
      <c r="AT2159">
        <v>5.0416500000000003E-2</v>
      </c>
      <c r="AW2159" s="28">
        <f t="shared" si="242"/>
        <v>2.8028373679602185</v>
      </c>
      <c r="AX2159">
        <f t="shared" si="243"/>
        <v>0.96551724137931039</v>
      </c>
      <c r="AY2159" s="62">
        <f t="shared" si="244"/>
        <v>2.7061878035477975</v>
      </c>
      <c r="AZ2159" s="68" t="str">
        <f t="shared" si="245"/>
        <v>No</v>
      </c>
      <c r="BA2159" s="68" t="str">
        <f t="shared" si="246"/>
        <v>No</v>
      </c>
    </row>
    <row r="2160" spans="1:53" hidden="1">
      <c r="A2160" t="s">
        <v>930</v>
      </c>
      <c r="B2160" t="s">
        <v>2072</v>
      </c>
      <c r="C2160" t="s">
        <v>933</v>
      </c>
      <c r="F2160" t="s">
        <v>1241</v>
      </c>
      <c r="G2160" t="s">
        <v>917</v>
      </c>
      <c r="I2160">
        <v>2012</v>
      </c>
      <c r="M2160" s="25" t="s">
        <v>36</v>
      </c>
      <c r="N2160" t="s">
        <v>36</v>
      </c>
      <c r="P2160" t="s">
        <v>60</v>
      </c>
      <c r="Q2160" t="s">
        <v>900</v>
      </c>
      <c r="R2160" t="s">
        <v>946</v>
      </c>
      <c r="S2160" t="s">
        <v>949</v>
      </c>
      <c r="T2160">
        <v>-33.980194089999998</v>
      </c>
      <c r="U2160">
        <v>151.24595640000001</v>
      </c>
      <c r="V2160" t="s">
        <v>907</v>
      </c>
      <c r="Z2160">
        <v>12</v>
      </c>
      <c r="AA2160">
        <v>12</v>
      </c>
      <c r="AD2160">
        <v>19</v>
      </c>
      <c r="AF2160">
        <v>21</v>
      </c>
      <c r="AG2160" t="s">
        <v>2159</v>
      </c>
      <c r="AJ2160" t="s">
        <v>962</v>
      </c>
      <c r="AK2160" t="s">
        <v>69</v>
      </c>
      <c r="AM2160"/>
      <c r="AN2160">
        <v>26.22</v>
      </c>
      <c r="AO2160">
        <v>5.0199999999999996</v>
      </c>
      <c r="AP2160">
        <v>43.7</v>
      </c>
      <c r="AQ2160">
        <v>10.6</v>
      </c>
      <c r="AS2160">
        <v>-0.51080000000000003</v>
      </c>
      <c r="AT2160">
        <v>7.9614000000000004E-3</v>
      </c>
      <c r="AW2160" s="28">
        <f t="shared" si="242"/>
        <v>2.1077044435749248</v>
      </c>
      <c r="AX2160">
        <f t="shared" si="243"/>
        <v>0.96551724137931039</v>
      </c>
      <c r="AY2160" s="62">
        <f t="shared" si="244"/>
        <v>2.0350249800033757</v>
      </c>
      <c r="AZ2160" s="68" t="str">
        <f t="shared" si="245"/>
        <v>No</v>
      </c>
      <c r="BA2160" s="68" t="str">
        <f t="shared" si="246"/>
        <v>No</v>
      </c>
    </row>
    <row r="2161" spans="1:53" hidden="1">
      <c r="A2161" t="s">
        <v>930</v>
      </c>
      <c r="B2161" t="s">
        <v>2073</v>
      </c>
      <c r="C2161" t="s">
        <v>933</v>
      </c>
      <c r="F2161" t="s">
        <v>1241</v>
      </c>
      <c r="G2161" t="s">
        <v>917</v>
      </c>
      <c r="I2161">
        <v>2012</v>
      </c>
      <c r="M2161" s="25" t="s">
        <v>36</v>
      </c>
      <c r="N2161" t="s">
        <v>36</v>
      </c>
      <c r="P2161" t="s">
        <v>60</v>
      </c>
      <c r="Q2161" t="s">
        <v>900</v>
      </c>
      <c r="R2161" t="s">
        <v>946</v>
      </c>
      <c r="S2161" t="s">
        <v>949</v>
      </c>
      <c r="T2161">
        <v>-33.980194089999998</v>
      </c>
      <c r="U2161">
        <v>151.24595640000001</v>
      </c>
      <c r="V2161" t="s">
        <v>907</v>
      </c>
      <c r="Z2161">
        <v>12</v>
      </c>
      <c r="AA2161">
        <v>12</v>
      </c>
      <c r="AD2161">
        <v>19</v>
      </c>
      <c r="AF2161">
        <v>23</v>
      </c>
      <c r="AG2161" t="s">
        <v>2159</v>
      </c>
      <c r="AJ2161" t="s">
        <v>962</v>
      </c>
      <c r="AK2161" t="s">
        <v>69</v>
      </c>
      <c r="AM2161"/>
      <c r="AN2161">
        <v>26.22</v>
      </c>
      <c r="AO2161">
        <v>5.0199999999999996</v>
      </c>
      <c r="AP2161">
        <v>68.31</v>
      </c>
      <c r="AQ2161">
        <v>20.02</v>
      </c>
      <c r="AS2161">
        <v>-0.95750000000000002</v>
      </c>
      <c r="AT2161">
        <v>1.0217800000000001E-2</v>
      </c>
      <c r="AW2161" s="28">
        <f t="shared" si="242"/>
        <v>2.8839565717249096</v>
      </c>
      <c r="AX2161">
        <f t="shared" si="243"/>
        <v>0.96551724137931039</v>
      </c>
      <c r="AY2161" s="62">
        <f t="shared" si="244"/>
        <v>2.7845097933895682</v>
      </c>
      <c r="AZ2161" s="68" t="str">
        <f t="shared" si="245"/>
        <v>No</v>
      </c>
      <c r="BA2161" s="68" t="str">
        <f t="shared" si="246"/>
        <v>No</v>
      </c>
    </row>
    <row r="2162" spans="1:53" hidden="1">
      <c r="A2162" t="s">
        <v>930</v>
      </c>
      <c r="B2162" t="s">
        <v>2074</v>
      </c>
      <c r="C2162" t="s">
        <v>933</v>
      </c>
      <c r="F2162" t="s">
        <v>1241</v>
      </c>
      <c r="G2162" t="s">
        <v>917</v>
      </c>
      <c r="I2162">
        <v>2012</v>
      </c>
      <c r="M2162" s="25" t="s">
        <v>36</v>
      </c>
      <c r="N2162" t="s">
        <v>36</v>
      </c>
      <c r="P2162" t="s">
        <v>60</v>
      </c>
      <c r="Q2162" t="s">
        <v>900</v>
      </c>
      <c r="R2162" t="s">
        <v>946</v>
      </c>
      <c r="S2162" t="s">
        <v>949</v>
      </c>
      <c r="T2162">
        <v>-33.980194089999998</v>
      </c>
      <c r="U2162">
        <v>151.24595640000001</v>
      </c>
      <c r="V2162" t="s">
        <v>907</v>
      </c>
      <c r="Z2162">
        <v>12</v>
      </c>
      <c r="AA2162">
        <v>12</v>
      </c>
      <c r="AD2162">
        <v>19</v>
      </c>
      <c r="AF2162">
        <v>21</v>
      </c>
      <c r="AG2162" t="s">
        <v>2160</v>
      </c>
      <c r="AJ2162" t="s">
        <v>958</v>
      </c>
      <c r="AK2162" t="s">
        <v>770</v>
      </c>
      <c r="AM2162"/>
      <c r="AN2162">
        <v>61.44</v>
      </c>
      <c r="AO2162">
        <v>6.65</v>
      </c>
      <c r="AP2162">
        <v>49.01</v>
      </c>
      <c r="AQ2162">
        <v>14.79</v>
      </c>
      <c r="AS2162">
        <v>-0.22600000000000001</v>
      </c>
      <c r="AT2162">
        <v>8.5672999999999999E-3</v>
      </c>
      <c r="AW2162" s="28">
        <f t="shared" si="242"/>
        <v>-1.0840163455722078</v>
      </c>
      <c r="AX2162">
        <f t="shared" si="243"/>
        <v>0.96551724137931039</v>
      </c>
      <c r="AY2162" s="62">
        <f t="shared" si="244"/>
        <v>-1.0466364715869594</v>
      </c>
      <c r="AZ2162" s="68" t="str">
        <f t="shared" si="245"/>
        <v>No</v>
      </c>
      <c r="BA2162" s="68" t="str">
        <f t="shared" si="246"/>
        <v>No</v>
      </c>
    </row>
    <row r="2163" spans="1:53" hidden="1">
      <c r="A2163" t="s">
        <v>930</v>
      </c>
      <c r="B2163" t="s">
        <v>2075</v>
      </c>
      <c r="C2163" t="s">
        <v>933</v>
      </c>
      <c r="F2163" t="s">
        <v>1241</v>
      </c>
      <c r="G2163" t="s">
        <v>917</v>
      </c>
      <c r="I2163">
        <v>2012</v>
      </c>
      <c r="M2163" s="25" t="s">
        <v>36</v>
      </c>
      <c r="N2163" t="s">
        <v>36</v>
      </c>
      <c r="P2163" t="s">
        <v>60</v>
      </c>
      <c r="Q2163" t="s">
        <v>900</v>
      </c>
      <c r="R2163" t="s">
        <v>946</v>
      </c>
      <c r="S2163" t="s">
        <v>949</v>
      </c>
      <c r="T2163">
        <v>-33.980194089999998</v>
      </c>
      <c r="U2163">
        <v>151.24595640000001</v>
      </c>
      <c r="V2163" t="s">
        <v>907</v>
      </c>
      <c r="Z2163">
        <v>12</v>
      </c>
      <c r="AA2163">
        <v>12</v>
      </c>
      <c r="AD2163">
        <v>19</v>
      </c>
      <c r="AF2163">
        <v>21</v>
      </c>
      <c r="AG2163" t="s">
        <v>2161</v>
      </c>
      <c r="AJ2163" t="s">
        <v>963</v>
      </c>
      <c r="AK2163" t="s">
        <v>40</v>
      </c>
      <c r="AM2163"/>
      <c r="AN2163">
        <v>580.05999999999995</v>
      </c>
      <c r="AO2163">
        <v>38.76</v>
      </c>
      <c r="AP2163">
        <v>554.01</v>
      </c>
      <c r="AQ2163">
        <v>42.85</v>
      </c>
      <c r="AS2163">
        <v>-4.5900000000000003E-2</v>
      </c>
      <c r="AT2163">
        <v>8.7069999999999997E-4</v>
      </c>
      <c r="AW2163" s="28">
        <f t="shared" si="242"/>
        <v>-0.63760194092738387</v>
      </c>
      <c r="AX2163">
        <f t="shared" si="243"/>
        <v>0.96551724137931039</v>
      </c>
      <c r="AY2163" s="62">
        <f t="shared" si="244"/>
        <v>-0.61561566710230164</v>
      </c>
      <c r="AZ2163" s="68" t="str">
        <f t="shared" si="245"/>
        <v>No</v>
      </c>
      <c r="BA2163" s="68" t="str">
        <f t="shared" si="246"/>
        <v>No</v>
      </c>
    </row>
    <row r="2164" spans="1:53" hidden="1">
      <c r="A2164" t="s">
        <v>930</v>
      </c>
      <c r="B2164" t="s">
        <v>2076</v>
      </c>
      <c r="C2164" t="s">
        <v>933</v>
      </c>
      <c r="F2164" t="s">
        <v>1241</v>
      </c>
      <c r="G2164" t="s">
        <v>917</v>
      </c>
      <c r="I2164">
        <v>2012</v>
      </c>
      <c r="M2164" s="25" t="s">
        <v>36</v>
      </c>
      <c r="N2164" t="s">
        <v>36</v>
      </c>
      <c r="P2164" t="s">
        <v>60</v>
      </c>
      <c r="Q2164" t="s">
        <v>900</v>
      </c>
      <c r="R2164" t="s">
        <v>946</v>
      </c>
      <c r="S2164" t="s">
        <v>949</v>
      </c>
      <c r="T2164">
        <v>-33.980194089999998</v>
      </c>
      <c r="U2164">
        <v>151.24595640000001</v>
      </c>
      <c r="V2164" t="s">
        <v>907</v>
      </c>
      <c r="Z2164">
        <v>12</v>
      </c>
      <c r="AA2164">
        <v>12</v>
      </c>
      <c r="AD2164">
        <v>19</v>
      </c>
      <c r="AF2164">
        <v>23</v>
      </c>
      <c r="AG2164" t="s">
        <v>2161</v>
      </c>
      <c r="AJ2164" t="s">
        <v>963</v>
      </c>
      <c r="AK2164" t="s">
        <v>40</v>
      </c>
      <c r="AM2164"/>
      <c r="AN2164">
        <v>580.05999999999995</v>
      </c>
      <c r="AO2164">
        <v>38.76</v>
      </c>
      <c r="AP2164">
        <v>523.65</v>
      </c>
      <c r="AQ2164">
        <v>32.42</v>
      </c>
      <c r="AS2164">
        <v>-0.1023</v>
      </c>
      <c r="AT2164">
        <v>6.9160000000000001E-4</v>
      </c>
      <c r="AW2164" s="28">
        <f t="shared" si="242"/>
        <v>-1.578745700377477</v>
      </c>
      <c r="AX2164">
        <f t="shared" si="243"/>
        <v>0.96551724137931039</v>
      </c>
      <c r="AY2164" s="62">
        <f t="shared" si="244"/>
        <v>-1.524306193467909</v>
      </c>
      <c r="AZ2164" s="68" t="str">
        <f t="shared" si="245"/>
        <v>No</v>
      </c>
      <c r="BA2164" s="68" t="str">
        <f t="shared" si="246"/>
        <v>No</v>
      </c>
    </row>
    <row r="2165" spans="1:53" hidden="1">
      <c r="A2165" t="s">
        <v>930</v>
      </c>
      <c r="B2165" t="s">
        <v>2077</v>
      </c>
      <c r="C2165" t="s">
        <v>934</v>
      </c>
      <c r="F2165" t="s">
        <v>1241</v>
      </c>
      <c r="G2165" t="s">
        <v>918</v>
      </c>
      <c r="I2165">
        <v>2018</v>
      </c>
      <c r="M2165" s="25" t="s">
        <v>36</v>
      </c>
      <c r="N2165" t="s">
        <v>36</v>
      </c>
      <c r="P2165" t="s">
        <v>60</v>
      </c>
      <c r="Q2165" t="s">
        <v>900</v>
      </c>
      <c r="R2165" t="s">
        <v>946</v>
      </c>
      <c r="S2165" t="s">
        <v>950</v>
      </c>
      <c r="T2165">
        <v>4.4709988980000004</v>
      </c>
      <c r="U2165">
        <v>118.69465510000001</v>
      </c>
      <c r="V2165" t="s">
        <v>907</v>
      </c>
      <c r="Z2165">
        <v>10</v>
      </c>
      <c r="AA2165">
        <v>10</v>
      </c>
      <c r="AD2165">
        <v>28</v>
      </c>
      <c r="AF2165">
        <v>31</v>
      </c>
      <c r="AG2165" t="s">
        <v>2162</v>
      </c>
      <c r="AJ2165" t="s">
        <v>964</v>
      </c>
      <c r="AK2165" t="s">
        <v>770</v>
      </c>
      <c r="AM2165"/>
      <c r="AN2165">
        <v>45.22</v>
      </c>
      <c r="AO2165">
        <v>0.05</v>
      </c>
      <c r="AP2165">
        <v>41.28</v>
      </c>
      <c r="AQ2165">
        <v>0.05</v>
      </c>
      <c r="AS2165">
        <v>9.1200000000000003E-2</v>
      </c>
      <c r="AT2165">
        <v>2.9999999999999999E-7</v>
      </c>
      <c r="AW2165" s="28">
        <f t="shared" si="242"/>
        <v>-78.799999999999955</v>
      </c>
      <c r="AX2165">
        <f t="shared" si="243"/>
        <v>0.95774647887323949</v>
      </c>
      <c r="AY2165" s="62">
        <f t="shared" si="244"/>
        <v>-75.470422535211227</v>
      </c>
      <c r="AZ2165" s="68" t="str">
        <f t="shared" si="245"/>
        <v>No</v>
      </c>
      <c r="BA2165" s="68" t="str">
        <f t="shared" si="246"/>
        <v>Yes</v>
      </c>
    </row>
    <row r="2166" spans="1:53" hidden="1">
      <c r="A2166" t="s">
        <v>930</v>
      </c>
      <c r="B2166" t="s">
        <v>2078</v>
      </c>
      <c r="C2166" t="s">
        <v>934</v>
      </c>
      <c r="F2166" t="s">
        <v>1241</v>
      </c>
      <c r="G2166" t="s">
        <v>918</v>
      </c>
      <c r="I2166">
        <v>2018</v>
      </c>
      <c r="M2166" s="25" t="s">
        <v>36</v>
      </c>
      <c r="N2166" t="s">
        <v>36</v>
      </c>
      <c r="P2166" t="s">
        <v>60</v>
      </c>
      <c r="Q2166" t="s">
        <v>900</v>
      </c>
      <c r="R2166" t="s">
        <v>946</v>
      </c>
      <c r="S2166" t="s">
        <v>950</v>
      </c>
      <c r="T2166">
        <v>4.4709988980000004</v>
      </c>
      <c r="U2166">
        <v>118.69465510000001</v>
      </c>
      <c r="V2166" t="s">
        <v>907</v>
      </c>
      <c r="Z2166">
        <v>45</v>
      </c>
      <c r="AA2166">
        <v>45</v>
      </c>
      <c r="AD2166">
        <v>28</v>
      </c>
      <c r="AF2166">
        <v>31</v>
      </c>
      <c r="AG2166" t="s">
        <v>2163</v>
      </c>
      <c r="AJ2166" t="s">
        <v>965</v>
      </c>
      <c r="AK2166" t="s">
        <v>40</v>
      </c>
      <c r="AM2166"/>
      <c r="AN2166">
        <v>121.96</v>
      </c>
      <c r="AO2166">
        <v>4.7</v>
      </c>
      <c r="AP2166">
        <v>113.62</v>
      </c>
      <c r="AQ2166">
        <v>6.44</v>
      </c>
      <c r="AS2166">
        <v>-7.0800000000000002E-2</v>
      </c>
      <c r="AT2166">
        <v>1.043E-4</v>
      </c>
      <c r="AW2166" s="28">
        <f t="shared" si="242"/>
        <v>-1.4793699932624789</v>
      </c>
      <c r="AX2166">
        <f t="shared" si="243"/>
        <v>0.99145299145299148</v>
      </c>
      <c r="AY2166" s="62">
        <f t="shared" si="244"/>
        <v>-1.4667258052858765</v>
      </c>
      <c r="AZ2166" s="68" t="str">
        <f t="shared" si="245"/>
        <v>No</v>
      </c>
      <c r="BA2166" s="68" t="str">
        <f t="shared" si="246"/>
        <v>No</v>
      </c>
    </row>
    <row r="2167" spans="1:53" hidden="1">
      <c r="A2167" t="s">
        <v>930</v>
      </c>
      <c r="B2167" t="s">
        <v>2079</v>
      </c>
      <c r="C2167" t="s">
        <v>934</v>
      </c>
      <c r="F2167" t="s">
        <v>1241</v>
      </c>
      <c r="G2167" t="s">
        <v>918</v>
      </c>
      <c r="I2167">
        <v>2018</v>
      </c>
      <c r="M2167" s="25" t="s">
        <v>36</v>
      </c>
      <c r="N2167" t="s">
        <v>36</v>
      </c>
      <c r="P2167" t="s">
        <v>60</v>
      </c>
      <c r="Q2167" t="s">
        <v>900</v>
      </c>
      <c r="R2167" t="s">
        <v>946</v>
      </c>
      <c r="S2167" t="s">
        <v>950</v>
      </c>
      <c r="T2167">
        <v>4.4709988980000004</v>
      </c>
      <c r="U2167">
        <v>118.69465510000001</v>
      </c>
      <c r="V2167" t="s">
        <v>907</v>
      </c>
      <c r="Z2167">
        <v>45</v>
      </c>
      <c r="AA2167">
        <v>45</v>
      </c>
      <c r="AD2167">
        <v>28</v>
      </c>
      <c r="AF2167">
        <v>31</v>
      </c>
      <c r="AG2167" t="s">
        <v>2164</v>
      </c>
      <c r="AJ2167" t="s">
        <v>966</v>
      </c>
      <c r="AK2167" t="s">
        <v>40</v>
      </c>
      <c r="AM2167"/>
      <c r="AN2167">
        <v>113.99</v>
      </c>
      <c r="AO2167">
        <v>3.69</v>
      </c>
      <c r="AP2167">
        <v>110.36</v>
      </c>
      <c r="AQ2167">
        <v>31.8</v>
      </c>
      <c r="AS2167">
        <v>-3.2399999999999998E-2</v>
      </c>
      <c r="AT2167">
        <v>1.8680000000000001E-3</v>
      </c>
      <c r="AW2167" s="28">
        <f t="shared" si="242"/>
        <v>-0.16035783259338945</v>
      </c>
      <c r="AX2167">
        <f t="shared" si="243"/>
        <v>0.99145299145299148</v>
      </c>
      <c r="AY2167" s="62">
        <f t="shared" si="244"/>
        <v>-0.15898725282763398</v>
      </c>
      <c r="AZ2167" s="68" t="str">
        <f t="shared" si="245"/>
        <v>No</v>
      </c>
      <c r="BA2167" s="68" t="str">
        <f t="shared" si="246"/>
        <v>No</v>
      </c>
    </row>
    <row r="2168" spans="1:53" hidden="1">
      <c r="A2168" t="s">
        <v>930</v>
      </c>
      <c r="B2168" t="s">
        <v>2080</v>
      </c>
      <c r="C2168" t="s">
        <v>934</v>
      </c>
      <c r="F2168" t="s">
        <v>1241</v>
      </c>
      <c r="G2168" t="s">
        <v>918</v>
      </c>
      <c r="I2168">
        <v>2018</v>
      </c>
      <c r="M2168" s="25" t="s">
        <v>36</v>
      </c>
      <c r="N2168" t="s">
        <v>36</v>
      </c>
      <c r="P2168" t="s">
        <v>60</v>
      </c>
      <c r="Q2168" t="s">
        <v>900</v>
      </c>
      <c r="R2168" t="s">
        <v>946</v>
      </c>
      <c r="S2168" t="s">
        <v>950</v>
      </c>
      <c r="T2168">
        <v>4.4709988980000004</v>
      </c>
      <c r="U2168">
        <v>118.69465510000001</v>
      </c>
      <c r="V2168" t="s">
        <v>907</v>
      </c>
      <c r="Z2168">
        <v>45</v>
      </c>
      <c r="AA2168">
        <v>45</v>
      </c>
      <c r="AD2168">
        <v>28</v>
      </c>
      <c r="AF2168">
        <v>31</v>
      </c>
      <c r="AG2168" t="s">
        <v>2165</v>
      </c>
      <c r="AJ2168" t="s">
        <v>967</v>
      </c>
      <c r="AK2168" t="s">
        <v>40</v>
      </c>
      <c r="AM2168"/>
      <c r="AN2168">
        <v>250.42</v>
      </c>
      <c r="AO2168">
        <v>4.0199999999999996</v>
      </c>
      <c r="AP2168">
        <v>238.51</v>
      </c>
      <c r="AQ2168">
        <v>3.29</v>
      </c>
      <c r="AS2168">
        <v>-4.87E-2</v>
      </c>
      <c r="AT2168">
        <v>1.0000000000000001E-5</v>
      </c>
      <c r="AW2168" s="28">
        <f t="shared" si="242"/>
        <v>-3.2424222551703803</v>
      </c>
      <c r="AX2168">
        <f t="shared" si="243"/>
        <v>0.99145299145299148</v>
      </c>
      <c r="AY2168" s="62">
        <f t="shared" si="244"/>
        <v>-3.2147092444424286</v>
      </c>
      <c r="AZ2168" s="68" t="str">
        <f t="shared" si="245"/>
        <v>No</v>
      </c>
      <c r="BA2168" s="68" t="str">
        <f t="shared" si="246"/>
        <v>No</v>
      </c>
    </row>
    <row r="2169" spans="1:53" hidden="1">
      <c r="A2169" t="s">
        <v>930</v>
      </c>
      <c r="B2169" t="s">
        <v>2081</v>
      </c>
      <c r="C2169" t="s">
        <v>934</v>
      </c>
      <c r="F2169" t="s">
        <v>1241</v>
      </c>
      <c r="G2169" t="s">
        <v>918</v>
      </c>
      <c r="I2169">
        <v>2018</v>
      </c>
      <c r="M2169" s="25" t="s">
        <v>36</v>
      </c>
      <c r="N2169" t="s">
        <v>36</v>
      </c>
      <c r="P2169" t="s">
        <v>60</v>
      </c>
      <c r="Q2169" t="s">
        <v>900</v>
      </c>
      <c r="R2169" t="s">
        <v>946</v>
      </c>
      <c r="S2169" t="s">
        <v>950</v>
      </c>
      <c r="T2169">
        <v>4.4709988980000004</v>
      </c>
      <c r="U2169">
        <v>118.69465510000001</v>
      </c>
      <c r="V2169" t="s">
        <v>907</v>
      </c>
      <c r="Z2169">
        <v>45</v>
      </c>
      <c r="AA2169">
        <v>45</v>
      </c>
      <c r="AD2169">
        <v>28</v>
      </c>
      <c r="AF2169">
        <v>31</v>
      </c>
      <c r="AG2169" t="s">
        <v>2166</v>
      </c>
      <c r="AJ2169" t="s">
        <v>968</v>
      </c>
      <c r="AK2169" t="s">
        <v>40</v>
      </c>
      <c r="AM2169"/>
      <c r="AN2169">
        <v>133.32</v>
      </c>
      <c r="AO2169">
        <v>3.15</v>
      </c>
      <c r="AP2169">
        <v>120.47</v>
      </c>
      <c r="AQ2169">
        <v>3.15</v>
      </c>
      <c r="AS2169">
        <v>-0.1014</v>
      </c>
      <c r="AT2169">
        <v>2.76E-5</v>
      </c>
      <c r="AW2169" s="28">
        <f t="shared" si="242"/>
        <v>-4.0793650793650773</v>
      </c>
      <c r="AX2169">
        <f t="shared" si="243"/>
        <v>0.99145299145299148</v>
      </c>
      <c r="AY2169" s="62">
        <f t="shared" si="244"/>
        <v>-4.0444987111653763</v>
      </c>
      <c r="AZ2169" s="68" t="str">
        <f t="shared" si="245"/>
        <v>No</v>
      </c>
      <c r="BA2169" s="68" t="str">
        <f t="shared" si="246"/>
        <v>No</v>
      </c>
    </row>
    <row r="2170" spans="1:53" hidden="1">
      <c r="A2170" t="s">
        <v>930</v>
      </c>
      <c r="B2170" t="s">
        <v>2082</v>
      </c>
      <c r="C2170" t="s">
        <v>934</v>
      </c>
      <c r="F2170" t="s">
        <v>1241</v>
      </c>
      <c r="G2170" t="s">
        <v>918</v>
      </c>
      <c r="I2170">
        <v>2018</v>
      </c>
      <c r="M2170" s="25" t="s">
        <v>36</v>
      </c>
      <c r="N2170" t="s">
        <v>36</v>
      </c>
      <c r="P2170" t="s">
        <v>60</v>
      </c>
      <c r="Q2170" t="s">
        <v>900</v>
      </c>
      <c r="R2170" t="s">
        <v>946</v>
      </c>
      <c r="S2170" t="s">
        <v>950</v>
      </c>
      <c r="T2170">
        <v>4.4709988980000004</v>
      </c>
      <c r="U2170">
        <v>118.69465510000001</v>
      </c>
      <c r="V2170" t="s">
        <v>907</v>
      </c>
      <c r="Z2170">
        <v>45</v>
      </c>
      <c r="AA2170">
        <v>45</v>
      </c>
      <c r="AD2170">
        <v>28</v>
      </c>
      <c r="AF2170">
        <v>31</v>
      </c>
      <c r="AG2170" t="s">
        <v>2167</v>
      </c>
      <c r="AJ2170" t="s">
        <v>969</v>
      </c>
      <c r="AK2170" t="s">
        <v>40</v>
      </c>
      <c r="AM2170"/>
      <c r="AN2170">
        <v>175.31</v>
      </c>
      <c r="AO2170">
        <v>3.09</v>
      </c>
      <c r="AP2170">
        <v>147.47999999999999</v>
      </c>
      <c r="AQ2170">
        <v>15.16</v>
      </c>
      <c r="AS2170">
        <v>-0.1729</v>
      </c>
      <c r="AT2170">
        <v>2.4169999999999999E-4</v>
      </c>
      <c r="AW2170" s="28">
        <f t="shared" si="242"/>
        <v>-2.5438411468755864</v>
      </c>
      <c r="AX2170">
        <f t="shared" si="243"/>
        <v>0.99145299145299148</v>
      </c>
      <c r="AY2170" s="62">
        <f t="shared" si="244"/>
        <v>-2.5220989148510089</v>
      </c>
      <c r="AZ2170" s="68" t="str">
        <f t="shared" si="245"/>
        <v>No</v>
      </c>
      <c r="BA2170" s="68" t="str">
        <f t="shared" si="246"/>
        <v>No</v>
      </c>
    </row>
    <row r="2171" spans="1:53" hidden="1">
      <c r="A2171" t="s">
        <v>930</v>
      </c>
      <c r="B2171" t="s">
        <v>2083</v>
      </c>
      <c r="C2171" t="s">
        <v>934</v>
      </c>
      <c r="F2171" t="s">
        <v>1241</v>
      </c>
      <c r="G2171" t="s">
        <v>918</v>
      </c>
      <c r="I2171">
        <v>2018</v>
      </c>
      <c r="M2171" s="25" t="s">
        <v>36</v>
      </c>
      <c r="N2171" t="s">
        <v>36</v>
      </c>
      <c r="P2171" t="s">
        <v>60</v>
      </c>
      <c r="Q2171" t="s">
        <v>900</v>
      </c>
      <c r="R2171" t="s">
        <v>946</v>
      </c>
      <c r="S2171" t="s">
        <v>950</v>
      </c>
      <c r="T2171">
        <v>4.4709988980000004</v>
      </c>
      <c r="U2171">
        <v>118.69465510000001</v>
      </c>
      <c r="V2171" t="s">
        <v>907</v>
      </c>
      <c r="Z2171">
        <v>45</v>
      </c>
      <c r="AA2171">
        <v>45</v>
      </c>
      <c r="AD2171">
        <v>28</v>
      </c>
      <c r="AF2171">
        <v>31</v>
      </c>
      <c r="AG2171" t="s">
        <v>2168</v>
      </c>
      <c r="AJ2171" t="s">
        <v>970</v>
      </c>
      <c r="AK2171" t="s">
        <v>40</v>
      </c>
      <c r="AM2171"/>
      <c r="AN2171">
        <v>92.35</v>
      </c>
      <c r="AO2171">
        <v>2.2799999999999998</v>
      </c>
      <c r="AP2171">
        <v>83.17</v>
      </c>
      <c r="AQ2171">
        <v>3.09</v>
      </c>
      <c r="AS2171">
        <v>-0.1047</v>
      </c>
      <c r="AT2171">
        <v>4.4100000000000001E-5</v>
      </c>
      <c r="AW2171" s="28">
        <f t="shared" si="242"/>
        <v>-3.3807511267857815</v>
      </c>
      <c r="AX2171">
        <f t="shared" si="243"/>
        <v>0.99145299145299148</v>
      </c>
      <c r="AY2171" s="62">
        <f t="shared" si="244"/>
        <v>-3.3518558180098346</v>
      </c>
      <c r="AZ2171" s="68" t="str">
        <f t="shared" si="245"/>
        <v>No</v>
      </c>
      <c r="BA2171" s="68" t="str">
        <f t="shared" si="246"/>
        <v>No</v>
      </c>
    </row>
    <row r="2172" spans="1:53" hidden="1">
      <c r="A2172" t="s">
        <v>930</v>
      </c>
      <c r="B2172" t="s">
        <v>2068</v>
      </c>
      <c r="C2172" t="s">
        <v>932</v>
      </c>
      <c r="F2172" t="s">
        <v>1241</v>
      </c>
      <c r="G2172" t="s">
        <v>916</v>
      </c>
      <c r="I2172">
        <v>2015</v>
      </c>
      <c r="M2172" s="25" t="s">
        <v>36</v>
      </c>
      <c r="N2172" t="s">
        <v>36</v>
      </c>
      <c r="P2172" t="s">
        <v>60</v>
      </c>
      <c r="Q2172" t="s">
        <v>900</v>
      </c>
      <c r="R2172" t="s">
        <v>946</v>
      </c>
      <c r="S2172" t="s">
        <v>948</v>
      </c>
      <c r="T2172">
        <v>-67.566666699999999</v>
      </c>
      <c r="U2172">
        <v>-68.133333329999999</v>
      </c>
      <c r="V2172" t="s">
        <v>907</v>
      </c>
      <c r="Z2172">
        <v>8</v>
      </c>
      <c r="AA2172">
        <v>8</v>
      </c>
      <c r="AD2172">
        <v>-0.3</v>
      </c>
      <c r="AF2172">
        <v>1.8</v>
      </c>
      <c r="AG2172" t="s">
        <v>2156</v>
      </c>
      <c r="AJ2172" t="s">
        <v>959</v>
      </c>
      <c r="AK2172" t="s">
        <v>69</v>
      </c>
      <c r="AM2172"/>
      <c r="AN2172">
        <v>72.489999999999995</v>
      </c>
      <c r="AO2172">
        <v>11.14</v>
      </c>
      <c r="AP2172">
        <v>58.54</v>
      </c>
      <c r="AQ2172">
        <v>14.34</v>
      </c>
      <c r="AS2172">
        <v>-0.2137</v>
      </c>
      <c r="AT2172">
        <v>1.0455000000000001E-2</v>
      </c>
      <c r="AW2172" s="28">
        <f t="shared" si="242"/>
        <v>-1.086442008286062</v>
      </c>
      <c r="AX2172">
        <f t="shared" si="243"/>
        <v>0.94545454545454544</v>
      </c>
      <c r="AY2172" s="62">
        <f t="shared" si="244"/>
        <v>-1.0271815351068223</v>
      </c>
      <c r="AZ2172" s="68" t="str">
        <f t="shared" si="245"/>
        <v>No</v>
      </c>
      <c r="BA2172" s="68" t="str">
        <f t="shared" si="246"/>
        <v>No</v>
      </c>
    </row>
    <row r="2173" spans="1:53" hidden="1">
      <c r="A2173" t="s">
        <v>930</v>
      </c>
      <c r="B2173" t="s">
        <v>2069</v>
      </c>
      <c r="C2173" t="s">
        <v>932</v>
      </c>
      <c r="F2173" t="s">
        <v>1241</v>
      </c>
      <c r="G2173" t="s">
        <v>916</v>
      </c>
      <c r="I2173">
        <v>2015</v>
      </c>
      <c r="M2173" s="25" t="s">
        <v>36</v>
      </c>
      <c r="N2173" t="s">
        <v>36</v>
      </c>
      <c r="P2173" t="s">
        <v>60</v>
      </c>
      <c r="Q2173" t="s">
        <v>900</v>
      </c>
      <c r="R2173" t="s">
        <v>946</v>
      </c>
      <c r="S2173" t="s">
        <v>948</v>
      </c>
      <c r="T2173">
        <v>-67.566666699999999</v>
      </c>
      <c r="U2173">
        <v>-68.133333329999999</v>
      </c>
      <c r="V2173" t="s">
        <v>907</v>
      </c>
      <c r="Z2173">
        <v>8</v>
      </c>
      <c r="AA2173">
        <v>8</v>
      </c>
      <c r="AD2173">
        <v>-0.3</v>
      </c>
      <c r="AF2173">
        <v>1.8</v>
      </c>
      <c r="AG2173" t="s">
        <v>2157</v>
      </c>
      <c r="AJ2173" t="s">
        <v>959</v>
      </c>
      <c r="AK2173" t="s">
        <v>69</v>
      </c>
      <c r="AM2173"/>
      <c r="AN2173">
        <v>21.21</v>
      </c>
      <c r="AO2173">
        <v>3.45</v>
      </c>
      <c r="AP2173">
        <v>92.17</v>
      </c>
      <c r="AQ2173">
        <v>23.96</v>
      </c>
      <c r="AS2173">
        <v>1.4692000000000001</v>
      </c>
      <c r="AT2173">
        <v>1.17533E-2</v>
      </c>
      <c r="AW2173" s="28">
        <f t="shared" si="242"/>
        <v>4.1455837053534035</v>
      </c>
      <c r="AX2173">
        <f t="shared" si="243"/>
        <v>0.94545454545454544</v>
      </c>
      <c r="AY2173" s="62">
        <f t="shared" si="244"/>
        <v>3.9194609577886723</v>
      </c>
      <c r="AZ2173" s="68" t="str">
        <f t="shared" si="245"/>
        <v>No</v>
      </c>
      <c r="BA2173" s="68" t="str">
        <f t="shared" si="246"/>
        <v>No</v>
      </c>
    </row>
    <row r="2174" spans="1:53" hidden="1">
      <c r="A2174" t="s">
        <v>930</v>
      </c>
      <c r="B2174" t="s">
        <v>2145</v>
      </c>
      <c r="C2174" t="s">
        <v>944</v>
      </c>
      <c r="F2174" t="s">
        <v>1241</v>
      </c>
      <c r="G2174" t="s">
        <v>928</v>
      </c>
      <c r="I2174">
        <v>2000</v>
      </c>
      <c r="M2174" s="25" t="s">
        <v>36</v>
      </c>
      <c r="N2174" t="s">
        <v>36</v>
      </c>
      <c r="P2174" t="s">
        <v>60</v>
      </c>
      <c r="Q2174" t="s">
        <v>900</v>
      </c>
      <c r="R2174" t="s">
        <v>946</v>
      </c>
      <c r="S2174" t="s">
        <v>948</v>
      </c>
      <c r="T2174">
        <v>-67.566666699999999</v>
      </c>
      <c r="U2174">
        <v>-68.116666670000001</v>
      </c>
      <c r="V2174" t="s">
        <v>907</v>
      </c>
      <c r="Z2174">
        <v>3</v>
      </c>
      <c r="AA2174">
        <v>3</v>
      </c>
      <c r="AD2174">
        <v>0.9</v>
      </c>
      <c r="AF2174">
        <v>2.5</v>
      </c>
      <c r="AG2174" t="s">
        <v>2196</v>
      </c>
      <c r="AJ2174" t="s">
        <v>994</v>
      </c>
      <c r="AK2174" t="s">
        <v>69</v>
      </c>
      <c r="AM2174"/>
      <c r="AN2174">
        <v>90.83</v>
      </c>
      <c r="AO2174">
        <v>6.55</v>
      </c>
      <c r="AP2174">
        <v>81.22</v>
      </c>
      <c r="AQ2174">
        <v>3.5</v>
      </c>
      <c r="AS2174">
        <v>-0.1118</v>
      </c>
      <c r="AT2174">
        <v>2.3524000000000002E-3</v>
      </c>
      <c r="AW2174" s="28">
        <f t="shared" si="242"/>
        <v>-1.8300197798722617</v>
      </c>
      <c r="AX2174">
        <f t="shared" si="243"/>
        <v>0.8</v>
      </c>
      <c r="AY2174" s="62">
        <f t="shared" si="244"/>
        <v>-1.4640158238978094</v>
      </c>
      <c r="AZ2174" s="68" t="str">
        <f t="shared" si="245"/>
        <v>No</v>
      </c>
      <c r="BA2174" s="68" t="str">
        <f t="shared" si="246"/>
        <v>No</v>
      </c>
    </row>
    <row r="2175" spans="1:53" hidden="1">
      <c r="A2175" t="s">
        <v>930</v>
      </c>
      <c r="B2175" t="s">
        <v>2146</v>
      </c>
      <c r="C2175" t="s">
        <v>944</v>
      </c>
      <c r="F2175" t="s">
        <v>1241</v>
      </c>
      <c r="G2175" t="s">
        <v>928</v>
      </c>
      <c r="I2175">
        <v>2000</v>
      </c>
      <c r="M2175" s="25" t="s">
        <v>36</v>
      </c>
      <c r="N2175" t="s">
        <v>36</v>
      </c>
      <c r="P2175" t="s">
        <v>60</v>
      </c>
      <c r="Q2175" t="s">
        <v>900</v>
      </c>
      <c r="R2175" t="s">
        <v>946</v>
      </c>
      <c r="S2175" t="s">
        <v>948</v>
      </c>
      <c r="T2175">
        <v>-67.566666699999999</v>
      </c>
      <c r="U2175">
        <v>-68.116666670000001</v>
      </c>
      <c r="V2175" t="s">
        <v>907</v>
      </c>
      <c r="Z2175">
        <v>3</v>
      </c>
      <c r="AA2175">
        <v>3</v>
      </c>
      <c r="AD2175">
        <v>0.9</v>
      </c>
      <c r="AF2175">
        <v>2.5</v>
      </c>
      <c r="AG2175" t="s">
        <v>2197</v>
      </c>
      <c r="AJ2175" t="s">
        <v>995</v>
      </c>
      <c r="AK2175" t="s">
        <v>69</v>
      </c>
      <c r="AM2175"/>
      <c r="AN2175">
        <v>95.28</v>
      </c>
      <c r="AO2175">
        <v>2.57</v>
      </c>
      <c r="AP2175">
        <v>79.31</v>
      </c>
      <c r="AQ2175">
        <v>7.76</v>
      </c>
      <c r="AS2175">
        <v>-0.1835</v>
      </c>
      <c r="AT2175">
        <v>3.4337E-3</v>
      </c>
      <c r="AW2175" s="28">
        <f t="shared" si="242"/>
        <v>-2.7628579342741917</v>
      </c>
      <c r="AX2175">
        <f t="shared" si="243"/>
        <v>0.8</v>
      </c>
      <c r="AY2175" s="62">
        <f t="shared" si="244"/>
        <v>-2.2102863474193533</v>
      </c>
      <c r="AZ2175" s="68" t="str">
        <f t="shared" si="245"/>
        <v>No</v>
      </c>
      <c r="BA2175" s="68" t="str">
        <f t="shared" si="246"/>
        <v>No</v>
      </c>
    </row>
    <row r="2176" spans="1:53" hidden="1">
      <c r="A2176" t="s">
        <v>930</v>
      </c>
      <c r="B2176" t="s">
        <v>2084</v>
      </c>
      <c r="C2176" t="s">
        <v>935</v>
      </c>
      <c r="F2176" t="s">
        <v>1241</v>
      </c>
      <c r="G2176" t="s">
        <v>919</v>
      </c>
      <c r="I2176">
        <v>2015</v>
      </c>
      <c r="M2176" s="25" t="s">
        <v>36</v>
      </c>
      <c r="N2176" t="s">
        <v>36</v>
      </c>
      <c r="P2176" t="s">
        <v>60</v>
      </c>
      <c r="Q2176" t="s">
        <v>900</v>
      </c>
      <c r="R2176" t="s">
        <v>946</v>
      </c>
      <c r="S2176" t="s">
        <v>951</v>
      </c>
      <c r="T2176">
        <v>-16.024722199999999</v>
      </c>
      <c r="U2176">
        <v>145.85527780000001</v>
      </c>
      <c r="V2176" t="s">
        <v>907</v>
      </c>
      <c r="Z2176">
        <v>6</v>
      </c>
      <c r="AA2176">
        <v>6</v>
      </c>
      <c r="AD2176">
        <v>28</v>
      </c>
      <c r="AF2176">
        <v>29</v>
      </c>
      <c r="AG2176" t="s">
        <v>2169</v>
      </c>
      <c r="AJ2176" t="s">
        <v>971</v>
      </c>
      <c r="AK2176" t="s">
        <v>770</v>
      </c>
      <c r="AM2176"/>
      <c r="AN2176">
        <v>1.9</v>
      </c>
      <c r="AO2176">
        <v>0.97</v>
      </c>
      <c r="AP2176">
        <v>4.5599999999999996</v>
      </c>
      <c r="AQ2176">
        <v>2.11</v>
      </c>
      <c r="AS2176">
        <v>0.87549999999999994</v>
      </c>
      <c r="AT2176">
        <v>7.91964E-2</v>
      </c>
      <c r="AW2176" s="28">
        <f t="shared" si="242"/>
        <v>1.6198747070012383</v>
      </c>
      <c r="AX2176">
        <f t="shared" si="243"/>
        <v>0.92307692307692313</v>
      </c>
      <c r="AY2176" s="62">
        <f t="shared" si="244"/>
        <v>1.4952689603088354</v>
      </c>
      <c r="AZ2176" s="68" t="str">
        <f t="shared" si="245"/>
        <v>No</v>
      </c>
      <c r="BA2176" s="68" t="str">
        <f t="shared" si="246"/>
        <v>No</v>
      </c>
    </row>
    <row r="2177" spans="1:55" hidden="1">
      <c r="A2177" t="s">
        <v>930</v>
      </c>
      <c r="B2177" t="s">
        <v>2085</v>
      </c>
      <c r="C2177" t="s">
        <v>935</v>
      </c>
      <c r="F2177" t="s">
        <v>1241</v>
      </c>
      <c r="G2177" t="s">
        <v>919</v>
      </c>
      <c r="I2177">
        <v>2015</v>
      </c>
      <c r="M2177" s="25" t="s">
        <v>36</v>
      </c>
      <c r="N2177" t="s">
        <v>36</v>
      </c>
      <c r="P2177" t="s">
        <v>60</v>
      </c>
      <c r="Q2177" t="s">
        <v>900</v>
      </c>
      <c r="R2177" t="s">
        <v>946</v>
      </c>
      <c r="S2177" t="s">
        <v>951</v>
      </c>
      <c r="T2177">
        <v>-16.024722199999999</v>
      </c>
      <c r="U2177">
        <v>145.85527780000001</v>
      </c>
      <c r="V2177" t="s">
        <v>907</v>
      </c>
      <c r="Z2177">
        <v>6</v>
      </c>
      <c r="AA2177">
        <v>6</v>
      </c>
      <c r="AD2177">
        <v>28</v>
      </c>
      <c r="AF2177">
        <v>30</v>
      </c>
      <c r="AG2177" t="s">
        <v>2169</v>
      </c>
      <c r="AJ2177" t="s">
        <v>971</v>
      </c>
      <c r="AK2177" t="s">
        <v>770</v>
      </c>
      <c r="AM2177"/>
      <c r="AN2177">
        <v>1.9</v>
      </c>
      <c r="AO2177">
        <v>0.97</v>
      </c>
      <c r="AP2177">
        <v>9.1999999999999993</v>
      </c>
      <c r="AQ2177">
        <v>3.43</v>
      </c>
      <c r="AS2177">
        <v>1.5772999999999999</v>
      </c>
      <c r="AT2177">
        <v>6.6816799999999996E-2</v>
      </c>
      <c r="AW2177" s="28">
        <f t="shared" si="242"/>
        <v>2.896255359825882</v>
      </c>
      <c r="AX2177">
        <f t="shared" si="243"/>
        <v>0.92307692307692313</v>
      </c>
      <c r="AY2177" s="62">
        <f t="shared" si="244"/>
        <v>2.6734664859931221</v>
      </c>
      <c r="AZ2177" s="68" t="str">
        <f t="shared" si="245"/>
        <v>No</v>
      </c>
      <c r="BA2177" s="68" t="str">
        <f t="shared" si="246"/>
        <v>No</v>
      </c>
    </row>
    <row r="2178" spans="1:55" hidden="1">
      <c r="A2178" t="s">
        <v>930</v>
      </c>
      <c r="B2178" t="s">
        <v>2086</v>
      </c>
      <c r="C2178" t="s">
        <v>935</v>
      </c>
      <c r="F2178" t="s">
        <v>1241</v>
      </c>
      <c r="G2178" t="s">
        <v>919</v>
      </c>
      <c r="I2178">
        <v>2015</v>
      </c>
      <c r="M2178" s="25" t="s">
        <v>36</v>
      </c>
      <c r="N2178" t="s">
        <v>36</v>
      </c>
      <c r="P2178" t="s">
        <v>60</v>
      </c>
      <c r="Q2178" t="s">
        <v>900</v>
      </c>
      <c r="R2178" t="s">
        <v>946</v>
      </c>
      <c r="S2178" t="s">
        <v>951</v>
      </c>
      <c r="T2178">
        <v>-16.024722199999999</v>
      </c>
      <c r="U2178">
        <v>145.85527780000001</v>
      </c>
      <c r="V2178" t="s">
        <v>907</v>
      </c>
      <c r="Z2178">
        <v>6</v>
      </c>
      <c r="AA2178">
        <v>6</v>
      </c>
      <c r="AD2178">
        <v>28</v>
      </c>
      <c r="AF2178">
        <v>29</v>
      </c>
      <c r="AG2178" t="s">
        <v>2170</v>
      </c>
      <c r="AJ2178" t="s">
        <v>972</v>
      </c>
      <c r="AK2178" t="s">
        <v>770</v>
      </c>
      <c r="AM2178"/>
      <c r="AN2178">
        <v>7</v>
      </c>
      <c r="AO2178">
        <v>1.93</v>
      </c>
      <c r="AP2178">
        <v>6.27</v>
      </c>
      <c r="AQ2178">
        <v>2.52</v>
      </c>
      <c r="AS2178">
        <v>-0.1101</v>
      </c>
      <c r="AT2178">
        <v>3.94493E-2</v>
      </c>
      <c r="AW2178" s="28">
        <f t="shared" si="242"/>
        <v>-0.32524367882689925</v>
      </c>
      <c r="AX2178">
        <f t="shared" si="243"/>
        <v>0.92307692307692313</v>
      </c>
      <c r="AY2178" s="62">
        <f t="shared" si="244"/>
        <v>-0.30022493430175318</v>
      </c>
      <c r="AZ2178" s="68" t="str">
        <f t="shared" si="245"/>
        <v>No</v>
      </c>
      <c r="BA2178" s="68" t="str">
        <f t="shared" si="246"/>
        <v>No</v>
      </c>
    </row>
    <row r="2179" spans="1:55" hidden="1">
      <c r="A2179" t="s">
        <v>930</v>
      </c>
      <c r="B2179" t="s">
        <v>2087</v>
      </c>
      <c r="C2179" t="s">
        <v>935</v>
      </c>
      <c r="F2179" t="s">
        <v>1241</v>
      </c>
      <c r="G2179" t="s">
        <v>919</v>
      </c>
      <c r="I2179">
        <v>2015</v>
      </c>
      <c r="M2179" s="25" t="s">
        <v>36</v>
      </c>
      <c r="N2179" t="s">
        <v>36</v>
      </c>
      <c r="P2179" t="s">
        <v>60</v>
      </c>
      <c r="Q2179" t="s">
        <v>900</v>
      </c>
      <c r="R2179" t="s">
        <v>946</v>
      </c>
      <c r="S2179" t="s">
        <v>951</v>
      </c>
      <c r="T2179">
        <v>-16.024722199999999</v>
      </c>
      <c r="U2179">
        <v>145.85527780000001</v>
      </c>
      <c r="V2179" t="s">
        <v>907</v>
      </c>
      <c r="Z2179">
        <v>6</v>
      </c>
      <c r="AA2179">
        <v>6</v>
      </c>
      <c r="AD2179">
        <v>28</v>
      </c>
      <c r="AF2179">
        <v>30</v>
      </c>
      <c r="AG2179" t="s">
        <v>2170</v>
      </c>
      <c r="AJ2179" t="s">
        <v>972</v>
      </c>
      <c r="AK2179" t="s">
        <v>770</v>
      </c>
      <c r="AM2179"/>
      <c r="AN2179">
        <v>7</v>
      </c>
      <c r="AO2179">
        <v>1.93</v>
      </c>
      <c r="AP2179">
        <v>8.7799999999999994</v>
      </c>
      <c r="AQ2179">
        <v>3.49</v>
      </c>
      <c r="AS2179">
        <v>0.2266</v>
      </c>
      <c r="AT2179">
        <v>3.8917E-2</v>
      </c>
      <c r="AW2179" s="28">
        <f t="shared" si="242"/>
        <v>0.63120170514737128</v>
      </c>
      <c r="AX2179">
        <f t="shared" si="243"/>
        <v>0.92307692307692313</v>
      </c>
      <c r="AY2179" s="62">
        <f t="shared" si="244"/>
        <v>0.58264772782834273</v>
      </c>
      <c r="AZ2179" s="68" t="str">
        <f t="shared" si="245"/>
        <v>No</v>
      </c>
      <c r="BA2179" s="68" t="str">
        <f t="shared" si="246"/>
        <v>No</v>
      </c>
    </row>
    <row r="2180" spans="1:55" hidden="1">
      <c r="A2180" t="s">
        <v>3914</v>
      </c>
      <c r="G2180" t="s">
        <v>5087</v>
      </c>
      <c r="P2180" t="s">
        <v>60</v>
      </c>
      <c r="R2180" t="s">
        <v>4509</v>
      </c>
      <c r="S2180" t="s">
        <v>1138</v>
      </c>
      <c r="V2180" t="s">
        <v>3956</v>
      </c>
      <c r="Z2180">
        <v>9</v>
      </c>
      <c r="AA2180">
        <v>14</v>
      </c>
      <c r="AC2180">
        <v>692</v>
      </c>
      <c r="AD2180">
        <v>10</v>
      </c>
      <c r="AE2180">
        <v>1198</v>
      </c>
      <c r="AF2180">
        <v>10</v>
      </c>
      <c r="AJ2180" t="s">
        <v>4533</v>
      </c>
      <c r="AK2180" t="s">
        <v>4537</v>
      </c>
      <c r="AN2180">
        <v>3.8</v>
      </c>
      <c r="AO2180">
        <v>0.2</v>
      </c>
      <c r="AP2180">
        <v>3.9</v>
      </c>
      <c r="AQ2180">
        <v>0.3</v>
      </c>
      <c r="AW2180" s="28">
        <f t="shared" si="242"/>
        <v>0.3754192287502553</v>
      </c>
      <c r="AX2180">
        <f t="shared" si="243"/>
        <v>0.96385542168674698</v>
      </c>
      <c r="AY2180" s="62">
        <f t="shared" si="244"/>
        <v>0.36184985903639066</v>
      </c>
      <c r="AZ2180" s="68" t="str">
        <f t="shared" si="245"/>
        <v>No</v>
      </c>
      <c r="BA2180" s="68" t="str">
        <f t="shared" si="246"/>
        <v>No</v>
      </c>
    </row>
    <row r="2181" spans="1:55" ht="15" hidden="1">
      <c r="A2181" t="s">
        <v>3914</v>
      </c>
      <c r="G2181" s="50" t="s">
        <v>4527</v>
      </c>
      <c r="P2181" t="s">
        <v>60</v>
      </c>
      <c r="R2181" t="s">
        <v>4509</v>
      </c>
      <c r="S2181" s="50" t="s">
        <v>1138</v>
      </c>
      <c r="V2181" t="s">
        <v>3956</v>
      </c>
      <c r="Z2181" s="50">
        <v>10</v>
      </c>
      <c r="AA2181" s="50">
        <v>20</v>
      </c>
      <c r="AC2181">
        <v>692</v>
      </c>
      <c r="AD2181">
        <v>10</v>
      </c>
      <c r="AE2181">
        <v>1198</v>
      </c>
      <c r="AF2181">
        <v>10</v>
      </c>
      <c r="AJ2181" s="50" t="s">
        <v>4539</v>
      </c>
      <c r="AK2181" t="s">
        <v>4537</v>
      </c>
      <c r="AN2181">
        <v>3.2</v>
      </c>
      <c r="AO2181">
        <v>1</v>
      </c>
      <c r="AP2181">
        <v>3</v>
      </c>
      <c r="AQ2181">
        <v>0.4</v>
      </c>
      <c r="AW2181" s="28">
        <f t="shared" si="242"/>
        <v>-0.30499714066520961</v>
      </c>
      <c r="AX2181">
        <f t="shared" si="243"/>
        <v>0.97297297297297303</v>
      </c>
      <c r="AY2181" s="73">
        <f t="shared" si="244"/>
        <v>-0.29675397470128506</v>
      </c>
      <c r="AZ2181" s="74" t="str">
        <f t="shared" si="245"/>
        <v>No</v>
      </c>
      <c r="BA2181" s="74" t="str">
        <f t="shared" si="246"/>
        <v>No</v>
      </c>
      <c r="BB2181" s="56"/>
      <c r="BC2181" s="56"/>
    </row>
    <row r="2182" spans="1:55" hidden="1">
      <c r="A2182" t="s">
        <v>3914</v>
      </c>
      <c r="G2182" s="50" t="s">
        <v>4046</v>
      </c>
      <c r="P2182" t="s">
        <v>60</v>
      </c>
      <c r="R2182" t="s">
        <v>4035</v>
      </c>
      <c r="S2182" s="50" t="s">
        <v>4056</v>
      </c>
      <c r="V2182" t="s">
        <v>3956</v>
      </c>
      <c r="Z2182">
        <v>3</v>
      </c>
      <c r="AA2182">
        <v>3</v>
      </c>
      <c r="AC2182">
        <v>357</v>
      </c>
      <c r="AD2182">
        <v>28</v>
      </c>
      <c r="AE2182">
        <v>796</v>
      </c>
      <c r="AF2182">
        <v>28</v>
      </c>
      <c r="AJ2182" s="50" t="s">
        <v>4078</v>
      </c>
      <c r="AK2182" t="s">
        <v>4081</v>
      </c>
      <c r="AN2182">
        <v>2</v>
      </c>
      <c r="AO2182">
        <v>0.25980762113533157</v>
      </c>
      <c r="AP2182">
        <v>1.35</v>
      </c>
      <c r="AQ2182">
        <v>0.17320508075688773</v>
      </c>
      <c r="AW2182" s="28">
        <f t="shared" si="242"/>
        <v>-2.9439202887759484</v>
      </c>
      <c r="AX2182">
        <f t="shared" si="243"/>
        <v>0.8</v>
      </c>
      <c r="AY2182" s="62">
        <f t="shared" si="244"/>
        <v>-2.3551362310207589</v>
      </c>
      <c r="AZ2182" s="68" t="str">
        <f t="shared" si="245"/>
        <v>No</v>
      </c>
      <c r="BA2182" s="68" t="str">
        <f t="shared" si="246"/>
        <v>No</v>
      </c>
    </row>
    <row r="2183" spans="1:55" hidden="1">
      <c r="A2183" t="s">
        <v>3914</v>
      </c>
      <c r="G2183" t="s">
        <v>4046</v>
      </c>
      <c r="P2183" t="s">
        <v>60</v>
      </c>
      <c r="R2183" t="s">
        <v>4035</v>
      </c>
      <c r="S2183" t="s">
        <v>4056</v>
      </c>
      <c r="V2183" t="s">
        <v>3956</v>
      </c>
      <c r="Z2183">
        <v>15</v>
      </c>
      <c r="AA2183">
        <v>13</v>
      </c>
      <c r="AC2183">
        <v>357</v>
      </c>
      <c r="AD2183">
        <v>28</v>
      </c>
      <c r="AE2183">
        <v>796</v>
      </c>
      <c r="AF2183">
        <v>28</v>
      </c>
      <c r="AJ2183" t="s">
        <v>1791</v>
      </c>
      <c r="AK2183" t="s">
        <v>4041</v>
      </c>
      <c r="AN2183">
        <v>53</v>
      </c>
      <c r="AO2183">
        <v>27.11088342345192</v>
      </c>
      <c r="AP2183">
        <v>21</v>
      </c>
      <c r="AQ2183">
        <v>19.364916731037084</v>
      </c>
      <c r="AW2183" s="28">
        <f t="shared" si="242"/>
        <v>-1.3416911814960977</v>
      </c>
      <c r="AX2183">
        <f t="shared" si="243"/>
        <v>0.970873786407767</v>
      </c>
      <c r="AY2183" s="62">
        <f t="shared" si="244"/>
        <v>-1.3026127975690269</v>
      </c>
      <c r="AZ2183" s="68" t="str">
        <f t="shared" si="245"/>
        <v>No</v>
      </c>
      <c r="BA2183" s="68" t="str">
        <f t="shared" si="246"/>
        <v>No</v>
      </c>
    </row>
    <row r="2184" spans="1:55" hidden="1">
      <c r="A2184" t="s">
        <v>3914</v>
      </c>
      <c r="G2184" t="s">
        <v>4046</v>
      </c>
      <c r="P2184" t="s">
        <v>60</v>
      </c>
      <c r="R2184" t="s">
        <v>4035</v>
      </c>
      <c r="S2184" t="s">
        <v>4056</v>
      </c>
      <c r="V2184" t="s">
        <v>3956</v>
      </c>
      <c r="Z2184">
        <v>15</v>
      </c>
      <c r="AA2184">
        <v>13</v>
      </c>
      <c r="AC2184">
        <v>357</v>
      </c>
      <c r="AD2184">
        <v>28</v>
      </c>
      <c r="AE2184">
        <v>796</v>
      </c>
      <c r="AF2184">
        <v>28</v>
      </c>
      <c r="AJ2184" t="s">
        <v>1791</v>
      </c>
      <c r="AK2184" t="s">
        <v>4041</v>
      </c>
      <c r="AN2184">
        <v>65</v>
      </c>
      <c r="AO2184">
        <v>30.983866769659336</v>
      </c>
      <c r="AP2184">
        <v>47</v>
      </c>
      <c r="AQ2184">
        <v>34.856850115866756</v>
      </c>
      <c r="AW2184" s="28">
        <f t="shared" si="242"/>
        <v>-0.54830867062899702</v>
      </c>
      <c r="AX2184">
        <f t="shared" si="243"/>
        <v>0.970873786407767</v>
      </c>
      <c r="AY2184" s="62">
        <f t="shared" si="244"/>
        <v>-0.5323385151737835</v>
      </c>
      <c r="AZ2184" s="68" t="str">
        <f t="shared" si="245"/>
        <v>No</v>
      </c>
      <c r="BA2184" s="68" t="str">
        <f t="shared" si="246"/>
        <v>No</v>
      </c>
    </row>
    <row r="2185" spans="1:55" hidden="1">
      <c r="A2185" t="s">
        <v>3914</v>
      </c>
      <c r="G2185" t="s">
        <v>4031</v>
      </c>
      <c r="P2185" t="s">
        <v>60</v>
      </c>
      <c r="R2185" t="s">
        <v>4035</v>
      </c>
      <c r="S2185" t="s">
        <v>1767</v>
      </c>
      <c r="V2185" t="s">
        <v>3956</v>
      </c>
      <c r="Z2185">
        <v>6</v>
      </c>
      <c r="AA2185">
        <v>6</v>
      </c>
      <c r="AC2185">
        <v>434</v>
      </c>
      <c r="AD2185">
        <v>27</v>
      </c>
      <c r="AE2185">
        <v>815</v>
      </c>
      <c r="AF2185">
        <v>27</v>
      </c>
      <c r="AJ2185" t="s">
        <v>2020</v>
      </c>
      <c r="AK2185" t="s">
        <v>4041</v>
      </c>
      <c r="AN2185">
        <v>97.7</v>
      </c>
      <c r="AO2185">
        <v>0.9797958971132712</v>
      </c>
      <c r="AP2185">
        <v>98.3</v>
      </c>
      <c r="AQ2185">
        <v>1.2247448713915889</v>
      </c>
      <c r="AW2185" s="28">
        <f t="shared" si="242"/>
        <v>0.54100178080045425</v>
      </c>
      <c r="AX2185">
        <f t="shared" si="243"/>
        <v>0.92307692307692313</v>
      </c>
      <c r="AY2185" s="62">
        <f t="shared" si="244"/>
        <v>0.49938625920041935</v>
      </c>
      <c r="AZ2185" s="68" t="str">
        <f t="shared" si="245"/>
        <v>No</v>
      </c>
      <c r="BA2185" s="68" t="str">
        <f t="shared" si="246"/>
        <v>No</v>
      </c>
    </row>
    <row r="2186" spans="1:55" hidden="1">
      <c r="A2186" t="s">
        <v>3914</v>
      </c>
      <c r="G2186" t="s">
        <v>4031</v>
      </c>
      <c r="P2186" t="s">
        <v>4596</v>
      </c>
      <c r="R2186" t="s">
        <v>4035</v>
      </c>
      <c r="S2186" t="s">
        <v>1767</v>
      </c>
      <c r="V2186" t="s">
        <v>4598</v>
      </c>
      <c r="Z2186">
        <v>6</v>
      </c>
      <c r="AA2186">
        <v>6</v>
      </c>
      <c r="AC2186">
        <v>434</v>
      </c>
      <c r="AD2186">
        <v>27</v>
      </c>
      <c r="AE2186">
        <v>488</v>
      </c>
      <c r="AF2186">
        <v>30</v>
      </c>
      <c r="AJ2186" t="s">
        <v>2020</v>
      </c>
      <c r="AK2186" t="s">
        <v>4041</v>
      </c>
      <c r="AN2186">
        <v>97.7</v>
      </c>
      <c r="AO2186">
        <v>0.9797958971132712</v>
      </c>
      <c r="AP2186">
        <v>96.6</v>
      </c>
      <c r="AQ2186">
        <v>1.2247448713915889</v>
      </c>
      <c r="AW2186" s="28">
        <f t="shared" si="242"/>
        <v>-0.99183659813418323</v>
      </c>
      <c r="AX2186">
        <f t="shared" si="243"/>
        <v>0.92307692307692313</v>
      </c>
      <c r="AY2186" s="62">
        <f t="shared" si="244"/>
        <v>-0.91554147520078455</v>
      </c>
      <c r="AZ2186" s="68" t="str">
        <f t="shared" si="245"/>
        <v>No</v>
      </c>
      <c r="BA2186" s="68" t="str">
        <f t="shared" si="246"/>
        <v>No</v>
      </c>
    </row>
    <row r="2187" spans="1:55" hidden="1">
      <c r="A2187" t="s">
        <v>3914</v>
      </c>
      <c r="G2187" t="s">
        <v>4031</v>
      </c>
      <c r="P2187" t="s">
        <v>4596</v>
      </c>
      <c r="R2187" t="s">
        <v>4035</v>
      </c>
      <c r="S2187" t="s">
        <v>1767</v>
      </c>
      <c r="V2187" t="s">
        <v>4600</v>
      </c>
      <c r="Z2187">
        <v>6</v>
      </c>
      <c r="AA2187">
        <v>6</v>
      </c>
      <c r="AC2187">
        <v>434</v>
      </c>
      <c r="AD2187">
        <v>27</v>
      </c>
      <c r="AE2187">
        <v>912</v>
      </c>
      <c r="AF2187">
        <v>30</v>
      </c>
      <c r="AJ2187" t="s">
        <v>2020</v>
      </c>
      <c r="AK2187" t="s">
        <v>4041</v>
      </c>
      <c r="AN2187">
        <v>97.7</v>
      </c>
      <c r="AO2187">
        <v>0.9797958971132712</v>
      </c>
      <c r="AP2187">
        <v>94.9</v>
      </c>
      <c r="AQ2187">
        <v>1.2247448713915889</v>
      </c>
      <c r="AW2187" s="28">
        <f t="shared" si="242"/>
        <v>-2.5246749770688082</v>
      </c>
      <c r="AX2187">
        <f t="shared" si="243"/>
        <v>0.92307692307692313</v>
      </c>
      <c r="AY2187" s="62">
        <f t="shared" si="244"/>
        <v>-2.330469209601977</v>
      </c>
      <c r="AZ2187" s="68" t="str">
        <f t="shared" si="245"/>
        <v>No</v>
      </c>
      <c r="BA2187" s="68" t="str">
        <f t="shared" si="246"/>
        <v>No</v>
      </c>
    </row>
    <row r="2188" spans="1:55" hidden="1">
      <c r="A2188" t="s">
        <v>3914</v>
      </c>
      <c r="G2188" t="s">
        <v>4031</v>
      </c>
      <c r="P2188" t="s">
        <v>4596</v>
      </c>
      <c r="R2188" t="s">
        <v>4035</v>
      </c>
      <c r="S2188" t="s">
        <v>1767</v>
      </c>
      <c r="V2188" t="s">
        <v>4598</v>
      </c>
      <c r="Z2188">
        <v>6</v>
      </c>
      <c r="AA2188">
        <v>6</v>
      </c>
      <c r="AC2188">
        <v>434</v>
      </c>
      <c r="AD2188">
        <v>27</v>
      </c>
      <c r="AE2188">
        <v>488</v>
      </c>
      <c r="AF2188">
        <v>30</v>
      </c>
      <c r="AJ2188" t="s">
        <v>4694</v>
      </c>
      <c r="AK2188" t="s">
        <v>4041</v>
      </c>
      <c r="AN2188">
        <v>98.3</v>
      </c>
      <c r="AO2188">
        <v>1.2247448713915889</v>
      </c>
      <c r="AP2188">
        <v>83.6</v>
      </c>
      <c r="AQ2188">
        <v>4.8989794855663558</v>
      </c>
      <c r="AW2188" s="28">
        <f t="shared" si="242"/>
        <v>-4.1168234470423499</v>
      </c>
      <c r="AX2188">
        <f t="shared" si="243"/>
        <v>0.92307692307692313</v>
      </c>
      <c r="AY2188" s="62">
        <f t="shared" si="244"/>
        <v>-3.8001447203467849</v>
      </c>
      <c r="AZ2188" s="68" t="str">
        <f t="shared" si="245"/>
        <v>No</v>
      </c>
      <c r="BA2188" s="68" t="str">
        <f t="shared" si="246"/>
        <v>No</v>
      </c>
    </row>
    <row r="2189" spans="1:55" hidden="1">
      <c r="A2189" t="s">
        <v>3914</v>
      </c>
      <c r="G2189" t="s">
        <v>4031</v>
      </c>
      <c r="P2189" t="s">
        <v>4596</v>
      </c>
      <c r="R2189" t="s">
        <v>4035</v>
      </c>
      <c r="S2189" t="s">
        <v>1767</v>
      </c>
      <c r="V2189" t="s">
        <v>4600</v>
      </c>
      <c r="Z2189">
        <v>6</v>
      </c>
      <c r="AA2189">
        <v>6</v>
      </c>
      <c r="AC2189">
        <v>434</v>
      </c>
      <c r="AD2189">
        <v>27</v>
      </c>
      <c r="AE2189">
        <v>912</v>
      </c>
      <c r="AF2189">
        <v>30</v>
      </c>
      <c r="AJ2189" t="s">
        <v>2020</v>
      </c>
      <c r="AK2189" t="s">
        <v>4041</v>
      </c>
      <c r="AN2189">
        <v>98.3</v>
      </c>
      <c r="AO2189">
        <v>1.2247448713915889</v>
      </c>
      <c r="AP2189">
        <v>59.7</v>
      </c>
      <c r="AQ2189">
        <v>14.696938456699067</v>
      </c>
      <c r="AW2189" s="28">
        <f t="shared" si="242"/>
        <v>-3.7014566874671657</v>
      </c>
      <c r="AX2189">
        <f t="shared" si="243"/>
        <v>0.92307692307692313</v>
      </c>
      <c r="AY2189" s="62">
        <f t="shared" si="244"/>
        <v>-3.4167292499696917</v>
      </c>
      <c r="AZ2189" s="68" t="str">
        <f t="shared" si="245"/>
        <v>No</v>
      </c>
      <c r="BA2189" s="68" t="str">
        <f t="shared" si="246"/>
        <v>No</v>
      </c>
    </row>
    <row r="2190" spans="1:55" hidden="1">
      <c r="A2190" t="s">
        <v>3914</v>
      </c>
      <c r="G2190" t="s">
        <v>4044</v>
      </c>
      <c r="P2190" t="s">
        <v>60</v>
      </c>
      <c r="R2190" t="s">
        <v>4035</v>
      </c>
      <c r="S2190" t="s">
        <v>4056</v>
      </c>
      <c r="V2190" t="s">
        <v>3956</v>
      </c>
      <c r="Z2190">
        <v>8</v>
      </c>
      <c r="AA2190">
        <v>8</v>
      </c>
      <c r="AC2190">
        <v>476.2</v>
      </c>
      <c r="AD2190">
        <v>25.4</v>
      </c>
      <c r="AE2190">
        <v>641.4</v>
      </c>
      <c r="AF2190">
        <v>25.4</v>
      </c>
      <c r="AJ2190" t="s">
        <v>1791</v>
      </c>
      <c r="AK2190" t="s">
        <v>4041</v>
      </c>
      <c r="AN2190">
        <v>12.5</v>
      </c>
      <c r="AO2190">
        <v>4.95</v>
      </c>
      <c r="AP2190">
        <v>13.33</v>
      </c>
      <c r="AQ2190">
        <v>3.56</v>
      </c>
      <c r="AW2190" s="28">
        <f t="shared" ref="AW2190:AW2253" si="247">(AP2190-$AN2190)/SQRT(((AA2190-1)*AQ2190*AQ2190+($Z2190-1)*$AO2190*$AO2190)/(AA2190+$Z2190-2))</f>
        <v>0.19251349404909376</v>
      </c>
      <c r="AX2190">
        <f t="shared" ref="AX2190:AX2253" si="248">1-(3/(4*(AA2190+$Z2190-2)-1))</f>
        <v>0.94545454545454544</v>
      </c>
      <c r="AY2190" s="62">
        <f t="shared" ref="AY2190:AY2253" si="249">AX2190*AW2190</f>
        <v>0.18201275801005229</v>
      </c>
      <c r="AZ2190" s="68" t="str">
        <f t="shared" ref="AZ2190:AZ2253" si="250">IF(AY2190&gt;10,"Yes","No")</f>
        <v>No</v>
      </c>
      <c r="BA2190" s="68" t="str">
        <f t="shared" ref="BA2190:BA2253" si="251">IF(AY2190&lt;-10,"Yes","No")</f>
        <v>No</v>
      </c>
    </row>
    <row r="2191" spans="1:55" ht="15" hidden="1">
      <c r="A2191" t="s">
        <v>3914</v>
      </c>
      <c r="G2191" t="s">
        <v>4044</v>
      </c>
      <c r="P2191" t="s">
        <v>60</v>
      </c>
      <c r="R2191" t="s">
        <v>4035</v>
      </c>
      <c r="S2191" t="s">
        <v>4056</v>
      </c>
      <c r="V2191" t="s">
        <v>3956</v>
      </c>
      <c r="Z2191">
        <v>12</v>
      </c>
      <c r="AA2191">
        <v>12</v>
      </c>
      <c r="AC2191">
        <v>509.9</v>
      </c>
      <c r="AD2191">
        <v>26.8</v>
      </c>
      <c r="AE2191">
        <v>696.4</v>
      </c>
      <c r="AF2191">
        <v>26.8</v>
      </c>
      <c r="AJ2191" t="s">
        <v>1791</v>
      </c>
      <c r="AK2191" t="s">
        <v>4041</v>
      </c>
      <c r="AN2191">
        <v>34.72</v>
      </c>
      <c r="AO2191">
        <v>7.29</v>
      </c>
      <c r="AP2191">
        <v>26.39</v>
      </c>
      <c r="AQ2191">
        <v>5.83</v>
      </c>
      <c r="AW2191" s="28">
        <f t="shared" si="247"/>
        <v>-1.2620270561309765</v>
      </c>
      <c r="AX2191">
        <f t="shared" si="248"/>
        <v>0.96551724137931039</v>
      </c>
      <c r="AY2191" s="73">
        <f t="shared" si="249"/>
        <v>-1.2185088817816325</v>
      </c>
      <c r="AZ2191" s="74" t="str">
        <f t="shared" si="250"/>
        <v>No</v>
      </c>
      <c r="BA2191" s="74" t="str">
        <f t="shared" si="251"/>
        <v>No</v>
      </c>
      <c r="BB2191" s="56"/>
      <c r="BC2191" s="56"/>
    </row>
    <row r="2192" spans="1:55" ht="15" hidden="1">
      <c r="A2192" t="s">
        <v>3914</v>
      </c>
      <c r="G2192" t="s">
        <v>4030</v>
      </c>
      <c r="P2192" t="s">
        <v>60</v>
      </c>
      <c r="R2192" t="s">
        <v>4035</v>
      </c>
      <c r="S2192" t="s">
        <v>4036</v>
      </c>
      <c r="V2192" t="s">
        <v>3956</v>
      </c>
      <c r="Z2192">
        <v>10</v>
      </c>
      <c r="AA2192">
        <v>10</v>
      </c>
      <c r="AC2192">
        <v>468</v>
      </c>
      <c r="AD2192">
        <v>28</v>
      </c>
      <c r="AE2192">
        <v>998</v>
      </c>
      <c r="AF2192">
        <v>28</v>
      </c>
      <c r="AJ2192" t="s">
        <v>1813</v>
      </c>
      <c r="AK2192" t="s">
        <v>4041</v>
      </c>
      <c r="AN2192">
        <v>49</v>
      </c>
      <c r="AO2192">
        <v>7.905694150420949</v>
      </c>
      <c r="AP2192">
        <v>43</v>
      </c>
      <c r="AQ2192">
        <v>4.7434164902525691</v>
      </c>
      <c r="AW2192" s="28">
        <f t="shared" si="247"/>
        <v>-0.92035798661684443</v>
      </c>
      <c r="AX2192">
        <f t="shared" si="248"/>
        <v>0.95774647887323949</v>
      </c>
      <c r="AY2192" s="73">
        <f t="shared" si="249"/>
        <v>-0.88146962098514681</v>
      </c>
      <c r="AZ2192" s="74" t="str">
        <f t="shared" si="250"/>
        <v>No</v>
      </c>
      <c r="BA2192" s="74" t="str">
        <f t="shared" si="251"/>
        <v>No</v>
      </c>
      <c r="BB2192" s="56"/>
      <c r="BC2192" s="56"/>
    </row>
    <row r="2193" spans="1:55" hidden="1">
      <c r="A2193" t="s">
        <v>3914</v>
      </c>
      <c r="G2193" t="s">
        <v>4030</v>
      </c>
      <c r="P2193" t="s">
        <v>60</v>
      </c>
      <c r="R2193" t="s">
        <v>4035</v>
      </c>
      <c r="S2193" t="s">
        <v>4036</v>
      </c>
      <c r="V2193" t="s">
        <v>3956</v>
      </c>
      <c r="Z2193">
        <v>24</v>
      </c>
      <c r="AA2193">
        <v>24</v>
      </c>
      <c r="AC2193">
        <v>491</v>
      </c>
      <c r="AD2193">
        <v>28</v>
      </c>
      <c r="AE2193">
        <v>876</v>
      </c>
      <c r="AF2193">
        <v>28</v>
      </c>
      <c r="AJ2193" t="s">
        <v>1791</v>
      </c>
      <c r="AK2193" t="s">
        <v>4041</v>
      </c>
      <c r="AN2193">
        <v>63</v>
      </c>
      <c r="AO2193">
        <v>19.595917942265423</v>
      </c>
      <c r="AP2193">
        <v>23</v>
      </c>
      <c r="AQ2193">
        <v>9.7979589711327115</v>
      </c>
      <c r="AW2193" s="28">
        <f t="shared" si="247"/>
        <v>-2.5819888974716116</v>
      </c>
      <c r="AX2193">
        <f t="shared" si="248"/>
        <v>0.98360655737704916</v>
      </c>
      <c r="AY2193" s="62">
        <f t="shared" si="249"/>
        <v>-2.5396612106278145</v>
      </c>
      <c r="AZ2193" s="68" t="str">
        <f t="shared" si="250"/>
        <v>No</v>
      </c>
      <c r="BA2193" s="68" t="str">
        <f t="shared" si="251"/>
        <v>No</v>
      </c>
    </row>
    <row r="2194" spans="1:55" hidden="1">
      <c r="A2194" t="s">
        <v>3914</v>
      </c>
      <c r="G2194" t="s">
        <v>4319</v>
      </c>
      <c r="P2194" t="s">
        <v>4596</v>
      </c>
      <c r="R2194" t="s">
        <v>4888</v>
      </c>
      <c r="S2194" t="s">
        <v>1014</v>
      </c>
      <c r="V2194" t="s">
        <v>4600</v>
      </c>
      <c r="Z2194">
        <v>3</v>
      </c>
      <c r="AA2194">
        <v>3</v>
      </c>
      <c r="AC2194">
        <v>365.7</v>
      </c>
      <c r="AD2194" s="54">
        <v>24</v>
      </c>
      <c r="AE2194">
        <v>1188</v>
      </c>
      <c r="AF2194" s="54">
        <v>28</v>
      </c>
      <c r="AJ2194" t="s">
        <v>4328</v>
      </c>
      <c r="AK2194" t="s">
        <v>4855</v>
      </c>
      <c r="AN2194">
        <v>280</v>
      </c>
      <c r="AO2194">
        <v>41.933861656929935</v>
      </c>
      <c r="AP2194">
        <v>80</v>
      </c>
      <c r="AQ2194">
        <v>4.2013131716770964</v>
      </c>
      <c r="AW2194" s="28">
        <f t="shared" si="247"/>
        <v>-6.7113720131724097</v>
      </c>
      <c r="AX2194">
        <f t="shared" si="248"/>
        <v>0.8</v>
      </c>
      <c r="AY2194" s="62">
        <f t="shared" si="249"/>
        <v>-5.3690976105379278</v>
      </c>
      <c r="AZ2194" s="68" t="str">
        <f t="shared" si="250"/>
        <v>No</v>
      </c>
      <c r="BA2194" s="68" t="str">
        <f t="shared" si="251"/>
        <v>No</v>
      </c>
    </row>
    <row r="2195" spans="1:55" hidden="1">
      <c r="A2195" t="s">
        <v>3914</v>
      </c>
      <c r="G2195" t="s">
        <v>4964</v>
      </c>
      <c r="P2195" t="s">
        <v>4596</v>
      </c>
      <c r="R2195" t="s">
        <v>4888</v>
      </c>
      <c r="S2195" t="s">
        <v>1014</v>
      </c>
      <c r="V2195" t="s">
        <v>4598</v>
      </c>
      <c r="Z2195">
        <v>3</v>
      </c>
      <c r="AA2195">
        <v>3</v>
      </c>
      <c r="AC2195">
        <v>365.7</v>
      </c>
      <c r="AD2195" s="54">
        <v>24</v>
      </c>
      <c r="AE2195">
        <v>399.4</v>
      </c>
      <c r="AF2195" s="54">
        <v>28</v>
      </c>
      <c r="AJ2195" t="s">
        <v>4891</v>
      </c>
      <c r="AK2195" t="s">
        <v>4849</v>
      </c>
      <c r="AN2195">
        <v>534</v>
      </c>
      <c r="AO2195">
        <v>4.7744126395472897</v>
      </c>
      <c r="AP2195">
        <v>532</v>
      </c>
      <c r="AQ2195">
        <v>6.2694307387984294</v>
      </c>
      <c r="AW2195" s="28">
        <f t="shared" si="247"/>
        <v>-0.35891902020344268</v>
      </c>
      <c r="AX2195">
        <f t="shared" si="248"/>
        <v>0.8</v>
      </c>
      <c r="AY2195" s="62">
        <f t="shared" si="249"/>
        <v>-0.28713521616275417</v>
      </c>
      <c r="AZ2195" s="68" t="str">
        <f t="shared" si="250"/>
        <v>No</v>
      </c>
      <c r="BA2195" s="68" t="str">
        <f t="shared" si="251"/>
        <v>No</v>
      </c>
    </row>
    <row r="2196" spans="1:55" hidden="1">
      <c r="A2196" t="s">
        <v>3914</v>
      </c>
      <c r="G2196" t="s">
        <v>4319</v>
      </c>
      <c r="P2196" t="s">
        <v>4596</v>
      </c>
      <c r="R2196" t="s">
        <v>4888</v>
      </c>
      <c r="S2196" t="s">
        <v>1014</v>
      </c>
      <c r="V2196" t="s">
        <v>4598</v>
      </c>
      <c r="Z2196">
        <v>3</v>
      </c>
      <c r="AA2196">
        <v>3</v>
      </c>
      <c r="AC2196">
        <v>365.7</v>
      </c>
      <c r="AD2196" s="54">
        <v>24</v>
      </c>
      <c r="AE2196">
        <v>399.4</v>
      </c>
      <c r="AF2196" s="54">
        <v>28</v>
      </c>
      <c r="AJ2196" t="s">
        <v>4892</v>
      </c>
      <c r="AK2196" t="s">
        <v>4849</v>
      </c>
      <c r="AN2196">
        <v>723</v>
      </c>
      <c r="AO2196">
        <v>6.3554975454229083</v>
      </c>
      <c r="AP2196">
        <v>725</v>
      </c>
      <c r="AQ2196">
        <v>7.0095308498725712</v>
      </c>
      <c r="AW2196" s="28">
        <f t="shared" si="247"/>
        <v>0.29893083422087063</v>
      </c>
      <c r="AX2196">
        <f t="shared" si="248"/>
        <v>0.8</v>
      </c>
      <c r="AY2196" s="62">
        <f t="shared" si="249"/>
        <v>0.23914466737669651</v>
      </c>
      <c r="AZ2196" s="68" t="str">
        <f t="shared" si="250"/>
        <v>No</v>
      </c>
      <c r="BA2196" s="68" t="str">
        <f t="shared" si="251"/>
        <v>No</v>
      </c>
    </row>
    <row r="2197" spans="1:55" hidden="1">
      <c r="A2197" t="s">
        <v>3914</v>
      </c>
      <c r="G2197" t="s">
        <v>4319</v>
      </c>
      <c r="P2197" t="s">
        <v>4596</v>
      </c>
      <c r="R2197" t="s">
        <v>5131</v>
      </c>
      <c r="S2197" t="s">
        <v>1014</v>
      </c>
      <c r="V2197" t="s">
        <v>4600</v>
      </c>
      <c r="Z2197">
        <v>3</v>
      </c>
      <c r="AA2197">
        <v>3</v>
      </c>
      <c r="AC2197">
        <v>365.7</v>
      </c>
      <c r="AD2197" s="54">
        <v>24</v>
      </c>
      <c r="AE2197">
        <v>1188</v>
      </c>
      <c r="AF2197" s="54">
        <v>28</v>
      </c>
      <c r="AJ2197" t="s">
        <v>4889</v>
      </c>
      <c r="AK2197" t="s">
        <v>4849</v>
      </c>
      <c r="AN2197">
        <v>534</v>
      </c>
      <c r="AO2197">
        <v>4.7744126395472897</v>
      </c>
      <c r="AP2197">
        <v>585</v>
      </c>
      <c r="AQ2197">
        <v>11.646673257077014</v>
      </c>
      <c r="AW2197" s="28">
        <f t="shared" si="247"/>
        <v>5.7299751415328242</v>
      </c>
      <c r="AX2197">
        <f t="shared" si="248"/>
        <v>0.8</v>
      </c>
      <c r="AY2197" s="62">
        <f t="shared" si="249"/>
        <v>4.5839801132262599</v>
      </c>
      <c r="AZ2197" s="68" t="str">
        <f t="shared" si="250"/>
        <v>No</v>
      </c>
      <c r="BA2197" s="68" t="str">
        <f t="shared" si="251"/>
        <v>No</v>
      </c>
    </row>
    <row r="2198" spans="1:55" hidden="1">
      <c r="A2198" t="s">
        <v>3914</v>
      </c>
      <c r="G2198" t="s">
        <v>4319</v>
      </c>
      <c r="P2198" t="s">
        <v>4596</v>
      </c>
      <c r="R2198" t="s">
        <v>4888</v>
      </c>
      <c r="S2198" t="s">
        <v>1014</v>
      </c>
      <c r="V2198" t="s">
        <v>4600</v>
      </c>
      <c r="Z2198">
        <v>3</v>
      </c>
      <c r="AA2198">
        <v>3</v>
      </c>
      <c r="AC2198">
        <v>365.7</v>
      </c>
      <c r="AD2198" s="54">
        <v>24</v>
      </c>
      <c r="AE2198">
        <v>1188</v>
      </c>
      <c r="AF2198" s="54">
        <v>28</v>
      </c>
      <c r="AJ2198" t="s">
        <v>4890</v>
      </c>
      <c r="AK2198" t="s">
        <v>4849</v>
      </c>
      <c r="AN2198">
        <v>723</v>
      </c>
      <c r="AO2198">
        <v>6.3554975454229083</v>
      </c>
      <c r="AP2198">
        <v>772</v>
      </c>
      <c r="AQ2198">
        <v>12.526159591760276</v>
      </c>
      <c r="AW2198" s="28">
        <f t="shared" si="247"/>
        <v>4.9334509145871532</v>
      </c>
      <c r="AX2198">
        <f t="shared" si="248"/>
        <v>0.8</v>
      </c>
      <c r="AY2198" s="62">
        <f t="shared" si="249"/>
        <v>3.9467607316697229</v>
      </c>
      <c r="AZ2198" s="68" t="str">
        <f t="shared" si="250"/>
        <v>No</v>
      </c>
      <c r="BA2198" s="68" t="str">
        <f t="shared" si="251"/>
        <v>No</v>
      </c>
    </row>
    <row r="2199" spans="1:55" ht="15" hidden="1">
      <c r="A2199" t="s">
        <v>3914</v>
      </c>
      <c r="G2199" t="s">
        <v>4319</v>
      </c>
      <c r="P2199" t="s">
        <v>60</v>
      </c>
      <c r="R2199" t="s">
        <v>4286</v>
      </c>
      <c r="S2199" t="s">
        <v>1014</v>
      </c>
      <c r="V2199" t="s">
        <v>3956</v>
      </c>
      <c r="Z2199">
        <v>3</v>
      </c>
      <c r="AA2199">
        <v>3</v>
      </c>
      <c r="AC2199">
        <v>390</v>
      </c>
      <c r="AD2199">
        <v>24.96</v>
      </c>
      <c r="AE2199">
        <v>1134</v>
      </c>
      <c r="AF2199">
        <v>25.12</v>
      </c>
      <c r="AJ2199" t="s">
        <v>4328</v>
      </c>
      <c r="AK2199" t="s">
        <v>4041</v>
      </c>
      <c r="AN2199">
        <v>278</v>
      </c>
      <c r="AO2199">
        <v>38.105117766515299</v>
      </c>
      <c r="AP2199">
        <v>185</v>
      </c>
      <c r="AQ2199">
        <v>13.856406460551018</v>
      </c>
      <c r="AW2199" s="28">
        <f t="shared" si="247"/>
        <v>-3.2437474948304743</v>
      </c>
      <c r="AX2199">
        <f t="shared" si="248"/>
        <v>0.8</v>
      </c>
      <c r="AY2199" s="73">
        <f t="shared" si="249"/>
        <v>-2.5949979958643796</v>
      </c>
      <c r="AZ2199" s="74" t="str">
        <f t="shared" si="250"/>
        <v>No</v>
      </c>
      <c r="BA2199" s="74" t="str">
        <f t="shared" si="251"/>
        <v>No</v>
      </c>
      <c r="BB2199" s="56"/>
      <c r="BC2199" s="56"/>
    </row>
    <row r="2200" spans="1:55" hidden="1">
      <c r="A2200" t="s">
        <v>3914</v>
      </c>
      <c r="G2200" t="s">
        <v>4319</v>
      </c>
      <c r="P2200" t="s">
        <v>4596</v>
      </c>
      <c r="R2200" t="s">
        <v>4888</v>
      </c>
      <c r="S2200" t="s">
        <v>1014</v>
      </c>
      <c r="V2200" t="s">
        <v>4598</v>
      </c>
      <c r="Z2200">
        <v>3</v>
      </c>
      <c r="AA2200">
        <v>3</v>
      </c>
      <c r="AC2200">
        <v>365.7</v>
      </c>
      <c r="AD2200" s="54">
        <v>24</v>
      </c>
      <c r="AE2200">
        <v>399.4</v>
      </c>
      <c r="AF2200" s="54">
        <v>28</v>
      </c>
      <c r="AJ2200" t="s">
        <v>4893</v>
      </c>
      <c r="AK2200" t="s">
        <v>4855</v>
      </c>
      <c r="AN2200">
        <v>280</v>
      </c>
      <c r="AO2200">
        <v>41.933861656929935</v>
      </c>
      <c r="AP2200">
        <v>310</v>
      </c>
      <c r="AQ2200">
        <v>27.348170645825153</v>
      </c>
      <c r="AW2200" s="28">
        <f t="shared" si="247"/>
        <v>0.84744897266632868</v>
      </c>
      <c r="AX2200">
        <f t="shared" si="248"/>
        <v>0.8</v>
      </c>
      <c r="AY2200" s="62">
        <f t="shared" si="249"/>
        <v>0.67795917813306295</v>
      </c>
      <c r="AZ2200" s="68" t="str">
        <f t="shared" si="250"/>
        <v>No</v>
      </c>
      <c r="BA2200" s="68" t="str">
        <f t="shared" si="251"/>
        <v>No</v>
      </c>
    </row>
    <row r="2201" spans="1:55" ht="15" hidden="1">
      <c r="A2201" t="s">
        <v>3914</v>
      </c>
      <c r="G2201" t="s">
        <v>3915</v>
      </c>
      <c r="P2201" t="s">
        <v>60</v>
      </c>
      <c r="R2201" t="s">
        <v>3942</v>
      </c>
      <c r="S2201" t="s">
        <v>3943</v>
      </c>
      <c r="V2201" t="s">
        <v>3956</v>
      </c>
      <c r="Z2201">
        <v>3</v>
      </c>
      <c r="AA2201">
        <v>3</v>
      </c>
      <c r="AC2201">
        <v>443.2</v>
      </c>
      <c r="AD2201">
        <v>15.5</v>
      </c>
      <c r="AE2201">
        <v>445.8</v>
      </c>
      <c r="AF2201">
        <v>15.8</v>
      </c>
      <c r="AJ2201" t="s">
        <v>3932</v>
      </c>
      <c r="AK2201" t="s">
        <v>904</v>
      </c>
      <c r="AN2201">
        <v>1.6</v>
      </c>
      <c r="AO2201">
        <v>0.53021963497006441</v>
      </c>
      <c r="AP2201">
        <v>0.3</v>
      </c>
      <c r="AQ2201">
        <v>0.35347975664670966</v>
      </c>
      <c r="AW2201" s="28">
        <f t="shared" si="247"/>
        <v>-2.8850418830004303</v>
      </c>
      <c r="AX2201">
        <f t="shared" si="248"/>
        <v>0.8</v>
      </c>
      <c r="AY2201" s="73">
        <f t="shared" si="249"/>
        <v>-2.3080335064003443</v>
      </c>
      <c r="AZ2201" s="74" t="str">
        <f t="shared" si="250"/>
        <v>No</v>
      </c>
      <c r="BA2201" s="74" t="str">
        <f t="shared" si="251"/>
        <v>No</v>
      </c>
      <c r="BB2201" s="56"/>
      <c r="BC2201" s="56"/>
    </row>
    <row r="2202" spans="1:55" hidden="1">
      <c r="A2202" t="s">
        <v>3914</v>
      </c>
      <c r="G2202" t="s">
        <v>4128</v>
      </c>
      <c r="P2202" t="s">
        <v>60</v>
      </c>
      <c r="R2202" t="s">
        <v>4116</v>
      </c>
      <c r="S2202" t="s">
        <v>4149</v>
      </c>
      <c r="V2202" t="s">
        <v>3956</v>
      </c>
      <c r="Z2202">
        <v>4</v>
      </c>
      <c r="AA2202">
        <v>4</v>
      </c>
      <c r="AC2202">
        <v>469</v>
      </c>
      <c r="AD2202">
        <v>15.6</v>
      </c>
      <c r="AE2202">
        <v>807</v>
      </c>
      <c r="AF2202">
        <v>15.6</v>
      </c>
      <c r="AJ2202" t="s">
        <v>4140</v>
      </c>
      <c r="AK2202" t="s">
        <v>4151</v>
      </c>
      <c r="AN2202">
        <v>97</v>
      </c>
      <c r="AO2202">
        <v>1.5</v>
      </c>
      <c r="AP2202">
        <v>88</v>
      </c>
      <c r="AQ2202">
        <v>1.5</v>
      </c>
      <c r="AW2202" s="28">
        <f t="shared" si="247"/>
        <v>-6</v>
      </c>
      <c r="AX2202">
        <f t="shared" si="248"/>
        <v>0.86956521739130432</v>
      </c>
      <c r="AY2202" s="62">
        <f t="shared" si="249"/>
        <v>-5.2173913043478262</v>
      </c>
      <c r="AZ2202" s="68" t="str">
        <f t="shared" si="250"/>
        <v>No</v>
      </c>
      <c r="BA2202" s="68" t="str">
        <f t="shared" si="251"/>
        <v>No</v>
      </c>
    </row>
    <row r="2203" spans="1:55" hidden="1">
      <c r="A2203" t="s">
        <v>3914</v>
      </c>
      <c r="G2203" t="s">
        <v>4128</v>
      </c>
      <c r="P2203" t="s">
        <v>60</v>
      </c>
      <c r="R2203" t="s">
        <v>4116</v>
      </c>
      <c r="S2203" t="s">
        <v>4149</v>
      </c>
      <c r="V2203" t="s">
        <v>3956</v>
      </c>
      <c r="Z2203">
        <v>4</v>
      </c>
      <c r="AA2203">
        <v>4</v>
      </c>
      <c r="AC2203">
        <v>469</v>
      </c>
      <c r="AD2203">
        <v>15.6</v>
      </c>
      <c r="AE2203">
        <v>807</v>
      </c>
      <c r="AF2203">
        <v>15.6</v>
      </c>
      <c r="AJ2203" t="s">
        <v>4065</v>
      </c>
      <c r="AK2203" t="s">
        <v>4258</v>
      </c>
      <c r="AN2203">
        <v>45</v>
      </c>
      <c r="AO2203">
        <v>7.5</v>
      </c>
      <c r="AP2203">
        <v>27</v>
      </c>
      <c r="AQ2203">
        <v>3.75</v>
      </c>
      <c r="AW2203" s="28">
        <f t="shared" si="247"/>
        <v>-3.0357865537616444</v>
      </c>
      <c r="AX2203">
        <f t="shared" si="248"/>
        <v>0.86956521739130432</v>
      </c>
      <c r="AY2203" s="62">
        <f t="shared" si="249"/>
        <v>-2.6398143945753429</v>
      </c>
      <c r="AZ2203" s="68" t="str">
        <f t="shared" si="250"/>
        <v>No</v>
      </c>
      <c r="BA2203" s="68" t="str">
        <f t="shared" si="251"/>
        <v>No</v>
      </c>
    </row>
    <row r="2204" spans="1:55" hidden="1">
      <c r="A2204" t="s">
        <v>3914</v>
      </c>
      <c r="G2204" t="s">
        <v>4128</v>
      </c>
      <c r="P2204" t="s">
        <v>60</v>
      </c>
      <c r="R2204" t="s">
        <v>4116</v>
      </c>
      <c r="S2204" t="s">
        <v>4149</v>
      </c>
      <c r="V2204" t="s">
        <v>3956</v>
      </c>
      <c r="Z2204">
        <v>4</v>
      </c>
      <c r="AA2204">
        <v>4</v>
      </c>
      <c r="AC2204">
        <v>469</v>
      </c>
      <c r="AD2204">
        <v>15.6</v>
      </c>
      <c r="AE2204">
        <v>1164</v>
      </c>
      <c r="AF2204">
        <v>15.6</v>
      </c>
      <c r="AJ2204" t="s">
        <v>4065</v>
      </c>
      <c r="AK2204" t="s">
        <v>4258</v>
      </c>
      <c r="AN2204">
        <v>45</v>
      </c>
      <c r="AO2204">
        <v>7.5</v>
      </c>
      <c r="AP2204">
        <v>12</v>
      </c>
      <c r="AQ2204">
        <v>3.75</v>
      </c>
      <c r="AW2204" s="28">
        <f t="shared" si="247"/>
        <v>-5.5656086818963484</v>
      </c>
      <c r="AX2204">
        <f t="shared" si="248"/>
        <v>0.86956521739130432</v>
      </c>
      <c r="AY2204" s="62">
        <f t="shared" si="249"/>
        <v>-4.8396597233881291</v>
      </c>
      <c r="AZ2204" s="68" t="str">
        <f t="shared" si="250"/>
        <v>No</v>
      </c>
      <c r="BA2204" s="68" t="str">
        <f t="shared" si="251"/>
        <v>No</v>
      </c>
    </row>
    <row r="2205" spans="1:55" hidden="1">
      <c r="A2205" t="s">
        <v>3914</v>
      </c>
      <c r="G2205" t="s">
        <v>4128</v>
      </c>
      <c r="P2205" t="s">
        <v>60</v>
      </c>
      <c r="R2205" t="s">
        <v>4116</v>
      </c>
      <c r="S2205" t="s">
        <v>4149</v>
      </c>
      <c r="V2205" t="s">
        <v>3956</v>
      </c>
      <c r="Z2205">
        <v>4</v>
      </c>
      <c r="AA2205">
        <v>4</v>
      </c>
      <c r="AC2205">
        <v>469</v>
      </c>
      <c r="AD2205">
        <v>15.6</v>
      </c>
      <c r="AE2205">
        <v>807</v>
      </c>
      <c r="AF2205">
        <v>15.6</v>
      </c>
      <c r="AJ2205" t="s">
        <v>4218</v>
      </c>
      <c r="AK2205" t="s">
        <v>4244</v>
      </c>
      <c r="AN2205">
        <v>115</v>
      </c>
      <c r="AO2205">
        <v>7.5</v>
      </c>
      <c r="AP2205">
        <v>110</v>
      </c>
      <c r="AQ2205">
        <v>7.5</v>
      </c>
      <c r="AW2205" s="28">
        <f t="shared" si="247"/>
        <v>-0.66666666666666663</v>
      </c>
      <c r="AX2205">
        <f t="shared" si="248"/>
        <v>0.86956521739130432</v>
      </c>
      <c r="AY2205" s="62">
        <f t="shared" si="249"/>
        <v>-0.57971014492753614</v>
      </c>
      <c r="AZ2205" s="68" t="str">
        <f t="shared" si="250"/>
        <v>No</v>
      </c>
      <c r="BA2205" s="68" t="str">
        <f t="shared" si="251"/>
        <v>No</v>
      </c>
    </row>
    <row r="2206" spans="1:55" hidden="1">
      <c r="A2206" t="s">
        <v>3914</v>
      </c>
      <c r="G2206" t="s">
        <v>4128</v>
      </c>
      <c r="P2206" t="s">
        <v>60</v>
      </c>
      <c r="R2206" t="s">
        <v>4116</v>
      </c>
      <c r="S2206" t="s">
        <v>4149</v>
      </c>
      <c r="V2206" t="s">
        <v>3956</v>
      </c>
      <c r="Z2206">
        <v>4</v>
      </c>
      <c r="AA2206">
        <v>4</v>
      </c>
      <c r="AC2206">
        <v>469</v>
      </c>
      <c r="AD2206">
        <v>15.6</v>
      </c>
      <c r="AE2206">
        <v>1164</v>
      </c>
      <c r="AF2206">
        <v>15.6</v>
      </c>
      <c r="AJ2206" t="s">
        <v>4140</v>
      </c>
      <c r="AK2206" t="s">
        <v>4151</v>
      </c>
      <c r="AN2206">
        <v>97</v>
      </c>
      <c r="AO2206">
        <v>1.5</v>
      </c>
      <c r="AP2206">
        <v>68</v>
      </c>
      <c r="AQ2206">
        <v>9.75</v>
      </c>
      <c r="AW2206" s="28">
        <f t="shared" si="247"/>
        <v>-4.1574657564116375</v>
      </c>
      <c r="AX2206">
        <f t="shared" si="248"/>
        <v>0.86956521739130432</v>
      </c>
      <c r="AY2206" s="62">
        <f t="shared" si="249"/>
        <v>-3.6151876142709889</v>
      </c>
      <c r="AZ2206" s="68" t="str">
        <f t="shared" si="250"/>
        <v>No</v>
      </c>
      <c r="BA2206" s="68" t="str">
        <f t="shared" si="251"/>
        <v>No</v>
      </c>
    </row>
    <row r="2207" spans="1:55" hidden="1">
      <c r="A2207" t="s">
        <v>3914</v>
      </c>
      <c r="G2207" t="s">
        <v>4128</v>
      </c>
      <c r="P2207" t="s">
        <v>60</v>
      </c>
      <c r="R2207" t="s">
        <v>4116</v>
      </c>
      <c r="S2207" t="s">
        <v>4149</v>
      </c>
      <c r="V2207" t="s">
        <v>3956</v>
      </c>
      <c r="Z2207">
        <v>4</v>
      </c>
      <c r="AA2207">
        <v>4</v>
      </c>
      <c r="AC2207">
        <v>469</v>
      </c>
      <c r="AD2207">
        <v>15.6</v>
      </c>
      <c r="AE2207">
        <v>1164</v>
      </c>
      <c r="AF2207">
        <v>15.6</v>
      </c>
      <c r="AJ2207" t="s">
        <v>4218</v>
      </c>
      <c r="AK2207" t="s">
        <v>4244</v>
      </c>
      <c r="AN2207">
        <v>115</v>
      </c>
      <c r="AO2207">
        <v>7.5</v>
      </c>
      <c r="AP2207">
        <v>105</v>
      </c>
      <c r="AQ2207">
        <v>11.25</v>
      </c>
      <c r="AW2207" s="28">
        <f t="shared" si="247"/>
        <v>-1.0459527207369814</v>
      </c>
      <c r="AX2207">
        <f t="shared" si="248"/>
        <v>0.86956521739130432</v>
      </c>
      <c r="AY2207" s="62">
        <f t="shared" si="249"/>
        <v>-0.90952410498867953</v>
      </c>
      <c r="AZ2207" s="68" t="str">
        <f t="shared" si="250"/>
        <v>No</v>
      </c>
      <c r="BA2207" s="68" t="str">
        <f t="shared" si="251"/>
        <v>No</v>
      </c>
    </row>
    <row r="2208" spans="1:55" ht="15" hidden="1">
      <c r="A2208" t="s">
        <v>3914</v>
      </c>
      <c r="G2208" t="s">
        <v>4197</v>
      </c>
      <c r="P2208" t="s">
        <v>60</v>
      </c>
      <c r="R2208" t="s">
        <v>4116</v>
      </c>
      <c r="S2208" t="s">
        <v>4149</v>
      </c>
      <c r="V2208" t="s">
        <v>3956</v>
      </c>
      <c r="Z2208">
        <v>4</v>
      </c>
      <c r="AA2208">
        <v>4</v>
      </c>
      <c r="AC2208">
        <v>465</v>
      </c>
      <c r="AD2208">
        <v>15.5</v>
      </c>
      <c r="AE2208">
        <v>1294</v>
      </c>
      <c r="AF2208">
        <v>15.5</v>
      </c>
      <c r="AJ2208" t="s">
        <v>4065</v>
      </c>
      <c r="AK2208" t="s">
        <v>4258</v>
      </c>
      <c r="AN2208">
        <v>18</v>
      </c>
      <c r="AO2208">
        <v>5</v>
      </c>
      <c r="AP2208">
        <v>3.5</v>
      </c>
      <c r="AQ2208">
        <v>1.5</v>
      </c>
      <c r="AW2208" s="28">
        <f t="shared" si="247"/>
        <v>-3.9282556765758589</v>
      </c>
      <c r="AX2208">
        <f t="shared" si="248"/>
        <v>0.86956521739130432</v>
      </c>
      <c r="AY2208" s="73">
        <f t="shared" si="249"/>
        <v>-3.415874501370312</v>
      </c>
      <c r="AZ2208" s="74" t="str">
        <f t="shared" si="250"/>
        <v>No</v>
      </c>
      <c r="BA2208" s="74" t="str">
        <f t="shared" si="251"/>
        <v>No</v>
      </c>
      <c r="BB2208" s="56"/>
      <c r="BC2208" s="56"/>
    </row>
    <row r="2209" spans="1:55" hidden="1">
      <c r="A2209" t="s">
        <v>3914</v>
      </c>
      <c r="G2209" t="s">
        <v>4197</v>
      </c>
      <c r="P2209" t="s">
        <v>60</v>
      </c>
      <c r="R2209" t="s">
        <v>4116</v>
      </c>
      <c r="S2209" t="s">
        <v>4149</v>
      </c>
      <c r="V2209" t="s">
        <v>3956</v>
      </c>
      <c r="Z2209">
        <v>4</v>
      </c>
      <c r="AA2209">
        <v>4</v>
      </c>
      <c r="AC2209">
        <v>465</v>
      </c>
      <c r="AD2209">
        <v>15.5</v>
      </c>
      <c r="AE2209">
        <v>768</v>
      </c>
      <c r="AF2209">
        <v>15.5</v>
      </c>
      <c r="AJ2209" t="s">
        <v>4065</v>
      </c>
      <c r="AK2209" t="s">
        <v>4258</v>
      </c>
      <c r="AN2209">
        <v>18</v>
      </c>
      <c r="AO2209">
        <v>5</v>
      </c>
      <c r="AP2209">
        <v>14.5</v>
      </c>
      <c r="AQ2209">
        <v>4.5</v>
      </c>
      <c r="AW2209" s="28">
        <f t="shared" si="247"/>
        <v>-0.73582366371869146</v>
      </c>
      <c r="AX2209">
        <f t="shared" si="248"/>
        <v>0.86956521739130432</v>
      </c>
      <c r="AY2209" s="62">
        <f t="shared" si="249"/>
        <v>-0.63984666410320989</v>
      </c>
      <c r="AZ2209" s="68" t="str">
        <f t="shared" si="250"/>
        <v>No</v>
      </c>
      <c r="BA2209" s="68" t="str">
        <f t="shared" si="251"/>
        <v>No</v>
      </c>
    </row>
    <row r="2210" spans="1:55" hidden="1">
      <c r="A2210" t="s">
        <v>3914</v>
      </c>
      <c r="G2210" s="50" t="s">
        <v>4045</v>
      </c>
      <c r="P2210" t="s">
        <v>60</v>
      </c>
      <c r="R2210" t="s">
        <v>4035</v>
      </c>
      <c r="S2210" s="50" t="s">
        <v>1753</v>
      </c>
      <c r="V2210" t="s">
        <v>3956</v>
      </c>
      <c r="Z2210">
        <v>5</v>
      </c>
      <c r="AA2210">
        <v>5</v>
      </c>
      <c r="AC2210">
        <v>487</v>
      </c>
      <c r="AD2210">
        <v>28.4</v>
      </c>
      <c r="AE2210">
        <v>861</v>
      </c>
      <c r="AF2210">
        <v>28.4</v>
      </c>
      <c r="AJ2210" s="50" t="s">
        <v>4064</v>
      </c>
      <c r="AK2210" t="s">
        <v>4066</v>
      </c>
      <c r="AN2210">
        <v>52.742759304501099</v>
      </c>
      <c r="AO2210">
        <v>11.515362089612227</v>
      </c>
      <c r="AP2210">
        <v>42.994288782881434</v>
      </c>
      <c r="AQ2210">
        <v>10.300571003055309</v>
      </c>
      <c r="AW2210" s="28">
        <f t="shared" si="247"/>
        <v>-0.89231958484848506</v>
      </c>
      <c r="AX2210">
        <f t="shared" si="248"/>
        <v>0.90322580645161288</v>
      </c>
      <c r="AY2210" s="62">
        <f t="shared" si="249"/>
        <v>-0.80596607663734132</v>
      </c>
      <c r="AZ2210" s="68" t="str">
        <f t="shared" si="250"/>
        <v>No</v>
      </c>
      <c r="BA2210" s="68" t="str">
        <f t="shared" si="251"/>
        <v>No</v>
      </c>
    </row>
    <row r="2211" spans="1:55" hidden="1">
      <c r="A2211" t="s">
        <v>3914</v>
      </c>
      <c r="G2211" t="s">
        <v>4045</v>
      </c>
      <c r="P2211" t="s">
        <v>60</v>
      </c>
      <c r="R2211" t="s">
        <v>4035</v>
      </c>
      <c r="S2211" t="s">
        <v>1753</v>
      </c>
      <c r="V2211" t="s">
        <v>3956</v>
      </c>
      <c r="Z2211">
        <v>5</v>
      </c>
      <c r="AA2211">
        <v>5</v>
      </c>
      <c r="AC2211">
        <v>487</v>
      </c>
      <c r="AD2211">
        <v>28.4</v>
      </c>
      <c r="AE2211">
        <v>861</v>
      </c>
      <c r="AF2211">
        <v>28.4</v>
      </c>
      <c r="AJ2211" t="s">
        <v>1791</v>
      </c>
      <c r="AK2211" t="s">
        <v>4041</v>
      </c>
      <c r="AN2211">
        <v>47</v>
      </c>
      <c r="AO2211">
        <v>13.416407864998739</v>
      </c>
      <c r="AP2211">
        <v>32</v>
      </c>
      <c r="AQ2211">
        <v>13.416407864998739</v>
      </c>
      <c r="AW2211" s="28">
        <f t="shared" si="247"/>
        <v>-1.1180339887498949</v>
      </c>
      <c r="AX2211">
        <f t="shared" si="248"/>
        <v>0.90322580645161288</v>
      </c>
      <c r="AY2211" s="62">
        <f t="shared" si="249"/>
        <v>-1.0098371511289372</v>
      </c>
      <c r="AZ2211" s="68" t="str">
        <f t="shared" si="250"/>
        <v>No</v>
      </c>
      <c r="BA2211" s="68" t="str">
        <f t="shared" si="251"/>
        <v>No</v>
      </c>
    </row>
    <row r="2212" spans="1:55" ht="15" hidden="1">
      <c r="A2212" t="s">
        <v>3914</v>
      </c>
      <c r="G2212" t="s">
        <v>4618</v>
      </c>
      <c r="P2212" t="s">
        <v>4596</v>
      </c>
      <c r="R2212" t="s">
        <v>4619</v>
      </c>
      <c r="S2212" t="s">
        <v>1753</v>
      </c>
      <c r="V2212" t="s">
        <v>4598</v>
      </c>
      <c r="Z2212">
        <v>5</v>
      </c>
      <c r="AA2212">
        <v>5</v>
      </c>
      <c r="AC2212">
        <v>487</v>
      </c>
      <c r="AD2212">
        <v>28.4</v>
      </c>
      <c r="AE2212">
        <v>493</v>
      </c>
      <c r="AF2212">
        <v>29.6</v>
      </c>
      <c r="AJ2212" t="s">
        <v>1791</v>
      </c>
      <c r="AK2212" t="s">
        <v>4621</v>
      </c>
      <c r="AN2212">
        <v>47</v>
      </c>
      <c r="AO2212">
        <v>13.416407864998739</v>
      </c>
      <c r="AP2212">
        <v>30</v>
      </c>
      <c r="AQ2212">
        <f>12*SQRT(5)</f>
        <v>26.832815729997478</v>
      </c>
      <c r="AW2212" s="28">
        <f t="shared" si="247"/>
        <v>-0.8013876853447538</v>
      </c>
      <c r="AX2212">
        <f t="shared" si="248"/>
        <v>0.90322580645161288</v>
      </c>
      <c r="AY2212" s="73">
        <f t="shared" si="249"/>
        <v>-0.72383403837590665</v>
      </c>
      <c r="AZ2212" s="74" t="str">
        <f t="shared" si="250"/>
        <v>No</v>
      </c>
      <c r="BA2212" s="74" t="str">
        <f t="shared" si="251"/>
        <v>No</v>
      </c>
      <c r="BB2212" s="56"/>
      <c r="BC2212" s="56"/>
    </row>
    <row r="2213" spans="1:55" hidden="1">
      <c r="A2213" t="s">
        <v>3914</v>
      </c>
      <c r="G2213" t="s">
        <v>4045</v>
      </c>
      <c r="P2213" t="s">
        <v>4596</v>
      </c>
      <c r="R2213" t="s">
        <v>4619</v>
      </c>
      <c r="S2213" t="s">
        <v>1753</v>
      </c>
      <c r="V2213" t="s">
        <v>4600</v>
      </c>
      <c r="Z2213">
        <v>5</v>
      </c>
      <c r="AA2213">
        <v>5</v>
      </c>
      <c r="AC2213">
        <v>487</v>
      </c>
      <c r="AD2213">
        <v>28.4</v>
      </c>
      <c r="AE2213">
        <v>950</v>
      </c>
      <c r="AF2213">
        <v>29.5</v>
      </c>
      <c r="AJ2213" t="s">
        <v>1791</v>
      </c>
      <c r="AK2213" t="s">
        <v>4621</v>
      </c>
      <c r="AN2213">
        <v>47</v>
      </c>
      <c r="AO2213">
        <v>13.416407864998739</v>
      </c>
      <c r="AP2213">
        <v>46</v>
      </c>
      <c r="AQ2213">
        <f>12*SQRT(5)</f>
        <v>26.832815729997478</v>
      </c>
      <c r="AW2213" s="28">
        <f t="shared" si="247"/>
        <v>-4.7140452079103168E-2</v>
      </c>
      <c r="AX2213">
        <f t="shared" si="248"/>
        <v>0.90322580645161288</v>
      </c>
      <c r="AY2213" s="62">
        <f t="shared" si="249"/>
        <v>-4.257847284564157E-2</v>
      </c>
      <c r="AZ2213" s="68" t="str">
        <f t="shared" si="250"/>
        <v>No</v>
      </c>
      <c r="BA2213" s="68" t="str">
        <f t="shared" si="251"/>
        <v>No</v>
      </c>
    </row>
    <row r="2214" spans="1:55" hidden="1">
      <c r="A2214" t="s">
        <v>3914</v>
      </c>
      <c r="G2214" t="s">
        <v>4294</v>
      </c>
      <c r="P2214" t="s">
        <v>4596</v>
      </c>
      <c r="R2214" t="s">
        <v>4286</v>
      </c>
      <c r="S2214" t="s">
        <v>1775</v>
      </c>
      <c r="V2214" t="s">
        <v>4600</v>
      </c>
      <c r="Z2214">
        <v>11</v>
      </c>
      <c r="AA2214">
        <v>11</v>
      </c>
      <c r="AC2214">
        <v>421</v>
      </c>
      <c r="AD2214" s="55">
        <v>27.5</v>
      </c>
      <c r="AE2214">
        <v>1756</v>
      </c>
      <c r="AF2214">
        <v>31</v>
      </c>
      <c r="AJ2214" t="s">
        <v>4834</v>
      </c>
      <c r="AK2214" t="s">
        <v>4123</v>
      </c>
      <c r="AN2214">
        <v>3.6</v>
      </c>
      <c r="AO2214">
        <f t="shared" ref="AO2214:AO2219" si="252">0.1*SQRT(11)</f>
        <v>0.33166247903554003</v>
      </c>
      <c r="AP2214">
        <v>2.1</v>
      </c>
      <c r="AQ2214">
        <f>0.02*SQRT(11)</f>
        <v>6.6332495807107997E-2</v>
      </c>
      <c r="AW2214" s="28">
        <f t="shared" si="247"/>
        <v>-6.2718150750531798</v>
      </c>
      <c r="AX2214">
        <f t="shared" si="248"/>
        <v>0.96202531645569622</v>
      </c>
      <c r="AY2214" s="62">
        <f t="shared" si="249"/>
        <v>-6.0336448823296411</v>
      </c>
      <c r="AZ2214" s="68" t="str">
        <f t="shared" si="250"/>
        <v>No</v>
      </c>
      <c r="BA2214" s="68" t="str">
        <f t="shared" si="251"/>
        <v>No</v>
      </c>
    </row>
    <row r="2215" spans="1:55" hidden="1">
      <c r="A2215" t="s">
        <v>3914</v>
      </c>
      <c r="G2215" t="s">
        <v>4294</v>
      </c>
      <c r="P2215" t="s">
        <v>4596</v>
      </c>
      <c r="R2215" t="s">
        <v>4286</v>
      </c>
      <c r="S2215" t="s">
        <v>1775</v>
      </c>
      <c r="V2215" t="s">
        <v>4598</v>
      </c>
      <c r="Z2215">
        <v>11</v>
      </c>
      <c r="AA2215">
        <v>11</v>
      </c>
      <c r="AC2215">
        <v>421</v>
      </c>
      <c r="AD2215" s="55">
        <v>27.5</v>
      </c>
      <c r="AE2215">
        <v>317.39999999999998</v>
      </c>
      <c r="AF2215">
        <v>31</v>
      </c>
      <c r="AJ2215" t="s">
        <v>4834</v>
      </c>
      <c r="AK2215" t="s">
        <v>4123</v>
      </c>
      <c r="AN2215">
        <v>3.6</v>
      </c>
      <c r="AO2215">
        <f t="shared" si="252"/>
        <v>0.33166247903554003</v>
      </c>
      <c r="AP2215">
        <v>1.9</v>
      </c>
      <c r="AQ2215">
        <f>0.1*SQRT(11)</f>
        <v>0.33166247903554003</v>
      </c>
      <c r="AW2215" s="28">
        <f t="shared" si="247"/>
        <v>-5.1256928578219814</v>
      </c>
      <c r="AX2215">
        <f t="shared" si="248"/>
        <v>0.96202531645569622</v>
      </c>
      <c r="AY2215" s="62">
        <f t="shared" si="249"/>
        <v>-4.9310462936008932</v>
      </c>
      <c r="AZ2215" s="68" t="str">
        <f t="shared" si="250"/>
        <v>No</v>
      </c>
      <c r="BA2215" s="68" t="str">
        <f t="shared" si="251"/>
        <v>No</v>
      </c>
    </row>
    <row r="2216" spans="1:55" ht="15" hidden="1">
      <c r="A2216" t="s">
        <v>3914</v>
      </c>
      <c r="G2216" t="s">
        <v>4294</v>
      </c>
      <c r="P2216" t="s">
        <v>4596</v>
      </c>
      <c r="R2216" t="s">
        <v>4286</v>
      </c>
      <c r="S2216" t="s">
        <v>1775</v>
      </c>
      <c r="V2216" t="s">
        <v>4598</v>
      </c>
      <c r="Z2216">
        <v>11</v>
      </c>
      <c r="AA2216">
        <v>11</v>
      </c>
      <c r="AC2216">
        <v>421</v>
      </c>
      <c r="AD2216" s="55">
        <v>27.5</v>
      </c>
      <c r="AE2216">
        <v>317.39999999999998</v>
      </c>
      <c r="AF2216">
        <v>31</v>
      </c>
      <c r="AJ2216" t="s">
        <v>4835</v>
      </c>
      <c r="AK2216" t="s">
        <v>4844</v>
      </c>
      <c r="AN2216">
        <v>5.9</v>
      </c>
      <c r="AO2216">
        <f t="shared" si="252"/>
        <v>0.33166247903554003</v>
      </c>
      <c r="AP2216">
        <v>4</v>
      </c>
      <c r="AQ2216">
        <f>0.1*SQRT(11)</f>
        <v>0.33166247903554003</v>
      </c>
      <c r="AW2216" s="28">
        <f t="shared" si="247"/>
        <v>-5.7287155469775088</v>
      </c>
      <c r="AX2216">
        <f t="shared" si="248"/>
        <v>0.96202531645569622</v>
      </c>
      <c r="AY2216" s="73">
        <f t="shared" si="249"/>
        <v>-5.5111693869657046</v>
      </c>
      <c r="AZ2216" s="74" t="str">
        <f t="shared" si="250"/>
        <v>No</v>
      </c>
      <c r="BA2216" s="74" t="str">
        <f t="shared" si="251"/>
        <v>No</v>
      </c>
      <c r="BB2216" s="56"/>
      <c r="BC2216" s="56"/>
    </row>
    <row r="2217" spans="1:55" hidden="1">
      <c r="A2217" t="s">
        <v>3914</v>
      </c>
      <c r="G2217" t="s">
        <v>4294</v>
      </c>
      <c r="P2217" t="s">
        <v>4596</v>
      </c>
      <c r="R2217" t="s">
        <v>4286</v>
      </c>
      <c r="S2217" t="s">
        <v>1775</v>
      </c>
      <c r="V2217" t="s">
        <v>4600</v>
      </c>
      <c r="Z2217">
        <v>11</v>
      </c>
      <c r="AA2217">
        <v>11</v>
      </c>
      <c r="AC2217">
        <v>421</v>
      </c>
      <c r="AD2217" s="55">
        <v>27.5</v>
      </c>
      <c r="AE2217">
        <v>1756</v>
      </c>
      <c r="AF2217">
        <v>31</v>
      </c>
      <c r="AJ2217" t="s">
        <v>4836</v>
      </c>
      <c r="AK2217" t="s">
        <v>4844</v>
      </c>
      <c r="AN2217">
        <v>5.9</v>
      </c>
      <c r="AO2217">
        <f t="shared" si="252"/>
        <v>0.33166247903554003</v>
      </c>
      <c r="AP2217">
        <v>4</v>
      </c>
      <c r="AQ2217">
        <f>0.1*SQRT(11)</f>
        <v>0.33166247903554003</v>
      </c>
      <c r="AW2217" s="28">
        <f t="shared" si="247"/>
        <v>-5.7287155469775088</v>
      </c>
      <c r="AX2217">
        <f t="shared" si="248"/>
        <v>0.96202531645569622</v>
      </c>
      <c r="AY2217" s="62">
        <f t="shared" si="249"/>
        <v>-5.5111693869657046</v>
      </c>
      <c r="AZ2217" s="68" t="str">
        <f t="shared" si="250"/>
        <v>No</v>
      </c>
      <c r="BA2217" s="68" t="str">
        <f t="shared" si="251"/>
        <v>No</v>
      </c>
    </row>
    <row r="2218" spans="1:55" hidden="1">
      <c r="A2218" t="s">
        <v>3914</v>
      </c>
      <c r="G2218" t="s">
        <v>4294</v>
      </c>
      <c r="P2218" t="s">
        <v>4596</v>
      </c>
      <c r="R2218" t="s">
        <v>4286</v>
      </c>
      <c r="S2218" t="s">
        <v>1775</v>
      </c>
      <c r="V2218" t="s">
        <v>4598</v>
      </c>
      <c r="Z2218">
        <v>11</v>
      </c>
      <c r="AA2218">
        <v>11</v>
      </c>
      <c r="AC2218">
        <v>421</v>
      </c>
      <c r="AD2218" s="55">
        <v>27.5</v>
      </c>
      <c r="AE2218">
        <v>317.39999999999998</v>
      </c>
      <c r="AF2218">
        <v>31</v>
      </c>
      <c r="AJ2218" t="s">
        <v>4846</v>
      </c>
      <c r="AK2218" t="s">
        <v>4123</v>
      </c>
      <c r="AN2218">
        <v>4.9000000000000004</v>
      </c>
      <c r="AO2218">
        <f t="shared" si="252"/>
        <v>0.33166247903554003</v>
      </c>
      <c r="AP2218">
        <v>3</v>
      </c>
      <c r="AQ2218">
        <f>0.1*SQRT(11)</f>
        <v>0.33166247903554003</v>
      </c>
      <c r="AW2218" s="28">
        <f t="shared" si="247"/>
        <v>-5.7287155469775088</v>
      </c>
      <c r="AX2218">
        <f t="shared" si="248"/>
        <v>0.96202531645569622</v>
      </c>
      <c r="AY2218" s="62">
        <f t="shared" si="249"/>
        <v>-5.5111693869657046</v>
      </c>
      <c r="AZ2218" s="68" t="str">
        <f t="shared" si="250"/>
        <v>No</v>
      </c>
      <c r="BA2218" s="68" t="str">
        <f t="shared" si="251"/>
        <v>No</v>
      </c>
    </row>
    <row r="2219" spans="1:55" hidden="1">
      <c r="A2219" t="s">
        <v>3914</v>
      </c>
      <c r="G2219" t="s">
        <v>4294</v>
      </c>
      <c r="P2219" t="s">
        <v>4596</v>
      </c>
      <c r="R2219" t="s">
        <v>4286</v>
      </c>
      <c r="S2219" t="s">
        <v>1775</v>
      </c>
      <c r="V2219" t="s">
        <v>4600</v>
      </c>
      <c r="Z2219">
        <v>11</v>
      </c>
      <c r="AA2219">
        <v>11</v>
      </c>
      <c r="AC2219">
        <v>421</v>
      </c>
      <c r="AD2219" s="55">
        <v>27.5</v>
      </c>
      <c r="AE2219">
        <v>1756</v>
      </c>
      <c r="AF2219">
        <v>31</v>
      </c>
      <c r="AJ2219" t="s">
        <v>4837</v>
      </c>
      <c r="AK2219" t="s">
        <v>4123</v>
      </c>
      <c r="AN2219">
        <v>4.9000000000000004</v>
      </c>
      <c r="AO2219">
        <f t="shared" si="252"/>
        <v>0.33166247903554003</v>
      </c>
      <c r="AP2219">
        <v>2.9</v>
      </c>
      <c r="AQ2219">
        <f>0.1*SQRT(11)</f>
        <v>0.33166247903554003</v>
      </c>
      <c r="AW2219" s="28">
        <f t="shared" si="247"/>
        <v>-6.030226891555273</v>
      </c>
      <c r="AX2219">
        <f t="shared" si="248"/>
        <v>0.96202531645569622</v>
      </c>
      <c r="AY2219" s="62">
        <f t="shared" si="249"/>
        <v>-5.8012309336481112</v>
      </c>
      <c r="AZ2219" s="68" t="str">
        <f t="shared" si="250"/>
        <v>No</v>
      </c>
      <c r="BA2219" s="68" t="str">
        <f t="shared" si="251"/>
        <v>No</v>
      </c>
    </row>
    <row r="2220" spans="1:55" hidden="1">
      <c r="A2220" t="s">
        <v>3914</v>
      </c>
      <c r="G2220" t="s">
        <v>4294</v>
      </c>
      <c r="P2220" t="s">
        <v>60</v>
      </c>
      <c r="R2220" t="s">
        <v>4286</v>
      </c>
      <c r="S2220" t="s">
        <v>1775</v>
      </c>
      <c r="V2220" t="s">
        <v>3956</v>
      </c>
      <c r="Z2220">
        <v>11</v>
      </c>
      <c r="AA2220">
        <v>11</v>
      </c>
      <c r="AC2220">
        <v>420.89</v>
      </c>
      <c r="AD2220">
        <v>27</v>
      </c>
      <c r="AE2220">
        <v>1113.69</v>
      </c>
      <c r="AF2220">
        <v>27</v>
      </c>
      <c r="AJ2220" t="s">
        <v>2044</v>
      </c>
      <c r="AK2220" t="s">
        <v>4151</v>
      </c>
      <c r="AN2220">
        <v>7.7</v>
      </c>
      <c r="AO2220">
        <v>0.66332495807108005</v>
      </c>
      <c r="AP2220">
        <v>8.6</v>
      </c>
      <c r="AQ2220">
        <v>0.66332495807108005</v>
      </c>
      <c r="AW2220" s="28">
        <f t="shared" si="247"/>
        <v>1.3568010505999353</v>
      </c>
      <c r="AX2220">
        <f t="shared" si="248"/>
        <v>0.96202531645569622</v>
      </c>
      <c r="AY2220" s="62">
        <f t="shared" si="249"/>
        <v>1.3052769600708238</v>
      </c>
      <c r="AZ2220" s="68" t="str">
        <f t="shared" si="250"/>
        <v>No</v>
      </c>
      <c r="BA2220" s="68" t="str">
        <f t="shared" si="251"/>
        <v>No</v>
      </c>
    </row>
    <row r="2221" spans="1:55" hidden="1">
      <c r="A2221" t="s">
        <v>3914</v>
      </c>
      <c r="G2221" t="s">
        <v>4294</v>
      </c>
      <c r="P2221" t="s">
        <v>4596</v>
      </c>
      <c r="R2221" t="s">
        <v>4286</v>
      </c>
      <c r="S2221" t="s">
        <v>1775</v>
      </c>
      <c r="V2221" t="s">
        <v>4598</v>
      </c>
      <c r="Z2221">
        <v>11</v>
      </c>
      <c r="AA2221">
        <v>11</v>
      </c>
      <c r="AC2221">
        <v>421</v>
      </c>
      <c r="AD2221" s="55">
        <v>27.5</v>
      </c>
      <c r="AE2221">
        <v>317.39999999999998</v>
      </c>
      <c r="AF2221">
        <v>31</v>
      </c>
      <c r="AJ2221" t="s">
        <v>4845</v>
      </c>
      <c r="AK2221" t="s">
        <v>4844</v>
      </c>
      <c r="AN2221">
        <v>7.7</v>
      </c>
      <c r="AO2221">
        <f>0.2*SQRT(11)</f>
        <v>0.66332495807108005</v>
      </c>
      <c r="AP2221">
        <v>5.2</v>
      </c>
      <c r="AQ2221">
        <f>0.2*SQRT(11)</f>
        <v>0.66332495807108005</v>
      </c>
      <c r="AW2221" s="28">
        <f t="shared" si="247"/>
        <v>-3.7688918072220448</v>
      </c>
      <c r="AX2221">
        <f t="shared" si="248"/>
        <v>0.96202531645569622</v>
      </c>
      <c r="AY2221" s="62">
        <f t="shared" si="249"/>
        <v>-3.6257693335300685</v>
      </c>
      <c r="AZ2221" s="68" t="str">
        <f t="shared" si="250"/>
        <v>No</v>
      </c>
      <c r="BA2221" s="68" t="str">
        <f t="shared" si="251"/>
        <v>No</v>
      </c>
    </row>
    <row r="2222" spans="1:55" hidden="1">
      <c r="A2222" t="s">
        <v>3914</v>
      </c>
      <c r="G2222" t="s">
        <v>4294</v>
      </c>
      <c r="P2222" t="s">
        <v>4596</v>
      </c>
      <c r="R2222" t="s">
        <v>4286</v>
      </c>
      <c r="S2222" t="s">
        <v>1775</v>
      </c>
      <c r="V2222" t="s">
        <v>4600</v>
      </c>
      <c r="Z2222">
        <v>11</v>
      </c>
      <c r="AA2222">
        <v>11</v>
      </c>
      <c r="AC2222">
        <v>421</v>
      </c>
      <c r="AD2222" s="55">
        <v>27.5</v>
      </c>
      <c r="AE2222">
        <v>1756</v>
      </c>
      <c r="AF2222">
        <v>31</v>
      </c>
      <c r="AJ2222" t="s">
        <v>2044</v>
      </c>
      <c r="AK2222" t="s">
        <v>4844</v>
      </c>
      <c r="AN2222">
        <v>7.7</v>
      </c>
      <c r="AO2222">
        <f>0.2*SQRT(11)</f>
        <v>0.66332495807108005</v>
      </c>
      <c r="AP2222">
        <v>5.2</v>
      </c>
      <c r="AQ2222">
        <f>0.2*SQRT(11)</f>
        <v>0.66332495807108005</v>
      </c>
      <c r="AW2222" s="28">
        <f t="shared" si="247"/>
        <v>-3.7688918072220448</v>
      </c>
      <c r="AX2222">
        <f t="shared" si="248"/>
        <v>0.96202531645569622</v>
      </c>
      <c r="AY2222" s="62">
        <f t="shared" si="249"/>
        <v>-3.6257693335300685</v>
      </c>
      <c r="AZ2222" s="68" t="str">
        <f t="shared" si="250"/>
        <v>No</v>
      </c>
      <c r="BA2222" s="68" t="str">
        <f t="shared" si="251"/>
        <v>No</v>
      </c>
    </row>
    <row r="2223" spans="1:55" hidden="1">
      <c r="A2223" t="s">
        <v>3914</v>
      </c>
      <c r="G2223" t="s">
        <v>4294</v>
      </c>
      <c r="P2223" t="s">
        <v>4596</v>
      </c>
      <c r="R2223" t="s">
        <v>4286</v>
      </c>
      <c r="S2223" t="s">
        <v>1775</v>
      </c>
      <c r="V2223" t="s">
        <v>4600</v>
      </c>
      <c r="Z2223">
        <v>10</v>
      </c>
      <c r="AA2223">
        <v>10</v>
      </c>
      <c r="AC2223">
        <v>421</v>
      </c>
      <c r="AD2223" s="55">
        <v>27.5</v>
      </c>
      <c r="AE2223">
        <v>1756</v>
      </c>
      <c r="AF2223">
        <v>31</v>
      </c>
      <c r="AJ2223" t="s">
        <v>4833</v>
      </c>
      <c r="AK2223" t="s">
        <v>3983</v>
      </c>
      <c r="AN2223">
        <v>1.5</v>
      </c>
      <c r="AO2223">
        <v>5.5</v>
      </c>
      <c r="AP2223">
        <v>9</v>
      </c>
      <c r="AQ2223">
        <v>4</v>
      </c>
      <c r="AW2223" s="28">
        <f t="shared" si="247"/>
        <v>1.5596257347301092</v>
      </c>
      <c r="AX2223">
        <f t="shared" si="248"/>
        <v>0.95774647887323949</v>
      </c>
      <c r="AY2223" s="62">
        <f t="shared" si="249"/>
        <v>1.4937260557978511</v>
      </c>
      <c r="AZ2223" s="68" t="str">
        <f t="shared" si="250"/>
        <v>No</v>
      </c>
      <c r="BA2223" s="68" t="str">
        <f t="shared" si="251"/>
        <v>No</v>
      </c>
    </row>
    <row r="2224" spans="1:55" hidden="1">
      <c r="A2224" t="s">
        <v>3914</v>
      </c>
      <c r="G2224" t="s">
        <v>4831</v>
      </c>
      <c r="P2224" t="s">
        <v>4596</v>
      </c>
      <c r="R2224" t="s">
        <v>4286</v>
      </c>
      <c r="S2224" t="s">
        <v>1775</v>
      </c>
      <c r="V2224" t="s">
        <v>4598</v>
      </c>
      <c r="Z2224">
        <v>10</v>
      </c>
      <c r="AA2224">
        <v>10</v>
      </c>
      <c r="AC2224">
        <v>421</v>
      </c>
      <c r="AD2224" s="55">
        <v>27.5</v>
      </c>
      <c r="AE2224">
        <v>317.39999999999998</v>
      </c>
      <c r="AF2224">
        <v>31</v>
      </c>
      <c r="AJ2224" t="s">
        <v>4832</v>
      </c>
      <c r="AK2224" t="s">
        <v>3983</v>
      </c>
      <c r="AN2224">
        <v>1.5</v>
      </c>
      <c r="AO2224">
        <v>5.5</v>
      </c>
      <c r="AP2224">
        <v>11.5</v>
      </c>
      <c r="AQ2224">
        <v>6</v>
      </c>
      <c r="AW2224" s="28">
        <f t="shared" si="247"/>
        <v>1.7374889710522776</v>
      </c>
      <c r="AX2224">
        <f t="shared" si="248"/>
        <v>0.95774647887323949</v>
      </c>
      <c r="AY2224" s="62">
        <f t="shared" si="249"/>
        <v>1.6640739441064067</v>
      </c>
      <c r="AZ2224" s="68" t="str">
        <f t="shared" si="250"/>
        <v>No</v>
      </c>
      <c r="BA2224" s="68" t="str">
        <f t="shared" si="251"/>
        <v>No</v>
      </c>
    </row>
    <row r="2225" spans="1:55" hidden="1">
      <c r="A2225" t="s">
        <v>3914</v>
      </c>
      <c r="G2225" t="s">
        <v>4294</v>
      </c>
      <c r="P2225" t="s">
        <v>4596</v>
      </c>
      <c r="R2225" t="s">
        <v>4286</v>
      </c>
      <c r="S2225" t="s">
        <v>1775</v>
      </c>
      <c r="V2225" t="s">
        <v>4598</v>
      </c>
      <c r="Z2225">
        <v>11</v>
      </c>
      <c r="AA2225">
        <v>11</v>
      </c>
      <c r="AC2225">
        <v>421</v>
      </c>
      <c r="AD2225" s="55">
        <v>27.5</v>
      </c>
      <c r="AE2225">
        <v>317.39999999999998</v>
      </c>
      <c r="AF2225">
        <v>31</v>
      </c>
      <c r="AJ2225" t="s">
        <v>4847</v>
      </c>
      <c r="AK2225" t="s">
        <v>4848</v>
      </c>
      <c r="AN2225">
        <v>93.7</v>
      </c>
      <c r="AO2225">
        <f>1*SQRT(11)</f>
        <v>3.3166247903553998</v>
      </c>
      <c r="AP2225">
        <v>39.299999999999997</v>
      </c>
      <c r="AQ2225">
        <f>2.4*SQRT(11)</f>
        <v>7.9598994968529588</v>
      </c>
      <c r="AW2225" s="28">
        <f t="shared" si="247"/>
        <v>-8.9216299767270844</v>
      </c>
      <c r="AX2225">
        <f t="shared" si="248"/>
        <v>0.96202531645569622</v>
      </c>
      <c r="AY2225" s="62">
        <f t="shared" si="249"/>
        <v>-8.5828339016614983</v>
      </c>
      <c r="AZ2225" s="68" t="str">
        <f t="shared" si="250"/>
        <v>No</v>
      </c>
      <c r="BA2225" s="68" t="str">
        <f t="shared" si="251"/>
        <v>No</v>
      </c>
    </row>
    <row r="2226" spans="1:55" hidden="1">
      <c r="A2226" t="s">
        <v>3914</v>
      </c>
      <c r="G2226" t="s">
        <v>4294</v>
      </c>
      <c r="P2226" t="s">
        <v>4596</v>
      </c>
      <c r="R2226" t="s">
        <v>4286</v>
      </c>
      <c r="S2226" t="s">
        <v>1775</v>
      </c>
      <c r="V2226" t="s">
        <v>4600</v>
      </c>
      <c r="Z2226">
        <v>20</v>
      </c>
      <c r="AA2226">
        <v>20</v>
      </c>
      <c r="AC2226">
        <v>421</v>
      </c>
      <c r="AD2226" s="55">
        <v>27.5</v>
      </c>
      <c r="AE2226">
        <v>1756</v>
      </c>
      <c r="AF2226">
        <v>31</v>
      </c>
      <c r="AJ2226" t="s">
        <v>4842</v>
      </c>
      <c r="AK2226" t="s">
        <v>4849</v>
      </c>
      <c r="AN2226">
        <v>1.7</v>
      </c>
      <c r="AO2226">
        <f>2.8*SQRT(20)</f>
        <v>12.521980673998822</v>
      </c>
      <c r="AP2226">
        <v>8.8000000000000007</v>
      </c>
      <c r="AQ2226">
        <f>2.3*SQRT(20)</f>
        <v>10.285912696499032</v>
      </c>
      <c r="AW2226" s="28">
        <f t="shared" si="247"/>
        <v>0.61962079649950741</v>
      </c>
      <c r="AX2226">
        <f t="shared" si="248"/>
        <v>0.98013245033112584</v>
      </c>
      <c r="AY2226" s="62">
        <f t="shared" si="249"/>
        <v>0.60731044954918612</v>
      </c>
      <c r="AZ2226" s="68" t="str">
        <f t="shared" si="250"/>
        <v>No</v>
      </c>
      <c r="BA2226" s="68" t="str">
        <f t="shared" si="251"/>
        <v>No</v>
      </c>
    </row>
    <row r="2227" spans="1:55" hidden="1">
      <c r="A2227" t="s">
        <v>3914</v>
      </c>
      <c r="G2227" t="s">
        <v>4294</v>
      </c>
      <c r="P2227" t="s">
        <v>4596</v>
      </c>
      <c r="R2227" t="s">
        <v>4286</v>
      </c>
      <c r="S2227" t="s">
        <v>1775</v>
      </c>
      <c r="V2227" t="s">
        <v>4600</v>
      </c>
      <c r="Z2227">
        <v>11</v>
      </c>
      <c r="AA2227">
        <v>11</v>
      </c>
      <c r="AC2227">
        <v>421</v>
      </c>
      <c r="AD2227" s="55">
        <v>27.5</v>
      </c>
      <c r="AE2227">
        <v>1756</v>
      </c>
      <c r="AF2227">
        <v>31</v>
      </c>
      <c r="AJ2227" t="s">
        <v>4838</v>
      </c>
      <c r="AK2227" t="s">
        <v>4848</v>
      </c>
      <c r="AN2227">
        <v>93.7</v>
      </c>
      <c r="AO2227">
        <f>1*SQRT(11)</f>
        <v>3.3166247903553998</v>
      </c>
      <c r="AP2227">
        <v>25.7</v>
      </c>
      <c r="AQ2227">
        <f>3.9*SQRT(11)</f>
        <v>12.934836682386059</v>
      </c>
      <c r="AW2227" s="28">
        <f t="shared" si="247"/>
        <v>-7.2017171538924156</v>
      </c>
      <c r="AX2227">
        <f t="shared" si="248"/>
        <v>0.96202531645569622</v>
      </c>
      <c r="AY2227" s="62">
        <f t="shared" si="249"/>
        <v>-6.9282342239977668</v>
      </c>
      <c r="AZ2227" s="68" t="str">
        <f t="shared" si="250"/>
        <v>No</v>
      </c>
      <c r="BA2227" s="68" t="str">
        <f t="shared" si="251"/>
        <v>No</v>
      </c>
    </row>
    <row r="2228" spans="1:55" hidden="1">
      <c r="A2228" t="s">
        <v>3914</v>
      </c>
      <c r="G2228" t="s">
        <v>4294</v>
      </c>
      <c r="P2228" t="s">
        <v>60</v>
      </c>
      <c r="R2228" t="s">
        <v>4286</v>
      </c>
      <c r="S2228" t="s">
        <v>1775</v>
      </c>
      <c r="V2228" t="s">
        <v>3956</v>
      </c>
      <c r="Z2228">
        <v>11</v>
      </c>
      <c r="AA2228">
        <v>11</v>
      </c>
      <c r="AC2228">
        <v>420.89</v>
      </c>
      <c r="AD2228">
        <v>27</v>
      </c>
      <c r="AE2228">
        <v>1113.69</v>
      </c>
      <c r="AF2228">
        <v>27</v>
      </c>
      <c r="AJ2228" t="s">
        <v>677</v>
      </c>
      <c r="AK2228" t="s">
        <v>4093</v>
      </c>
      <c r="AN2228">
        <v>93.7</v>
      </c>
      <c r="AO2228">
        <v>3.3166247903553998</v>
      </c>
      <c r="AP2228">
        <v>74.7</v>
      </c>
      <c r="AQ2228">
        <v>13.929824119492681</v>
      </c>
      <c r="AW2228" s="28">
        <f t="shared" si="247"/>
        <v>-1.8765031690838521</v>
      </c>
      <c r="AX2228">
        <f t="shared" si="248"/>
        <v>0.96202531645569622</v>
      </c>
      <c r="AY2228" s="62">
        <f t="shared" si="249"/>
        <v>-1.8052435550680097</v>
      </c>
      <c r="AZ2228" s="68" t="str">
        <f t="shared" si="250"/>
        <v>No</v>
      </c>
      <c r="BA2228" s="68" t="str">
        <f t="shared" si="251"/>
        <v>No</v>
      </c>
    </row>
    <row r="2229" spans="1:55" ht="15" hidden="1">
      <c r="A2229" t="s">
        <v>3914</v>
      </c>
      <c r="G2229" t="s">
        <v>4294</v>
      </c>
      <c r="P2229" t="s">
        <v>4596</v>
      </c>
      <c r="R2229" t="s">
        <v>4286</v>
      </c>
      <c r="S2229" t="s">
        <v>1775</v>
      </c>
      <c r="V2229" t="s">
        <v>4598</v>
      </c>
      <c r="Z2229">
        <v>20</v>
      </c>
      <c r="AA2229">
        <v>20</v>
      </c>
      <c r="AC2229">
        <v>421</v>
      </c>
      <c r="AD2229" s="55">
        <v>27.5</v>
      </c>
      <c r="AE2229">
        <v>317.39999999999998</v>
      </c>
      <c r="AF2229">
        <v>31</v>
      </c>
      <c r="AJ2229" t="s">
        <v>4841</v>
      </c>
      <c r="AK2229" t="s">
        <v>4849</v>
      </c>
      <c r="AN2229">
        <v>1.7</v>
      </c>
      <c r="AO2229">
        <f>2.8*SQRT(20)</f>
        <v>12.521980673998822</v>
      </c>
      <c r="AP2229">
        <v>11.8</v>
      </c>
      <c r="AQ2229">
        <f>3.9*SQRT(20)</f>
        <v>17.441330224498358</v>
      </c>
      <c r="AW2229" s="28">
        <f t="shared" si="247"/>
        <v>0.66525157115817224</v>
      </c>
      <c r="AX2229">
        <f t="shared" si="248"/>
        <v>0.98013245033112584</v>
      </c>
      <c r="AY2229" s="73">
        <f t="shared" si="249"/>
        <v>0.65203465252589066</v>
      </c>
      <c r="AZ2229" s="74" t="str">
        <f t="shared" si="250"/>
        <v>No</v>
      </c>
      <c r="BA2229" s="74" t="str">
        <f t="shared" si="251"/>
        <v>No</v>
      </c>
      <c r="BB2229" s="56"/>
      <c r="BC2229" s="56"/>
    </row>
    <row r="2230" spans="1:55" ht="15" hidden="1">
      <c r="A2230" t="s">
        <v>3914</v>
      </c>
      <c r="G2230" t="s">
        <v>4294</v>
      </c>
      <c r="P2230" t="s">
        <v>4596</v>
      </c>
      <c r="R2230" t="s">
        <v>4286</v>
      </c>
      <c r="S2230" t="s">
        <v>1775</v>
      </c>
      <c r="V2230" t="s">
        <v>4600</v>
      </c>
      <c r="Z2230">
        <v>20</v>
      </c>
      <c r="AA2230">
        <v>20</v>
      </c>
      <c r="AC2230">
        <v>421</v>
      </c>
      <c r="AD2230" s="55">
        <v>27.5</v>
      </c>
      <c r="AE2230">
        <v>1756</v>
      </c>
      <c r="AF2230">
        <v>31</v>
      </c>
      <c r="AJ2230" t="s">
        <v>4843</v>
      </c>
      <c r="AK2230" t="s">
        <v>4041</v>
      </c>
      <c r="AN2230">
        <v>64.3</v>
      </c>
      <c r="AO2230">
        <f>5.3*SQRT(20)</f>
        <v>23.702320561497771</v>
      </c>
      <c r="AP2230">
        <v>86.4</v>
      </c>
      <c r="AQ2230">
        <f>4.4*SQRT(20)</f>
        <v>19.677398201998152</v>
      </c>
      <c r="AU2230" s="53" t="s">
        <v>4850</v>
      </c>
      <c r="AW2230" s="28">
        <f t="shared" si="247"/>
        <v>1.0145516588588042</v>
      </c>
      <c r="AX2230">
        <f t="shared" si="248"/>
        <v>0.98013245033112584</v>
      </c>
      <c r="AY2230" s="73">
        <f t="shared" si="249"/>
        <v>0.99439500338478815</v>
      </c>
      <c r="AZ2230" s="74" t="str">
        <f t="shared" si="250"/>
        <v>No</v>
      </c>
      <c r="BA2230" s="74" t="str">
        <f t="shared" si="251"/>
        <v>No</v>
      </c>
      <c r="BB2230" s="56"/>
      <c r="BC2230" s="56"/>
    </row>
    <row r="2231" spans="1:55" hidden="1">
      <c r="A2231" t="s">
        <v>3914</v>
      </c>
      <c r="G2231" t="s">
        <v>4294</v>
      </c>
      <c r="P2231" t="s">
        <v>4596</v>
      </c>
      <c r="R2231" t="s">
        <v>4286</v>
      </c>
      <c r="S2231" t="s">
        <v>1775</v>
      </c>
      <c r="V2231" t="s">
        <v>4598</v>
      </c>
      <c r="Z2231">
        <v>20</v>
      </c>
      <c r="AA2231">
        <v>20</v>
      </c>
      <c r="AC2231">
        <v>421</v>
      </c>
      <c r="AD2231" s="55">
        <v>27.5</v>
      </c>
      <c r="AE2231">
        <v>317.39999999999998</v>
      </c>
      <c r="AF2231">
        <v>31</v>
      </c>
      <c r="AJ2231" t="s">
        <v>4843</v>
      </c>
      <c r="AK2231" t="s">
        <v>4041</v>
      </c>
      <c r="AN2231">
        <v>64.3</v>
      </c>
      <c r="AO2231">
        <f>5.3*SQRT(20)</f>
        <v>23.702320561497771</v>
      </c>
      <c r="AP2231">
        <v>72.7</v>
      </c>
      <c r="AQ2231">
        <f>6*SQRT(20)</f>
        <v>26.832815729997478</v>
      </c>
      <c r="AU2231" s="53" t="s">
        <v>4850</v>
      </c>
      <c r="AW2231" s="28">
        <f t="shared" si="247"/>
        <v>0.33180593523175039</v>
      </c>
      <c r="AX2231">
        <f t="shared" si="248"/>
        <v>0.98013245033112584</v>
      </c>
      <c r="AY2231" s="62">
        <f t="shared" si="249"/>
        <v>0.32521376433310634</v>
      </c>
      <c r="AZ2231" s="68" t="str">
        <f t="shared" si="250"/>
        <v>No</v>
      </c>
      <c r="BA2231" s="68" t="str">
        <f t="shared" si="251"/>
        <v>No</v>
      </c>
    </row>
    <row r="2232" spans="1:55" hidden="1">
      <c r="A2232" t="s">
        <v>3914</v>
      </c>
      <c r="G2232" t="s">
        <v>4294</v>
      </c>
      <c r="P2232" t="s">
        <v>4596</v>
      </c>
      <c r="R2232" t="s">
        <v>4286</v>
      </c>
      <c r="S2232" t="s">
        <v>1775</v>
      </c>
      <c r="V2232" t="s">
        <v>4598</v>
      </c>
      <c r="Z2232">
        <v>110</v>
      </c>
      <c r="AA2232">
        <v>110</v>
      </c>
      <c r="AC2232">
        <v>421</v>
      </c>
      <c r="AD2232" s="55">
        <v>27.5</v>
      </c>
      <c r="AE2232">
        <v>317.39999999999998</v>
      </c>
      <c r="AF2232">
        <v>31</v>
      </c>
      <c r="AJ2232" t="s">
        <v>4839</v>
      </c>
      <c r="AK2232" t="s">
        <v>40</v>
      </c>
      <c r="AN2232">
        <v>6596.2</v>
      </c>
      <c r="AO2232">
        <f>68.8*SQRT(110)</f>
        <v>721.58048754106426</v>
      </c>
      <c r="AP2232">
        <v>4164.6000000000004</v>
      </c>
      <c r="AQ2232">
        <f>67.4*SQRT(110)</f>
        <v>706.89716366668222</v>
      </c>
      <c r="AW2232" s="28">
        <f t="shared" si="247"/>
        <v>-3.4042836431960599</v>
      </c>
      <c r="AX2232">
        <f t="shared" si="248"/>
        <v>0.99655568312284726</v>
      </c>
      <c r="AY2232" s="62">
        <f t="shared" si="249"/>
        <v>-3.3925582115891846</v>
      </c>
      <c r="AZ2232" s="68" t="str">
        <f t="shared" si="250"/>
        <v>No</v>
      </c>
      <c r="BA2232" s="68" t="str">
        <f t="shared" si="251"/>
        <v>No</v>
      </c>
    </row>
    <row r="2233" spans="1:55" hidden="1">
      <c r="A2233" t="s">
        <v>3914</v>
      </c>
      <c r="G2233" t="s">
        <v>4294</v>
      </c>
      <c r="P2233" t="s">
        <v>4596</v>
      </c>
      <c r="R2233" t="s">
        <v>4286</v>
      </c>
      <c r="S2233" t="s">
        <v>1775</v>
      </c>
      <c r="V2233" t="s">
        <v>4600</v>
      </c>
      <c r="Z2233">
        <v>110</v>
      </c>
      <c r="AA2233">
        <v>110</v>
      </c>
      <c r="AC2233">
        <v>421</v>
      </c>
      <c r="AD2233" s="55">
        <v>27.5</v>
      </c>
      <c r="AE2233">
        <v>1756</v>
      </c>
      <c r="AF2233">
        <v>31</v>
      </c>
      <c r="AJ2233" t="s">
        <v>4840</v>
      </c>
      <c r="AK2233" t="s">
        <v>4849</v>
      </c>
      <c r="AN2233">
        <v>6596.2</v>
      </c>
      <c r="AO2233">
        <f>68.8*SQRT(110)</f>
        <v>721.58048754106426</v>
      </c>
      <c r="AP2233">
        <v>3157.6</v>
      </c>
      <c r="AQ2233">
        <f>124.3*SQRT(110)</f>
        <v>1303.6693982754982</v>
      </c>
      <c r="AW2233" s="28">
        <f t="shared" si="247"/>
        <v>-3.2636039374911721</v>
      </c>
      <c r="AX2233">
        <f t="shared" si="248"/>
        <v>0.99655568312284726</v>
      </c>
      <c r="AY2233" s="62">
        <f t="shared" si="249"/>
        <v>-3.252363051368929</v>
      </c>
      <c r="AZ2233" s="68" t="str">
        <f t="shared" si="250"/>
        <v>No</v>
      </c>
      <c r="BA2233" s="68" t="str">
        <f t="shared" si="251"/>
        <v>No</v>
      </c>
    </row>
    <row r="2234" spans="1:55" hidden="1">
      <c r="A2234" t="s">
        <v>3914</v>
      </c>
      <c r="G2234" t="s">
        <v>4505</v>
      </c>
      <c r="P2234" t="s">
        <v>4596</v>
      </c>
      <c r="R2234" t="s">
        <v>4691</v>
      </c>
      <c r="S2234" t="s">
        <v>912</v>
      </c>
      <c r="V2234" t="s">
        <v>4598</v>
      </c>
      <c r="Z2234">
        <v>33</v>
      </c>
      <c r="AA2234">
        <v>27</v>
      </c>
      <c r="AC2234">
        <v>405</v>
      </c>
      <c r="AD2234">
        <v>6.7</v>
      </c>
      <c r="AE2234">
        <v>443</v>
      </c>
      <c r="AF2234">
        <v>9.5</v>
      </c>
      <c r="AJ2234" t="s">
        <v>4696</v>
      </c>
      <c r="AK2234" t="s">
        <v>4698</v>
      </c>
      <c r="AN2234">
        <v>2.8</v>
      </c>
      <c r="AO2234">
        <v>1.5881462007791429</v>
      </c>
      <c r="AP2234">
        <v>3.7</v>
      </c>
      <c r="AQ2234">
        <v>1.1971102409574288</v>
      </c>
      <c r="AW2234" s="28">
        <f t="shared" si="247"/>
        <v>0.63105858491690592</v>
      </c>
      <c r="AX2234">
        <f t="shared" si="248"/>
        <v>0.98701298701298701</v>
      </c>
      <c r="AY2234" s="62">
        <f t="shared" si="249"/>
        <v>0.62286301887902407</v>
      </c>
      <c r="AZ2234" s="68" t="str">
        <f t="shared" si="250"/>
        <v>No</v>
      </c>
      <c r="BA2234" s="68" t="str">
        <f t="shared" si="251"/>
        <v>No</v>
      </c>
    </row>
    <row r="2235" spans="1:55" hidden="1">
      <c r="A2235" t="s">
        <v>3914</v>
      </c>
      <c r="G2235" t="s">
        <v>4505</v>
      </c>
      <c r="P2235" t="s">
        <v>4596</v>
      </c>
      <c r="R2235" t="s">
        <v>4691</v>
      </c>
      <c r="S2235" t="s">
        <v>912</v>
      </c>
      <c r="V2235" t="s">
        <v>4600</v>
      </c>
      <c r="Z2235">
        <v>33</v>
      </c>
      <c r="AA2235">
        <v>24</v>
      </c>
      <c r="AC2235">
        <v>405</v>
      </c>
      <c r="AD2235">
        <v>6.7</v>
      </c>
      <c r="AE2235">
        <v>1449</v>
      </c>
      <c r="AF2235">
        <v>9.5</v>
      </c>
      <c r="AJ2235" t="s">
        <v>4693</v>
      </c>
      <c r="AK2235" t="s">
        <v>4698</v>
      </c>
      <c r="AN2235">
        <v>2.8</v>
      </c>
      <c r="AO2235">
        <v>1.5881462007791429</v>
      </c>
      <c r="AP2235">
        <v>4.0999999999999996</v>
      </c>
      <c r="AQ2235">
        <v>4.2136130733952619</v>
      </c>
      <c r="AW2235" s="28">
        <f t="shared" si="247"/>
        <v>0.43595475225123859</v>
      </c>
      <c r="AX2235">
        <f t="shared" si="248"/>
        <v>0.98630136986301364</v>
      </c>
      <c r="AY2235" s="62">
        <f t="shared" si="249"/>
        <v>0.42998276934368734</v>
      </c>
      <c r="AZ2235" s="68" t="str">
        <f t="shared" si="250"/>
        <v>No</v>
      </c>
      <c r="BA2235" s="68" t="str">
        <f t="shared" si="251"/>
        <v>No</v>
      </c>
    </row>
    <row r="2236" spans="1:55" hidden="1">
      <c r="A2236" t="s">
        <v>3914</v>
      </c>
      <c r="G2236" t="s">
        <v>5075</v>
      </c>
      <c r="P2236" t="s">
        <v>60</v>
      </c>
      <c r="R2236" t="s">
        <v>4509</v>
      </c>
      <c r="S2236" t="s">
        <v>912</v>
      </c>
      <c r="V2236" t="s">
        <v>3956</v>
      </c>
      <c r="Z2236" s="50">
        <v>23</v>
      </c>
      <c r="AA2236">
        <v>23</v>
      </c>
      <c r="AC2236" s="55">
        <v>406</v>
      </c>
      <c r="AD2236" s="55">
        <v>6.7</v>
      </c>
      <c r="AE2236" s="55">
        <v>1238</v>
      </c>
      <c r="AF2236" s="55">
        <v>6.7</v>
      </c>
      <c r="AJ2236" t="s">
        <v>677</v>
      </c>
      <c r="AK2236" t="s">
        <v>4516</v>
      </c>
      <c r="AN2236">
        <v>99</v>
      </c>
      <c r="AO2236">
        <v>3.8366652186501753</v>
      </c>
      <c r="AP2236">
        <v>99</v>
      </c>
      <c r="AQ2236">
        <v>4.7958315233127191</v>
      </c>
      <c r="AW2236" s="28">
        <f t="shared" si="247"/>
        <v>0</v>
      </c>
      <c r="AX2236">
        <f t="shared" si="248"/>
        <v>0.98285714285714287</v>
      </c>
      <c r="AY2236" s="62">
        <f t="shared" si="249"/>
        <v>0</v>
      </c>
      <c r="AZ2236" s="68" t="str">
        <f t="shared" si="250"/>
        <v>No</v>
      </c>
      <c r="BA2236" s="68" t="str">
        <f t="shared" si="251"/>
        <v>No</v>
      </c>
    </row>
    <row r="2237" spans="1:55" ht="15" hidden="1">
      <c r="A2237" t="s">
        <v>3914</v>
      </c>
      <c r="G2237" t="s">
        <v>4505</v>
      </c>
      <c r="P2237" t="s">
        <v>4596</v>
      </c>
      <c r="R2237" t="s">
        <v>4691</v>
      </c>
      <c r="S2237" t="s">
        <v>912</v>
      </c>
      <c r="V2237" t="s">
        <v>4600</v>
      </c>
      <c r="Z2237">
        <v>23</v>
      </c>
      <c r="AA2237">
        <v>23</v>
      </c>
      <c r="AC2237">
        <v>405</v>
      </c>
      <c r="AD2237">
        <v>6.7</v>
      </c>
      <c r="AE2237">
        <v>1449</v>
      </c>
      <c r="AF2237">
        <v>9.5</v>
      </c>
      <c r="AJ2237" t="s">
        <v>677</v>
      </c>
      <c r="AK2237" t="s">
        <v>770</v>
      </c>
      <c r="AN2237">
        <v>98.5</v>
      </c>
      <c r="AO2237">
        <v>5.0379321517142781</v>
      </c>
      <c r="AP2237">
        <v>95</v>
      </c>
      <c r="AQ2237">
        <v>4.814024056082487</v>
      </c>
      <c r="AW2237" s="28">
        <f t="shared" si="247"/>
        <v>-0.71033535890834354</v>
      </c>
      <c r="AX2237">
        <f t="shared" si="248"/>
        <v>0.98285714285714287</v>
      </c>
      <c r="AY2237" s="73">
        <f t="shared" si="249"/>
        <v>-0.69815818132705765</v>
      </c>
      <c r="AZ2237" s="74" t="str">
        <f t="shared" si="250"/>
        <v>No</v>
      </c>
      <c r="BA2237" s="74" t="str">
        <f t="shared" si="251"/>
        <v>No</v>
      </c>
      <c r="BB2237" s="56"/>
      <c r="BC2237" s="56"/>
    </row>
    <row r="2238" spans="1:55" ht="15" hidden="1">
      <c r="A2238" t="s">
        <v>3914</v>
      </c>
      <c r="G2238" t="s">
        <v>4505</v>
      </c>
      <c r="P2238" t="s">
        <v>4596</v>
      </c>
      <c r="R2238" t="s">
        <v>4691</v>
      </c>
      <c r="S2238" t="s">
        <v>912</v>
      </c>
      <c r="V2238" t="s">
        <v>4598</v>
      </c>
      <c r="Z2238">
        <v>23</v>
      </c>
      <c r="AA2238">
        <v>23</v>
      </c>
      <c r="AC2238">
        <v>405</v>
      </c>
      <c r="AD2238">
        <v>6.7</v>
      </c>
      <c r="AE2238">
        <v>443</v>
      </c>
      <c r="AF2238">
        <v>9.5</v>
      </c>
      <c r="AJ2238" t="s">
        <v>677</v>
      </c>
      <c r="AK2238" t="s">
        <v>770</v>
      </c>
      <c r="AN2238">
        <v>98.5</v>
      </c>
      <c r="AO2238">
        <v>5.0379321517142781</v>
      </c>
      <c r="AP2238">
        <v>97</v>
      </c>
      <c r="AQ2238">
        <v>4.8280183120599336</v>
      </c>
      <c r="AW2238" s="28">
        <f t="shared" si="247"/>
        <v>-0.30400732308398498</v>
      </c>
      <c r="AX2238">
        <f t="shared" si="248"/>
        <v>0.98285714285714287</v>
      </c>
      <c r="AY2238" s="73">
        <f t="shared" si="249"/>
        <v>-0.29879576897397381</v>
      </c>
      <c r="AZ2238" s="74" t="str">
        <f t="shared" si="250"/>
        <v>No</v>
      </c>
      <c r="BA2238" s="74" t="str">
        <f t="shared" si="251"/>
        <v>No</v>
      </c>
      <c r="BB2238" s="56"/>
      <c r="BC2238" s="56"/>
    </row>
    <row r="2239" spans="1:55" ht="15" hidden="1">
      <c r="A2239" t="s">
        <v>3914</v>
      </c>
      <c r="G2239" t="s">
        <v>4505</v>
      </c>
      <c r="P2239" t="s">
        <v>4596</v>
      </c>
      <c r="R2239" t="s">
        <v>4691</v>
      </c>
      <c r="S2239" t="s">
        <v>912</v>
      </c>
      <c r="V2239" t="s">
        <v>4598</v>
      </c>
      <c r="Z2239">
        <v>74</v>
      </c>
      <c r="AA2239">
        <v>74</v>
      </c>
      <c r="AC2239">
        <v>405</v>
      </c>
      <c r="AD2239">
        <v>6.7</v>
      </c>
      <c r="AE2239">
        <v>443</v>
      </c>
      <c r="AF2239">
        <v>9.5</v>
      </c>
      <c r="AJ2239" t="s">
        <v>4695</v>
      </c>
      <c r="AK2239" t="s">
        <v>770</v>
      </c>
      <c r="AN2239">
        <v>17.5</v>
      </c>
      <c r="AO2239">
        <v>9.8710270679154863</v>
      </c>
      <c r="AP2239">
        <v>14.7</v>
      </c>
      <c r="AQ2239">
        <v>8.3124438466650314</v>
      </c>
      <c r="AW2239" s="28">
        <f t="shared" si="247"/>
        <v>-0.3068468754312359</v>
      </c>
      <c r="AX2239">
        <f t="shared" si="248"/>
        <v>0.99485420240137223</v>
      </c>
      <c r="AY2239" s="73">
        <f t="shared" si="249"/>
        <v>-0.30526790351649541</v>
      </c>
      <c r="AZ2239" s="74" t="str">
        <f t="shared" si="250"/>
        <v>No</v>
      </c>
      <c r="BA2239" s="74" t="str">
        <f t="shared" si="251"/>
        <v>No</v>
      </c>
      <c r="BB2239" s="56"/>
      <c r="BC2239" s="56"/>
    </row>
    <row r="2240" spans="1:55" ht="15" hidden="1">
      <c r="A2240" t="s">
        <v>3914</v>
      </c>
      <c r="G2240" t="s">
        <v>4505</v>
      </c>
      <c r="P2240" t="s">
        <v>4596</v>
      </c>
      <c r="R2240" t="s">
        <v>4691</v>
      </c>
      <c r="S2240" t="s">
        <v>912</v>
      </c>
      <c r="V2240" t="s">
        <v>4600</v>
      </c>
      <c r="Z2240">
        <v>74</v>
      </c>
      <c r="AA2240">
        <v>74</v>
      </c>
      <c r="AC2240">
        <v>405</v>
      </c>
      <c r="AD2240">
        <v>6.7</v>
      </c>
      <c r="AE2240">
        <v>1449</v>
      </c>
      <c r="AF2240">
        <v>9.5</v>
      </c>
      <c r="AJ2240" t="s">
        <v>4301</v>
      </c>
      <c r="AK2240" t="s">
        <v>770</v>
      </c>
      <c r="AN2240">
        <v>17.5</v>
      </c>
      <c r="AO2240">
        <v>9.8710270679154863</v>
      </c>
      <c r="AP2240">
        <v>14.7</v>
      </c>
      <c r="AQ2240">
        <v>8.4705609850535968</v>
      </c>
      <c r="AW2240" s="28">
        <f t="shared" si="247"/>
        <v>-0.30443094199352999</v>
      </c>
      <c r="AX2240">
        <f t="shared" si="248"/>
        <v>0.99485420240137223</v>
      </c>
      <c r="AY2240" s="73">
        <f t="shared" si="249"/>
        <v>-0.30286440198327169</v>
      </c>
      <c r="AZ2240" s="74" t="str">
        <f t="shared" si="250"/>
        <v>No</v>
      </c>
      <c r="BA2240" s="74" t="str">
        <f t="shared" si="251"/>
        <v>No</v>
      </c>
      <c r="BB2240" s="56"/>
      <c r="BC2240" s="56"/>
    </row>
    <row r="2241" spans="1:55" ht="15" hidden="1">
      <c r="A2241" t="s">
        <v>3914</v>
      </c>
      <c r="G2241" t="s">
        <v>4505</v>
      </c>
      <c r="P2241" t="s">
        <v>60</v>
      </c>
      <c r="R2241" t="s">
        <v>4509</v>
      </c>
      <c r="S2241" t="s">
        <v>912</v>
      </c>
      <c r="V2241" t="s">
        <v>3956</v>
      </c>
      <c r="Z2241">
        <v>9</v>
      </c>
      <c r="AA2241">
        <v>7</v>
      </c>
      <c r="AC2241" s="55">
        <v>406</v>
      </c>
      <c r="AD2241" s="55">
        <v>6.7</v>
      </c>
      <c r="AE2241" s="55">
        <v>1238</v>
      </c>
      <c r="AF2241" s="55">
        <v>6.7</v>
      </c>
      <c r="AJ2241" t="s">
        <v>4079</v>
      </c>
      <c r="AK2241" t="s">
        <v>4502</v>
      </c>
      <c r="AN2241">
        <v>50</v>
      </c>
      <c r="AO2241">
        <v>6</v>
      </c>
      <c r="AP2241">
        <v>48</v>
      </c>
      <c r="AQ2241">
        <v>10.583005244258363</v>
      </c>
      <c r="AW2241" s="28">
        <f t="shared" si="247"/>
        <v>-0.24152294576982397</v>
      </c>
      <c r="AX2241">
        <f t="shared" si="248"/>
        <v>0.94545454545454544</v>
      </c>
      <c r="AY2241" s="73">
        <f t="shared" si="249"/>
        <v>-0.22834896690965176</v>
      </c>
      <c r="AZ2241" s="74" t="str">
        <f t="shared" si="250"/>
        <v>No</v>
      </c>
      <c r="BA2241" s="74" t="str">
        <f t="shared" si="251"/>
        <v>No</v>
      </c>
      <c r="BB2241" s="56"/>
      <c r="BC2241" s="56"/>
    </row>
    <row r="2242" spans="1:55" hidden="1">
      <c r="A2242" t="s">
        <v>3914</v>
      </c>
      <c r="G2242" t="s">
        <v>4505</v>
      </c>
      <c r="P2242" t="s">
        <v>4596</v>
      </c>
      <c r="R2242" t="s">
        <v>4691</v>
      </c>
      <c r="S2242" t="s">
        <v>912</v>
      </c>
      <c r="V2242" t="s">
        <v>4598</v>
      </c>
      <c r="Z2242">
        <v>9</v>
      </c>
      <c r="AA2242">
        <v>9</v>
      </c>
      <c r="AC2242">
        <v>405</v>
      </c>
      <c r="AD2242">
        <v>6.7</v>
      </c>
      <c r="AE2242">
        <v>443</v>
      </c>
      <c r="AF2242">
        <v>9.5</v>
      </c>
      <c r="AJ2242" t="s">
        <v>4079</v>
      </c>
      <c r="AK2242" t="s">
        <v>904</v>
      </c>
      <c r="AN2242">
        <v>50</v>
      </c>
      <c r="AO2242">
        <v>6.8354430379749118</v>
      </c>
      <c r="AP2242">
        <v>60</v>
      </c>
      <c r="AQ2242">
        <v>13.670886075949504</v>
      </c>
      <c r="AW2242" s="28">
        <f t="shared" si="247"/>
        <v>0.92525901908628994</v>
      </c>
      <c r="AX2242">
        <f t="shared" si="248"/>
        <v>0.95238095238095233</v>
      </c>
      <c r="AY2242" s="62">
        <f t="shared" si="249"/>
        <v>0.88119906579646656</v>
      </c>
      <c r="AZ2242" s="68" t="str">
        <f t="shared" si="250"/>
        <v>No</v>
      </c>
      <c r="BA2242" s="68" t="str">
        <f t="shared" si="251"/>
        <v>No</v>
      </c>
    </row>
    <row r="2243" spans="1:55" ht="15" hidden="1">
      <c r="A2243" t="s">
        <v>3914</v>
      </c>
      <c r="G2243" t="s">
        <v>4505</v>
      </c>
      <c r="P2243" t="s">
        <v>4596</v>
      </c>
      <c r="R2243" t="s">
        <v>4691</v>
      </c>
      <c r="S2243" t="s">
        <v>912</v>
      </c>
      <c r="V2243" t="s">
        <v>4600</v>
      </c>
      <c r="Z2243">
        <v>9</v>
      </c>
      <c r="AA2243">
        <v>7</v>
      </c>
      <c r="AC2243">
        <v>405</v>
      </c>
      <c r="AD2243">
        <v>6.7</v>
      </c>
      <c r="AE2243">
        <v>1449</v>
      </c>
      <c r="AF2243">
        <v>9.5</v>
      </c>
      <c r="AJ2243" t="s">
        <v>4079</v>
      </c>
      <c r="AK2243" t="s">
        <v>904</v>
      </c>
      <c r="AN2243">
        <v>50</v>
      </c>
      <c r="AO2243">
        <v>6.8354430379749118</v>
      </c>
      <c r="AP2243">
        <v>56</v>
      </c>
      <c r="AQ2243">
        <v>16.07545100393699</v>
      </c>
      <c r="AW2243" s="28">
        <f t="shared" si="247"/>
        <v>0.51177384656112623</v>
      </c>
      <c r="AX2243">
        <f t="shared" si="248"/>
        <v>0.94545454545454544</v>
      </c>
      <c r="AY2243" s="73">
        <f t="shared" si="249"/>
        <v>0.48385890947597388</v>
      </c>
      <c r="AZ2243" s="74" t="str">
        <f t="shared" si="250"/>
        <v>No</v>
      </c>
      <c r="BA2243" s="74" t="str">
        <f t="shared" si="251"/>
        <v>No</v>
      </c>
      <c r="BB2243" s="56"/>
      <c r="BC2243" s="56"/>
    </row>
    <row r="2244" spans="1:55" hidden="1">
      <c r="A2244" t="s">
        <v>3914</v>
      </c>
      <c r="G2244" t="s">
        <v>4505</v>
      </c>
      <c r="P2244" t="s">
        <v>4596</v>
      </c>
      <c r="R2244" t="s">
        <v>4691</v>
      </c>
      <c r="S2244" t="s">
        <v>912</v>
      </c>
      <c r="V2244" t="s">
        <v>4598</v>
      </c>
      <c r="Z2244">
        <v>33</v>
      </c>
      <c r="AA2244">
        <v>27</v>
      </c>
      <c r="AC2244">
        <v>405</v>
      </c>
      <c r="AD2244">
        <v>6.7</v>
      </c>
      <c r="AE2244">
        <v>443</v>
      </c>
      <c r="AF2244">
        <v>9.5</v>
      </c>
      <c r="AJ2244" t="s">
        <v>4692</v>
      </c>
      <c r="AK2244" t="s">
        <v>770</v>
      </c>
      <c r="AN2244">
        <v>63</v>
      </c>
      <c r="AO2244">
        <v>26.351204800633464</v>
      </c>
      <c r="AP2244">
        <v>72</v>
      </c>
      <c r="AQ2244">
        <v>25.782435685185593</v>
      </c>
      <c r="AW2244" s="28">
        <f t="shared" si="247"/>
        <v>0.34485702124403217</v>
      </c>
      <c r="AX2244">
        <f t="shared" si="248"/>
        <v>0.98701298701298701</v>
      </c>
      <c r="AY2244" s="62">
        <f t="shared" si="249"/>
        <v>0.34037835863047333</v>
      </c>
      <c r="AZ2244" s="68" t="str">
        <f t="shared" si="250"/>
        <v>No</v>
      </c>
      <c r="BA2244" s="68" t="str">
        <f t="shared" si="251"/>
        <v>No</v>
      </c>
    </row>
    <row r="2245" spans="1:55" hidden="1">
      <c r="A2245" t="s">
        <v>3914</v>
      </c>
      <c r="G2245" t="s">
        <v>4505</v>
      </c>
      <c r="P2245" t="s">
        <v>4596</v>
      </c>
      <c r="R2245" t="s">
        <v>4691</v>
      </c>
      <c r="S2245" t="s">
        <v>912</v>
      </c>
      <c r="V2245" t="s">
        <v>4600</v>
      </c>
      <c r="Z2245">
        <v>33</v>
      </c>
      <c r="AA2245">
        <v>24</v>
      </c>
      <c r="AC2245">
        <v>405</v>
      </c>
      <c r="AD2245">
        <v>6.7</v>
      </c>
      <c r="AE2245">
        <v>1449</v>
      </c>
      <c r="AF2245">
        <v>9.5</v>
      </c>
      <c r="AJ2245" t="s">
        <v>4692</v>
      </c>
      <c r="AK2245" t="s">
        <v>770</v>
      </c>
      <c r="AN2245">
        <v>63</v>
      </c>
      <c r="AO2245">
        <v>26.351204800633464</v>
      </c>
      <c r="AP2245">
        <v>63</v>
      </c>
      <c r="AQ2245">
        <v>44.876147959386685</v>
      </c>
      <c r="AW2245" s="28">
        <f t="shared" si="247"/>
        <v>0</v>
      </c>
      <c r="AX2245">
        <f t="shared" si="248"/>
        <v>0.98630136986301364</v>
      </c>
      <c r="AY2245" s="62">
        <f t="shared" si="249"/>
        <v>0</v>
      </c>
      <c r="AZ2245" s="68" t="str">
        <f t="shared" si="250"/>
        <v>No</v>
      </c>
      <c r="BA2245" s="68" t="str">
        <f t="shared" si="251"/>
        <v>No</v>
      </c>
    </row>
    <row r="2246" spans="1:55" ht="15" hidden="1">
      <c r="A2246" t="s">
        <v>3914</v>
      </c>
      <c r="G2246" s="50" t="s">
        <v>4526</v>
      </c>
      <c r="P2246" t="s">
        <v>60</v>
      </c>
      <c r="R2246" t="s">
        <v>4509</v>
      </c>
      <c r="S2246" s="50" t="s">
        <v>1138</v>
      </c>
      <c r="V2246" t="s">
        <v>3956</v>
      </c>
      <c r="Z2246" s="50">
        <v>5</v>
      </c>
      <c r="AA2246" s="50">
        <v>5</v>
      </c>
      <c r="AC2246">
        <v>315</v>
      </c>
      <c r="AD2246">
        <v>17</v>
      </c>
      <c r="AE2246">
        <v>1202</v>
      </c>
      <c r="AF2246">
        <v>17</v>
      </c>
      <c r="AJ2246" s="50" t="s">
        <v>4021</v>
      </c>
      <c r="AK2246" t="s">
        <v>4537</v>
      </c>
      <c r="AN2246">
        <v>1.075</v>
      </c>
      <c r="AO2246">
        <v>0.1118033988749895</v>
      </c>
      <c r="AP2246">
        <v>1.0249999999999999</v>
      </c>
      <c r="AQ2246">
        <v>5.5901699437494748E-2</v>
      </c>
      <c r="AW2246" s="28">
        <f t="shared" si="247"/>
        <v>-0.56568542494923846</v>
      </c>
      <c r="AX2246">
        <f t="shared" si="248"/>
        <v>0.90322580645161288</v>
      </c>
      <c r="AY2246" s="73">
        <f t="shared" si="249"/>
        <v>-0.5109416741476992</v>
      </c>
      <c r="AZ2246" s="74" t="str">
        <f t="shared" si="250"/>
        <v>No</v>
      </c>
      <c r="BA2246" s="74" t="str">
        <f t="shared" si="251"/>
        <v>No</v>
      </c>
      <c r="BB2246" s="56"/>
      <c r="BC2246" s="56"/>
    </row>
    <row r="2247" spans="1:55" ht="15" hidden="1">
      <c r="A2247" t="s">
        <v>3914</v>
      </c>
      <c r="G2247" s="50" t="s">
        <v>4526</v>
      </c>
      <c r="P2247" t="s">
        <v>60</v>
      </c>
      <c r="R2247" t="s">
        <v>4509</v>
      </c>
      <c r="S2247" s="50" t="s">
        <v>1138</v>
      </c>
      <c r="V2247" t="s">
        <v>3956</v>
      </c>
      <c r="Z2247" s="50">
        <v>5</v>
      </c>
      <c r="AA2247" s="50">
        <v>5</v>
      </c>
      <c r="AC2247">
        <v>315</v>
      </c>
      <c r="AD2247">
        <v>17</v>
      </c>
      <c r="AE2247">
        <v>1202</v>
      </c>
      <c r="AF2247">
        <v>17</v>
      </c>
      <c r="AJ2247" s="50" t="s">
        <v>4558</v>
      </c>
      <c r="AK2247" t="s">
        <v>4502</v>
      </c>
      <c r="AN2247">
        <v>0.72</v>
      </c>
      <c r="AO2247">
        <v>6.7082039324993695E-2</v>
      </c>
      <c r="AP2247">
        <v>0.6</v>
      </c>
      <c r="AQ2247">
        <v>0.1118033988749895</v>
      </c>
      <c r="AW2247" s="28">
        <f t="shared" si="247"/>
        <v>-1.301582746911937</v>
      </c>
      <c r="AX2247">
        <f t="shared" si="248"/>
        <v>0.90322580645161288</v>
      </c>
      <c r="AY2247" s="73">
        <f t="shared" si="249"/>
        <v>-1.1756231262430399</v>
      </c>
      <c r="AZ2247" s="74" t="str">
        <f t="shared" si="250"/>
        <v>No</v>
      </c>
      <c r="BA2247" s="74" t="str">
        <f t="shared" si="251"/>
        <v>No</v>
      </c>
      <c r="BB2247" s="56"/>
      <c r="BC2247" s="56"/>
    </row>
    <row r="2248" spans="1:55" ht="15" hidden="1">
      <c r="A2248" t="s">
        <v>3914</v>
      </c>
      <c r="G2248" t="s">
        <v>5085</v>
      </c>
      <c r="P2248" t="s">
        <v>60</v>
      </c>
      <c r="R2248" t="s">
        <v>4509</v>
      </c>
      <c r="S2248" t="s">
        <v>1138</v>
      </c>
      <c r="V2248" t="s">
        <v>3956</v>
      </c>
      <c r="Z2248">
        <v>5</v>
      </c>
      <c r="AA2248">
        <v>5</v>
      </c>
      <c r="AC2248">
        <v>315</v>
      </c>
      <c r="AD2248">
        <v>17</v>
      </c>
      <c r="AE2248">
        <v>1202</v>
      </c>
      <c r="AF2248">
        <v>17</v>
      </c>
      <c r="AJ2248" t="s">
        <v>4531</v>
      </c>
      <c r="AK2248" t="s">
        <v>4537</v>
      </c>
      <c r="AN2248">
        <v>4.8</v>
      </c>
      <c r="AO2248">
        <v>0.44721359549995798</v>
      </c>
      <c r="AP2248">
        <v>5.2</v>
      </c>
      <c r="AQ2248">
        <v>0.44721359549995798</v>
      </c>
      <c r="AW2248" s="28">
        <f t="shared" si="247"/>
        <v>0.89442719099991663</v>
      </c>
      <c r="AX2248">
        <f t="shared" si="248"/>
        <v>0.90322580645161288</v>
      </c>
      <c r="AY2248" s="73">
        <f t="shared" si="249"/>
        <v>0.80786972090315046</v>
      </c>
      <c r="AZ2248" s="74" t="str">
        <f t="shared" si="250"/>
        <v>No</v>
      </c>
      <c r="BA2248" s="74" t="str">
        <f t="shared" si="251"/>
        <v>No</v>
      </c>
      <c r="BB2248" s="56"/>
      <c r="BC2248" s="56"/>
    </row>
    <row r="2249" spans="1:55" ht="15" hidden="1">
      <c r="A2249" t="s">
        <v>3914</v>
      </c>
      <c r="G2249" t="s">
        <v>4526</v>
      </c>
      <c r="P2249" t="s">
        <v>60</v>
      </c>
      <c r="R2249" t="s">
        <v>4509</v>
      </c>
      <c r="S2249" t="s">
        <v>1138</v>
      </c>
      <c r="V2249" t="s">
        <v>3956</v>
      </c>
      <c r="Z2249">
        <v>5</v>
      </c>
      <c r="AA2249">
        <v>5</v>
      </c>
      <c r="AC2249">
        <v>315</v>
      </c>
      <c r="AD2249">
        <v>17</v>
      </c>
      <c r="AE2249">
        <v>1202</v>
      </c>
      <c r="AF2249">
        <v>17</v>
      </c>
      <c r="AJ2249" t="s">
        <v>1796</v>
      </c>
      <c r="AK2249" t="s">
        <v>4502</v>
      </c>
      <c r="AN2249">
        <v>9</v>
      </c>
      <c r="AO2249">
        <v>1.1180339887498949</v>
      </c>
      <c r="AP2249">
        <v>6</v>
      </c>
      <c r="AQ2249">
        <v>1.1180339887498949</v>
      </c>
      <c r="AW2249" s="28">
        <f t="shared" si="247"/>
        <v>-2.6832815729997477</v>
      </c>
      <c r="AX2249">
        <f t="shared" si="248"/>
        <v>0.90322580645161288</v>
      </c>
      <c r="AY2249" s="73">
        <f t="shared" si="249"/>
        <v>-2.4236091627094494</v>
      </c>
      <c r="AZ2249" s="74" t="str">
        <f t="shared" si="250"/>
        <v>No</v>
      </c>
      <c r="BA2249" s="74" t="str">
        <f t="shared" si="251"/>
        <v>No</v>
      </c>
      <c r="BB2249" s="56"/>
      <c r="BC2249" s="56"/>
    </row>
    <row r="2250" spans="1:55" hidden="1">
      <c r="A2250" t="s">
        <v>3914</v>
      </c>
      <c r="G2250" t="s">
        <v>4088</v>
      </c>
      <c r="P2250" t="s">
        <v>4596</v>
      </c>
      <c r="R2250" t="s">
        <v>4676</v>
      </c>
      <c r="S2250" t="s">
        <v>1770</v>
      </c>
      <c r="V2250" t="s">
        <v>4600</v>
      </c>
      <c r="Z2250">
        <v>3</v>
      </c>
      <c r="AA2250">
        <v>3</v>
      </c>
      <c r="AC2250">
        <v>416</v>
      </c>
      <c r="AD2250">
        <v>30</v>
      </c>
      <c r="AE2250">
        <v>781</v>
      </c>
      <c r="AF2250">
        <v>34</v>
      </c>
      <c r="AJ2250" t="s">
        <v>4764</v>
      </c>
      <c r="AK2250" t="s">
        <v>4637</v>
      </c>
      <c r="AL2250" s="59"/>
      <c r="AM2250" s="60"/>
      <c r="AN2250">
        <v>4.5999999999999996</v>
      </c>
      <c r="AO2250" s="61">
        <v>0.2915965902211019</v>
      </c>
      <c r="AP2250">
        <v>4</v>
      </c>
      <c r="AQ2250">
        <v>0</v>
      </c>
      <c r="AR2250" s="37"/>
      <c r="AS2250" s="37"/>
      <c r="AT2250" s="37"/>
      <c r="AU2250" s="37"/>
      <c r="AV2250" s="37"/>
      <c r="AW2250" s="28">
        <f t="shared" si="247"/>
        <v>-2.9099384762368574</v>
      </c>
      <c r="AX2250">
        <f t="shared" si="248"/>
        <v>0.8</v>
      </c>
      <c r="AY2250" s="62">
        <f t="shared" si="249"/>
        <v>-2.3279507809894859</v>
      </c>
      <c r="AZ2250" s="68" t="str">
        <f t="shared" si="250"/>
        <v>No</v>
      </c>
      <c r="BA2250" s="68" t="str">
        <f t="shared" si="251"/>
        <v>No</v>
      </c>
    </row>
    <row r="2251" spans="1:55" hidden="1">
      <c r="A2251" t="s">
        <v>3914</v>
      </c>
      <c r="G2251" t="s">
        <v>4088</v>
      </c>
      <c r="P2251" t="s">
        <v>4596</v>
      </c>
      <c r="R2251" t="s">
        <v>4676</v>
      </c>
      <c r="S2251" t="s">
        <v>1770</v>
      </c>
      <c r="V2251" t="s">
        <v>4598</v>
      </c>
      <c r="Z2251">
        <v>3</v>
      </c>
      <c r="AA2251">
        <v>3</v>
      </c>
      <c r="AC2251">
        <v>416</v>
      </c>
      <c r="AD2251">
        <v>30</v>
      </c>
      <c r="AE2251">
        <v>412</v>
      </c>
      <c r="AF2251">
        <v>34</v>
      </c>
      <c r="AJ2251" t="s">
        <v>4768</v>
      </c>
      <c r="AK2251" t="s">
        <v>4650</v>
      </c>
      <c r="AN2251">
        <v>1.2</v>
      </c>
      <c r="AO2251">
        <v>0.1</v>
      </c>
      <c r="AP2251">
        <v>1.1499999999999999</v>
      </c>
      <c r="AQ2251">
        <v>0.2</v>
      </c>
      <c r="AW2251" s="28">
        <f t="shared" si="247"/>
        <v>-0.31622776601683822</v>
      </c>
      <c r="AX2251">
        <f t="shared" si="248"/>
        <v>0.8</v>
      </c>
      <c r="AY2251" s="62">
        <f t="shared" si="249"/>
        <v>-0.25298221281347061</v>
      </c>
      <c r="AZ2251" s="68" t="str">
        <f t="shared" si="250"/>
        <v>No</v>
      </c>
      <c r="BA2251" s="68" t="str">
        <f t="shared" si="251"/>
        <v>No</v>
      </c>
    </row>
    <row r="2252" spans="1:55" ht="15" hidden="1">
      <c r="A2252" t="s">
        <v>3914</v>
      </c>
      <c r="G2252" t="s">
        <v>4088</v>
      </c>
      <c r="P2252" t="s">
        <v>4596</v>
      </c>
      <c r="R2252" t="s">
        <v>4676</v>
      </c>
      <c r="S2252" t="s">
        <v>1770</v>
      </c>
      <c r="V2252" t="s">
        <v>4600</v>
      </c>
      <c r="Z2252">
        <v>3</v>
      </c>
      <c r="AA2252">
        <v>3</v>
      </c>
      <c r="AC2252">
        <v>416</v>
      </c>
      <c r="AD2252">
        <v>30</v>
      </c>
      <c r="AE2252">
        <v>781</v>
      </c>
      <c r="AF2252">
        <v>34</v>
      </c>
      <c r="AJ2252" t="s">
        <v>4768</v>
      </c>
      <c r="AK2252" t="s">
        <v>4650</v>
      </c>
      <c r="AN2252">
        <v>1.2</v>
      </c>
      <c r="AO2252">
        <v>0.1</v>
      </c>
      <c r="AP2252">
        <v>1</v>
      </c>
      <c r="AQ2252">
        <v>0.2</v>
      </c>
      <c r="AW2252" s="28">
        <f t="shared" si="247"/>
        <v>-1.2649110640673513</v>
      </c>
      <c r="AX2252">
        <f t="shared" si="248"/>
        <v>0.8</v>
      </c>
      <c r="AY2252" s="73">
        <f t="shared" si="249"/>
        <v>-1.0119288512538811</v>
      </c>
      <c r="AZ2252" s="74" t="str">
        <f t="shared" si="250"/>
        <v>No</v>
      </c>
      <c r="BA2252" s="74" t="str">
        <f t="shared" si="251"/>
        <v>No</v>
      </c>
      <c r="BB2252" s="56"/>
      <c r="BC2252" s="56"/>
    </row>
    <row r="2253" spans="1:55" ht="15" hidden="1">
      <c r="A2253" t="s">
        <v>3914</v>
      </c>
      <c r="G2253" t="s">
        <v>4088</v>
      </c>
      <c r="P2253" t="s">
        <v>4596</v>
      </c>
      <c r="R2253" t="s">
        <v>4676</v>
      </c>
      <c r="S2253" t="s">
        <v>1770</v>
      </c>
      <c r="V2253" t="s">
        <v>4598</v>
      </c>
      <c r="Z2253">
        <v>3</v>
      </c>
      <c r="AA2253">
        <v>3</v>
      </c>
      <c r="AC2253">
        <v>416</v>
      </c>
      <c r="AD2253">
        <v>30</v>
      </c>
      <c r="AE2253">
        <v>412</v>
      </c>
      <c r="AF2253">
        <v>34</v>
      </c>
      <c r="AJ2253" t="s">
        <v>4763</v>
      </c>
      <c r="AK2253" t="s">
        <v>4637</v>
      </c>
      <c r="AL2253" s="59"/>
      <c r="AM2253" s="60"/>
      <c r="AN2253">
        <v>4.5999999999999996</v>
      </c>
      <c r="AO2253" s="61">
        <v>0.2915965902211019</v>
      </c>
      <c r="AP2253">
        <v>4.3</v>
      </c>
      <c r="AQ2253" s="61">
        <v>0.30036712230746121</v>
      </c>
      <c r="AR2253" s="37"/>
      <c r="AS2253" s="37"/>
      <c r="AT2253" s="37"/>
      <c r="AU2253" s="37"/>
      <c r="AV2253" s="37"/>
      <c r="AW2253" s="28">
        <f t="shared" si="247"/>
        <v>-1.0134644134768627</v>
      </c>
      <c r="AX2253">
        <f t="shared" si="248"/>
        <v>0.8</v>
      </c>
      <c r="AY2253" s="73">
        <f t="shared" si="249"/>
        <v>-0.81077153078149022</v>
      </c>
      <c r="AZ2253" s="74" t="str">
        <f t="shared" si="250"/>
        <v>No</v>
      </c>
      <c r="BA2253" s="74" t="str">
        <f t="shared" si="251"/>
        <v>No</v>
      </c>
      <c r="BB2253" s="56"/>
      <c r="BC2253" s="56"/>
    </row>
    <row r="2254" spans="1:55" hidden="1">
      <c r="A2254" t="s">
        <v>3914</v>
      </c>
      <c r="G2254" t="s">
        <v>4088</v>
      </c>
      <c r="P2254" t="s">
        <v>4596</v>
      </c>
      <c r="R2254" t="s">
        <v>4676</v>
      </c>
      <c r="S2254" t="s">
        <v>1770</v>
      </c>
      <c r="V2254" t="s">
        <v>4600</v>
      </c>
      <c r="Z2254">
        <v>3</v>
      </c>
      <c r="AA2254">
        <v>3</v>
      </c>
      <c r="AC2254">
        <v>416</v>
      </c>
      <c r="AD2254">
        <v>30</v>
      </c>
      <c r="AE2254">
        <v>781</v>
      </c>
      <c r="AF2254">
        <v>34</v>
      </c>
      <c r="AJ2254" t="s">
        <v>4765</v>
      </c>
      <c r="AK2254" t="s">
        <v>4672</v>
      </c>
      <c r="AL2254" s="59"/>
      <c r="AM2254" s="60"/>
      <c r="AN2254">
        <v>20</v>
      </c>
      <c r="AO2254" s="61">
        <v>7.8</v>
      </c>
      <c r="AP2254">
        <v>80</v>
      </c>
      <c r="AQ2254" s="61">
        <v>5</v>
      </c>
      <c r="AR2254" s="37"/>
      <c r="AS2254" s="37"/>
      <c r="AT2254" s="37"/>
      <c r="AU2254" s="37"/>
      <c r="AV2254" s="37"/>
      <c r="AW2254" s="28">
        <f t="shared" ref="AW2254:AW2317" si="253">(AP2254-$AN2254)/SQRT(((AA2254-1)*AQ2254*AQ2254+($Z2254-1)*$AO2254*$AO2254)/(AA2254+$Z2254-2))</f>
        <v>9.1584376630899538</v>
      </c>
      <c r="AX2254">
        <f t="shared" ref="AX2254:AX2317" si="254">1-(3/(4*(AA2254+$Z2254-2)-1))</f>
        <v>0.8</v>
      </c>
      <c r="AY2254" s="62">
        <f t="shared" ref="AY2254:AY2317" si="255">AX2254*AW2254</f>
        <v>7.3267501304719636</v>
      </c>
      <c r="AZ2254" s="68" t="str">
        <f t="shared" ref="AZ2254:AZ2317" si="256">IF(AY2254&gt;10,"Yes","No")</f>
        <v>No</v>
      </c>
      <c r="BA2254" s="68" t="str">
        <f t="shared" ref="BA2254:BA2317" si="257">IF(AY2254&lt;-10,"Yes","No")</f>
        <v>No</v>
      </c>
    </row>
    <row r="2255" spans="1:55" ht="15" hidden="1">
      <c r="A2255" t="s">
        <v>3914</v>
      </c>
      <c r="G2255" t="s">
        <v>4088</v>
      </c>
      <c r="P2255" t="s">
        <v>4596</v>
      </c>
      <c r="R2255" t="s">
        <v>4676</v>
      </c>
      <c r="S2255" t="s">
        <v>1770</v>
      </c>
      <c r="V2255" t="s">
        <v>4600</v>
      </c>
      <c r="Z2255">
        <v>3</v>
      </c>
      <c r="AA2255">
        <v>3</v>
      </c>
      <c r="AC2255">
        <v>416</v>
      </c>
      <c r="AD2255">
        <v>30</v>
      </c>
      <c r="AE2255">
        <v>781</v>
      </c>
      <c r="AF2255">
        <v>34</v>
      </c>
      <c r="AJ2255" t="s">
        <v>4767</v>
      </c>
      <c r="AK2255" t="s">
        <v>4642</v>
      </c>
      <c r="AN2255">
        <v>420</v>
      </c>
      <c r="AO2255">
        <v>10</v>
      </c>
      <c r="AP2255">
        <v>418</v>
      </c>
      <c r="AQ2255">
        <f>426-418</f>
        <v>8</v>
      </c>
      <c r="AW2255" s="28">
        <f t="shared" si="253"/>
        <v>-0.22086305214969307</v>
      </c>
      <c r="AX2255">
        <f t="shared" si="254"/>
        <v>0.8</v>
      </c>
      <c r="AY2255" s="73">
        <f t="shared" si="255"/>
        <v>-0.17669044171975445</v>
      </c>
      <c r="AZ2255" s="74" t="str">
        <f t="shared" si="256"/>
        <v>No</v>
      </c>
      <c r="BA2255" s="74" t="str">
        <f t="shared" si="257"/>
        <v>No</v>
      </c>
      <c r="BB2255" s="56"/>
      <c r="BC2255" s="56"/>
    </row>
    <row r="2256" spans="1:55" hidden="1">
      <c r="A2256" t="s">
        <v>3914</v>
      </c>
      <c r="G2256" t="s">
        <v>4088</v>
      </c>
      <c r="P2256" t="s">
        <v>4596</v>
      </c>
      <c r="R2256" t="s">
        <v>4676</v>
      </c>
      <c r="S2256" t="s">
        <v>1770</v>
      </c>
      <c r="V2256" t="s">
        <v>4600</v>
      </c>
      <c r="Z2256">
        <v>3</v>
      </c>
      <c r="AA2256">
        <v>3</v>
      </c>
      <c r="AC2256">
        <v>416</v>
      </c>
      <c r="AD2256">
        <v>30</v>
      </c>
      <c r="AE2256">
        <v>781</v>
      </c>
      <c r="AF2256">
        <v>34</v>
      </c>
      <c r="AJ2256" t="s">
        <v>4766</v>
      </c>
      <c r="AK2256" t="s">
        <v>4642</v>
      </c>
      <c r="AN2256">
        <v>490</v>
      </c>
      <c r="AO2256">
        <v>10</v>
      </c>
      <c r="AP2256">
        <v>490</v>
      </c>
      <c r="AQ2256">
        <v>9</v>
      </c>
      <c r="AW2256" s="28">
        <f t="shared" si="253"/>
        <v>0</v>
      </c>
      <c r="AX2256">
        <f t="shared" si="254"/>
        <v>0.8</v>
      </c>
      <c r="AY2256" s="62">
        <f t="shared" si="255"/>
        <v>0</v>
      </c>
      <c r="AZ2256" s="68" t="str">
        <f t="shared" si="256"/>
        <v>No</v>
      </c>
      <c r="BA2256" s="68" t="str">
        <f t="shared" si="257"/>
        <v>No</v>
      </c>
    </row>
    <row r="2257" spans="1:55" hidden="1">
      <c r="A2257" t="s">
        <v>3914</v>
      </c>
      <c r="G2257" t="s">
        <v>4088</v>
      </c>
      <c r="P2257" t="s">
        <v>4596</v>
      </c>
      <c r="R2257" t="s">
        <v>4676</v>
      </c>
      <c r="S2257" t="s">
        <v>1770</v>
      </c>
      <c r="V2257" t="s">
        <v>4598</v>
      </c>
      <c r="Z2257">
        <v>3</v>
      </c>
      <c r="AA2257">
        <v>3</v>
      </c>
      <c r="AC2257">
        <v>416</v>
      </c>
      <c r="AD2257">
        <v>30</v>
      </c>
      <c r="AE2257">
        <v>412</v>
      </c>
      <c r="AF2257">
        <v>34</v>
      </c>
      <c r="AJ2257" t="s">
        <v>4771</v>
      </c>
      <c r="AK2257" t="s">
        <v>4637</v>
      </c>
      <c r="AN2257">
        <v>50</v>
      </c>
      <c r="AO2257">
        <v>5</v>
      </c>
      <c r="AP2257">
        <v>43</v>
      </c>
      <c r="AQ2257">
        <v>9</v>
      </c>
      <c r="AW2257" s="28">
        <f t="shared" si="253"/>
        <v>-0.96152394764082316</v>
      </c>
      <c r="AX2257">
        <f t="shared" si="254"/>
        <v>0.8</v>
      </c>
      <c r="AY2257" s="62">
        <f t="shared" si="255"/>
        <v>-0.76921915811265862</v>
      </c>
      <c r="AZ2257" s="68" t="str">
        <f t="shared" si="256"/>
        <v>No</v>
      </c>
      <c r="BA2257" s="68" t="str">
        <f t="shared" si="257"/>
        <v>No</v>
      </c>
    </row>
    <row r="2258" spans="1:55" hidden="1">
      <c r="A2258" t="s">
        <v>3914</v>
      </c>
      <c r="G2258" t="s">
        <v>4088</v>
      </c>
      <c r="P2258" t="s">
        <v>4596</v>
      </c>
      <c r="R2258" t="s">
        <v>4676</v>
      </c>
      <c r="S2258" t="s">
        <v>1770</v>
      </c>
      <c r="V2258" t="s">
        <v>4598</v>
      </c>
      <c r="Z2258">
        <v>3</v>
      </c>
      <c r="AA2258">
        <v>3</v>
      </c>
      <c r="AC2258">
        <v>416</v>
      </c>
      <c r="AD2258">
        <v>30</v>
      </c>
      <c r="AE2258">
        <v>412</v>
      </c>
      <c r="AF2258">
        <v>34</v>
      </c>
      <c r="AJ2258" t="s">
        <v>4769</v>
      </c>
      <c r="AK2258" t="s">
        <v>4672</v>
      </c>
      <c r="AL2258" s="59"/>
      <c r="AM2258" s="60"/>
      <c r="AN2258">
        <v>20</v>
      </c>
      <c r="AO2258" s="61">
        <v>7.8</v>
      </c>
      <c r="AP2258">
        <v>58</v>
      </c>
      <c r="AQ2258" s="61">
        <v>9.5</v>
      </c>
      <c r="AR2258" s="37"/>
      <c r="AS2258" s="37"/>
      <c r="AT2258" s="37"/>
      <c r="AU2258" s="37"/>
      <c r="AV2258" s="37"/>
      <c r="AW2258" s="28">
        <f t="shared" si="253"/>
        <v>4.3720058445642955</v>
      </c>
      <c r="AX2258">
        <f t="shared" si="254"/>
        <v>0.8</v>
      </c>
      <c r="AY2258" s="62">
        <f t="shared" si="255"/>
        <v>3.4976046756514365</v>
      </c>
      <c r="AZ2258" s="68" t="str">
        <f t="shared" si="256"/>
        <v>No</v>
      </c>
      <c r="BA2258" s="68" t="str">
        <f t="shared" si="257"/>
        <v>No</v>
      </c>
    </row>
    <row r="2259" spans="1:55" ht="15" hidden="1">
      <c r="A2259" t="s">
        <v>3914</v>
      </c>
      <c r="G2259" t="s">
        <v>4088</v>
      </c>
      <c r="P2259" t="s">
        <v>60</v>
      </c>
      <c r="R2259" t="s">
        <v>4090</v>
      </c>
      <c r="S2259" t="s">
        <v>1770</v>
      </c>
      <c r="V2259" t="s">
        <v>3956</v>
      </c>
      <c r="Z2259">
        <v>3</v>
      </c>
      <c r="AA2259">
        <v>3</v>
      </c>
      <c r="AC2259">
        <v>400</v>
      </c>
      <c r="AD2259">
        <v>30</v>
      </c>
      <c r="AE2259">
        <v>750</v>
      </c>
      <c r="AF2259">
        <v>30</v>
      </c>
      <c r="AJ2259" t="s">
        <v>1202</v>
      </c>
      <c r="AK2259" t="s">
        <v>4093</v>
      </c>
      <c r="AN2259">
        <v>50</v>
      </c>
      <c r="AO2259">
        <v>5</v>
      </c>
      <c r="AP2259">
        <v>50</v>
      </c>
      <c r="AQ2259">
        <v>12</v>
      </c>
      <c r="AW2259" s="28">
        <f t="shared" si="253"/>
        <v>0</v>
      </c>
      <c r="AX2259">
        <f t="shared" si="254"/>
        <v>0.8</v>
      </c>
      <c r="AY2259" s="73">
        <f t="shared" si="255"/>
        <v>0</v>
      </c>
      <c r="AZ2259" s="74" t="str">
        <f t="shared" si="256"/>
        <v>No</v>
      </c>
      <c r="BA2259" s="74" t="str">
        <f t="shared" si="257"/>
        <v>No</v>
      </c>
      <c r="BB2259" s="56"/>
      <c r="BC2259" s="56"/>
    </row>
    <row r="2260" spans="1:55" hidden="1">
      <c r="A2260" t="s">
        <v>3914</v>
      </c>
      <c r="G2260" t="s">
        <v>4088</v>
      </c>
      <c r="P2260" t="s">
        <v>4596</v>
      </c>
      <c r="R2260" t="s">
        <v>4676</v>
      </c>
      <c r="S2260" t="s">
        <v>1770</v>
      </c>
      <c r="V2260" t="s">
        <v>4598</v>
      </c>
      <c r="Z2260">
        <v>3</v>
      </c>
      <c r="AA2260">
        <v>3</v>
      </c>
      <c r="AC2260">
        <v>416</v>
      </c>
      <c r="AD2260">
        <v>30</v>
      </c>
      <c r="AE2260">
        <v>412</v>
      </c>
      <c r="AF2260">
        <v>34</v>
      </c>
      <c r="AJ2260" t="s">
        <v>4770</v>
      </c>
      <c r="AK2260" t="s">
        <v>4642</v>
      </c>
      <c r="AN2260">
        <v>490</v>
      </c>
      <c r="AO2260">
        <v>10</v>
      </c>
      <c r="AP2260">
        <v>430</v>
      </c>
      <c r="AQ2260">
        <v>12</v>
      </c>
      <c r="AW2260" s="28">
        <f t="shared" si="253"/>
        <v>-5.4321447625511112</v>
      </c>
      <c r="AX2260">
        <f t="shared" si="254"/>
        <v>0.8</v>
      </c>
      <c r="AY2260" s="62">
        <f t="shared" si="255"/>
        <v>-4.3457158100408888</v>
      </c>
      <c r="AZ2260" s="68" t="str">
        <f t="shared" si="256"/>
        <v>No</v>
      </c>
      <c r="BA2260" s="68" t="str">
        <f t="shared" si="257"/>
        <v>No</v>
      </c>
    </row>
    <row r="2261" spans="1:55" hidden="1">
      <c r="A2261" t="s">
        <v>3914</v>
      </c>
      <c r="G2261" t="s">
        <v>4088</v>
      </c>
      <c r="P2261" t="s">
        <v>4596</v>
      </c>
      <c r="R2261" t="s">
        <v>4676</v>
      </c>
      <c r="S2261" t="s">
        <v>1770</v>
      </c>
      <c r="V2261" t="s">
        <v>4600</v>
      </c>
      <c r="Z2261">
        <v>3</v>
      </c>
      <c r="AA2261">
        <v>3</v>
      </c>
      <c r="AC2261">
        <v>416</v>
      </c>
      <c r="AD2261">
        <v>30</v>
      </c>
      <c r="AE2261">
        <v>781</v>
      </c>
      <c r="AF2261">
        <v>34</v>
      </c>
      <c r="AJ2261" t="s">
        <v>1202</v>
      </c>
      <c r="AK2261" t="s">
        <v>4637</v>
      </c>
      <c r="AN2261">
        <v>50</v>
      </c>
      <c r="AO2261">
        <v>5</v>
      </c>
      <c r="AP2261">
        <v>38</v>
      </c>
      <c r="AQ2261">
        <f>43-25</f>
        <v>18</v>
      </c>
      <c r="AW2261" s="28">
        <f t="shared" si="253"/>
        <v>-0.9084133969253575</v>
      </c>
      <c r="AX2261">
        <f t="shared" si="254"/>
        <v>0.8</v>
      </c>
      <c r="AY2261" s="62">
        <f t="shared" si="255"/>
        <v>-0.72673071754028606</v>
      </c>
      <c r="AZ2261" s="68" t="str">
        <f t="shared" si="256"/>
        <v>No</v>
      </c>
      <c r="BA2261" s="68" t="str">
        <f t="shared" si="257"/>
        <v>No</v>
      </c>
    </row>
    <row r="2262" spans="1:55" ht="15" hidden="1">
      <c r="A2262" t="s">
        <v>3914</v>
      </c>
      <c r="G2262" t="s">
        <v>4088</v>
      </c>
      <c r="P2262" t="s">
        <v>4596</v>
      </c>
      <c r="R2262" t="s">
        <v>4676</v>
      </c>
      <c r="S2262" t="s">
        <v>1770</v>
      </c>
      <c r="V2262" t="s">
        <v>4598</v>
      </c>
      <c r="Z2262">
        <v>3</v>
      </c>
      <c r="AA2262">
        <v>3</v>
      </c>
      <c r="AC2262">
        <v>416</v>
      </c>
      <c r="AD2262">
        <v>30</v>
      </c>
      <c r="AE2262">
        <v>412</v>
      </c>
      <c r="AF2262">
        <v>34</v>
      </c>
      <c r="AJ2262" t="s">
        <v>4767</v>
      </c>
      <c r="AK2262" t="s">
        <v>4642</v>
      </c>
      <c r="AN2262">
        <v>420</v>
      </c>
      <c r="AO2262">
        <v>10</v>
      </c>
      <c r="AP2262">
        <v>425</v>
      </c>
      <c r="AQ2262">
        <f>449-425</f>
        <v>24</v>
      </c>
      <c r="AW2262" s="28">
        <f t="shared" si="253"/>
        <v>0.27196414661021062</v>
      </c>
      <c r="AX2262">
        <f t="shared" si="254"/>
        <v>0.8</v>
      </c>
      <c r="AY2262" s="73">
        <f t="shared" si="255"/>
        <v>0.2175713172881685</v>
      </c>
      <c r="AZ2262" s="74" t="str">
        <f t="shared" si="256"/>
        <v>No</v>
      </c>
      <c r="BA2262" s="74" t="str">
        <f t="shared" si="257"/>
        <v>No</v>
      </c>
      <c r="BB2262" s="56"/>
      <c r="BC2262" s="56"/>
    </row>
    <row r="2263" spans="1:55" hidden="1">
      <c r="A2263" t="s">
        <v>3914</v>
      </c>
      <c r="G2263" t="s">
        <v>4063</v>
      </c>
      <c r="P2263" t="s">
        <v>4596</v>
      </c>
      <c r="R2263" t="s">
        <v>4754</v>
      </c>
      <c r="S2263" t="s">
        <v>1773</v>
      </c>
      <c r="V2263" t="s">
        <v>4598</v>
      </c>
      <c r="Z2263">
        <v>5</v>
      </c>
      <c r="AA2263">
        <v>3</v>
      </c>
      <c r="AC2263">
        <v>419</v>
      </c>
      <c r="AD2263">
        <v>28</v>
      </c>
      <c r="AE2263">
        <v>473</v>
      </c>
      <c r="AF2263">
        <v>31</v>
      </c>
      <c r="AJ2263" t="s">
        <v>4065</v>
      </c>
      <c r="AK2263" t="s">
        <v>4672</v>
      </c>
      <c r="AL2263" s="59"/>
      <c r="AM2263" s="60"/>
      <c r="AN2263">
        <v>60</v>
      </c>
      <c r="AO2263">
        <v>7</v>
      </c>
      <c r="AP2263">
        <v>64</v>
      </c>
      <c r="AQ2263" s="61">
        <v>4</v>
      </c>
      <c r="AR2263" s="37"/>
      <c r="AS2263" s="37"/>
      <c r="AT2263" s="37"/>
      <c r="AU2263" s="37"/>
      <c r="AV2263" s="37"/>
      <c r="AW2263" s="28">
        <f t="shared" si="253"/>
        <v>0.64888568452305018</v>
      </c>
      <c r="AX2263">
        <f t="shared" si="254"/>
        <v>0.86956521739130432</v>
      </c>
      <c r="AY2263" s="62">
        <f t="shared" si="255"/>
        <v>0.56424842132439146</v>
      </c>
      <c r="AZ2263" s="68" t="str">
        <f t="shared" si="256"/>
        <v>No</v>
      </c>
      <c r="BA2263" s="68" t="str">
        <f t="shared" si="257"/>
        <v>No</v>
      </c>
    </row>
    <row r="2264" spans="1:55" hidden="1">
      <c r="A2264" t="s">
        <v>3914</v>
      </c>
      <c r="G2264" t="s">
        <v>4063</v>
      </c>
      <c r="P2264" t="s">
        <v>60</v>
      </c>
      <c r="R2264" t="s">
        <v>4035</v>
      </c>
      <c r="S2264" t="s">
        <v>1772</v>
      </c>
      <c r="V2264" t="s">
        <v>3956</v>
      </c>
      <c r="Z2264">
        <v>3</v>
      </c>
      <c r="AA2264">
        <v>3</v>
      </c>
      <c r="AC2264">
        <v>420</v>
      </c>
      <c r="AD2264">
        <v>28.09</v>
      </c>
      <c r="AE2264">
        <v>2001</v>
      </c>
      <c r="AF2264">
        <v>28.09</v>
      </c>
      <c r="AJ2264" t="s">
        <v>4065</v>
      </c>
      <c r="AK2264" t="s">
        <v>4066</v>
      </c>
      <c r="AN2264">
        <v>68</v>
      </c>
      <c r="AO2264">
        <v>20</v>
      </c>
      <c r="AP2264">
        <v>62</v>
      </c>
      <c r="AQ2264">
        <v>5</v>
      </c>
      <c r="AW2264" s="28">
        <f t="shared" si="253"/>
        <v>-0.41159660434202122</v>
      </c>
      <c r="AX2264">
        <f t="shared" si="254"/>
        <v>0.8</v>
      </c>
      <c r="AY2264" s="62">
        <f t="shared" si="255"/>
        <v>-0.32927728347361701</v>
      </c>
      <c r="AZ2264" s="68" t="str">
        <f t="shared" si="256"/>
        <v>No</v>
      </c>
      <c r="BA2264" s="68" t="str">
        <f t="shared" si="257"/>
        <v>No</v>
      </c>
    </row>
    <row r="2265" spans="1:55" hidden="1">
      <c r="A2265" t="s">
        <v>3914</v>
      </c>
      <c r="G2265" t="s">
        <v>4063</v>
      </c>
      <c r="P2265" t="s">
        <v>60</v>
      </c>
      <c r="R2265" t="s">
        <v>4035</v>
      </c>
      <c r="S2265" t="s">
        <v>1773</v>
      </c>
      <c r="V2265" t="s">
        <v>3956</v>
      </c>
      <c r="Z2265" s="51">
        <v>3</v>
      </c>
      <c r="AA2265" s="51">
        <v>3</v>
      </c>
      <c r="AC2265">
        <v>419</v>
      </c>
      <c r="AD2265">
        <v>28.11</v>
      </c>
      <c r="AE2265">
        <v>2092</v>
      </c>
      <c r="AF2265">
        <v>28.11</v>
      </c>
      <c r="AJ2265" t="s">
        <v>4065</v>
      </c>
      <c r="AK2265" t="s">
        <v>4066</v>
      </c>
      <c r="AN2265">
        <v>60</v>
      </c>
      <c r="AO2265">
        <v>7</v>
      </c>
      <c r="AP2265">
        <v>57</v>
      </c>
      <c r="AQ2265">
        <v>6</v>
      </c>
      <c r="AW2265" s="28">
        <f t="shared" si="253"/>
        <v>-0.46017899330842221</v>
      </c>
      <c r="AX2265">
        <f t="shared" si="254"/>
        <v>0.8</v>
      </c>
      <c r="AY2265" s="62">
        <f t="shared" si="255"/>
        <v>-0.36814319464673778</v>
      </c>
      <c r="AZ2265" s="68" t="str">
        <f t="shared" si="256"/>
        <v>No</v>
      </c>
      <c r="BA2265" s="68" t="str">
        <f t="shared" si="257"/>
        <v>No</v>
      </c>
    </row>
    <row r="2266" spans="1:55" hidden="1">
      <c r="A2266" t="s">
        <v>3914</v>
      </c>
      <c r="G2266" t="s">
        <v>4063</v>
      </c>
      <c r="P2266" t="s">
        <v>4596</v>
      </c>
      <c r="R2266" t="s">
        <v>4754</v>
      </c>
      <c r="S2266" t="s">
        <v>1772</v>
      </c>
      <c r="V2266" t="s">
        <v>4627</v>
      </c>
      <c r="Z2266">
        <v>3</v>
      </c>
      <c r="AA2266">
        <v>3</v>
      </c>
      <c r="AC2266">
        <v>420</v>
      </c>
      <c r="AD2266">
        <v>28</v>
      </c>
      <c r="AE2266">
        <v>1968</v>
      </c>
      <c r="AF2266">
        <v>31</v>
      </c>
      <c r="AJ2266" t="s">
        <v>4065</v>
      </c>
      <c r="AK2266" t="s">
        <v>4672</v>
      </c>
      <c r="AL2266" s="59"/>
      <c r="AM2266" s="60"/>
      <c r="AN2266">
        <v>68</v>
      </c>
      <c r="AO2266">
        <f>89-68</f>
        <v>21</v>
      </c>
      <c r="AP2266">
        <v>52</v>
      </c>
      <c r="AQ2266">
        <v>7</v>
      </c>
      <c r="AR2266" s="37"/>
      <c r="AS2266" s="37"/>
      <c r="AT2266" s="37"/>
      <c r="AU2266" s="37"/>
      <c r="AV2266" s="37"/>
      <c r="AW2266" s="28">
        <f t="shared" si="253"/>
        <v>-1.0222025039999039</v>
      </c>
      <c r="AX2266">
        <f t="shared" si="254"/>
        <v>0.8</v>
      </c>
      <c r="AY2266" s="62">
        <f t="shared" si="255"/>
        <v>-0.81776200319992309</v>
      </c>
      <c r="AZ2266" s="68" t="str">
        <f t="shared" si="256"/>
        <v>No</v>
      </c>
      <c r="BA2266" s="68" t="str">
        <f t="shared" si="257"/>
        <v>No</v>
      </c>
    </row>
    <row r="2267" spans="1:55" hidden="1">
      <c r="A2267" t="s">
        <v>3914</v>
      </c>
      <c r="G2267" t="s">
        <v>4944</v>
      </c>
      <c r="P2267" t="s">
        <v>4596</v>
      </c>
      <c r="R2267" t="s">
        <v>4754</v>
      </c>
      <c r="S2267" t="s">
        <v>1772</v>
      </c>
      <c r="V2267" t="s">
        <v>4598</v>
      </c>
      <c r="Z2267">
        <v>3</v>
      </c>
      <c r="AA2267">
        <v>3</v>
      </c>
      <c r="AC2267">
        <v>420</v>
      </c>
      <c r="AD2267">
        <v>28</v>
      </c>
      <c r="AE2267">
        <v>474</v>
      </c>
      <c r="AF2267">
        <v>31</v>
      </c>
      <c r="AJ2267" t="s">
        <v>4671</v>
      </c>
      <c r="AK2267" t="s">
        <v>4672</v>
      </c>
      <c r="AN2267">
        <v>68</v>
      </c>
      <c r="AO2267">
        <f>89-68</f>
        <v>21</v>
      </c>
      <c r="AP2267">
        <v>67</v>
      </c>
      <c r="AQ2267">
        <f>75-67</f>
        <v>8</v>
      </c>
      <c r="AW2267" s="28">
        <f t="shared" si="253"/>
        <v>-6.2931677552755264E-2</v>
      </c>
      <c r="AX2267">
        <f t="shared" si="254"/>
        <v>0.8</v>
      </c>
      <c r="AY2267" s="62">
        <f t="shared" si="255"/>
        <v>-5.0345342042204214E-2</v>
      </c>
      <c r="AZ2267" s="68" t="str">
        <f t="shared" si="256"/>
        <v>No</v>
      </c>
      <c r="BA2267" s="68" t="str">
        <f t="shared" si="257"/>
        <v>No</v>
      </c>
    </row>
    <row r="2268" spans="1:55" hidden="1">
      <c r="A2268" t="s">
        <v>3914</v>
      </c>
      <c r="G2268" t="s">
        <v>4063</v>
      </c>
      <c r="P2268" t="s">
        <v>4596</v>
      </c>
      <c r="R2268" t="s">
        <v>4754</v>
      </c>
      <c r="S2268" t="s">
        <v>1773</v>
      </c>
      <c r="V2268" t="s">
        <v>4626</v>
      </c>
      <c r="Z2268">
        <v>5</v>
      </c>
      <c r="AA2268">
        <v>3</v>
      </c>
      <c r="AC2268">
        <v>419</v>
      </c>
      <c r="AD2268">
        <v>28</v>
      </c>
      <c r="AE2268">
        <v>1188</v>
      </c>
      <c r="AF2268">
        <v>31</v>
      </c>
      <c r="AJ2268" t="s">
        <v>4065</v>
      </c>
      <c r="AK2268" t="s">
        <v>4672</v>
      </c>
      <c r="AL2268" s="59"/>
      <c r="AM2268" s="60"/>
      <c r="AN2268">
        <v>60</v>
      </c>
      <c r="AO2268">
        <v>7</v>
      </c>
      <c r="AP2268">
        <v>62</v>
      </c>
      <c r="AQ2268" s="61">
        <v>8.9</v>
      </c>
      <c r="AR2268" s="37"/>
      <c r="AS2268" s="37"/>
      <c r="AT2268" s="37"/>
      <c r="AU2268" s="37"/>
      <c r="AV2268" s="37"/>
      <c r="AW2268" s="28">
        <f t="shared" si="253"/>
        <v>0.26022349785057319</v>
      </c>
      <c r="AX2268">
        <f t="shared" si="254"/>
        <v>0.86956521739130432</v>
      </c>
      <c r="AY2268" s="62">
        <f t="shared" si="255"/>
        <v>0.2262813024787593</v>
      </c>
      <c r="AZ2268" s="68" t="str">
        <f t="shared" si="256"/>
        <v>No</v>
      </c>
      <c r="BA2268" s="68" t="str">
        <f t="shared" si="257"/>
        <v>No</v>
      </c>
    </row>
    <row r="2269" spans="1:55" hidden="1">
      <c r="A2269" t="s">
        <v>3914</v>
      </c>
      <c r="G2269" t="s">
        <v>4063</v>
      </c>
      <c r="P2269" t="s">
        <v>60</v>
      </c>
      <c r="R2269" t="s">
        <v>4035</v>
      </c>
      <c r="S2269" t="s">
        <v>1773</v>
      </c>
      <c r="V2269" t="s">
        <v>3956</v>
      </c>
      <c r="Z2269">
        <v>3</v>
      </c>
      <c r="AA2269">
        <v>3</v>
      </c>
      <c r="AC2269">
        <v>419</v>
      </c>
      <c r="AD2269">
        <v>28.11</v>
      </c>
      <c r="AE2269">
        <v>1996</v>
      </c>
      <c r="AF2269">
        <v>28.11</v>
      </c>
      <c r="AJ2269" t="s">
        <v>4065</v>
      </c>
      <c r="AK2269" t="s">
        <v>4066</v>
      </c>
      <c r="AN2269">
        <v>60</v>
      </c>
      <c r="AO2269">
        <v>7</v>
      </c>
      <c r="AP2269">
        <v>56</v>
      </c>
      <c r="AQ2269">
        <v>14</v>
      </c>
      <c r="AW2269" s="28">
        <f t="shared" si="253"/>
        <v>-0.36140316116210053</v>
      </c>
      <c r="AX2269">
        <f t="shared" si="254"/>
        <v>0.8</v>
      </c>
      <c r="AY2269" s="62">
        <f t="shared" si="255"/>
        <v>-0.28912252892968043</v>
      </c>
      <c r="AZ2269" s="68" t="str">
        <f t="shared" si="256"/>
        <v>No</v>
      </c>
      <c r="BA2269" s="68" t="str">
        <f t="shared" si="257"/>
        <v>No</v>
      </c>
    </row>
    <row r="2270" spans="1:55" ht="15" hidden="1">
      <c r="A2270" t="s">
        <v>3914</v>
      </c>
      <c r="G2270" t="s">
        <v>4063</v>
      </c>
      <c r="P2270" t="s">
        <v>60</v>
      </c>
      <c r="R2270" t="s">
        <v>4035</v>
      </c>
      <c r="S2270" t="s">
        <v>1772</v>
      </c>
      <c r="V2270" t="s">
        <v>3956</v>
      </c>
      <c r="Z2270" s="51">
        <v>3</v>
      </c>
      <c r="AA2270" s="51">
        <v>3</v>
      </c>
      <c r="AC2270">
        <v>420</v>
      </c>
      <c r="AD2270">
        <v>28.09</v>
      </c>
      <c r="AE2270">
        <v>2096</v>
      </c>
      <c r="AF2270">
        <v>28.09</v>
      </c>
      <c r="AJ2270" t="s">
        <v>4065</v>
      </c>
      <c r="AK2270" t="s">
        <v>4066</v>
      </c>
      <c r="AN2270">
        <v>68</v>
      </c>
      <c r="AO2270">
        <v>20</v>
      </c>
      <c r="AP2270">
        <v>58</v>
      </c>
      <c r="AQ2270">
        <v>14</v>
      </c>
      <c r="AW2270" s="28">
        <f t="shared" si="253"/>
        <v>-0.5792844463634923</v>
      </c>
      <c r="AX2270">
        <f t="shared" si="254"/>
        <v>0.8</v>
      </c>
      <c r="AY2270" s="73">
        <f t="shared" si="255"/>
        <v>-0.46342755709079386</v>
      </c>
      <c r="AZ2270" s="74" t="str">
        <f t="shared" si="256"/>
        <v>No</v>
      </c>
      <c r="BA2270" s="74" t="str">
        <f t="shared" si="257"/>
        <v>No</v>
      </c>
      <c r="BB2270" s="56"/>
      <c r="BC2270" s="56"/>
    </row>
    <row r="2271" spans="1:55" hidden="1">
      <c r="A2271" t="s">
        <v>3914</v>
      </c>
      <c r="G2271" t="s">
        <v>4063</v>
      </c>
      <c r="P2271" t="s">
        <v>4596</v>
      </c>
      <c r="R2271" t="s">
        <v>4754</v>
      </c>
      <c r="S2271" t="s">
        <v>1773</v>
      </c>
      <c r="V2271" t="s">
        <v>4627</v>
      </c>
      <c r="Z2271">
        <v>5</v>
      </c>
      <c r="AA2271">
        <v>3</v>
      </c>
      <c r="AC2271">
        <v>419</v>
      </c>
      <c r="AD2271">
        <v>28</v>
      </c>
      <c r="AE2271">
        <v>1981</v>
      </c>
      <c r="AF2271">
        <v>31</v>
      </c>
      <c r="AJ2271" t="s">
        <v>4065</v>
      </c>
      <c r="AK2271" t="s">
        <v>4672</v>
      </c>
      <c r="AL2271" s="59"/>
      <c r="AM2271" s="60"/>
      <c r="AN2271">
        <v>60</v>
      </c>
      <c r="AO2271">
        <v>7</v>
      </c>
      <c r="AP2271">
        <v>55</v>
      </c>
      <c r="AQ2271" s="61">
        <v>14</v>
      </c>
      <c r="AR2271" s="37"/>
      <c r="AS2271" s="37"/>
      <c r="AT2271" s="37"/>
      <c r="AU2271" s="37"/>
      <c r="AV2271" s="37"/>
      <c r="AW2271" s="28">
        <f t="shared" si="253"/>
        <v>-0.50507627227610541</v>
      </c>
      <c r="AX2271">
        <f t="shared" si="254"/>
        <v>0.86956521739130432</v>
      </c>
      <c r="AY2271" s="62">
        <f t="shared" si="255"/>
        <v>-0.43919675850096124</v>
      </c>
      <c r="AZ2271" s="68" t="str">
        <f t="shared" si="256"/>
        <v>No</v>
      </c>
      <c r="BA2271" s="68" t="str">
        <f t="shared" si="257"/>
        <v>No</v>
      </c>
    </row>
    <row r="2272" spans="1:55" hidden="1">
      <c r="A2272" t="s">
        <v>3914</v>
      </c>
      <c r="G2272" t="s">
        <v>4063</v>
      </c>
      <c r="P2272" t="s">
        <v>4596</v>
      </c>
      <c r="R2272" t="s">
        <v>4754</v>
      </c>
      <c r="S2272" t="s">
        <v>1772</v>
      </c>
      <c r="V2272" t="s">
        <v>4626</v>
      </c>
      <c r="Z2272">
        <v>3</v>
      </c>
      <c r="AA2272">
        <v>3</v>
      </c>
      <c r="AC2272">
        <v>420</v>
      </c>
      <c r="AD2272">
        <v>28</v>
      </c>
      <c r="AE2272">
        <v>1191</v>
      </c>
      <c r="AF2272">
        <v>31</v>
      </c>
      <c r="AJ2272" t="s">
        <v>4065</v>
      </c>
      <c r="AK2272" t="s">
        <v>4672</v>
      </c>
      <c r="AL2272" s="59"/>
      <c r="AM2272" s="60"/>
      <c r="AN2272">
        <v>68</v>
      </c>
      <c r="AO2272">
        <f>89-68</f>
        <v>21</v>
      </c>
      <c r="AP2272">
        <v>56</v>
      </c>
      <c r="AQ2272" s="61">
        <v>16</v>
      </c>
      <c r="AR2272" s="37"/>
      <c r="AS2272" s="37"/>
      <c r="AT2272" s="37"/>
      <c r="AU2272" s="37"/>
      <c r="AV2272" s="37"/>
      <c r="AW2272" s="28">
        <f t="shared" si="253"/>
        <v>-0.6428059008066962</v>
      </c>
      <c r="AX2272">
        <f t="shared" si="254"/>
        <v>0.8</v>
      </c>
      <c r="AY2272" s="62">
        <f t="shared" si="255"/>
        <v>-0.51424472064535698</v>
      </c>
      <c r="AZ2272" s="68" t="str">
        <f t="shared" si="256"/>
        <v>No</v>
      </c>
      <c r="BA2272" s="68" t="str">
        <f t="shared" si="257"/>
        <v>No</v>
      </c>
    </row>
    <row r="2273" spans="1:55" hidden="1">
      <c r="A2273" t="s">
        <v>3914</v>
      </c>
      <c r="G2273" t="s">
        <v>4118</v>
      </c>
      <c r="P2273" t="s">
        <v>60</v>
      </c>
      <c r="R2273" t="s">
        <v>4116</v>
      </c>
      <c r="S2273" t="s">
        <v>1759</v>
      </c>
      <c r="V2273" t="s">
        <v>3956</v>
      </c>
      <c r="Z2273">
        <v>3</v>
      </c>
      <c r="AA2273">
        <v>3</v>
      </c>
      <c r="AC2273">
        <v>580</v>
      </c>
      <c r="AD2273">
        <v>17.88</v>
      </c>
      <c r="AE2273">
        <v>1386</v>
      </c>
      <c r="AF2273">
        <v>17.88</v>
      </c>
      <c r="AJ2273" t="s">
        <v>4216</v>
      </c>
      <c r="AK2273" t="s">
        <v>4244</v>
      </c>
      <c r="AN2273">
        <v>94.3</v>
      </c>
      <c r="AO2273">
        <v>2.2516660498395402</v>
      </c>
      <c r="AP2273">
        <v>84</v>
      </c>
      <c r="AQ2273">
        <v>2.598076211353316</v>
      </c>
      <c r="AW2273" s="28">
        <f t="shared" si="253"/>
        <v>-4.236853859417093</v>
      </c>
      <c r="AX2273">
        <f t="shared" si="254"/>
        <v>0.8</v>
      </c>
      <c r="AY2273" s="62">
        <f t="shared" si="255"/>
        <v>-3.3894830875336748</v>
      </c>
      <c r="AZ2273" s="68" t="str">
        <f t="shared" si="256"/>
        <v>No</v>
      </c>
      <c r="BA2273" s="68" t="str">
        <f t="shared" si="257"/>
        <v>No</v>
      </c>
    </row>
    <row r="2274" spans="1:55" hidden="1">
      <c r="A2274" t="s">
        <v>3914</v>
      </c>
      <c r="G2274" t="s">
        <v>4118</v>
      </c>
      <c r="P2274" t="s">
        <v>60</v>
      </c>
      <c r="R2274" t="s">
        <v>4116</v>
      </c>
      <c r="S2274" t="s">
        <v>1759</v>
      </c>
      <c r="V2274" t="s">
        <v>3956</v>
      </c>
      <c r="Z2274">
        <v>3</v>
      </c>
      <c r="AA2274">
        <v>3</v>
      </c>
      <c r="AC2274">
        <v>580</v>
      </c>
      <c r="AD2274">
        <v>17.88</v>
      </c>
      <c r="AE2274">
        <v>3573</v>
      </c>
      <c r="AF2274">
        <v>17.88</v>
      </c>
      <c r="AJ2274" t="s">
        <v>4216</v>
      </c>
      <c r="AK2274" t="s">
        <v>4244</v>
      </c>
      <c r="AN2274">
        <v>94.3</v>
      </c>
      <c r="AO2274">
        <v>2.2516660498395402</v>
      </c>
      <c r="AP2274">
        <v>83</v>
      </c>
      <c r="AQ2274">
        <v>4.3301270189221928</v>
      </c>
      <c r="AW2274" s="28">
        <f t="shared" si="253"/>
        <v>-3.2743308710685568</v>
      </c>
      <c r="AX2274">
        <f t="shared" si="254"/>
        <v>0.8</v>
      </c>
      <c r="AY2274" s="62">
        <f t="shared" si="255"/>
        <v>-2.6194646968548456</v>
      </c>
      <c r="AZ2274" s="68" t="str">
        <f t="shared" si="256"/>
        <v>No</v>
      </c>
      <c r="BA2274" s="68" t="str">
        <f t="shared" si="257"/>
        <v>No</v>
      </c>
    </row>
    <row r="2275" spans="1:55" ht="15" hidden="1">
      <c r="A2275" t="s">
        <v>3914</v>
      </c>
      <c r="G2275" t="s">
        <v>4118</v>
      </c>
      <c r="P2275" t="s">
        <v>60</v>
      </c>
      <c r="R2275" t="s">
        <v>4116</v>
      </c>
      <c r="S2275" t="s">
        <v>1759</v>
      </c>
      <c r="V2275" t="s">
        <v>3956</v>
      </c>
      <c r="Z2275">
        <v>3</v>
      </c>
      <c r="AA2275">
        <v>3</v>
      </c>
      <c r="AC2275">
        <v>580</v>
      </c>
      <c r="AD2275">
        <v>17.88</v>
      </c>
      <c r="AE2275">
        <v>3573</v>
      </c>
      <c r="AF2275">
        <v>17.88</v>
      </c>
      <c r="AJ2275" t="s">
        <v>4122</v>
      </c>
      <c r="AK2275" t="s">
        <v>4093</v>
      </c>
      <c r="AN2275">
        <v>93</v>
      </c>
      <c r="AO2275">
        <v>5.196152422706632</v>
      </c>
      <c r="AP2275">
        <v>78</v>
      </c>
      <c r="AQ2275">
        <v>5.196152422706632</v>
      </c>
      <c r="AW2275" s="28">
        <f t="shared" si="253"/>
        <v>-2.8867513459481287</v>
      </c>
      <c r="AX2275">
        <f t="shared" si="254"/>
        <v>0.8</v>
      </c>
      <c r="AY2275" s="73">
        <f t="shared" si="255"/>
        <v>-2.3094010767585029</v>
      </c>
      <c r="AZ2275" s="74" t="str">
        <f t="shared" si="256"/>
        <v>No</v>
      </c>
      <c r="BA2275" s="74" t="str">
        <f t="shared" si="257"/>
        <v>No</v>
      </c>
      <c r="BB2275" s="56"/>
      <c r="BC2275" s="56"/>
    </row>
    <row r="2276" spans="1:55" hidden="1">
      <c r="A2276" t="s">
        <v>3914</v>
      </c>
      <c r="G2276" t="s">
        <v>4118</v>
      </c>
      <c r="P2276" t="s">
        <v>60</v>
      </c>
      <c r="R2276" t="s">
        <v>4116</v>
      </c>
      <c r="S2276" t="s">
        <v>1759</v>
      </c>
      <c r="V2276" t="s">
        <v>3956</v>
      </c>
      <c r="Z2276">
        <v>3</v>
      </c>
      <c r="AA2276">
        <v>3</v>
      </c>
      <c r="AC2276">
        <v>580</v>
      </c>
      <c r="AD2276">
        <v>17.88</v>
      </c>
      <c r="AE2276">
        <v>3573</v>
      </c>
      <c r="AF2276">
        <v>17.88</v>
      </c>
      <c r="AJ2276" t="s">
        <v>4158</v>
      </c>
      <c r="AK2276" t="s">
        <v>4151</v>
      </c>
      <c r="AN2276">
        <v>17</v>
      </c>
      <c r="AO2276">
        <v>14.722431864335457</v>
      </c>
      <c r="AP2276">
        <v>69</v>
      </c>
      <c r="AQ2276">
        <v>6.9282032302755088</v>
      </c>
      <c r="AW2276" s="28">
        <f t="shared" si="253"/>
        <v>4.5196037163225702</v>
      </c>
      <c r="AX2276">
        <f t="shared" si="254"/>
        <v>0.8</v>
      </c>
      <c r="AY2276" s="62">
        <f t="shared" si="255"/>
        <v>3.6156829730580564</v>
      </c>
      <c r="AZ2276" s="68" t="str">
        <f t="shared" si="256"/>
        <v>No</v>
      </c>
      <c r="BA2276" s="68" t="str">
        <f t="shared" si="257"/>
        <v>No</v>
      </c>
    </row>
    <row r="2277" spans="1:55" hidden="1">
      <c r="A2277" t="s">
        <v>3914</v>
      </c>
      <c r="G2277" t="s">
        <v>4118</v>
      </c>
      <c r="P2277" t="s">
        <v>60</v>
      </c>
      <c r="R2277" t="s">
        <v>4116</v>
      </c>
      <c r="S2277" t="s">
        <v>1759</v>
      </c>
      <c r="V2277" t="s">
        <v>3956</v>
      </c>
      <c r="Z2277">
        <v>3</v>
      </c>
      <c r="AA2277">
        <v>3</v>
      </c>
      <c r="AC2277">
        <v>580</v>
      </c>
      <c r="AD2277">
        <v>17.88</v>
      </c>
      <c r="AE2277">
        <v>1386</v>
      </c>
      <c r="AF2277">
        <v>17.88</v>
      </c>
      <c r="AJ2277" t="s">
        <v>4122</v>
      </c>
      <c r="AK2277" t="s">
        <v>4093</v>
      </c>
      <c r="AN2277">
        <v>93</v>
      </c>
      <c r="AO2277">
        <v>5.196152422706632</v>
      </c>
      <c r="AP2277">
        <v>87</v>
      </c>
      <c r="AQ2277">
        <v>12.124355652982141</v>
      </c>
      <c r="AW2277" s="28">
        <f t="shared" si="253"/>
        <v>-0.6432675209026768</v>
      </c>
      <c r="AX2277">
        <f t="shared" si="254"/>
        <v>0.8</v>
      </c>
      <c r="AY2277" s="62">
        <f t="shared" si="255"/>
        <v>-0.51461401672214147</v>
      </c>
      <c r="AZ2277" s="68" t="str">
        <f t="shared" si="256"/>
        <v>No</v>
      </c>
      <c r="BA2277" s="68" t="str">
        <f t="shared" si="257"/>
        <v>No</v>
      </c>
    </row>
    <row r="2278" spans="1:55" hidden="1">
      <c r="A2278" t="s">
        <v>3914</v>
      </c>
      <c r="G2278" t="s">
        <v>4118</v>
      </c>
      <c r="P2278" t="s">
        <v>60</v>
      </c>
      <c r="R2278" t="s">
        <v>4116</v>
      </c>
      <c r="S2278" t="s">
        <v>1759</v>
      </c>
      <c r="V2278" t="s">
        <v>3956</v>
      </c>
      <c r="Z2278">
        <v>3</v>
      </c>
      <c r="AA2278">
        <v>3</v>
      </c>
      <c r="AC2278">
        <v>580</v>
      </c>
      <c r="AD2278">
        <v>17.88</v>
      </c>
      <c r="AE2278">
        <v>1386</v>
      </c>
      <c r="AF2278">
        <v>17.88</v>
      </c>
      <c r="AJ2278" t="s">
        <v>4158</v>
      </c>
      <c r="AK2278" t="s">
        <v>4151</v>
      </c>
      <c r="AN2278">
        <v>17</v>
      </c>
      <c r="AO2278">
        <v>14.722431864335457</v>
      </c>
      <c r="AP2278">
        <v>53.5</v>
      </c>
      <c r="AQ2278">
        <v>20.784609690826528</v>
      </c>
      <c r="AW2278" s="28">
        <f t="shared" si="253"/>
        <v>2.0266053129340036</v>
      </c>
      <c r="AX2278">
        <f t="shared" si="254"/>
        <v>0.8</v>
      </c>
      <c r="AY2278" s="62">
        <f t="shared" si="255"/>
        <v>1.6212842503472029</v>
      </c>
      <c r="AZ2278" s="68" t="str">
        <f t="shared" si="256"/>
        <v>No</v>
      </c>
      <c r="BA2278" s="68" t="str">
        <f t="shared" si="257"/>
        <v>No</v>
      </c>
    </row>
    <row r="2279" spans="1:55" hidden="1">
      <c r="A2279" t="s">
        <v>3914</v>
      </c>
      <c r="G2279" t="s">
        <v>4126</v>
      </c>
      <c r="P2279" t="s">
        <v>60</v>
      </c>
      <c r="R2279" t="s">
        <v>4116</v>
      </c>
      <c r="S2279" t="s">
        <v>1083</v>
      </c>
      <c r="V2279" t="s">
        <v>3956</v>
      </c>
      <c r="Z2279">
        <v>102</v>
      </c>
      <c r="AA2279">
        <v>139</v>
      </c>
      <c r="AC2279">
        <v>419</v>
      </c>
      <c r="AD2279">
        <v>10</v>
      </c>
      <c r="AE2279">
        <v>1388</v>
      </c>
      <c r="AF2279">
        <v>10</v>
      </c>
      <c r="AJ2279" t="s">
        <v>4071</v>
      </c>
      <c r="AK2279" t="s">
        <v>4244</v>
      </c>
      <c r="AN2279">
        <v>0.13500000000000001</v>
      </c>
      <c r="AO2279">
        <v>4.5999999999999999E-2</v>
      </c>
      <c r="AP2279">
        <v>9.7000000000000003E-2</v>
      </c>
      <c r="AQ2279">
        <v>4.2999999999999997E-2</v>
      </c>
      <c r="AW2279" s="28">
        <f t="shared" si="253"/>
        <v>-0.85793151061649775</v>
      </c>
      <c r="AX2279">
        <f t="shared" si="254"/>
        <v>0.99685863874345548</v>
      </c>
      <c r="AY2279" s="62">
        <f t="shared" si="255"/>
        <v>-0.8552364378082784</v>
      </c>
      <c r="AZ2279" s="68" t="str">
        <f t="shared" si="256"/>
        <v>No</v>
      </c>
      <c r="BA2279" s="68" t="str">
        <f t="shared" si="257"/>
        <v>No</v>
      </c>
    </row>
    <row r="2280" spans="1:55" hidden="1">
      <c r="A2280" t="s">
        <v>3914</v>
      </c>
      <c r="G2280" t="s">
        <v>4126</v>
      </c>
      <c r="P2280" t="s">
        <v>60</v>
      </c>
      <c r="R2280" t="s">
        <v>4116</v>
      </c>
      <c r="S2280" t="s">
        <v>1083</v>
      </c>
      <c r="V2280" t="s">
        <v>3956</v>
      </c>
      <c r="Z2280">
        <v>8</v>
      </c>
      <c r="AA2280">
        <v>8</v>
      </c>
      <c r="AC2280">
        <v>419</v>
      </c>
      <c r="AD2280">
        <v>10</v>
      </c>
      <c r="AE2280">
        <v>1388</v>
      </c>
      <c r="AF2280">
        <v>10</v>
      </c>
      <c r="AJ2280" t="s">
        <v>4138</v>
      </c>
      <c r="AK2280" t="s">
        <v>4151</v>
      </c>
      <c r="AN2280">
        <v>95</v>
      </c>
      <c r="AO2280">
        <v>6</v>
      </c>
      <c r="AP2280">
        <v>94</v>
      </c>
      <c r="AQ2280">
        <v>3.75</v>
      </c>
      <c r="AW2280" s="28">
        <f t="shared" si="253"/>
        <v>-0.19987511706556305</v>
      </c>
      <c r="AX2280">
        <f t="shared" si="254"/>
        <v>0.94545454545454544</v>
      </c>
      <c r="AY2280" s="62">
        <f t="shared" si="255"/>
        <v>-0.18897283795289596</v>
      </c>
      <c r="AZ2280" s="68" t="str">
        <f t="shared" si="256"/>
        <v>No</v>
      </c>
      <c r="BA2280" s="68" t="str">
        <f t="shared" si="257"/>
        <v>No</v>
      </c>
    </row>
    <row r="2281" spans="1:55" hidden="1">
      <c r="A2281" t="s">
        <v>3914</v>
      </c>
      <c r="G2281" t="s">
        <v>4126</v>
      </c>
      <c r="P2281" t="s">
        <v>60</v>
      </c>
      <c r="R2281" t="s">
        <v>4116</v>
      </c>
      <c r="S2281" t="s">
        <v>1083</v>
      </c>
      <c r="V2281" t="s">
        <v>3956</v>
      </c>
      <c r="Z2281">
        <v>8</v>
      </c>
      <c r="AA2281">
        <v>8</v>
      </c>
      <c r="AC2281">
        <v>419</v>
      </c>
      <c r="AD2281">
        <v>10</v>
      </c>
      <c r="AE2281">
        <v>1388</v>
      </c>
      <c r="AF2281">
        <v>10</v>
      </c>
      <c r="AJ2281" t="s">
        <v>4161</v>
      </c>
      <c r="AK2281" t="s">
        <v>4151</v>
      </c>
      <c r="AN2281">
        <v>5</v>
      </c>
      <c r="AO2281">
        <v>2.25</v>
      </c>
      <c r="AP2281">
        <v>10</v>
      </c>
      <c r="AQ2281">
        <v>4.5</v>
      </c>
      <c r="AW2281" s="28">
        <f t="shared" si="253"/>
        <v>1.405456737852613</v>
      </c>
      <c r="AX2281">
        <f t="shared" si="254"/>
        <v>0.94545454545454544</v>
      </c>
      <c r="AY2281" s="62">
        <f t="shared" si="255"/>
        <v>1.3287954612424704</v>
      </c>
      <c r="AZ2281" s="68" t="str">
        <f t="shared" si="256"/>
        <v>No</v>
      </c>
      <c r="BA2281" s="68" t="str">
        <f t="shared" si="257"/>
        <v>No</v>
      </c>
    </row>
    <row r="2282" spans="1:55" hidden="1">
      <c r="A2282" t="s">
        <v>3914</v>
      </c>
      <c r="G2282" s="50" t="s">
        <v>5091</v>
      </c>
      <c r="P2282" t="s">
        <v>60</v>
      </c>
      <c r="R2282" t="s">
        <v>4509</v>
      </c>
      <c r="S2282" s="50" t="s">
        <v>912</v>
      </c>
      <c r="V2282" t="s">
        <v>3956</v>
      </c>
      <c r="Z2282" s="50">
        <v>8</v>
      </c>
      <c r="AA2282" s="50">
        <v>8</v>
      </c>
      <c r="AC2282" s="55">
        <v>376</v>
      </c>
      <c r="AD2282">
        <v>5</v>
      </c>
      <c r="AE2282" s="55">
        <v>1312</v>
      </c>
      <c r="AF2282">
        <v>5</v>
      </c>
      <c r="AJ2282" s="50" t="s">
        <v>4065</v>
      </c>
      <c r="AK2282" t="s">
        <v>4491</v>
      </c>
      <c r="AN2282">
        <v>63</v>
      </c>
      <c r="AO2282">
        <v>13</v>
      </c>
      <c r="AP2282">
        <v>74</v>
      </c>
      <c r="AQ2282">
        <v>14</v>
      </c>
      <c r="AW2282" s="28">
        <f t="shared" si="253"/>
        <v>0.81425653121736574</v>
      </c>
      <c r="AX2282">
        <f t="shared" si="254"/>
        <v>0.94545454545454544</v>
      </c>
      <c r="AY2282" s="62">
        <f t="shared" si="255"/>
        <v>0.76984253860550944</v>
      </c>
      <c r="AZ2282" s="68" t="str">
        <f t="shared" si="256"/>
        <v>No</v>
      </c>
      <c r="BA2282" s="68" t="str">
        <f t="shared" si="257"/>
        <v>No</v>
      </c>
    </row>
    <row r="2283" spans="1:55" hidden="1">
      <c r="A2283" t="s">
        <v>3914</v>
      </c>
      <c r="G2283" t="s">
        <v>4126</v>
      </c>
      <c r="P2283" t="s">
        <v>60</v>
      </c>
      <c r="R2283" t="s">
        <v>4116</v>
      </c>
      <c r="S2283" t="s">
        <v>1083</v>
      </c>
      <c r="V2283" t="s">
        <v>3956</v>
      </c>
      <c r="Z2283">
        <v>8</v>
      </c>
      <c r="AA2283">
        <v>8</v>
      </c>
      <c r="AC2283">
        <v>419</v>
      </c>
      <c r="AD2283">
        <v>10</v>
      </c>
      <c r="AE2283">
        <v>1388</v>
      </c>
      <c r="AF2283">
        <v>10</v>
      </c>
      <c r="AJ2283" t="s">
        <v>1791</v>
      </c>
      <c r="AK2283" t="s">
        <v>4093</v>
      </c>
      <c r="AN2283">
        <v>80</v>
      </c>
      <c r="AO2283">
        <v>27.75</v>
      </c>
      <c r="AP2283">
        <v>60</v>
      </c>
      <c r="AQ2283">
        <v>23.25</v>
      </c>
      <c r="AW2283" s="28">
        <f t="shared" si="253"/>
        <v>-0.7812783137453968</v>
      </c>
      <c r="AX2283">
        <f t="shared" si="254"/>
        <v>0.94545454545454544</v>
      </c>
      <c r="AY2283" s="62">
        <f t="shared" si="255"/>
        <v>-0.7386631329956479</v>
      </c>
      <c r="AZ2283" s="68" t="str">
        <f t="shared" si="256"/>
        <v>No</v>
      </c>
      <c r="BA2283" s="68" t="str">
        <f t="shared" si="257"/>
        <v>No</v>
      </c>
    </row>
    <row r="2284" spans="1:55" hidden="1">
      <c r="A2284" t="s">
        <v>3914</v>
      </c>
      <c r="G2284" t="s">
        <v>4317</v>
      </c>
      <c r="P2284" t="s">
        <v>60</v>
      </c>
      <c r="R2284" t="s">
        <v>4286</v>
      </c>
      <c r="S2284" t="s">
        <v>4324</v>
      </c>
      <c r="V2284" t="s">
        <v>3956</v>
      </c>
      <c r="Z2284">
        <v>4</v>
      </c>
      <c r="AA2284">
        <v>4</v>
      </c>
      <c r="AC2284">
        <v>490.1</v>
      </c>
      <c r="AD2284">
        <v>19.68</v>
      </c>
      <c r="AE2284">
        <v>1103.5</v>
      </c>
      <c r="AF2284">
        <v>19.88</v>
      </c>
      <c r="AJ2284" t="s">
        <v>4218</v>
      </c>
      <c r="AK2284" t="s">
        <v>4244</v>
      </c>
      <c r="AN2284">
        <v>1070</v>
      </c>
      <c r="AO2284">
        <v>40</v>
      </c>
      <c r="AP2284">
        <v>1050</v>
      </c>
      <c r="AQ2284">
        <v>0</v>
      </c>
      <c r="AW2284" s="28">
        <f t="shared" si="253"/>
        <v>-0.70710678118654746</v>
      </c>
      <c r="AX2284">
        <f t="shared" si="254"/>
        <v>0.86956521739130432</v>
      </c>
      <c r="AY2284" s="62">
        <f t="shared" si="255"/>
        <v>-0.61487546190134557</v>
      </c>
      <c r="AZ2284" s="68" t="str">
        <f t="shared" si="256"/>
        <v>No</v>
      </c>
      <c r="BA2284" s="68" t="str">
        <f t="shared" si="257"/>
        <v>No</v>
      </c>
    </row>
    <row r="2285" spans="1:55" hidden="1">
      <c r="A2285" t="s">
        <v>3914</v>
      </c>
      <c r="G2285" t="s">
        <v>4317</v>
      </c>
      <c r="P2285" t="s">
        <v>60</v>
      </c>
      <c r="R2285" t="s">
        <v>4286</v>
      </c>
      <c r="S2285" t="s">
        <v>4324</v>
      </c>
      <c r="V2285" t="s">
        <v>3956</v>
      </c>
      <c r="Z2285">
        <v>4</v>
      </c>
      <c r="AA2285">
        <v>4</v>
      </c>
      <c r="AC2285">
        <v>490.1</v>
      </c>
      <c r="AD2285">
        <v>19.68</v>
      </c>
      <c r="AE2285">
        <v>1103.5</v>
      </c>
      <c r="AF2285">
        <v>19.88</v>
      </c>
      <c r="AJ2285" t="s">
        <v>1202</v>
      </c>
      <c r="AK2285" t="s">
        <v>4093</v>
      </c>
      <c r="AN2285">
        <v>96</v>
      </c>
      <c r="AO2285">
        <v>5</v>
      </c>
      <c r="AP2285">
        <v>91</v>
      </c>
      <c r="AQ2285">
        <v>10</v>
      </c>
      <c r="AW2285" s="28">
        <f t="shared" si="253"/>
        <v>-0.63245553203367588</v>
      </c>
      <c r="AX2285">
        <f t="shared" si="254"/>
        <v>0.86956521739130432</v>
      </c>
      <c r="AY2285" s="62">
        <f t="shared" si="255"/>
        <v>-0.54996133220319643</v>
      </c>
      <c r="AZ2285" s="68" t="str">
        <f t="shared" si="256"/>
        <v>No</v>
      </c>
      <c r="BA2285" s="68" t="str">
        <f t="shared" si="257"/>
        <v>No</v>
      </c>
    </row>
    <row r="2286" spans="1:55" hidden="1">
      <c r="A2286" t="s">
        <v>3914</v>
      </c>
      <c r="G2286" t="s">
        <v>4103</v>
      </c>
      <c r="P2286" t="s">
        <v>60</v>
      </c>
      <c r="R2286" t="s">
        <v>4116</v>
      </c>
      <c r="S2286" t="s">
        <v>1068</v>
      </c>
      <c r="V2286" t="s">
        <v>3956</v>
      </c>
      <c r="Z2286">
        <v>3</v>
      </c>
      <c r="AA2286">
        <v>3</v>
      </c>
      <c r="AC2286">
        <v>784</v>
      </c>
      <c r="AD2286">
        <v>21</v>
      </c>
      <c r="AE2286">
        <v>2260</v>
      </c>
      <c r="AF2286">
        <v>21.2</v>
      </c>
      <c r="AJ2286" t="s">
        <v>2020</v>
      </c>
      <c r="AK2286" t="s">
        <v>4093</v>
      </c>
      <c r="AN2286">
        <v>80</v>
      </c>
      <c r="AO2286">
        <v>5</v>
      </c>
      <c r="AP2286">
        <v>74</v>
      </c>
      <c r="AQ2286">
        <v>4</v>
      </c>
      <c r="AW2286" s="28">
        <f t="shared" si="253"/>
        <v>-1.3251783128981585</v>
      </c>
      <c r="AX2286">
        <f t="shared" si="254"/>
        <v>0.8</v>
      </c>
      <c r="AY2286" s="62">
        <f t="shared" si="255"/>
        <v>-1.0601426503185267</v>
      </c>
      <c r="AZ2286" s="68" t="str">
        <f t="shared" si="256"/>
        <v>No</v>
      </c>
      <c r="BA2286" s="68" t="str">
        <f t="shared" si="257"/>
        <v>No</v>
      </c>
    </row>
    <row r="2287" spans="1:55" ht="15" hidden="1">
      <c r="A2287" t="s">
        <v>3914</v>
      </c>
      <c r="G2287" t="s">
        <v>4103</v>
      </c>
      <c r="P2287" t="s">
        <v>60</v>
      </c>
      <c r="R2287" t="s">
        <v>4116</v>
      </c>
      <c r="S2287" t="s">
        <v>1068</v>
      </c>
      <c r="V2287" t="s">
        <v>3956</v>
      </c>
      <c r="Z2287">
        <v>3</v>
      </c>
      <c r="AA2287">
        <v>3</v>
      </c>
      <c r="AC2287">
        <v>784</v>
      </c>
      <c r="AD2287">
        <v>21</v>
      </c>
      <c r="AE2287">
        <v>2260</v>
      </c>
      <c r="AF2287">
        <v>21.2</v>
      </c>
      <c r="AJ2287" t="s">
        <v>4218</v>
      </c>
      <c r="AK2287" t="s">
        <v>4244</v>
      </c>
      <c r="AN2287">
        <v>82.6</v>
      </c>
      <c r="AO2287">
        <v>3.4</v>
      </c>
      <c r="AP2287">
        <v>79.3</v>
      </c>
      <c r="AQ2287">
        <v>4.8</v>
      </c>
      <c r="AW2287" s="28">
        <f t="shared" si="253"/>
        <v>-0.79339761077666859</v>
      </c>
      <c r="AX2287">
        <f t="shared" si="254"/>
        <v>0.8</v>
      </c>
      <c r="AY2287" s="73">
        <f t="shared" si="255"/>
        <v>-0.63471808862133494</v>
      </c>
      <c r="AZ2287" s="74" t="str">
        <f t="shared" si="256"/>
        <v>No</v>
      </c>
      <c r="BA2287" s="74" t="str">
        <f t="shared" si="257"/>
        <v>No</v>
      </c>
      <c r="BB2287" s="56"/>
      <c r="BC2287" s="56"/>
    </row>
    <row r="2288" spans="1:55" hidden="1">
      <c r="A2288" t="s">
        <v>3914</v>
      </c>
      <c r="G2288" t="s">
        <v>4103</v>
      </c>
      <c r="P2288" t="s">
        <v>60</v>
      </c>
      <c r="R2288" t="s">
        <v>4116</v>
      </c>
      <c r="S2288" t="s">
        <v>1068</v>
      </c>
      <c r="V2288" t="s">
        <v>3956</v>
      </c>
      <c r="Z2288">
        <v>3</v>
      </c>
      <c r="AA2288">
        <v>3</v>
      </c>
      <c r="AC2288">
        <v>784</v>
      </c>
      <c r="AD2288">
        <v>21</v>
      </c>
      <c r="AE2288">
        <v>2260</v>
      </c>
      <c r="AF2288">
        <v>21.2</v>
      </c>
      <c r="AJ2288" t="s">
        <v>4136</v>
      </c>
      <c r="AK2288" t="s">
        <v>4151</v>
      </c>
      <c r="AN2288">
        <v>78</v>
      </c>
      <c r="AO2288">
        <v>3</v>
      </c>
      <c r="AP2288">
        <v>70</v>
      </c>
      <c r="AQ2288">
        <v>6</v>
      </c>
      <c r="AW2288" s="28">
        <f t="shared" si="253"/>
        <v>-1.6865480854231356</v>
      </c>
      <c r="AX2288">
        <f t="shared" si="254"/>
        <v>0.8</v>
      </c>
      <c r="AY2288" s="62">
        <f t="shared" si="255"/>
        <v>-1.3492384683385086</v>
      </c>
      <c r="AZ2288" s="68" t="str">
        <f t="shared" si="256"/>
        <v>No</v>
      </c>
      <c r="BA2288" s="68" t="str">
        <f t="shared" si="257"/>
        <v>No</v>
      </c>
    </row>
    <row r="2289" spans="1:55" hidden="1">
      <c r="A2289" t="s">
        <v>3914</v>
      </c>
      <c r="G2289" t="s">
        <v>4404</v>
      </c>
      <c r="P2289" t="s">
        <v>4596</v>
      </c>
      <c r="R2289" t="s">
        <v>4357</v>
      </c>
      <c r="S2289" t="s">
        <v>950</v>
      </c>
      <c r="V2289" t="s">
        <v>4598</v>
      </c>
      <c r="Z2289">
        <v>3</v>
      </c>
      <c r="AA2289">
        <v>3</v>
      </c>
      <c r="AC2289">
        <v>448</v>
      </c>
      <c r="AD2289">
        <v>24</v>
      </c>
      <c r="AE2289">
        <v>455</v>
      </c>
      <c r="AF2289">
        <v>27</v>
      </c>
      <c r="AJ2289" t="s">
        <v>4659</v>
      </c>
      <c r="AK2289" t="s">
        <v>4637</v>
      </c>
      <c r="AN2289">
        <v>7</v>
      </c>
      <c r="AO2289">
        <v>1.8341872308280867</v>
      </c>
      <c r="AP2289">
        <v>12</v>
      </c>
      <c r="AQ2289">
        <v>1.9484247927003726</v>
      </c>
      <c r="AW2289" s="28">
        <f t="shared" si="253"/>
        <v>2.6424710335586923</v>
      </c>
      <c r="AX2289">
        <f t="shared" si="254"/>
        <v>0.8</v>
      </c>
      <c r="AY2289" s="62">
        <f t="shared" si="255"/>
        <v>2.1139768268469541</v>
      </c>
      <c r="AZ2289" s="68" t="str">
        <f t="shared" si="256"/>
        <v>No</v>
      </c>
      <c r="BA2289" s="68" t="str">
        <f t="shared" si="257"/>
        <v>No</v>
      </c>
    </row>
    <row r="2290" spans="1:55" ht="15" hidden="1">
      <c r="A2290" t="s">
        <v>3914</v>
      </c>
      <c r="G2290" t="s">
        <v>4404</v>
      </c>
      <c r="P2290" t="s">
        <v>4596</v>
      </c>
      <c r="R2290" t="s">
        <v>4357</v>
      </c>
      <c r="S2290" t="s">
        <v>950</v>
      </c>
      <c r="V2290" t="s">
        <v>4627</v>
      </c>
      <c r="Z2290">
        <v>3</v>
      </c>
      <c r="AA2290">
        <v>3</v>
      </c>
      <c r="AC2290">
        <v>448</v>
      </c>
      <c r="AD2290">
        <v>24</v>
      </c>
      <c r="AE2290">
        <v>1938</v>
      </c>
      <c r="AF2290">
        <v>27</v>
      </c>
      <c r="AJ2290" t="s">
        <v>4492</v>
      </c>
      <c r="AK2290" t="s">
        <v>4637</v>
      </c>
      <c r="AN2290">
        <v>7</v>
      </c>
      <c r="AO2290">
        <v>1.8341872308280867</v>
      </c>
      <c r="AP2290">
        <v>12.6</v>
      </c>
      <c r="AQ2290">
        <v>2.0387865222167121</v>
      </c>
      <c r="AW2290" s="28">
        <f t="shared" si="253"/>
        <v>2.8878079770829963</v>
      </c>
      <c r="AX2290">
        <f t="shared" si="254"/>
        <v>0.8</v>
      </c>
      <c r="AY2290" s="73">
        <f t="shared" si="255"/>
        <v>2.310246381666397</v>
      </c>
      <c r="AZ2290" s="74" t="str">
        <f t="shared" si="256"/>
        <v>No</v>
      </c>
      <c r="BA2290" s="74" t="str">
        <f t="shared" si="257"/>
        <v>No</v>
      </c>
      <c r="BB2290" s="56"/>
      <c r="BC2290" s="56"/>
    </row>
    <row r="2291" spans="1:55" ht="15" hidden="1">
      <c r="A2291" t="s">
        <v>3914</v>
      </c>
      <c r="G2291" t="s">
        <v>4404</v>
      </c>
      <c r="P2291" t="s">
        <v>4596</v>
      </c>
      <c r="R2291" t="s">
        <v>4357</v>
      </c>
      <c r="S2291" t="s">
        <v>950</v>
      </c>
      <c r="V2291" t="s">
        <v>4626</v>
      </c>
      <c r="Z2291">
        <v>3</v>
      </c>
      <c r="AA2291">
        <v>3</v>
      </c>
      <c r="AC2291">
        <v>448</v>
      </c>
      <c r="AD2291">
        <v>24</v>
      </c>
      <c r="AE2291">
        <v>1169</v>
      </c>
      <c r="AF2291">
        <v>27</v>
      </c>
      <c r="AJ2291" t="s">
        <v>4492</v>
      </c>
      <c r="AK2291" t="s">
        <v>4637</v>
      </c>
      <c r="AN2291">
        <v>7</v>
      </c>
      <c r="AO2291">
        <v>1.8341872308280867</v>
      </c>
      <c r="AP2291">
        <v>12.8</v>
      </c>
      <c r="AQ2291">
        <v>2.0783197788801901</v>
      </c>
      <c r="AW2291" s="28">
        <f t="shared" si="253"/>
        <v>2.9590958822618463</v>
      </c>
      <c r="AX2291">
        <f t="shared" si="254"/>
        <v>0.8</v>
      </c>
      <c r="AY2291" s="73">
        <f t="shared" si="255"/>
        <v>2.367276705809477</v>
      </c>
      <c r="AZ2291" s="74" t="str">
        <f t="shared" si="256"/>
        <v>No</v>
      </c>
      <c r="BA2291" s="74" t="str">
        <f t="shared" si="257"/>
        <v>No</v>
      </c>
      <c r="BB2291" s="56"/>
      <c r="BC2291" s="56"/>
    </row>
    <row r="2292" spans="1:55" hidden="1">
      <c r="A2292" t="s">
        <v>3914</v>
      </c>
      <c r="G2292" t="s">
        <v>4404</v>
      </c>
      <c r="P2292" t="s">
        <v>60</v>
      </c>
      <c r="R2292" t="s">
        <v>4357</v>
      </c>
      <c r="S2292" t="s">
        <v>950</v>
      </c>
      <c r="V2292" t="s">
        <v>3956</v>
      </c>
      <c r="Z2292">
        <v>3</v>
      </c>
      <c r="AA2292">
        <v>3</v>
      </c>
      <c r="AC2292">
        <v>448</v>
      </c>
      <c r="AD2292">
        <v>24</v>
      </c>
      <c r="AE2292">
        <v>1142</v>
      </c>
      <c r="AF2292">
        <v>24</v>
      </c>
      <c r="AJ2292" t="s">
        <v>4492</v>
      </c>
      <c r="AK2292" t="s">
        <v>4123</v>
      </c>
      <c r="AN2292">
        <v>7.2</v>
      </c>
      <c r="AO2292">
        <v>2.2516660498395402</v>
      </c>
      <c r="AP2292">
        <v>9.1999999999999993</v>
      </c>
      <c r="AQ2292">
        <v>2.2516660498395402</v>
      </c>
      <c r="AW2292" s="28">
        <f t="shared" si="253"/>
        <v>0.8882311833686547</v>
      </c>
      <c r="AX2292">
        <f t="shared" si="254"/>
        <v>0.8</v>
      </c>
      <c r="AY2292" s="62">
        <f t="shared" si="255"/>
        <v>0.71058494669492378</v>
      </c>
      <c r="AZ2292" s="68" t="str">
        <f t="shared" si="256"/>
        <v>No</v>
      </c>
      <c r="BA2292" s="68" t="str">
        <f t="shared" si="257"/>
        <v>No</v>
      </c>
    </row>
    <row r="2293" spans="1:55" hidden="1">
      <c r="A2293" t="s">
        <v>3914</v>
      </c>
      <c r="G2293" t="s">
        <v>4404</v>
      </c>
      <c r="P2293" t="s">
        <v>60</v>
      </c>
      <c r="R2293" t="s">
        <v>4357</v>
      </c>
      <c r="S2293" t="s">
        <v>950</v>
      </c>
      <c r="V2293" t="s">
        <v>3956</v>
      </c>
      <c r="Z2293">
        <v>3</v>
      </c>
      <c r="AA2293">
        <v>3</v>
      </c>
      <c r="AC2293">
        <v>448</v>
      </c>
      <c r="AD2293">
        <v>24</v>
      </c>
      <c r="AE2293">
        <v>1886</v>
      </c>
      <c r="AF2293">
        <v>24</v>
      </c>
      <c r="AJ2293" t="s">
        <v>4492</v>
      </c>
      <c r="AK2293" t="s">
        <v>4123</v>
      </c>
      <c r="AN2293">
        <v>7.2</v>
      </c>
      <c r="AO2293">
        <v>2.2516660498395402</v>
      </c>
      <c r="AP2293">
        <v>7.4</v>
      </c>
      <c r="AQ2293">
        <v>2.2516660498395402</v>
      </c>
      <c r="AW2293" s="28">
        <f t="shared" si="253"/>
        <v>8.8823118336865597E-2</v>
      </c>
      <c r="AX2293">
        <f t="shared" si="254"/>
        <v>0.8</v>
      </c>
      <c r="AY2293" s="62">
        <f t="shared" si="255"/>
        <v>7.1058494669492475E-2</v>
      </c>
      <c r="AZ2293" s="68" t="str">
        <f t="shared" si="256"/>
        <v>No</v>
      </c>
      <c r="BA2293" s="68" t="str">
        <f t="shared" si="257"/>
        <v>No</v>
      </c>
    </row>
    <row r="2294" spans="1:55" hidden="1">
      <c r="A2294" t="s">
        <v>3914</v>
      </c>
      <c r="G2294" t="s">
        <v>4404</v>
      </c>
      <c r="P2294" t="s">
        <v>4596</v>
      </c>
      <c r="R2294" t="s">
        <v>4357</v>
      </c>
      <c r="S2294" t="s">
        <v>950</v>
      </c>
      <c r="V2294" t="s">
        <v>4626</v>
      </c>
      <c r="Z2294">
        <v>3</v>
      </c>
      <c r="AA2294">
        <v>3</v>
      </c>
      <c r="AC2294">
        <v>448</v>
      </c>
      <c r="AD2294">
        <v>24</v>
      </c>
      <c r="AE2294">
        <v>1169</v>
      </c>
      <c r="AF2294">
        <v>27</v>
      </c>
      <c r="AJ2294" t="s">
        <v>4446</v>
      </c>
      <c r="AK2294" t="s">
        <v>4642</v>
      </c>
      <c r="AN2294">
        <v>135</v>
      </c>
      <c r="AO2294">
        <v>12.869727362739949</v>
      </c>
      <c r="AP2294">
        <v>135</v>
      </c>
      <c r="AQ2294">
        <v>6.2017164465372474</v>
      </c>
      <c r="AW2294" s="28">
        <f t="shared" si="253"/>
        <v>0</v>
      </c>
      <c r="AX2294">
        <f t="shared" si="254"/>
        <v>0.8</v>
      </c>
      <c r="AY2294" s="62">
        <f t="shared" si="255"/>
        <v>0</v>
      </c>
      <c r="AZ2294" s="68" t="str">
        <f t="shared" si="256"/>
        <v>No</v>
      </c>
      <c r="BA2294" s="68" t="str">
        <f t="shared" si="257"/>
        <v>No</v>
      </c>
    </row>
    <row r="2295" spans="1:55" hidden="1">
      <c r="A2295" t="s">
        <v>3914</v>
      </c>
      <c r="G2295" t="s">
        <v>4404</v>
      </c>
      <c r="P2295" t="s">
        <v>4596</v>
      </c>
      <c r="R2295" t="s">
        <v>4357</v>
      </c>
      <c r="S2295" t="s">
        <v>950</v>
      </c>
      <c r="V2295" t="s">
        <v>4598</v>
      </c>
      <c r="Z2295">
        <v>3</v>
      </c>
      <c r="AA2295">
        <v>3</v>
      </c>
      <c r="AC2295">
        <v>448</v>
      </c>
      <c r="AD2295">
        <v>24</v>
      </c>
      <c r="AE2295">
        <v>455</v>
      </c>
      <c r="AF2295">
        <v>27</v>
      </c>
      <c r="AJ2295" t="s">
        <v>4660</v>
      </c>
      <c r="AK2295" t="s">
        <v>4642</v>
      </c>
      <c r="AN2295">
        <v>135</v>
      </c>
      <c r="AO2295">
        <v>12.869727362739949</v>
      </c>
      <c r="AP2295">
        <v>175</v>
      </c>
      <c r="AQ2295">
        <v>6.2755464042349027</v>
      </c>
      <c r="AW2295" s="28">
        <f t="shared" si="253"/>
        <v>3.9507992374649605</v>
      </c>
      <c r="AX2295">
        <f t="shared" si="254"/>
        <v>0.8</v>
      </c>
      <c r="AY2295" s="62">
        <f t="shared" si="255"/>
        <v>3.1606393899719687</v>
      </c>
      <c r="AZ2295" s="68" t="str">
        <f t="shared" si="256"/>
        <v>No</v>
      </c>
      <c r="BA2295" s="68" t="str">
        <f t="shared" si="257"/>
        <v>No</v>
      </c>
    </row>
    <row r="2296" spans="1:55" hidden="1">
      <c r="A2296" t="s">
        <v>3914</v>
      </c>
      <c r="G2296" t="s">
        <v>4404</v>
      </c>
      <c r="P2296" t="s">
        <v>4596</v>
      </c>
      <c r="R2296" t="s">
        <v>4357</v>
      </c>
      <c r="S2296" t="s">
        <v>950</v>
      </c>
      <c r="V2296" t="s">
        <v>4627</v>
      </c>
      <c r="Z2296">
        <v>3</v>
      </c>
      <c r="AA2296">
        <v>3</v>
      </c>
      <c r="AC2296">
        <v>448</v>
      </c>
      <c r="AD2296">
        <v>24</v>
      </c>
      <c r="AE2296">
        <v>1938</v>
      </c>
      <c r="AF2296">
        <v>27</v>
      </c>
      <c r="AJ2296" t="s">
        <v>4446</v>
      </c>
      <c r="AK2296" t="s">
        <v>4642</v>
      </c>
      <c r="AN2296">
        <v>135</v>
      </c>
      <c r="AO2296">
        <v>12.869727362739949</v>
      </c>
      <c r="AP2296">
        <v>138</v>
      </c>
      <c r="AQ2296">
        <v>8.4166151774443989</v>
      </c>
      <c r="AW2296" s="28">
        <f t="shared" si="253"/>
        <v>0.27589820546803417</v>
      </c>
      <c r="AX2296">
        <f t="shared" si="254"/>
        <v>0.8</v>
      </c>
      <c r="AY2296" s="62">
        <f t="shared" si="255"/>
        <v>0.22071856437442736</v>
      </c>
      <c r="AZ2296" s="68" t="str">
        <f t="shared" si="256"/>
        <v>No</v>
      </c>
      <c r="BA2296" s="68" t="str">
        <f t="shared" si="257"/>
        <v>No</v>
      </c>
    </row>
    <row r="2297" spans="1:55" hidden="1">
      <c r="A2297" t="s">
        <v>3914</v>
      </c>
      <c r="G2297" t="s">
        <v>4404</v>
      </c>
      <c r="P2297" t="s">
        <v>60</v>
      </c>
      <c r="R2297" t="s">
        <v>4357</v>
      </c>
      <c r="S2297" t="s">
        <v>950</v>
      </c>
      <c r="V2297" t="s">
        <v>3956</v>
      </c>
      <c r="Z2297">
        <v>3</v>
      </c>
      <c r="AA2297">
        <v>3</v>
      </c>
      <c r="AC2297">
        <v>448</v>
      </c>
      <c r="AD2297">
        <v>24</v>
      </c>
      <c r="AE2297">
        <v>1142</v>
      </c>
      <c r="AF2297">
        <v>24</v>
      </c>
      <c r="AJ2297" t="s">
        <v>4146</v>
      </c>
      <c r="AK2297" t="s">
        <v>4151</v>
      </c>
      <c r="AN2297">
        <v>79</v>
      </c>
      <c r="AO2297">
        <v>8.6602540378443855</v>
      </c>
      <c r="AP2297">
        <v>75</v>
      </c>
      <c r="AQ2297">
        <v>8.6602540378443855</v>
      </c>
      <c r="AW2297" s="28">
        <f t="shared" si="253"/>
        <v>-0.46188021535170065</v>
      </c>
      <c r="AX2297">
        <f t="shared" si="254"/>
        <v>0.8</v>
      </c>
      <c r="AY2297" s="62">
        <f t="shared" si="255"/>
        <v>-0.36950417228136057</v>
      </c>
      <c r="AZ2297" s="68" t="str">
        <f t="shared" si="256"/>
        <v>No</v>
      </c>
      <c r="BA2297" s="68" t="str">
        <f t="shared" si="257"/>
        <v>No</v>
      </c>
    </row>
    <row r="2298" spans="1:55" hidden="1">
      <c r="A2298" t="s">
        <v>3914</v>
      </c>
      <c r="G2298" t="s">
        <v>4404</v>
      </c>
      <c r="P2298" t="s">
        <v>60</v>
      </c>
      <c r="R2298" t="s">
        <v>4357</v>
      </c>
      <c r="S2298" t="s">
        <v>950</v>
      </c>
      <c r="V2298" t="s">
        <v>3956</v>
      </c>
      <c r="Z2298">
        <v>3</v>
      </c>
      <c r="AA2298">
        <v>3</v>
      </c>
      <c r="AC2298">
        <v>448</v>
      </c>
      <c r="AD2298">
        <v>24</v>
      </c>
      <c r="AE2298">
        <v>1886</v>
      </c>
      <c r="AF2298">
        <v>24</v>
      </c>
      <c r="AJ2298" t="s">
        <v>4146</v>
      </c>
      <c r="AK2298" t="s">
        <v>4151</v>
      </c>
      <c r="AN2298">
        <v>79</v>
      </c>
      <c r="AO2298">
        <v>8.6602540378443855</v>
      </c>
      <c r="AP2298">
        <v>62</v>
      </c>
      <c r="AQ2298">
        <v>8.6602540378443855</v>
      </c>
      <c r="AW2298" s="28">
        <f t="shared" si="253"/>
        <v>-1.9629909152447278</v>
      </c>
      <c r="AX2298">
        <f t="shared" si="254"/>
        <v>0.8</v>
      </c>
      <c r="AY2298" s="62">
        <f t="shared" si="255"/>
        <v>-1.5703927321957822</v>
      </c>
      <c r="AZ2298" s="68" t="str">
        <f t="shared" si="256"/>
        <v>No</v>
      </c>
      <c r="BA2298" s="68" t="str">
        <f t="shared" si="257"/>
        <v>No</v>
      </c>
    </row>
    <row r="2299" spans="1:55" hidden="1">
      <c r="A2299" t="s">
        <v>3914</v>
      </c>
      <c r="G2299" t="s">
        <v>4404</v>
      </c>
      <c r="P2299" t="s">
        <v>4596</v>
      </c>
      <c r="R2299" t="s">
        <v>4357</v>
      </c>
      <c r="S2299" t="s">
        <v>950</v>
      </c>
      <c r="V2299" t="s">
        <v>4598</v>
      </c>
      <c r="Z2299">
        <v>3</v>
      </c>
      <c r="AA2299">
        <v>3</v>
      </c>
      <c r="AC2299">
        <v>448</v>
      </c>
      <c r="AD2299">
        <v>24</v>
      </c>
      <c r="AE2299">
        <v>455</v>
      </c>
      <c r="AF2299">
        <v>27</v>
      </c>
      <c r="AJ2299" t="s">
        <v>4661</v>
      </c>
      <c r="AK2299" t="s">
        <v>4642</v>
      </c>
      <c r="AN2299">
        <v>380</v>
      </c>
      <c r="AO2299">
        <v>31.956656966215416</v>
      </c>
      <c r="AP2299">
        <v>450</v>
      </c>
      <c r="AQ2299">
        <v>10.54188020224508</v>
      </c>
      <c r="AW2299" s="28">
        <f t="shared" si="253"/>
        <v>2.9418528012464695</v>
      </c>
      <c r="AX2299">
        <f t="shared" si="254"/>
        <v>0.8</v>
      </c>
      <c r="AY2299" s="62">
        <f t="shared" si="255"/>
        <v>2.3534822409971756</v>
      </c>
      <c r="AZ2299" s="68" t="str">
        <f t="shared" si="256"/>
        <v>No</v>
      </c>
      <c r="BA2299" s="68" t="str">
        <f t="shared" si="257"/>
        <v>No</v>
      </c>
    </row>
    <row r="2300" spans="1:55" hidden="1">
      <c r="A2300" t="s">
        <v>3914</v>
      </c>
      <c r="G2300" t="s">
        <v>4404</v>
      </c>
      <c r="P2300" t="s">
        <v>4596</v>
      </c>
      <c r="R2300" t="s">
        <v>4357</v>
      </c>
      <c r="S2300" t="s">
        <v>950</v>
      </c>
      <c r="V2300" t="s">
        <v>4626</v>
      </c>
      <c r="Z2300">
        <v>3</v>
      </c>
      <c r="AA2300">
        <v>3</v>
      </c>
      <c r="AC2300">
        <v>448</v>
      </c>
      <c r="AD2300">
        <v>24</v>
      </c>
      <c r="AE2300">
        <v>1169</v>
      </c>
      <c r="AF2300">
        <v>27</v>
      </c>
      <c r="AJ2300" t="s">
        <v>4146</v>
      </c>
      <c r="AK2300" t="s">
        <v>4637</v>
      </c>
      <c r="AN2300">
        <v>78</v>
      </c>
      <c r="AO2300">
        <v>10.14454027019416</v>
      </c>
      <c r="AP2300">
        <v>68</v>
      </c>
      <c r="AQ2300">
        <v>12.281208038253238</v>
      </c>
      <c r="AW2300" s="28">
        <f t="shared" si="253"/>
        <v>-0.88781142279350456</v>
      </c>
      <c r="AX2300">
        <f t="shared" si="254"/>
        <v>0.8</v>
      </c>
      <c r="AY2300" s="62">
        <f t="shared" si="255"/>
        <v>-0.71024913823480373</v>
      </c>
      <c r="AZ2300" s="68" t="str">
        <f t="shared" si="256"/>
        <v>No</v>
      </c>
      <c r="BA2300" s="68" t="str">
        <f t="shared" si="257"/>
        <v>No</v>
      </c>
    </row>
    <row r="2301" spans="1:55" hidden="1">
      <c r="A2301" t="s">
        <v>3914</v>
      </c>
      <c r="G2301" t="s">
        <v>4404</v>
      </c>
      <c r="P2301" t="s">
        <v>4596</v>
      </c>
      <c r="R2301" t="s">
        <v>4357</v>
      </c>
      <c r="S2301" t="s">
        <v>950</v>
      </c>
      <c r="V2301" t="s">
        <v>4627</v>
      </c>
      <c r="Z2301">
        <v>3</v>
      </c>
      <c r="AA2301">
        <v>3</v>
      </c>
      <c r="AC2301">
        <v>448</v>
      </c>
      <c r="AD2301">
        <v>24</v>
      </c>
      <c r="AE2301">
        <v>1938</v>
      </c>
      <c r="AF2301">
        <v>27</v>
      </c>
      <c r="AJ2301" t="s">
        <v>4146</v>
      </c>
      <c r="AK2301" t="s">
        <v>4637</v>
      </c>
      <c r="AN2301">
        <v>78</v>
      </c>
      <c r="AO2301">
        <v>10.14454027019416</v>
      </c>
      <c r="AP2301">
        <v>74</v>
      </c>
      <c r="AQ2301">
        <v>13.048783540644202</v>
      </c>
      <c r="AW2301" s="28">
        <f t="shared" si="253"/>
        <v>-0.34225404686202332</v>
      </c>
      <c r="AX2301">
        <f t="shared" si="254"/>
        <v>0.8</v>
      </c>
      <c r="AY2301" s="62">
        <f t="shared" si="255"/>
        <v>-0.27380323748961866</v>
      </c>
      <c r="AZ2301" s="68" t="str">
        <f t="shared" si="256"/>
        <v>No</v>
      </c>
      <c r="BA2301" s="68" t="str">
        <f t="shared" si="257"/>
        <v>No</v>
      </c>
    </row>
    <row r="2302" spans="1:55" hidden="1">
      <c r="A2302" t="s">
        <v>3914</v>
      </c>
      <c r="G2302" s="50" t="s">
        <v>4404</v>
      </c>
      <c r="P2302" t="s">
        <v>60</v>
      </c>
      <c r="R2302" t="s">
        <v>4357</v>
      </c>
      <c r="S2302" s="50" t="s">
        <v>950</v>
      </c>
      <c r="V2302" t="s">
        <v>3956</v>
      </c>
      <c r="Z2302" s="50">
        <v>3</v>
      </c>
      <c r="AA2302" s="50">
        <v>3</v>
      </c>
      <c r="AC2302">
        <v>448</v>
      </c>
      <c r="AD2302">
        <v>24</v>
      </c>
      <c r="AE2302">
        <v>1142</v>
      </c>
      <c r="AF2302">
        <v>24</v>
      </c>
      <c r="AJ2302" s="50" t="s">
        <v>4446</v>
      </c>
      <c r="AK2302" t="s">
        <v>4244</v>
      </c>
      <c r="AN2302">
        <v>140</v>
      </c>
      <c r="AO2302">
        <v>13.856406460551018</v>
      </c>
      <c r="AP2302">
        <v>120</v>
      </c>
      <c r="AQ2302">
        <v>13.856406460551018</v>
      </c>
      <c r="AW2302" s="28">
        <f t="shared" si="253"/>
        <v>-1.4433756729740645</v>
      </c>
      <c r="AX2302">
        <f t="shared" si="254"/>
        <v>0.8</v>
      </c>
      <c r="AY2302" s="62">
        <f t="shared" si="255"/>
        <v>-1.1547005383792517</v>
      </c>
      <c r="AZ2302" s="68" t="str">
        <f t="shared" si="256"/>
        <v>No</v>
      </c>
      <c r="BA2302" s="68" t="str">
        <f t="shared" si="257"/>
        <v>No</v>
      </c>
    </row>
    <row r="2303" spans="1:55" hidden="1">
      <c r="A2303" t="s">
        <v>3914</v>
      </c>
      <c r="G2303" s="50" t="s">
        <v>4404</v>
      </c>
      <c r="P2303" t="s">
        <v>60</v>
      </c>
      <c r="R2303" t="s">
        <v>4357</v>
      </c>
      <c r="S2303" s="50" t="s">
        <v>950</v>
      </c>
      <c r="V2303" t="s">
        <v>3956</v>
      </c>
      <c r="Z2303">
        <v>3</v>
      </c>
      <c r="AA2303">
        <v>3</v>
      </c>
      <c r="AC2303">
        <v>448</v>
      </c>
      <c r="AD2303">
        <v>24</v>
      </c>
      <c r="AE2303">
        <v>1186</v>
      </c>
      <c r="AF2303">
        <v>24</v>
      </c>
      <c r="AJ2303" s="50" t="s">
        <v>4446</v>
      </c>
      <c r="AK2303" t="s">
        <v>4244</v>
      </c>
      <c r="AN2303">
        <v>140</v>
      </c>
      <c r="AO2303">
        <v>13.856406460551018</v>
      </c>
      <c r="AP2303">
        <v>110</v>
      </c>
      <c r="AQ2303">
        <v>13.856406460551018</v>
      </c>
      <c r="AW2303" s="28">
        <f t="shared" si="253"/>
        <v>-2.1650635094610968</v>
      </c>
      <c r="AX2303">
        <f t="shared" si="254"/>
        <v>0.8</v>
      </c>
      <c r="AY2303" s="62">
        <f t="shared" si="255"/>
        <v>-1.7320508075688776</v>
      </c>
      <c r="AZ2303" s="68" t="str">
        <f t="shared" si="256"/>
        <v>No</v>
      </c>
      <c r="BA2303" s="68" t="str">
        <f t="shared" si="257"/>
        <v>No</v>
      </c>
    </row>
    <row r="2304" spans="1:55" hidden="1">
      <c r="A2304" t="s">
        <v>3914</v>
      </c>
      <c r="G2304" t="s">
        <v>4404</v>
      </c>
      <c r="P2304" t="s">
        <v>4596</v>
      </c>
      <c r="R2304" t="s">
        <v>4357</v>
      </c>
      <c r="S2304" t="s">
        <v>950</v>
      </c>
      <c r="V2304" t="s">
        <v>4626</v>
      </c>
      <c r="Z2304">
        <v>3</v>
      </c>
      <c r="AA2304">
        <v>3</v>
      </c>
      <c r="AC2304">
        <v>448</v>
      </c>
      <c r="AD2304">
        <v>24</v>
      </c>
      <c r="AE2304">
        <v>1169</v>
      </c>
      <c r="AF2304">
        <v>27</v>
      </c>
      <c r="AJ2304" t="s">
        <v>4428</v>
      </c>
      <c r="AK2304" t="s">
        <v>4642</v>
      </c>
      <c r="AN2304">
        <v>380</v>
      </c>
      <c r="AO2304">
        <v>31.956656966215416</v>
      </c>
      <c r="AP2304">
        <v>360</v>
      </c>
      <c r="AQ2304">
        <v>15.315561803262586</v>
      </c>
      <c r="AW2304" s="28">
        <f t="shared" si="253"/>
        <v>-0.79815222702098299</v>
      </c>
      <c r="AX2304">
        <f t="shared" si="254"/>
        <v>0.8</v>
      </c>
      <c r="AY2304" s="62">
        <f t="shared" si="255"/>
        <v>-0.63852178161678641</v>
      </c>
      <c r="AZ2304" s="68" t="str">
        <f t="shared" si="256"/>
        <v>No</v>
      </c>
      <c r="BA2304" s="68" t="str">
        <f t="shared" si="257"/>
        <v>No</v>
      </c>
    </row>
    <row r="2305" spans="1:53" hidden="1">
      <c r="A2305" t="s">
        <v>3914</v>
      </c>
      <c r="G2305" t="s">
        <v>4404</v>
      </c>
      <c r="P2305" t="s">
        <v>4596</v>
      </c>
      <c r="R2305" t="s">
        <v>4357</v>
      </c>
      <c r="S2305" t="s">
        <v>950</v>
      </c>
      <c r="V2305" t="s">
        <v>4598</v>
      </c>
      <c r="Z2305">
        <v>3</v>
      </c>
      <c r="AA2305">
        <v>3</v>
      </c>
      <c r="AC2305">
        <v>448</v>
      </c>
      <c r="AD2305">
        <v>24</v>
      </c>
      <c r="AE2305">
        <v>455</v>
      </c>
      <c r="AF2305">
        <v>27</v>
      </c>
      <c r="AJ2305" t="s">
        <v>4658</v>
      </c>
      <c r="AK2305" t="s">
        <v>4637</v>
      </c>
      <c r="AN2305">
        <v>78</v>
      </c>
      <c r="AO2305">
        <v>10.14454027019416</v>
      </c>
      <c r="AP2305">
        <v>74</v>
      </c>
      <c r="AQ2305">
        <v>15.351510047816651</v>
      </c>
      <c r="AW2305" s="28">
        <f t="shared" si="253"/>
        <v>-0.30742839725811671</v>
      </c>
      <c r="AX2305">
        <f t="shared" si="254"/>
        <v>0.8</v>
      </c>
      <c r="AY2305" s="62">
        <f t="shared" si="255"/>
        <v>-0.24594271780649338</v>
      </c>
      <c r="AZ2305" s="68" t="str">
        <f t="shared" si="256"/>
        <v>No</v>
      </c>
      <c r="BA2305" s="68" t="str">
        <f t="shared" si="257"/>
        <v>No</v>
      </c>
    </row>
    <row r="2306" spans="1:53" hidden="1">
      <c r="A2306" t="s">
        <v>3914</v>
      </c>
      <c r="G2306" t="s">
        <v>4404</v>
      </c>
      <c r="P2306" t="s">
        <v>4596</v>
      </c>
      <c r="R2306" t="s">
        <v>4357</v>
      </c>
      <c r="S2306" t="s">
        <v>950</v>
      </c>
      <c r="V2306" t="s">
        <v>4627</v>
      </c>
      <c r="Z2306">
        <v>3</v>
      </c>
      <c r="AA2306">
        <v>3</v>
      </c>
      <c r="AC2306">
        <v>448</v>
      </c>
      <c r="AD2306">
        <v>24</v>
      </c>
      <c r="AE2306">
        <v>1938</v>
      </c>
      <c r="AF2306">
        <v>27</v>
      </c>
      <c r="AJ2306" t="s">
        <v>4428</v>
      </c>
      <c r="AK2306" t="s">
        <v>4642</v>
      </c>
      <c r="AN2306">
        <v>380</v>
      </c>
      <c r="AO2306">
        <v>31.956656966215416</v>
      </c>
      <c r="AP2306">
        <v>350</v>
      </c>
      <c r="AQ2306">
        <v>19.691436604194276</v>
      </c>
      <c r="AW2306" s="28">
        <f t="shared" si="253"/>
        <v>-1.1302740216450939</v>
      </c>
      <c r="AX2306">
        <f t="shared" si="254"/>
        <v>0.8</v>
      </c>
      <c r="AY2306" s="62">
        <f t="shared" si="255"/>
        <v>-0.90421921731607524</v>
      </c>
      <c r="AZ2306" s="68" t="str">
        <f t="shared" si="256"/>
        <v>No</v>
      </c>
      <c r="BA2306" s="68" t="str">
        <f t="shared" si="257"/>
        <v>No</v>
      </c>
    </row>
    <row r="2307" spans="1:53" hidden="1">
      <c r="A2307" t="s">
        <v>3914</v>
      </c>
      <c r="G2307" t="s">
        <v>5038</v>
      </c>
      <c r="P2307" t="s">
        <v>60</v>
      </c>
      <c r="R2307" t="s">
        <v>4357</v>
      </c>
      <c r="S2307" t="s">
        <v>950</v>
      </c>
      <c r="V2307" t="s">
        <v>3956</v>
      </c>
      <c r="Z2307">
        <v>3</v>
      </c>
      <c r="AA2307">
        <v>3</v>
      </c>
      <c r="AC2307">
        <v>448</v>
      </c>
      <c r="AD2307">
        <v>24</v>
      </c>
      <c r="AE2307">
        <v>1142</v>
      </c>
      <c r="AF2307">
        <v>24</v>
      </c>
      <c r="AJ2307" t="s">
        <v>4428</v>
      </c>
      <c r="AK2307" t="s">
        <v>4244</v>
      </c>
      <c r="AN2307">
        <v>385</v>
      </c>
      <c r="AO2307">
        <v>25.980762113533157</v>
      </c>
      <c r="AP2307">
        <v>330</v>
      </c>
      <c r="AQ2307">
        <v>24.248711305964282</v>
      </c>
      <c r="AW2307" s="28">
        <f t="shared" si="253"/>
        <v>-2.1886484656281819</v>
      </c>
      <c r="AX2307">
        <f t="shared" si="254"/>
        <v>0.8</v>
      </c>
      <c r="AY2307" s="62">
        <f t="shared" si="255"/>
        <v>-1.7509187725025457</v>
      </c>
      <c r="AZ2307" s="68" t="str">
        <f t="shared" si="256"/>
        <v>No</v>
      </c>
      <c r="BA2307" s="68" t="str">
        <f t="shared" si="257"/>
        <v>No</v>
      </c>
    </row>
    <row r="2308" spans="1:53" hidden="1">
      <c r="A2308" t="s">
        <v>3914</v>
      </c>
      <c r="G2308" t="s">
        <v>4404</v>
      </c>
      <c r="P2308" t="s">
        <v>60</v>
      </c>
      <c r="R2308" t="s">
        <v>4357</v>
      </c>
      <c r="S2308" t="s">
        <v>950</v>
      </c>
      <c r="V2308" t="s">
        <v>3956</v>
      </c>
      <c r="Z2308">
        <v>3</v>
      </c>
      <c r="AA2308">
        <v>3</v>
      </c>
      <c r="AC2308">
        <v>448</v>
      </c>
      <c r="AD2308">
        <v>24</v>
      </c>
      <c r="AE2308">
        <v>1886</v>
      </c>
      <c r="AF2308">
        <v>24</v>
      </c>
      <c r="AJ2308" t="s">
        <v>4428</v>
      </c>
      <c r="AK2308" t="s">
        <v>4244</v>
      </c>
      <c r="AN2308">
        <v>385</v>
      </c>
      <c r="AO2308">
        <v>25.980762113533157</v>
      </c>
      <c r="AP2308">
        <v>305</v>
      </c>
      <c r="AQ2308">
        <v>25.980762113533157</v>
      </c>
      <c r="AW2308" s="28">
        <f t="shared" si="253"/>
        <v>-3.0792014356780042</v>
      </c>
      <c r="AX2308">
        <f t="shared" si="254"/>
        <v>0.8</v>
      </c>
      <c r="AY2308" s="62">
        <f t="shared" si="255"/>
        <v>-2.4633611485424036</v>
      </c>
      <c r="AZ2308" s="68" t="str">
        <f t="shared" si="256"/>
        <v>No</v>
      </c>
      <c r="BA2308" s="68" t="str">
        <f t="shared" si="257"/>
        <v>No</v>
      </c>
    </row>
    <row r="2309" spans="1:53" hidden="1">
      <c r="A2309" t="s">
        <v>3914</v>
      </c>
      <c r="G2309" t="s">
        <v>4099</v>
      </c>
      <c r="P2309" t="s">
        <v>4596</v>
      </c>
      <c r="R2309" t="s">
        <v>4635</v>
      </c>
      <c r="S2309" t="s">
        <v>1761</v>
      </c>
      <c r="V2309" t="s">
        <v>4600</v>
      </c>
      <c r="Z2309">
        <v>6</v>
      </c>
      <c r="AA2309">
        <v>6</v>
      </c>
      <c r="AC2309">
        <v>350.1</v>
      </c>
      <c r="AD2309">
        <v>-1.6</v>
      </c>
      <c r="AE2309">
        <v>893</v>
      </c>
      <c r="AF2309">
        <v>0.4</v>
      </c>
      <c r="AJ2309" t="s">
        <v>4162</v>
      </c>
      <c r="AK2309" t="s">
        <v>4637</v>
      </c>
      <c r="AN2309">
        <v>61</v>
      </c>
      <c r="AO2309">
        <f>SQRT(6)*3</f>
        <v>7.3484692283495336</v>
      </c>
      <c r="AP2309">
        <v>60.5</v>
      </c>
      <c r="AQ2309">
        <f>SQRT(6)*0.5</f>
        <v>1.2247448713915889</v>
      </c>
      <c r="AW2309" s="28">
        <f t="shared" si="253"/>
        <v>-9.4915799575249898E-2</v>
      </c>
      <c r="AX2309">
        <f t="shared" si="254"/>
        <v>0.92307692307692313</v>
      </c>
      <c r="AY2309" s="62">
        <f t="shared" si="255"/>
        <v>-8.7614584223307604E-2</v>
      </c>
      <c r="AZ2309" s="68" t="str">
        <f t="shared" si="256"/>
        <v>No</v>
      </c>
      <c r="BA2309" s="68" t="str">
        <f t="shared" si="257"/>
        <v>No</v>
      </c>
    </row>
    <row r="2310" spans="1:53" hidden="1">
      <c r="A2310" t="s">
        <v>3914</v>
      </c>
      <c r="G2310" t="s">
        <v>4099</v>
      </c>
      <c r="P2310" t="s">
        <v>60</v>
      </c>
      <c r="R2310" t="s">
        <v>4116</v>
      </c>
      <c r="S2310" t="s">
        <v>1761</v>
      </c>
      <c r="V2310" t="s">
        <v>3956</v>
      </c>
      <c r="Z2310">
        <v>6</v>
      </c>
      <c r="AA2310">
        <v>6</v>
      </c>
      <c r="AC2310">
        <v>350.1</v>
      </c>
      <c r="AD2310">
        <v>-1.6</v>
      </c>
      <c r="AE2310">
        <v>823.3</v>
      </c>
      <c r="AF2310">
        <v>-1.6</v>
      </c>
      <c r="AJ2310" t="s">
        <v>2020</v>
      </c>
      <c r="AK2310" t="s">
        <v>4093</v>
      </c>
      <c r="AN2310">
        <v>84</v>
      </c>
      <c r="AO2310">
        <v>2.4494897427831779</v>
      </c>
      <c r="AP2310">
        <v>85</v>
      </c>
      <c r="AQ2310">
        <v>4.8989794855663558</v>
      </c>
      <c r="AW2310" s="28">
        <f t="shared" si="253"/>
        <v>0.25819888974716115</v>
      </c>
      <c r="AX2310">
        <f t="shared" si="254"/>
        <v>0.92307692307692313</v>
      </c>
      <c r="AY2310" s="62">
        <f t="shared" si="255"/>
        <v>0.23833743668968724</v>
      </c>
      <c r="AZ2310" s="68" t="str">
        <f t="shared" si="256"/>
        <v>No</v>
      </c>
      <c r="BA2310" s="68" t="str">
        <f t="shared" si="257"/>
        <v>No</v>
      </c>
    </row>
    <row r="2311" spans="1:53" hidden="1">
      <c r="A2311" t="s">
        <v>3914</v>
      </c>
      <c r="G2311" t="s">
        <v>4099</v>
      </c>
      <c r="P2311" t="s">
        <v>4596</v>
      </c>
      <c r="R2311" t="s">
        <v>4635</v>
      </c>
      <c r="S2311" t="s">
        <v>1761</v>
      </c>
      <c r="V2311" t="s">
        <v>4598</v>
      </c>
      <c r="Z2311">
        <v>6</v>
      </c>
      <c r="AA2311">
        <v>6</v>
      </c>
      <c r="AC2311">
        <v>350.1</v>
      </c>
      <c r="AD2311">
        <v>-1.6</v>
      </c>
      <c r="AE2311">
        <v>383.6</v>
      </c>
      <c r="AF2311">
        <v>0.4</v>
      </c>
      <c r="AJ2311" t="s">
        <v>4762</v>
      </c>
      <c r="AK2311" t="s">
        <v>4637</v>
      </c>
      <c r="AN2311">
        <v>86</v>
      </c>
      <c r="AO2311">
        <f>SQRT(6)*1</f>
        <v>2.4494897427831779</v>
      </c>
      <c r="AP2311">
        <v>81</v>
      </c>
      <c r="AQ2311">
        <f>SQRT(6)*2</f>
        <v>4.8989794855663558</v>
      </c>
      <c r="AW2311" s="28">
        <f t="shared" si="253"/>
        <v>-1.2909944487358058</v>
      </c>
      <c r="AX2311">
        <f t="shared" si="254"/>
        <v>0.92307692307692313</v>
      </c>
      <c r="AY2311" s="62">
        <f t="shared" si="255"/>
        <v>-1.1916871834484362</v>
      </c>
      <c r="AZ2311" s="68" t="str">
        <f t="shared" si="256"/>
        <v>No</v>
      </c>
      <c r="BA2311" s="68" t="str">
        <f t="shared" si="257"/>
        <v>No</v>
      </c>
    </row>
    <row r="2312" spans="1:53" hidden="1">
      <c r="A2312" t="s">
        <v>3914</v>
      </c>
      <c r="G2312" t="s">
        <v>4099</v>
      </c>
      <c r="P2312" t="s">
        <v>4596</v>
      </c>
      <c r="R2312" t="s">
        <v>4635</v>
      </c>
      <c r="S2312" t="s">
        <v>1761</v>
      </c>
      <c r="V2312" t="s">
        <v>4600</v>
      </c>
      <c r="Z2312">
        <v>6</v>
      </c>
      <c r="AA2312">
        <v>6</v>
      </c>
      <c r="AC2312">
        <v>350.1</v>
      </c>
      <c r="AD2312">
        <v>-1.6</v>
      </c>
      <c r="AE2312">
        <v>893</v>
      </c>
      <c r="AF2312">
        <v>0.4</v>
      </c>
      <c r="AJ2312" t="s">
        <v>4761</v>
      </c>
      <c r="AK2312" t="s">
        <v>4637</v>
      </c>
      <c r="AN2312">
        <v>86</v>
      </c>
      <c r="AO2312">
        <f>SQRT(6)*1</f>
        <v>2.4494897427831779</v>
      </c>
      <c r="AP2312">
        <v>90</v>
      </c>
      <c r="AQ2312">
        <f>SQRT(6)*2</f>
        <v>4.8989794855663558</v>
      </c>
      <c r="AW2312" s="28">
        <f t="shared" si="253"/>
        <v>1.0327955589886446</v>
      </c>
      <c r="AX2312">
        <f t="shared" si="254"/>
        <v>0.92307692307692313</v>
      </c>
      <c r="AY2312" s="62">
        <f t="shared" si="255"/>
        <v>0.95334974675874895</v>
      </c>
      <c r="AZ2312" s="68" t="str">
        <f t="shared" si="256"/>
        <v>No</v>
      </c>
      <c r="BA2312" s="68" t="str">
        <f t="shared" si="257"/>
        <v>No</v>
      </c>
    </row>
    <row r="2313" spans="1:53" hidden="1">
      <c r="A2313" t="s">
        <v>3914</v>
      </c>
      <c r="G2313" t="s">
        <v>4099</v>
      </c>
      <c r="P2313" t="s">
        <v>4596</v>
      </c>
      <c r="R2313" t="s">
        <v>4635</v>
      </c>
      <c r="S2313" t="s">
        <v>1761</v>
      </c>
      <c r="V2313" t="s">
        <v>4598</v>
      </c>
      <c r="Z2313">
        <v>6</v>
      </c>
      <c r="AA2313">
        <v>6</v>
      </c>
      <c r="AC2313">
        <v>350.1</v>
      </c>
      <c r="AD2313">
        <v>-1.6</v>
      </c>
      <c r="AE2313">
        <v>383.6</v>
      </c>
      <c r="AF2313">
        <v>0.4</v>
      </c>
      <c r="AJ2313" t="s">
        <v>4143</v>
      </c>
      <c r="AK2313" t="s">
        <v>4637</v>
      </c>
      <c r="AN2313">
        <v>12</v>
      </c>
      <c r="AO2313">
        <f>SQRT(6)*4</f>
        <v>9.7979589711327115</v>
      </c>
      <c r="AP2313">
        <v>92</v>
      </c>
      <c r="AQ2313">
        <f>SQRT(6)*2</f>
        <v>4.8989794855663558</v>
      </c>
      <c r="AW2313" s="28">
        <f t="shared" si="253"/>
        <v>10.327955589886447</v>
      </c>
      <c r="AX2313">
        <f t="shared" si="254"/>
        <v>0.92307692307692313</v>
      </c>
      <c r="AY2313" s="62">
        <f t="shared" si="255"/>
        <v>9.5334974675874893</v>
      </c>
      <c r="AZ2313" s="68" t="str">
        <f t="shared" si="256"/>
        <v>No</v>
      </c>
      <c r="BA2313" s="68" t="str">
        <f t="shared" si="257"/>
        <v>No</v>
      </c>
    </row>
    <row r="2314" spans="1:53" hidden="1">
      <c r="A2314" t="s">
        <v>3914</v>
      </c>
      <c r="G2314" t="s">
        <v>4099</v>
      </c>
      <c r="P2314" t="s">
        <v>4596</v>
      </c>
      <c r="R2314" t="s">
        <v>4635</v>
      </c>
      <c r="S2314" t="s">
        <v>1761</v>
      </c>
      <c r="V2314" t="s">
        <v>4598</v>
      </c>
      <c r="Z2314">
        <v>6</v>
      </c>
      <c r="AA2314">
        <v>6</v>
      </c>
      <c r="AC2314">
        <v>350.1</v>
      </c>
      <c r="AD2314">
        <v>-1.6</v>
      </c>
      <c r="AE2314">
        <v>383.6</v>
      </c>
      <c r="AF2314">
        <v>0.4</v>
      </c>
      <c r="AJ2314" t="s">
        <v>4162</v>
      </c>
      <c r="AK2314" t="s">
        <v>4637</v>
      </c>
      <c r="AN2314">
        <v>61</v>
      </c>
      <c r="AO2314">
        <f>SQRT(6)*3</f>
        <v>7.3484692283495336</v>
      </c>
      <c r="AP2314">
        <v>56</v>
      </c>
      <c r="AQ2314">
        <f>SQRT(6)*2</f>
        <v>4.8989794855663558</v>
      </c>
      <c r="AW2314" s="28">
        <f t="shared" si="253"/>
        <v>-0.80064076902543579</v>
      </c>
      <c r="AX2314">
        <f t="shared" si="254"/>
        <v>0.92307692307692313</v>
      </c>
      <c r="AY2314" s="62">
        <f t="shared" si="255"/>
        <v>-0.73905301756194075</v>
      </c>
      <c r="AZ2314" s="68" t="str">
        <f t="shared" si="256"/>
        <v>No</v>
      </c>
      <c r="BA2314" s="68" t="str">
        <f t="shared" si="257"/>
        <v>No</v>
      </c>
    </row>
    <row r="2315" spans="1:53" hidden="1">
      <c r="A2315" t="s">
        <v>3914</v>
      </c>
      <c r="G2315" t="s">
        <v>4099</v>
      </c>
      <c r="P2315" t="s">
        <v>4596</v>
      </c>
      <c r="R2315" t="s">
        <v>4635</v>
      </c>
      <c r="S2315" t="s">
        <v>1761</v>
      </c>
      <c r="V2315" t="s">
        <v>4598</v>
      </c>
      <c r="Z2315">
        <v>6</v>
      </c>
      <c r="AA2315">
        <v>6</v>
      </c>
      <c r="AC2315">
        <v>350.1</v>
      </c>
      <c r="AD2315">
        <v>-1.6</v>
      </c>
      <c r="AE2315">
        <v>383.6</v>
      </c>
      <c r="AF2315">
        <v>0.4</v>
      </c>
      <c r="AJ2315" t="s">
        <v>4760</v>
      </c>
      <c r="AK2315" t="s">
        <v>59</v>
      </c>
      <c r="AN2315">
        <v>84</v>
      </c>
      <c r="AO2315">
        <f>SQRT(6)*(1)</f>
        <v>2.4494897427831779</v>
      </c>
      <c r="AP2315">
        <v>81</v>
      </c>
      <c r="AQ2315">
        <f>SQRT(6)*(3)</f>
        <v>7.3484692283495336</v>
      </c>
      <c r="AW2315" s="28">
        <f t="shared" si="253"/>
        <v>-0.54772255750516619</v>
      </c>
      <c r="AX2315">
        <f t="shared" si="254"/>
        <v>0.92307692307692313</v>
      </c>
      <c r="AY2315" s="62">
        <f t="shared" si="255"/>
        <v>-0.50559005308169191</v>
      </c>
      <c r="AZ2315" s="68" t="str">
        <f t="shared" si="256"/>
        <v>No</v>
      </c>
      <c r="BA2315" s="68" t="str">
        <f t="shared" si="257"/>
        <v>No</v>
      </c>
    </row>
    <row r="2316" spans="1:53" hidden="1">
      <c r="A2316" t="s">
        <v>3914</v>
      </c>
      <c r="G2316" t="s">
        <v>4099</v>
      </c>
      <c r="P2316" t="s">
        <v>4596</v>
      </c>
      <c r="R2316" t="s">
        <v>4635</v>
      </c>
      <c r="S2316" t="s">
        <v>1761</v>
      </c>
      <c r="V2316" t="s">
        <v>4600</v>
      </c>
      <c r="Z2316">
        <v>6</v>
      </c>
      <c r="AA2316">
        <v>6</v>
      </c>
      <c r="AC2316">
        <v>350.1</v>
      </c>
      <c r="AD2316">
        <v>-1.6</v>
      </c>
      <c r="AE2316">
        <v>893</v>
      </c>
      <c r="AF2316">
        <v>0.4</v>
      </c>
      <c r="AJ2316" t="s">
        <v>2020</v>
      </c>
      <c r="AK2316" t="s">
        <v>59</v>
      </c>
      <c r="AN2316">
        <v>84</v>
      </c>
      <c r="AO2316">
        <f>SQRT(6)*(1)</f>
        <v>2.4494897427831779</v>
      </c>
      <c r="AP2316">
        <v>81</v>
      </c>
      <c r="AQ2316">
        <f>SQRT(6)*(3)</f>
        <v>7.3484692283495336</v>
      </c>
      <c r="AW2316" s="28">
        <f t="shared" si="253"/>
        <v>-0.54772255750516619</v>
      </c>
      <c r="AX2316">
        <f t="shared" si="254"/>
        <v>0.92307692307692313</v>
      </c>
      <c r="AY2316" s="62">
        <f t="shared" si="255"/>
        <v>-0.50559005308169191</v>
      </c>
      <c r="AZ2316" s="68" t="str">
        <f t="shared" si="256"/>
        <v>No</v>
      </c>
      <c r="BA2316" s="68" t="str">
        <f t="shared" si="257"/>
        <v>No</v>
      </c>
    </row>
    <row r="2317" spans="1:53" hidden="1">
      <c r="A2317" t="s">
        <v>3914</v>
      </c>
      <c r="G2317" t="s">
        <v>4099</v>
      </c>
      <c r="P2317" t="s">
        <v>60</v>
      </c>
      <c r="R2317" t="s">
        <v>4116</v>
      </c>
      <c r="S2317" t="s">
        <v>1761</v>
      </c>
      <c r="V2317" t="s">
        <v>3956</v>
      </c>
      <c r="Z2317" s="51" t="s">
        <v>4150</v>
      </c>
      <c r="AA2317" s="51" t="s">
        <v>4150</v>
      </c>
      <c r="AC2317">
        <v>350.1</v>
      </c>
      <c r="AD2317">
        <v>-1.6</v>
      </c>
      <c r="AE2317">
        <v>823.3</v>
      </c>
      <c r="AF2317">
        <v>-1.6</v>
      </c>
      <c r="AJ2317" t="s">
        <v>4143</v>
      </c>
      <c r="AK2317" t="s">
        <v>4151</v>
      </c>
      <c r="AN2317">
        <v>13</v>
      </c>
      <c r="AO2317">
        <v>7.3484692283495336</v>
      </c>
      <c r="AP2317">
        <v>26</v>
      </c>
      <c r="AQ2317">
        <v>9.7979589711327115</v>
      </c>
      <c r="AW2317" s="28">
        <f t="shared" si="253"/>
        <v>1.5011106998930273</v>
      </c>
      <c r="AX2317">
        <f t="shared" si="254"/>
        <v>0.92307692307692313</v>
      </c>
      <c r="AY2317" s="62">
        <f t="shared" si="255"/>
        <v>1.3856406460551021</v>
      </c>
      <c r="AZ2317" s="68" t="str">
        <f t="shared" si="256"/>
        <v>No</v>
      </c>
      <c r="BA2317" s="68" t="str">
        <f t="shared" si="257"/>
        <v>No</v>
      </c>
    </row>
    <row r="2318" spans="1:53" ht="15" hidden="1">
      <c r="A2318" t="s">
        <v>3914</v>
      </c>
      <c r="G2318" t="s">
        <v>4099</v>
      </c>
      <c r="P2318" t="s">
        <v>4596</v>
      </c>
      <c r="R2318" t="s">
        <v>4635</v>
      </c>
      <c r="S2318" t="s">
        <v>1761</v>
      </c>
      <c r="V2318" t="s">
        <v>4600</v>
      </c>
      <c r="Z2318">
        <v>6</v>
      </c>
      <c r="AA2318">
        <v>6</v>
      </c>
      <c r="AC2318">
        <v>350.1</v>
      </c>
      <c r="AD2318">
        <v>-1.6</v>
      </c>
      <c r="AE2318">
        <v>893</v>
      </c>
      <c r="AF2318">
        <v>0.4</v>
      </c>
      <c r="AJ2318" t="s">
        <v>4143</v>
      </c>
      <c r="AK2318" t="s">
        <v>4637</v>
      </c>
      <c r="AN2318">
        <v>12</v>
      </c>
      <c r="AO2318">
        <f>SQRT(6)*4</f>
        <v>9.7979589711327115</v>
      </c>
      <c r="AP2318">
        <v>90</v>
      </c>
      <c r="AQ2318" s="56">
        <f>SQRT(6)*4</f>
        <v>9.7979589711327115</v>
      </c>
      <c r="AW2318" s="28">
        <f t="shared" ref="AW2318:AW2381" si="258">(AP2318-$AN2318)/SQRT(((AA2318-1)*AQ2318*AQ2318+($Z2318-1)*$AO2318*$AO2318)/(AA2318+$Z2318-2))</f>
        <v>7.9608416640453292</v>
      </c>
      <c r="AX2318">
        <f t="shared" ref="AX2318:AX2381" si="259">1-(3/(4*(AA2318+$Z2318-2)-1))</f>
        <v>0.92307692307692313</v>
      </c>
      <c r="AY2318" s="62">
        <f t="shared" ref="AY2318:AY2381" si="260">AX2318*AW2318</f>
        <v>7.3484692283495354</v>
      </c>
      <c r="AZ2318" s="68" t="str">
        <f t="shared" ref="AZ2318:AZ2381" si="261">IF(AY2318&gt;10,"Yes","No")</f>
        <v>No</v>
      </c>
      <c r="BA2318" s="68" t="str">
        <f t="shared" ref="BA2318:BA2381" si="262">IF(AY2318&lt;-10,"Yes","No")</f>
        <v>No</v>
      </c>
    </row>
    <row r="2319" spans="1:53" hidden="1">
      <c r="A2319" t="s">
        <v>3914</v>
      </c>
      <c r="G2319" t="s">
        <v>4099</v>
      </c>
      <c r="P2319" t="s">
        <v>60</v>
      </c>
      <c r="R2319" t="s">
        <v>4116</v>
      </c>
      <c r="S2319" t="s">
        <v>1761</v>
      </c>
      <c r="V2319" t="s">
        <v>3956</v>
      </c>
      <c r="Z2319">
        <v>6</v>
      </c>
      <c r="AA2319">
        <v>6</v>
      </c>
      <c r="AC2319">
        <v>350.1</v>
      </c>
      <c r="AD2319">
        <v>-1.6</v>
      </c>
      <c r="AE2319">
        <v>823.3</v>
      </c>
      <c r="AF2319">
        <v>-1.6</v>
      </c>
      <c r="AJ2319" t="s">
        <v>4162</v>
      </c>
      <c r="AK2319" t="s">
        <v>4151</v>
      </c>
      <c r="AN2319">
        <v>61.5</v>
      </c>
      <c r="AO2319">
        <v>6.1237243569579451</v>
      </c>
      <c r="AP2319">
        <v>64</v>
      </c>
      <c r="AQ2319">
        <v>12.24744871391589</v>
      </c>
      <c r="AW2319" s="28">
        <f t="shared" si="258"/>
        <v>0.25819888974716115</v>
      </c>
      <c r="AX2319">
        <f t="shared" si="259"/>
        <v>0.92307692307692313</v>
      </c>
      <c r="AY2319" s="62">
        <f t="shared" si="260"/>
        <v>0.23833743668968724</v>
      </c>
      <c r="AZ2319" s="68" t="str">
        <f t="shared" si="261"/>
        <v>No</v>
      </c>
      <c r="BA2319" s="68" t="str">
        <f t="shared" si="262"/>
        <v>No</v>
      </c>
    </row>
    <row r="2320" spans="1:53" hidden="1">
      <c r="A2320" t="s">
        <v>3914</v>
      </c>
      <c r="G2320" t="s">
        <v>4817</v>
      </c>
      <c r="P2320" t="s">
        <v>4596</v>
      </c>
      <c r="R2320" t="s">
        <v>4635</v>
      </c>
      <c r="S2320" t="s">
        <v>1761</v>
      </c>
      <c r="V2320" t="s">
        <v>4626</v>
      </c>
      <c r="Z2320">
        <v>3</v>
      </c>
      <c r="AA2320">
        <v>3</v>
      </c>
      <c r="AC2320">
        <v>458.4</v>
      </c>
      <c r="AD2320">
        <v>-1.6</v>
      </c>
      <c r="AE2320">
        <v>703.6</v>
      </c>
      <c r="AF2320">
        <v>-0.5</v>
      </c>
      <c r="AJ2320" t="s">
        <v>4236</v>
      </c>
      <c r="AK2320" t="s">
        <v>4642</v>
      </c>
      <c r="AN2320">
        <v>9.25</v>
      </c>
      <c r="AO2320">
        <f>0.05*SQRT(3)</f>
        <v>8.6602540378443865E-2</v>
      </c>
      <c r="AP2320">
        <v>9.3000000000000007</v>
      </c>
      <c r="AQ2320">
        <v>8.6602540378443865E-2</v>
      </c>
      <c r="AU2320" t="s">
        <v>4822</v>
      </c>
      <c r="AW2320" s="28">
        <f t="shared" si="258"/>
        <v>0.57735026918963395</v>
      </c>
      <c r="AX2320">
        <f t="shared" si="259"/>
        <v>0.8</v>
      </c>
      <c r="AY2320" s="62">
        <f t="shared" si="260"/>
        <v>0.4618802153517072</v>
      </c>
      <c r="AZ2320" s="68" t="str">
        <f t="shared" si="261"/>
        <v>No</v>
      </c>
      <c r="BA2320" s="68" t="str">
        <f t="shared" si="262"/>
        <v>No</v>
      </c>
    </row>
    <row r="2321" spans="1:53" hidden="1">
      <c r="A2321" t="s">
        <v>3914</v>
      </c>
      <c r="G2321" t="s">
        <v>4817</v>
      </c>
      <c r="P2321" t="s">
        <v>4596</v>
      </c>
      <c r="R2321" t="s">
        <v>4635</v>
      </c>
      <c r="S2321" t="s">
        <v>1761</v>
      </c>
      <c r="V2321" t="s">
        <v>4628</v>
      </c>
      <c r="Z2321">
        <v>3</v>
      </c>
      <c r="AA2321">
        <v>3</v>
      </c>
      <c r="AC2321">
        <v>458.4</v>
      </c>
      <c r="AD2321">
        <v>-1.6</v>
      </c>
      <c r="AE2321">
        <v>460.4</v>
      </c>
      <c r="AF2321">
        <v>0.4</v>
      </c>
      <c r="AJ2321" t="s">
        <v>4236</v>
      </c>
      <c r="AK2321" t="s">
        <v>4642</v>
      </c>
      <c r="AN2321">
        <v>9.25</v>
      </c>
      <c r="AO2321">
        <f>0.05*SQRT(3)</f>
        <v>8.6602540378443865E-2</v>
      </c>
      <c r="AP2321">
        <v>10.3</v>
      </c>
      <c r="AQ2321">
        <f>0.2*SQRT(3)</f>
        <v>0.34641016151377546</v>
      </c>
      <c r="AU2321" t="s">
        <v>4822</v>
      </c>
      <c r="AW2321" s="28">
        <f t="shared" si="258"/>
        <v>4.158619680502035</v>
      </c>
      <c r="AX2321">
        <f t="shared" si="259"/>
        <v>0.8</v>
      </c>
      <c r="AY2321" s="62">
        <f t="shared" si="260"/>
        <v>3.3268957444016283</v>
      </c>
      <c r="AZ2321" s="68" t="str">
        <f t="shared" si="261"/>
        <v>No</v>
      </c>
      <c r="BA2321" s="68" t="str">
        <f t="shared" si="262"/>
        <v>No</v>
      </c>
    </row>
    <row r="2322" spans="1:53" hidden="1">
      <c r="A2322" t="s">
        <v>3914</v>
      </c>
      <c r="G2322" t="s">
        <v>4817</v>
      </c>
      <c r="P2322" t="s">
        <v>4596</v>
      </c>
      <c r="R2322" t="s">
        <v>4635</v>
      </c>
      <c r="S2322" t="s">
        <v>1761</v>
      </c>
      <c r="V2322" t="s">
        <v>4625</v>
      </c>
      <c r="Z2322">
        <v>3</v>
      </c>
      <c r="AA2322">
        <v>3</v>
      </c>
      <c r="AC2322">
        <v>458.4</v>
      </c>
      <c r="AD2322">
        <v>-1.6</v>
      </c>
      <c r="AE2322">
        <v>460.4</v>
      </c>
      <c r="AF2322">
        <v>-0.5</v>
      </c>
      <c r="AJ2322" t="s">
        <v>4819</v>
      </c>
      <c r="AK2322" t="s">
        <v>4642</v>
      </c>
      <c r="AN2322">
        <v>190.5</v>
      </c>
      <c r="AO2322">
        <f>1*SQRT(3)</f>
        <v>1.7320508075688772</v>
      </c>
      <c r="AP2322">
        <v>190.5</v>
      </c>
      <c r="AQ2322">
        <f>0.3*SQRT(3)</f>
        <v>0.51961524227066314</v>
      </c>
      <c r="AU2322" t="s">
        <v>4822</v>
      </c>
      <c r="AW2322" s="28">
        <f t="shared" si="258"/>
        <v>0</v>
      </c>
      <c r="AX2322">
        <f t="shared" si="259"/>
        <v>0.8</v>
      </c>
      <c r="AY2322" s="62">
        <f t="shared" si="260"/>
        <v>0</v>
      </c>
      <c r="AZ2322" s="68" t="str">
        <f t="shared" si="261"/>
        <v>No</v>
      </c>
      <c r="BA2322" s="68" t="str">
        <f t="shared" si="262"/>
        <v>No</v>
      </c>
    </row>
    <row r="2323" spans="1:53" hidden="1">
      <c r="A2323" t="s">
        <v>3914</v>
      </c>
      <c r="G2323" t="s">
        <v>4817</v>
      </c>
      <c r="P2323" t="s">
        <v>4596</v>
      </c>
      <c r="R2323" t="s">
        <v>4635</v>
      </c>
      <c r="S2323" t="s">
        <v>1761</v>
      </c>
      <c r="V2323" t="s">
        <v>4625</v>
      </c>
      <c r="Z2323">
        <v>3</v>
      </c>
      <c r="AA2323">
        <v>3</v>
      </c>
      <c r="AC2323">
        <v>458.4</v>
      </c>
      <c r="AD2323">
        <v>-1.6</v>
      </c>
      <c r="AE2323">
        <v>460.4</v>
      </c>
      <c r="AF2323">
        <v>-0.5</v>
      </c>
      <c r="AJ2323" t="s">
        <v>4236</v>
      </c>
      <c r="AK2323" t="s">
        <v>4642</v>
      </c>
      <c r="AN2323">
        <v>9.25</v>
      </c>
      <c r="AO2323">
        <f>0.05*SQRT(3)</f>
        <v>8.6602540378443865E-2</v>
      </c>
      <c r="AP2323">
        <v>10.1</v>
      </c>
      <c r="AQ2323">
        <f>0.3*SQRT(3)</f>
        <v>0.51961524227066314</v>
      </c>
      <c r="AU2323" t="s">
        <v>4822</v>
      </c>
      <c r="AW2323" s="28">
        <f t="shared" si="258"/>
        <v>2.2819305877276816</v>
      </c>
      <c r="AX2323">
        <f t="shared" si="259"/>
        <v>0.8</v>
      </c>
      <c r="AY2323" s="62">
        <f t="shared" si="260"/>
        <v>1.8255444701821455</v>
      </c>
      <c r="AZ2323" s="68" t="str">
        <f t="shared" si="261"/>
        <v>No</v>
      </c>
      <c r="BA2323" s="68" t="str">
        <f t="shared" si="262"/>
        <v>No</v>
      </c>
    </row>
    <row r="2324" spans="1:53" hidden="1">
      <c r="A2324" t="s">
        <v>3914</v>
      </c>
      <c r="G2324" t="s">
        <v>4817</v>
      </c>
      <c r="P2324" t="s">
        <v>4596</v>
      </c>
      <c r="R2324" t="s">
        <v>4635</v>
      </c>
      <c r="S2324" t="s">
        <v>1761</v>
      </c>
      <c r="V2324" t="s">
        <v>4627</v>
      </c>
      <c r="Z2324">
        <v>3</v>
      </c>
      <c r="AA2324">
        <v>3</v>
      </c>
      <c r="AC2324">
        <v>458.4</v>
      </c>
      <c r="AD2324">
        <v>-1.6</v>
      </c>
      <c r="AE2324">
        <v>1020.7</v>
      </c>
      <c r="AF2324">
        <v>-0.5</v>
      </c>
      <c r="AJ2324" t="s">
        <v>4236</v>
      </c>
      <c r="AK2324" t="s">
        <v>4642</v>
      </c>
      <c r="AN2324">
        <v>9.25</v>
      </c>
      <c r="AO2324">
        <f>0.05*SQRT(3)</f>
        <v>8.6602540378443865E-2</v>
      </c>
      <c r="AP2324">
        <v>10.8</v>
      </c>
      <c r="AQ2324">
        <f>0.35*SQRT(3)</f>
        <v>0.60621778264910697</v>
      </c>
      <c r="AU2324" t="s">
        <v>4822</v>
      </c>
      <c r="AW2324" s="28">
        <f t="shared" si="258"/>
        <v>3.579571668975682</v>
      </c>
      <c r="AX2324">
        <f t="shared" si="259"/>
        <v>0.8</v>
      </c>
      <c r="AY2324" s="62">
        <f t="shared" si="260"/>
        <v>2.8636573351805459</v>
      </c>
      <c r="AZ2324" s="68" t="str">
        <f t="shared" si="261"/>
        <v>No</v>
      </c>
      <c r="BA2324" s="68" t="str">
        <f t="shared" si="262"/>
        <v>No</v>
      </c>
    </row>
    <row r="2325" spans="1:53" hidden="1">
      <c r="A2325" t="s">
        <v>3914</v>
      </c>
      <c r="G2325" t="s">
        <v>4817</v>
      </c>
      <c r="P2325" t="s">
        <v>4596</v>
      </c>
      <c r="R2325" t="s">
        <v>4635</v>
      </c>
      <c r="S2325" t="s">
        <v>1761</v>
      </c>
      <c r="V2325" t="s">
        <v>4627</v>
      </c>
      <c r="Z2325">
        <v>3</v>
      </c>
      <c r="AA2325">
        <v>3</v>
      </c>
      <c r="AC2325">
        <v>458.4</v>
      </c>
      <c r="AD2325">
        <v>-1.6</v>
      </c>
      <c r="AE2325">
        <v>1020.7</v>
      </c>
      <c r="AF2325">
        <v>0.4</v>
      </c>
      <c r="AJ2325" t="s">
        <v>1805</v>
      </c>
      <c r="AK2325" t="s">
        <v>4681</v>
      </c>
      <c r="AN2325">
        <v>3.6</v>
      </c>
      <c r="AO2325">
        <f>0.2*SQRT(3)</f>
        <v>0.34641016151377546</v>
      </c>
      <c r="AP2325">
        <v>7.7</v>
      </c>
      <c r="AQ2325">
        <f>0.5*SQRT(3)</f>
        <v>0.8660254037844386</v>
      </c>
      <c r="AU2325" t="s">
        <v>4822</v>
      </c>
      <c r="AW2325" s="28">
        <f t="shared" si="258"/>
        <v>6.2164039573470076</v>
      </c>
      <c r="AX2325">
        <f t="shared" si="259"/>
        <v>0.8</v>
      </c>
      <c r="AY2325" s="62">
        <f t="shared" si="260"/>
        <v>4.9731231658776061</v>
      </c>
      <c r="AZ2325" s="68" t="str">
        <f t="shared" si="261"/>
        <v>No</v>
      </c>
      <c r="BA2325" s="68" t="str">
        <f t="shared" si="262"/>
        <v>No</v>
      </c>
    </row>
    <row r="2326" spans="1:53" hidden="1">
      <c r="A2326" t="s">
        <v>3914</v>
      </c>
      <c r="G2326" t="s">
        <v>4817</v>
      </c>
      <c r="P2326" t="s">
        <v>4596</v>
      </c>
      <c r="R2326" t="s">
        <v>4635</v>
      </c>
      <c r="S2326" t="s">
        <v>1761</v>
      </c>
      <c r="V2326" t="s">
        <v>4627</v>
      </c>
      <c r="Z2326">
        <v>3</v>
      </c>
      <c r="AA2326">
        <v>3</v>
      </c>
      <c r="AC2326">
        <v>458.4</v>
      </c>
      <c r="AD2326">
        <v>-1.6</v>
      </c>
      <c r="AE2326">
        <v>1020.7</v>
      </c>
      <c r="AF2326">
        <v>0.4</v>
      </c>
      <c r="AJ2326" t="s">
        <v>4236</v>
      </c>
      <c r="AK2326" t="s">
        <v>4642</v>
      </c>
      <c r="AN2326">
        <v>9.25</v>
      </c>
      <c r="AO2326">
        <f>0.05*SQRT(3)</f>
        <v>8.6602540378443865E-2</v>
      </c>
      <c r="AP2326">
        <v>11.55</v>
      </c>
      <c r="AQ2326">
        <f>0.65*SQRT(3)</f>
        <v>1.1258330249197701</v>
      </c>
      <c r="AU2326" t="s">
        <v>4822</v>
      </c>
      <c r="AW2326" s="28">
        <f t="shared" si="258"/>
        <v>2.8806317389916889</v>
      </c>
      <c r="AX2326">
        <f t="shared" si="259"/>
        <v>0.8</v>
      </c>
      <c r="AY2326" s="62">
        <f t="shared" si="260"/>
        <v>2.3045053911933513</v>
      </c>
      <c r="AZ2326" s="68" t="str">
        <f t="shared" si="261"/>
        <v>No</v>
      </c>
      <c r="BA2326" s="68" t="str">
        <f t="shared" si="262"/>
        <v>No</v>
      </c>
    </row>
    <row r="2327" spans="1:53" hidden="1">
      <c r="A2327" t="s">
        <v>3914</v>
      </c>
      <c r="G2327" t="s">
        <v>4817</v>
      </c>
      <c r="P2327" t="s">
        <v>4596</v>
      </c>
      <c r="R2327" t="s">
        <v>4635</v>
      </c>
      <c r="S2327" t="s">
        <v>1761</v>
      </c>
      <c r="V2327" t="s">
        <v>4626</v>
      </c>
      <c r="Z2327">
        <v>3</v>
      </c>
      <c r="AA2327">
        <v>3</v>
      </c>
      <c r="AC2327">
        <v>458.4</v>
      </c>
      <c r="AD2327">
        <v>-1.6</v>
      </c>
      <c r="AE2327">
        <v>703.6</v>
      </c>
      <c r="AF2327">
        <v>-0.5</v>
      </c>
      <c r="AJ2327" t="s">
        <v>4819</v>
      </c>
      <c r="AK2327" t="s">
        <v>4642</v>
      </c>
      <c r="AN2327">
        <v>190.5</v>
      </c>
      <c r="AO2327">
        <f>1*SQRT(3)</f>
        <v>1.7320508075688772</v>
      </c>
      <c r="AP2327">
        <v>190.2</v>
      </c>
      <c r="AQ2327">
        <f>0.7*SQRT(3)</f>
        <v>1.2124355652982139</v>
      </c>
      <c r="AU2327" t="s">
        <v>4822</v>
      </c>
      <c r="AW2327" s="28">
        <f t="shared" si="258"/>
        <v>-0.20067001862720296</v>
      </c>
      <c r="AX2327">
        <f t="shared" si="259"/>
        <v>0.8</v>
      </c>
      <c r="AY2327" s="62">
        <f t="shared" si="260"/>
        <v>-0.16053601490176239</v>
      </c>
      <c r="AZ2327" s="68" t="str">
        <f t="shared" si="261"/>
        <v>No</v>
      </c>
      <c r="BA2327" s="68" t="str">
        <f t="shared" si="262"/>
        <v>No</v>
      </c>
    </row>
    <row r="2328" spans="1:53" hidden="1">
      <c r="A2328" t="s">
        <v>3914</v>
      </c>
      <c r="G2328" t="s">
        <v>4817</v>
      </c>
      <c r="P2328" t="s">
        <v>4596</v>
      </c>
      <c r="R2328" t="s">
        <v>4635</v>
      </c>
      <c r="S2328" t="s">
        <v>1761</v>
      </c>
      <c r="V2328" t="s">
        <v>4625</v>
      </c>
      <c r="Z2328">
        <v>3</v>
      </c>
      <c r="AA2328">
        <v>3</v>
      </c>
      <c r="AC2328">
        <v>458.4</v>
      </c>
      <c r="AD2328">
        <v>-1.6</v>
      </c>
      <c r="AE2328">
        <v>460.4</v>
      </c>
      <c r="AF2328">
        <v>-0.5</v>
      </c>
      <c r="AJ2328" t="s">
        <v>4821</v>
      </c>
      <c r="AK2328" t="s">
        <v>4681</v>
      </c>
      <c r="AN2328">
        <v>3.6</v>
      </c>
      <c r="AO2328">
        <f>0.2*SQRT(3)</f>
        <v>0.34641016151377546</v>
      </c>
      <c r="AP2328">
        <v>3.4</v>
      </c>
      <c r="AQ2328">
        <f>0.8*SQRT(3)</f>
        <v>1.3856406460551018</v>
      </c>
      <c r="AU2328" t="s">
        <v>4822</v>
      </c>
      <c r="AW2328" s="28">
        <f t="shared" si="258"/>
        <v>-0.19802950859533502</v>
      </c>
      <c r="AX2328">
        <f t="shared" si="259"/>
        <v>0.8</v>
      </c>
      <c r="AY2328" s="62">
        <f t="shared" si="260"/>
        <v>-0.15842360687626802</v>
      </c>
      <c r="AZ2328" s="68" t="str">
        <f t="shared" si="261"/>
        <v>No</v>
      </c>
      <c r="BA2328" s="68" t="str">
        <f t="shared" si="262"/>
        <v>No</v>
      </c>
    </row>
    <row r="2329" spans="1:53" hidden="1">
      <c r="A2329" t="s">
        <v>3914</v>
      </c>
      <c r="G2329" t="s">
        <v>4817</v>
      </c>
      <c r="P2329" t="s">
        <v>4596</v>
      </c>
      <c r="R2329" t="s">
        <v>4635</v>
      </c>
      <c r="S2329" t="s">
        <v>1761</v>
      </c>
      <c r="V2329" t="s">
        <v>4627</v>
      </c>
      <c r="Z2329">
        <v>3</v>
      </c>
      <c r="AA2329">
        <v>3</v>
      </c>
      <c r="AC2329">
        <v>458.4</v>
      </c>
      <c r="AD2329">
        <v>-1.6</v>
      </c>
      <c r="AE2329">
        <v>1020.7</v>
      </c>
      <c r="AF2329">
        <v>-0.5</v>
      </c>
      <c r="AJ2329" t="s">
        <v>1805</v>
      </c>
      <c r="AK2329" t="s">
        <v>4681</v>
      </c>
      <c r="AN2329">
        <v>3.6</v>
      </c>
      <c r="AO2329">
        <f>0.2*SQRT(3)</f>
        <v>0.34641016151377546</v>
      </c>
      <c r="AP2329">
        <v>9.5</v>
      </c>
      <c r="AQ2329">
        <f>0.9*SQRT(3)</f>
        <v>1.5588457268119895</v>
      </c>
      <c r="AU2329" t="s">
        <v>4822</v>
      </c>
      <c r="AW2329" s="28">
        <f t="shared" si="258"/>
        <v>5.2251278246865631</v>
      </c>
      <c r="AX2329">
        <f t="shared" si="259"/>
        <v>0.8</v>
      </c>
      <c r="AY2329" s="62">
        <f t="shared" si="260"/>
        <v>4.1801022597492503</v>
      </c>
      <c r="AZ2329" s="68" t="str">
        <f t="shared" si="261"/>
        <v>No</v>
      </c>
      <c r="BA2329" s="68" t="str">
        <f t="shared" si="262"/>
        <v>No</v>
      </c>
    </row>
    <row r="2330" spans="1:53" hidden="1">
      <c r="A2330" t="s">
        <v>3914</v>
      </c>
      <c r="G2330" t="s">
        <v>4817</v>
      </c>
      <c r="P2330" t="s">
        <v>4596</v>
      </c>
      <c r="R2330" t="s">
        <v>4635</v>
      </c>
      <c r="S2330" t="s">
        <v>1761</v>
      </c>
      <c r="V2330" t="s">
        <v>4625</v>
      </c>
      <c r="Z2330">
        <v>3</v>
      </c>
      <c r="AA2330">
        <v>3</v>
      </c>
      <c r="AC2330">
        <v>458.4</v>
      </c>
      <c r="AD2330">
        <v>-1.6</v>
      </c>
      <c r="AE2330">
        <v>460.4</v>
      </c>
      <c r="AF2330">
        <v>-0.5</v>
      </c>
      <c r="AJ2330" t="s">
        <v>4818</v>
      </c>
      <c r="AK2330" t="s">
        <v>4637</v>
      </c>
      <c r="AN2330">
        <v>29</v>
      </c>
      <c r="AO2330">
        <f>5*SQRT(3)</f>
        <v>8.6602540378443855</v>
      </c>
      <c r="AP2330">
        <v>22</v>
      </c>
      <c r="AQ2330">
        <f>1*SQRT(3)</f>
        <v>1.7320508075688772</v>
      </c>
      <c r="AU2330" t="s">
        <v>4822</v>
      </c>
      <c r="AW2330" s="28">
        <f t="shared" si="258"/>
        <v>-1.1208970766356101</v>
      </c>
      <c r="AX2330">
        <f t="shared" si="259"/>
        <v>0.8</v>
      </c>
      <c r="AY2330" s="62">
        <f t="shared" si="260"/>
        <v>-0.89671766130848818</v>
      </c>
      <c r="AZ2330" s="68" t="str">
        <f t="shared" si="261"/>
        <v>No</v>
      </c>
      <c r="BA2330" s="68" t="str">
        <f t="shared" si="262"/>
        <v>No</v>
      </c>
    </row>
    <row r="2331" spans="1:53" hidden="1">
      <c r="A2331" t="s">
        <v>3914</v>
      </c>
      <c r="G2331" t="s">
        <v>4817</v>
      </c>
      <c r="P2331" t="s">
        <v>4596</v>
      </c>
      <c r="R2331" t="s">
        <v>4635</v>
      </c>
      <c r="S2331" t="s">
        <v>1761</v>
      </c>
      <c r="V2331" t="s">
        <v>4626</v>
      </c>
      <c r="Z2331">
        <v>3</v>
      </c>
      <c r="AA2331">
        <v>3</v>
      </c>
      <c r="AC2331">
        <v>458.4</v>
      </c>
      <c r="AD2331">
        <v>-1.6</v>
      </c>
      <c r="AE2331">
        <v>703.6</v>
      </c>
      <c r="AF2331">
        <v>-0.5</v>
      </c>
      <c r="AJ2331" t="s">
        <v>1805</v>
      </c>
      <c r="AK2331" t="s">
        <v>4681</v>
      </c>
      <c r="AN2331">
        <v>3.6</v>
      </c>
      <c r="AO2331">
        <f>0.2*SQRT(3)</f>
        <v>0.34641016151377546</v>
      </c>
      <c r="AP2331">
        <v>5</v>
      </c>
      <c r="AQ2331">
        <f>1*SQRT(3)</f>
        <v>1.7320508075688772</v>
      </c>
      <c r="AU2331" t="s">
        <v>4822</v>
      </c>
      <c r="AW2331" s="28">
        <f t="shared" si="258"/>
        <v>1.1208970766356099</v>
      </c>
      <c r="AX2331">
        <f t="shared" si="259"/>
        <v>0.8</v>
      </c>
      <c r="AY2331" s="62">
        <f t="shared" si="260"/>
        <v>0.89671766130848796</v>
      </c>
      <c r="AZ2331" s="68" t="str">
        <f t="shared" si="261"/>
        <v>No</v>
      </c>
      <c r="BA2331" s="68" t="str">
        <f t="shared" si="262"/>
        <v>No</v>
      </c>
    </row>
    <row r="2332" spans="1:53" hidden="1">
      <c r="A2332" t="s">
        <v>3914</v>
      </c>
      <c r="G2332" t="s">
        <v>4817</v>
      </c>
      <c r="P2332" t="s">
        <v>4596</v>
      </c>
      <c r="R2332" t="s">
        <v>4635</v>
      </c>
      <c r="S2332" t="s">
        <v>1761</v>
      </c>
      <c r="V2332" t="s">
        <v>4627</v>
      </c>
      <c r="Z2332">
        <v>3</v>
      </c>
      <c r="AA2332">
        <v>3</v>
      </c>
      <c r="AC2332">
        <v>458.4</v>
      </c>
      <c r="AD2332">
        <v>-1.6</v>
      </c>
      <c r="AE2332">
        <v>1020.7</v>
      </c>
      <c r="AF2332">
        <v>-0.5</v>
      </c>
      <c r="AJ2332" t="s">
        <v>4819</v>
      </c>
      <c r="AK2332" t="s">
        <v>4642</v>
      </c>
      <c r="AN2332">
        <v>190.5</v>
      </c>
      <c r="AO2332">
        <f>1*SQRT(3)</f>
        <v>1.7320508075688772</v>
      </c>
      <c r="AP2332">
        <v>190</v>
      </c>
      <c r="AQ2332">
        <f>1*SQRT(3)</f>
        <v>1.7320508075688772</v>
      </c>
      <c r="AU2332" t="s">
        <v>4822</v>
      </c>
      <c r="AW2332" s="28">
        <f t="shared" si="258"/>
        <v>-0.28867513459481292</v>
      </c>
      <c r="AX2332">
        <f t="shared" si="259"/>
        <v>0.8</v>
      </c>
      <c r="AY2332" s="62">
        <f t="shared" si="260"/>
        <v>-0.23094010767585035</v>
      </c>
      <c r="AZ2332" s="68" t="str">
        <f t="shared" si="261"/>
        <v>No</v>
      </c>
      <c r="BA2332" s="68" t="str">
        <f t="shared" si="262"/>
        <v>No</v>
      </c>
    </row>
    <row r="2333" spans="1:53" hidden="1">
      <c r="A2333" t="s">
        <v>3914</v>
      </c>
      <c r="G2333" t="s">
        <v>4153</v>
      </c>
      <c r="P2333" t="s">
        <v>60</v>
      </c>
      <c r="R2333" t="s">
        <v>4116</v>
      </c>
      <c r="S2333" t="s">
        <v>1761</v>
      </c>
      <c r="V2333" t="s">
        <v>3956</v>
      </c>
      <c r="Z2333">
        <v>3</v>
      </c>
      <c r="AA2333">
        <v>3</v>
      </c>
      <c r="AC2333">
        <v>458.4</v>
      </c>
      <c r="AD2333">
        <v>-1.6</v>
      </c>
      <c r="AE2333">
        <v>714.4</v>
      </c>
      <c r="AF2333">
        <v>-1.6</v>
      </c>
      <c r="AJ2333" t="s">
        <v>4236</v>
      </c>
      <c r="AK2333" t="s">
        <v>4244</v>
      </c>
      <c r="AN2333">
        <v>9.25</v>
      </c>
      <c r="AO2333">
        <v>8.6602540378443865E-2</v>
      </c>
      <c r="AP2333">
        <v>7.55</v>
      </c>
      <c r="AQ2333">
        <v>2.0784609690826525</v>
      </c>
      <c r="AW2333" s="28">
        <f t="shared" si="258"/>
        <v>-1.1557007122682661</v>
      </c>
      <c r="AX2333">
        <f t="shared" si="259"/>
        <v>0.8</v>
      </c>
      <c r="AY2333" s="62">
        <f t="shared" si="260"/>
        <v>-0.92456056981461288</v>
      </c>
      <c r="AZ2333" s="68" t="str">
        <f t="shared" si="261"/>
        <v>No</v>
      </c>
      <c r="BA2333" s="68" t="str">
        <f t="shared" si="262"/>
        <v>No</v>
      </c>
    </row>
    <row r="2334" spans="1:53" hidden="1">
      <c r="A2334" t="s">
        <v>3914</v>
      </c>
      <c r="G2334" t="s">
        <v>4817</v>
      </c>
      <c r="P2334" t="s">
        <v>4596</v>
      </c>
      <c r="R2334" t="s">
        <v>4635</v>
      </c>
      <c r="S2334" t="s">
        <v>1761</v>
      </c>
      <c r="V2334" t="s">
        <v>4628</v>
      </c>
      <c r="Z2334">
        <v>3</v>
      </c>
      <c r="AA2334">
        <v>3</v>
      </c>
      <c r="AC2334">
        <v>458.4</v>
      </c>
      <c r="AD2334">
        <v>-1.6</v>
      </c>
      <c r="AE2334">
        <v>460.4</v>
      </c>
      <c r="AF2334">
        <v>0.4</v>
      </c>
      <c r="AJ2334" t="s">
        <v>1805</v>
      </c>
      <c r="AK2334" t="s">
        <v>4681</v>
      </c>
      <c r="AN2334">
        <v>3.6</v>
      </c>
      <c r="AO2334">
        <f>0.2*SQRT(3)</f>
        <v>0.34641016151377546</v>
      </c>
      <c r="AP2334">
        <v>4.7</v>
      </c>
      <c r="AQ2334">
        <f>1.3*SQRT(3)</f>
        <v>2.2516660498395402</v>
      </c>
      <c r="AU2334" t="s">
        <v>4822</v>
      </c>
      <c r="AW2334" s="28">
        <f t="shared" si="258"/>
        <v>0.6828479407686211</v>
      </c>
      <c r="AX2334">
        <f t="shared" si="259"/>
        <v>0.8</v>
      </c>
      <c r="AY2334" s="62">
        <f t="shared" si="260"/>
        <v>0.54627835261489688</v>
      </c>
      <c r="AZ2334" s="68" t="str">
        <f t="shared" si="261"/>
        <v>No</v>
      </c>
      <c r="BA2334" s="68" t="str">
        <f t="shared" si="262"/>
        <v>No</v>
      </c>
    </row>
    <row r="2335" spans="1:53" hidden="1">
      <c r="A2335" t="s">
        <v>3914</v>
      </c>
      <c r="G2335" t="s">
        <v>4817</v>
      </c>
      <c r="P2335" t="s">
        <v>4596</v>
      </c>
      <c r="R2335" t="s">
        <v>4635</v>
      </c>
      <c r="S2335" t="s">
        <v>1761</v>
      </c>
      <c r="V2335" t="s">
        <v>4627</v>
      </c>
      <c r="Z2335">
        <v>3</v>
      </c>
      <c r="AA2335">
        <v>3</v>
      </c>
      <c r="AC2335">
        <v>458.4</v>
      </c>
      <c r="AD2335">
        <v>-1.6</v>
      </c>
      <c r="AE2335">
        <v>1020.7</v>
      </c>
      <c r="AF2335">
        <v>0.4</v>
      </c>
      <c r="AJ2335" t="s">
        <v>4166</v>
      </c>
      <c r="AK2335" t="s">
        <v>4637</v>
      </c>
      <c r="AN2335">
        <v>29</v>
      </c>
      <c r="AO2335">
        <f>5*SQRT(3)</f>
        <v>8.6602540378443855</v>
      </c>
      <c r="AP2335">
        <v>55</v>
      </c>
      <c r="AQ2335">
        <f>1.5*SQRT(3)</f>
        <v>2.598076211353316</v>
      </c>
      <c r="AU2335" t="s">
        <v>4822</v>
      </c>
      <c r="AW2335" s="28">
        <f t="shared" si="258"/>
        <v>4.0667218124300302</v>
      </c>
      <c r="AX2335">
        <f t="shared" si="259"/>
        <v>0.8</v>
      </c>
      <c r="AY2335" s="62">
        <f t="shared" si="260"/>
        <v>3.2533774499440242</v>
      </c>
      <c r="AZ2335" s="68" t="str">
        <f t="shared" si="261"/>
        <v>No</v>
      </c>
      <c r="BA2335" s="68" t="str">
        <f t="shared" si="262"/>
        <v>No</v>
      </c>
    </row>
    <row r="2336" spans="1:53" hidden="1">
      <c r="A2336" t="s">
        <v>3914</v>
      </c>
      <c r="G2336" t="s">
        <v>4817</v>
      </c>
      <c r="P2336" t="s">
        <v>4596</v>
      </c>
      <c r="R2336" t="s">
        <v>4635</v>
      </c>
      <c r="S2336" t="s">
        <v>1761</v>
      </c>
      <c r="V2336" t="s">
        <v>4628</v>
      </c>
      <c r="Z2336">
        <v>3</v>
      </c>
      <c r="AA2336">
        <v>3</v>
      </c>
      <c r="AC2336">
        <v>458.4</v>
      </c>
      <c r="AD2336">
        <v>-1.6</v>
      </c>
      <c r="AE2336">
        <v>460.4</v>
      </c>
      <c r="AF2336">
        <v>0.4</v>
      </c>
      <c r="AJ2336" t="s">
        <v>4819</v>
      </c>
      <c r="AK2336" t="s">
        <v>4642</v>
      </c>
      <c r="AN2336">
        <v>190.5</v>
      </c>
      <c r="AO2336">
        <f>1*SQRT(3)</f>
        <v>1.7320508075688772</v>
      </c>
      <c r="AP2336">
        <v>193</v>
      </c>
      <c r="AQ2336">
        <f>2*SQRT(3)</f>
        <v>3.4641016151377544</v>
      </c>
      <c r="AU2336" t="s">
        <v>4822</v>
      </c>
      <c r="AW2336" s="28">
        <f t="shared" si="258"/>
        <v>0.9128709291752769</v>
      </c>
      <c r="AX2336">
        <f t="shared" si="259"/>
        <v>0.8</v>
      </c>
      <c r="AY2336" s="62">
        <f t="shared" si="260"/>
        <v>0.73029674334022154</v>
      </c>
      <c r="AZ2336" s="68" t="str">
        <f t="shared" si="261"/>
        <v>No</v>
      </c>
      <c r="BA2336" s="68" t="str">
        <f t="shared" si="262"/>
        <v>No</v>
      </c>
    </row>
    <row r="2337" spans="1:53" hidden="1">
      <c r="A2337" t="s">
        <v>3914</v>
      </c>
      <c r="G2337" t="s">
        <v>4817</v>
      </c>
      <c r="P2337" t="s">
        <v>4596</v>
      </c>
      <c r="R2337" t="s">
        <v>4635</v>
      </c>
      <c r="S2337" t="s">
        <v>1761</v>
      </c>
      <c r="V2337" t="s">
        <v>4627</v>
      </c>
      <c r="Z2337">
        <v>3</v>
      </c>
      <c r="AA2337">
        <v>3</v>
      </c>
      <c r="AC2337">
        <v>458.4</v>
      </c>
      <c r="AD2337">
        <v>-1.6</v>
      </c>
      <c r="AE2337">
        <v>1020.7</v>
      </c>
      <c r="AF2337">
        <v>0.4</v>
      </c>
      <c r="AJ2337" t="s">
        <v>4235</v>
      </c>
      <c r="AK2337" t="s">
        <v>4642</v>
      </c>
      <c r="AN2337">
        <v>190.5</v>
      </c>
      <c r="AO2337">
        <f>1*SQRT(3)</f>
        <v>1.7320508075688772</v>
      </c>
      <c r="AP2337">
        <v>192.5</v>
      </c>
      <c r="AQ2337">
        <f>2.7*SQRT(3)</f>
        <v>4.676537180435969</v>
      </c>
      <c r="AU2337" t="s">
        <v>4822</v>
      </c>
      <c r="AW2337" s="28">
        <f t="shared" si="258"/>
        <v>0.56716196807416008</v>
      </c>
      <c r="AX2337">
        <f t="shared" si="259"/>
        <v>0.8</v>
      </c>
      <c r="AY2337" s="62">
        <f t="shared" si="260"/>
        <v>0.4537295744593281</v>
      </c>
      <c r="AZ2337" s="68" t="str">
        <f t="shared" si="261"/>
        <v>No</v>
      </c>
      <c r="BA2337" s="68" t="str">
        <f t="shared" si="262"/>
        <v>No</v>
      </c>
    </row>
    <row r="2338" spans="1:53" hidden="1">
      <c r="A2338" t="s">
        <v>3914</v>
      </c>
      <c r="G2338" t="s">
        <v>4817</v>
      </c>
      <c r="P2338" t="s">
        <v>4596</v>
      </c>
      <c r="R2338" t="s">
        <v>4635</v>
      </c>
      <c r="S2338" t="s">
        <v>1761</v>
      </c>
      <c r="V2338" t="s">
        <v>4628</v>
      </c>
      <c r="Z2338">
        <v>3</v>
      </c>
      <c r="AA2338">
        <v>3</v>
      </c>
      <c r="AC2338">
        <v>458.4</v>
      </c>
      <c r="AD2338">
        <v>-1.6</v>
      </c>
      <c r="AE2338">
        <v>460.4</v>
      </c>
      <c r="AF2338">
        <v>0.4</v>
      </c>
      <c r="AJ2338" t="s">
        <v>4166</v>
      </c>
      <c r="AK2338" t="s">
        <v>4637</v>
      </c>
      <c r="AN2338">
        <v>29</v>
      </c>
      <c r="AO2338">
        <f>5*SQRT(3)</f>
        <v>8.6602540378443855</v>
      </c>
      <c r="AP2338">
        <v>37</v>
      </c>
      <c r="AQ2338">
        <f>4*SQRT(3)</f>
        <v>6.9282032302755088</v>
      </c>
      <c r="AU2338" t="s">
        <v>4822</v>
      </c>
      <c r="AW2338" s="28">
        <f t="shared" si="258"/>
        <v>1.0201227409013414</v>
      </c>
      <c r="AX2338">
        <f t="shared" si="259"/>
        <v>0.8</v>
      </c>
      <c r="AY2338" s="62">
        <f t="shared" si="260"/>
        <v>0.81609819272107309</v>
      </c>
      <c r="AZ2338" s="68" t="str">
        <f t="shared" si="261"/>
        <v>No</v>
      </c>
      <c r="BA2338" s="68" t="str">
        <f t="shared" si="262"/>
        <v>No</v>
      </c>
    </row>
    <row r="2339" spans="1:53" hidden="1">
      <c r="A2339" t="s">
        <v>3914</v>
      </c>
      <c r="G2339" t="s">
        <v>4153</v>
      </c>
      <c r="P2339" t="s">
        <v>60</v>
      </c>
      <c r="R2339" t="s">
        <v>4116</v>
      </c>
      <c r="S2339" t="s">
        <v>1761</v>
      </c>
      <c r="V2339" t="s">
        <v>3956</v>
      </c>
      <c r="Z2339">
        <v>3</v>
      </c>
      <c r="AA2339">
        <v>3</v>
      </c>
      <c r="AC2339">
        <v>458.4</v>
      </c>
      <c r="AD2339">
        <v>-1.6</v>
      </c>
      <c r="AE2339">
        <v>714.4</v>
      </c>
      <c r="AF2339">
        <v>-1.6</v>
      </c>
      <c r="AJ2339" t="s">
        <v>4235</v>
      </c>
      <c r="AK2339" t="s">
        <v>4244</v>
      </c>
      <c r="AN2339">
        <v>190.5</v>
      </c>
      <c r="AO2339">
        <v>1.7320508075688772</v>
      </c>
      <c r="AP2339">
        <v>189.3</v>
      </c>
      <c r="AQ2339">
        <v>8.6602540378443855</v>
      </c>
      <c r="AW2339" s="28">
        <f t="shared" si="258"/>
        <v>-0.19215378456610277</v>
      </c>
      <c r="AX2339">
        <f t="shared" si="259"/>
        <v>0.8</v>
      </c>
      <c r="AY2339" s="62">
        <f t="shared" si="260"/>
        <v>-0.15372302765288223</v>
      </c>
      <c r="AZ2339" s="68" t="str">
        <f t="shared" si="261"/>
        <v>No</v>
      </c>
      <c r="BA2339" s="68" t="str">
        <f t="shared" si="262"/>
        <v>No</v>
      </c>
    </row>
    <row r="2340" spans="1:53" hidden="1">
      <c r="A2340" t="s">
        <v>3914</v>
      </c>
      <c r="G2340" t="s">
        <v>4817</v>
      </c>
      <c r="P2340" t="s">
        <v>4596</v>
      </c>
      <c r="R2340" t="s">
        <v>4635</v>
      </c>
      <c r="S2340" t="s">
        <v>1761</v>
      </c>
      <c r="V2340" t="s">
        <v>4626</v>
      </c>
      <c r="Z2340">
        <v>3</v>
      </c>
      <c r="AA2340">
        <v>3</v>
      </c>
      <c r="AC2340">
        <v>458.4</v>
      </c>
      <c r="AD2340">
        <v>-1.6</v>
      </c>
      <c r="AE2340">
        <v>703.6</v>
      </c>
      <c r="AF2340">
        <v>-0.5</v>
      </c>
      <c r="AJ2340" t="s">
        <v>4166</v>
      </c>
      <c r="AK2340" t="s">
        <v>4637</v>
      </c>
      <c r="AN2340">
        <v>29</v>
      </c>
      <c r="AO2340">
        <f>5*SQRT(3)</f>
        <v>8.6602540378443855</v>
      </c>
      <c r="AP2340">
        <v>48</v>
      </c>
      <c r="AQ2340">
        <f>8*SQRT(3)</f>
        <v>13.856406460551018</v>
      </c>
      <c r="AU2340" t="s">
        <v>4822</v>
      </c>
      <c r="AW2340" s="28">
        <f t="shared" si="258"/>
        <v>1.6444208251500789</v>
      </c>
      <c r="AX2340">
        <f t="shared" si="259"/>
        <v>0.8</v>
      </c>
      <c r="AY2340" s="62">
        <f t="shared" si="260"/>
        <v>1.3155366601200633</v>
      </c>
      <c r="AZ2340" s="68" t="str">
        <f t="shared" si="261"/>
        <v>No</v>
      </c>
      <c r="BA2340" s="68" t="str">
        <f t="shared" si="262"/>
        <v>No</v>
      </c>
    </row>
    <row r="2341" spans="1:53" hidden="1">
      <c r="A2341" t="s">
        <v>3914</v>
      </c>
      <c r="G2341" t="s">
        <v>4817</v>
      </c>
      <c r="P2341" t="s">
        <v>4596</v>
      </c>
      <c r="R2341" t="s">
        <v>4635</v>
      </c>
      <c r="S2341" t="s">
        <v>1761</v>
      </c>
      <c r="V2341" t="s">
        <v>4627</v>
      </c>
      <c r="Z2341">
        <v>3</v>
      </c>
      <c r="AA2341">
        <v>3</v>
      </c>
      <c r="AC2341">
        <v>458.4</v>
      </c>
      <c r="AD2341">
        <v>-1.6</v>
      </c>
      <c r="AE2341">
        <v>1020.7</v>
      </c>
      <c r="AF2341">
        <v>-0.5</v>
      </c>
      <c r="AJ2341" t="s">
        <v>4820</v>
      </c>
      <c r="AK2341" t="s">
        <v>4637</v>
      </c>
      <c r="AN2341">
        <v>29</v>
      </c>
      <c r="AO2341">
        <f>5*SQRT(3)</f>
        <v>8.6602540378443855</v>
      </c>
      <c r="AP2341">
        <v>48.5</v>
      </c>
      <c r="AQ2341">
        <f>13.5*SQRT(3)</f>
        <v>23.382685902179841</v>
      </c>
      <c r="AU2341" t="s">
        <v>4822</v>
      </c>
      <c r="AW2341" s="28">
        <f t="shared" si="258"/>
        <v>1.1059658377446127</v>
      </c>
      <c r="AX2341">
        <f t="shared" si="259"/>
        <v>0.8</v>
      </c>
      <c r="AY2341" s="62">
        <f t="shared" si="260"/>
        <v>0.88477267019569017</v>
      </c>
      <c r="AZ2341" s="68" t="str">
        <f t="shared" si="261"/>
        <v>No</v>
      </c>
      <c r="BA2341" s="68" t="str">
        <f t="shared" si="262"/>
        <v>No</v>
      </c>
    </row>
    <row r="2342" spans="1:53" hidden="1">
      <c r="A2342" t="s">
        <v>3914</v>
      </c>
      <c r="G2342" t="s">
        <v>4153</v>
      </c>
      <c r="P2342" t="s">
        <v>60</v>
      </c>
      <c r="R2342" t="s">
        <v>4116</v>
      </c>
      <c r="S2342" t="s">
        <v>1761</v>
      </c>
      <c r="V2342" t="s">
        <v>3956</v>
      </c>
      <c r="Z2342">
        <v>3</v>
      </c>
      <c r="AA2342">
        <v>3</v>
      </c>
      <c r="AC2342">
        <v>458.4</v>
      </c>
      <c r="AD2342">
        <v>-1.6</v>
      </c>
      <c r="AE2342">
        <v>714.4</v>
      </c>
      <c r="AF2342">
        <v>-1.6</v>
      </c>
      <c r="AJ2342" t="s">
        <v>4166</v>
      </c>
      <c r="AK2342" t="s">
        <v>4151</v>
      </c>
      <c r="AN2342">
        <v>29</v>
      </c>
      <c r="AO2342">
        <v>6.9282032302755088</v>
      </c>
      <c r="AP2342">
        <v>57</v>
      </c>
      <c r="AQ2342">
        <v>34.641016151377542</v>
      </c>
      <c r="AW2342" s="28">
        <f t="shared" si="258"/>
        <v>1.1208970766356101</v>
      </c>
      <c r="AX2342">
        <f t="shared" si="259"/>
        <v>0.8</v>
      </c>
      <c r="AY2342" s="62">
        <f t="shared" si="260"/>
        <v>0.89671766130848818</v>
      </c>
      <c r="AZ2342" s="68" t="str">
        <f t="shared" si="261"/>
        <v>No</v>
      </c>
      <c r="BA2342" s="68" t="str">
        <f t="shared" si="262"/>
        <v>No</v>
      </c>
    </row>
    <row r="2343" spans="1:53" hidden="1">
      <c r="A2343" t="s">
        <v>3914</v>
      </c>
      <c r="G2343" t="s">
        <v>4817</v>
      </c>
      <c r="P2343" t="s">
        <v>4596</v>
      </c>
      <c r="R2343" t="s">
        <v>4635</v>
      </c>
      <c r="S2343" t="s">
        <v>1761</v>
      </c>
      <c r="V2343" t="s">
        <v>4626</v>
      </c>
      <c r="Z2343">
        <v>3</v>
      </c>
      <c r="AA2343">
        <v>3</v>
      </c>
      <c r="AC2343">
        <v>458.4</v>
      </c>
      <c r="AD2343">
        <v>-1.6</v>
      </c>
      <c r="AE2343">
        <v>703.6</v>
      </c>
      <c r="AF2343">
        <v>0.4</v>
      </c>
      <c r="AJ2343" t="s">
        <v>4166</v>
      </c>
      <c r="AK2343" t="s">
        <v>4637</v>
      </c>
      <c r="AN2343">
        <v>29</v>
      </c>
      <c r="AO2343">
        <f>5*SQRT(3)</f>
        <v>8.6602540378443855</v>
      </c>
      <c r="AP2343" s="63" t="s">
        <v>5130</v>
      </c>
      <c r="AQ2343" s="63"/>
      <c r="AU2343" t="s">
        <v>4822</v>
      </c>
      <c r="AW2343" s="28" t="e">
        <f t="shared" si="258"/>
        <v>#VALUE!</v>
      </c>
      <c r="AX2343">
        <f t="shared" si="259"/>
        <v>0.8</v>
      </c>
      <c r="AY2343" s="62" t="e">
        <f t="shared" si="260"/>
        <v>#VALUE!</v>
      </c>
      <c r="AZ2343" s="68" t="e">
        <f t="shared" si="261"/>
        <v>#VALUE!</v>
      </c>
      <c r="BA2343" s="68" t="e">
        <f t="shared" si="262"/>
        <v>#VALUE!</v>
      </c>
    </row>
    <row r="2344" spans="1:53" hidden="1">
      <c r="A2344" t="s">
        <v>3914</v>
      </c>
      <c r="G2344" t="s">
        <v>4817</v>
      </c>
      <c r="P2344" t="s">
        <v>4596</v>
      </c>
      <c r="R2344" t="s">
        <v>4635</v>
      </c>
      <c r="S2344" t="s">
        <v>1761</v>
      </c>
      <c r="V2344" t="s">
        <v>4626</v>
      </c>
      <c r="Z2344">
        <v>3</v>
      </c>
      <c r="AA2344">
        <v>3</v>
      </c>
      <c r="AC2344">
        <v>458.4</v>
      </c>
      <c r="AD2344">
        <v>-1.6</v>
      </c>
      <c r="AE2344">
        <v>703.6</v>
      </c>
      <c r="AF2344">
        <v>0.4</v>
      </c>
      <c r="AJ2344" t="s">
        <v>1805</v>
      </c>
      <c r="AK2344" t="s">
        <v>4681</v>
      </c>
      <c r="AN2344">
        <v>3.6</v>
      </c>
      <c r="AO2344">
        <f>0.2*SQRT(3)</f>
        <v>0.34641016151377546</v>
      </c>
      <c r="AP2344" s="63" t="s">
        <v>5130</v>
      </c>
      <c r="AQ2344" s="63"/>
      <c r="AU2344" t="s">
        <v>4822</v>
      </c>
      <c r="AW2344" s="28" t="e">
        <f t="shared" si="258"/>
        <v>#VALUE!</v>
      </c>
      <c r="AX2344">
        <f t="shared" si="259"/>
        <v>0.8</v>
      </c>
      <c r="AY2344" s="62" t="e">
        <f t="shared" si="260"/>
        <v>#VALUE!</v>
      </c>
      <c r="AZ2344" s="68" t="e">
        <f t="shared" si="261"/>
        <v>#VALUE!</v>
      </c>
      <c r="BA2344" s="68" t="e">
        <f t="shared" si="262"/>
        <v>#VALUE!</v>
      </c>
    </row>
    <row r="2345" spans="1:53" hidden="1">
      <c r="A2345" t="s">
        <v>3914</v>
      </c>
      <c r="G2345" t="s">
        <v>4817</v>
      </c>
      <c r="P2345" t="s">
        <v>4596</v>
      </c>
      <c r="R2345" t="s">
        <v>4635</v>
      </c>
      <c r="S2345" t="s">
        <v>1761</v>
      </c>
      <c r="V2345" t="s">
        <v>4626</v>
      </c>
      <c r="Z2345">
        <v>3</v>
      </c>
      <c r="AA2345">
        <v>3</v>
      </c>
      <c r="AC2345">
        <v>458.4</v>
      </c>
      <c r="AD2345">
        <v>-1.6</v>
      </c>
      <c r="AE2345">
        <v>703.6</v>
      </c>
      <c r="AF2345">
        <v>0.4</v>
      </c>
      <c r="AJ2345" t="s">
        <v>4235</v>
      </c>
      <c r="AK2345" t="s">
        <v>4642</v>
      </c>
      <c r="AN2345">
        <v>190.5</v>
      </c>
      <c r="AO2345">
        <f>1*SQRT(3)</f>
        <v>1.7320508075688772</v>
      </c>
      <c r="AP2345" s="63" t="s">
        <v>5130</v>
      </c>
      <c r="AQ2345" s="63"/>
      <c r="AU2345" t="s">
        <v>4822</v>
      </c>
      <c r="AW2345" s="28" t="e">
        <f t="shared" si="258"/>
        <v>#VALUE!</v>
      </c>
      <c r="AX2345">
        <f t="shared" si="259"/>
        <v>0.8</v>
      </c>
      <c r="AY2345" s="62" t="e">
        <f t="shared" si="260"/>
        <v>#VALUE!</v>
      </c>
      <c r="AZ2345" s="68" t="e">
        <f t="shared" si="261"/>
        <v>#VALUE!</v>
      </c>
      <c r="BA2345" s="68" t="e">
        <f t="shared" si="262"/>
        <v>#VALUE!</v>
      </c>
    </row>
    <row r="2346" spans="1:53" hidden="1">
      <c r="A2346" t="s">
        <v>3914</v>
      </c>
      <c r="G2346" t="s">
        <v>4817</v>
      </c>
      <c r="P2346" t="s">
        <v>4596</v>
      </c>
      <c r="R2346" t="s">
        <v>4635</v>
      </c>
      <c r="S2346" t="s">
        <v>1761</v>
      </c>
      <c r="V2346" t="s">
        <v>4626</v>
      </c>
      <c r="Z2346">
        <v>3</v>
      </c>
      <c r="AA2346">
        <v>3</v>
      </c>
      <c r="AC2346">
        <v>458.4</v>
      </c>
      <c r="AD2346">
        <v>-1.6</v>
      </c>
      <c r="AE2346">
        <v>703.6</v>
      </c>
      <c r="AF2346">
        <v>0.4</v>
      </c>
      <c r="AJ2346" t="s">
        <v>4236</v>
      </c>
      <c r="AK2346" t="s">
        <v>4642</v>
      </c>
      <c r="AN2346">
        <v>9.25</v>
      </c>
      <c r="AO2346">
        <f>0.05*SQRT(3)</f>
        <v>8.6602540378443865E-2</v>
      </c>
      <c r="AP2346" s="63" t="s">
        <v>5130</v>
      </c>
      <c r="AQ2346" s="63"/>
      <c r="AU2346" t="s">
        <v>4822</v>
      </c>
      <c r="AW2346" s="28" t="e">
        <f t="shared" si="258"/>
        <v>#VALUE!</v>
      </c>
      <c r="AX2346">
        <f t="shared" si="259"/>
        <v>0.8</v>
      </c>
      <c r="AY2346" s="62" t="e">
        <f t="shared" si="260"/>
        <v>#VALUE!</v>
      </c>
      <c r="AZ2346" s="68" t="e">
        <f t="shared" si="261"/>
        <v>#VALUE!</v>
      </c>
      <c r="BA2346" s="68" t="e">
        <f t="shared" si="262"/>
        <v>#VALUE!</v>
      </c>
    </row>
    <row r="2347" spans="1:53" ht="15" hidden="1">
      <c r="A2347" s="56" t="s">
        <v>3914</v>
      </c>
      <c r="G2347" s="56" t="s">
        <v>4951</v>
      </c>
      <c r="P2347" s="56" t="s">
        <v>60</v>
      </c>
      <c r="Q2347" s="56"/>
      <c r="R2347" s="56" t="s">
        <v>4357</v>
      </c>
      <c r="S2347" s="56" t="s">
        <v>956</v>
      </c>
      <c r="T2347" s="56"/>
      <c r="U2347" s="56"/>
      <c r="V2347" s="56" t="s">
        <v>3956</v>
      </c>
      <c r="W2347" s="56"/>
      <c r="X2347" s="56"/>
      <c r="Y2347" s="56"/>
      <c r="Z2347" s="56">
        <v>5</v>
      </c>
      <c r="AA2347" s="56">
        <v>5</v>
      </c>
      <c r="AB2347" s="56"/>
      <c r="AC2347" s="56">
        <v>372.4</v>
      </c>
      <c r="AD2347" s="56">
        <v>20</v>
      </c>
      <c r="AE2347" s="56">
        <v>851.1</v>
      </c>
      <c r="AF2347" s="56">
        <v>20</v>
      </c>
      <c r="AG2347" s="56"/>
      <c r="AH2347" s="56"/>
      <c r="AI2347" s="56"/>
      <c r="AJ2347" s="56" t="s">
        <v>1813</v>
      </c>
      <c r="AK2347" s="56" t="s">
        <v>4093</v>
      </c>
      <c r="AN2347" s="56">
        <v>95</v>
      </c>
      <c r="AO2347" s="56">
        <v>0.5</v>
      </c>
      <c r="AP2347" s="56">
        <v>96</v>
      </c>
      <c r="AQ2347" s="56">
        <v>0.5</v>
      </c>
      <c r="AW2347" s="28">
        <f t="shared" si="258"/>
        <v>2</v>
      </c>
      <c r="AX2347">
        <f t="shared" si="259"/>
        <v>0.90322580645161288</v>
      </c>
      <c r="AY2347" s="62">
        <f t="shared" si="260"/>
        <v>1.8064516129032258</v>
      </c>
      <c r="AZ2347" s="68" t="str">
        <f t="shared" si="261"/>
        <v>No</v>
      </c>
      <c r="BA2347" s="68" t="str">
        <f t="shared" si="262"/>
        <v>No</v>
      </c>
    </row>
    <row r="2348" spans="1:53" ht="15" hidden="1">
      <c r="A2348" s="56" t="s">
        <v>3914</v>
      </c>
      <c r="G2348" s="56" t="s">
        <v>5117</v>
      </c>
      <c r="P2348" s="56" t="s">
        <v>60</v>
      </c>
      <c r="Q2348" s="56"/>
      <c r="R2348" s="56" t="s">
        <v>4357</v>
      </c>
      <c r="S2348" s="56" t="s">
        <v>956</v>
      </c>
      <c r="T2348" s="56"/>
      <c r="U2348" s="56"/>
      <c r="V2348" s="56" t="s">
        <v>3956</v>
      </c>
      <c r="W2348" s="56"/>
      <c r="X2348" s="56"/>
      <c r="Y2348" s="56"/>
      <c r="Z2348" s="56">
        <v>5</v>
      </c>
      <c r="AA2348" s="56">
        <v>5</v>
      </c>
      <c r="AB2348" s="56"/>
      <c r="AC2348" s="56">
        <v>372.4</v>
      </c>
      <c r="AD2348" s="56">
        <v>20</v>
      </c>
      <c r="AE2348" s="56">
        <v>1043.3</v>
      </c>
      <c r="AF2348" s="56">
        <v>20</v>
      </c>
      <c r="AG2348" s="56"/>
      <c r="AH2348" s="56"/>
      <c r="AI2348" s="56"/>
      <c r="AJ2348" s="56" t="s">
        <v>1813</v>
      </c>
      <c r="AK2348" s="56" t="s">
        <v>4093</v>
      </c>
      <c r="AN2348" s="56">
        <v>95</v>
      </c>
      <c r="AO2348" s="56">
        <v>0.5</v>
      </c>
      <c r="AP2348" s="56">
        <v>95</v>
      </c>
      <c r="AQ2348" s="56">
        <v>0.5</v>
      </c>
      <c r="AW2348" s="28">
        <f t="shared" si="258"/>
        <v>0</v>
      </c>
      <c r="AX2348">
        <f t="shared" si="259"/>
        <v>0.90322580645161288</v>
      </c>
      <c r="AY2348" s="62">
        <f t="shared" si="260"/>
        <v>0</v>
      </c>
      <c r="AZ2348" s="68" t="str">
        <f t="shared" si="261"/>
        <v>No</v>
      </c>
      <c r="BA2348" s="68" t="str">
        <f t="shared" si="262"/>
        <v>No</v>
      </c>
    </row>
    <row r="2349" spans="1:53" ht="15" hidden="1">
      <c r="A2349" s="56" t="s">
        <v>3914</v>
      </c>
      <c r="G2349" s="56" t="s">
        <v>4360</v>
      </c>
      <c r="P2349" s="56" t="s">
        <v>4596</v>
      </c>
      <c r="Q2349" s="56"/>
      <c r="R2349" s="56" t="s">
        <v>4357</v>
      </c>
      <c r="S2349" s="56" t="s">
        <v>956</v>
      </c>
      <c r="T2349" s="56"/>
      <c r="U2349" s="56"/>
      <c r="V2349" s="56" t="s">
        <v>4626</v>
      </c>
      <c r="W2349" s="56"/>
      <c r="X2349" s="56"/>
      <c r="Y2349" s="56"/>
      <c r="Z2349" s="56">
        <v>5</v>
      </c>
      <c r="AA2349" s="56">
        <v>5</v>
      </c>
      <c r="AB2349" s="56"/>
      <c r="AC2349" s="56">
        <v>372.4</v>
      </c>
      <c r="AD2349" s="56">
        <v>20</v>
      </c>
      <c r="AE2349" s="56">
        <v>624.70000000000005</v>
      </c>
      <c r="AF2349" s="56">
        <v>24</v>
      </c>
      <c r="AG2349" s="56"/>
      <c r="AH2349" s="56"/>
      <c r="AI2349" s="56"/>
      <c r="AJ2349" s="56" t="s">
        <v>1813</v>
      </c>
      <c r="AK2349" s="56" t="s">
        <v>4041</v>
      </c>
      <c r="AN2349" s="56">
        <v>95</v>
      </c>
      <c r="AO2349" s="56">
        <v>0.5</v>
      </c>
      <c r="AP2349" s="56">
        <v>93</v>
      </c>
      <c r="AQ2349" s="56">
        <v>3.3541019662496847</v>
      </c>
      <c r="AW2349" s="28">
        <f t="shared" si="258"/>
        <v>-0.83405765622829897</v>
      </c>
      <c r="AX2349">
        <f t="shared" si="259"/>
        <v>0.90322580645161288</v>
      </c>
      <c r="AY2349" s="62">
        <f t="shared" si="260"/>
        <v>-0.75334239917394741</v>
      </c>
      <c r="AZ2349" s="68" t="str">
        <f t="shared" si="261"/>
        <v>No</v>
      </c>
      <c r="BA2349" s="68" t="str">
        <f t="shared" si="262"/>
        <v>No</v>
      </c>
    </row>
    <row r="2350" spans="1:53" ht="15" hidden="1">
      <c r="A2350" s="56" t="s">
        <v>3914</v>
      </c>
      <c r="G2350" s="56" t="s">
        <v>4360</v>
      </c>
      <c r="P2350" s="56" t="s">
        <v>4596</v>
      </c>
      <c r="Q2350" s="56"/>
      <c r="R2350" s="56" t="s">
        <v>4597</v>
      </c>
      <c r="S2350" s="56" t="s">
        <v>956</v>
      </c>
      <c r="T2350" s="56"/>
      <c r="U2350" s="56"/>
      <c r="V2350" s="56" t="s">
        <v>4627</v>
      </c>
      <c r="W2350" s="56"/>
      <c r="X2350" s="56"/>
      <c r="Y2350" s="56"/>
      <c r="Z2350" s="56">
        <v>5</v>
      </c>
      <c r="AA2350" s="56">
        <v>5</v>
      </c>
      <c r="AB2350" s="56"/>
      <c r="AC2350" s="56">
        <v>372.4</v>
      </c>
      <c r="AD2350" s="56">
        <v>20</v>
      </c>
      <c r="AE2350" s="56">
        <v>813.9</v>
      </c>
      <c r="AF2350" s="56">
        <v>24</v>
      </c>
      <c r="AG2350" s="56"/>
      <c r="AH2350" s="56"/>
      <c r="AI2350" s="56"/>
      <c r="AJ2350" s="56" t="s">
        <v>1813</v>
      </c>
      <c r="AK2350" s="56" t="s">
        <v>4599</v>
      </c>
      <c r="AN2350" s="56">
        <v>95</v>
      </c>
      <c r="AO2350" s="56">
        <v>0.5</v>
      </c>
      <c r="AP2350" s="56">
        <v>93</v>
      </c>
      <c r="AQ2350" s="56">
        <f>SQRT(5)*2</f>
        <v>4.4721359549995796</v>
      </c>
      <c r="AW2350" s="28">
        <f t="shared" si="258"/>
        <v>-0.62853936105470887</v>
      </c>
      <c r="AX2350">
        <f t="shared" si="259"/>
        <v>0.90322580645161288</v>
      </c>
      <c r="AY2350" s="62">
        <f t="shared" si="260"/>
        <v>-0.56771297127522091</v>
      </c>
      <c r="AZ2350" s="68" t="str">
        <f t="shared" si="261"/>
        <v>No</v>
      </c>
      <c r="BA2350" s="68" t="str">
        <f t="shared" si="262"/>
        <v>No</v>
      </c>
    </row>
    <row r="2351" spans="1:53" ht="15" hidden="1">
      <c r="A2351" s="56" t="s">
        <v>3914</v>
      </c>
      <c r="G2351" s="56" t="s">
        <v>4360</v>
      </c>
      <c r="P2351" s="56" t="s">
        <v>60</v>
      </c>
      <c r="Q2351" s="56"/>
      <c r="R2351" s="56" t="s">
        <v>4357</v>
      </c>
      <c r="S2351" s="56" t="s">
        <v>956</v>
      </c>
      <c r="T2351" s="56"/>
      <c r="U2351" s="56"/>
      <c r="V2351" s="56" t="s">
        <v>3956</v>
      </c>
      <c r="W2351" s="56"/>
      <c r="X2351" s="56"/>
      <c r="Y2351" s="56"/>
      <c r="Z2351" s="56">
        <v>5</v>
      </c>
      <c r="AA2351" s="56">
        <v>5</v>
      </c>
      <c r="AB2351" s="56"/>
      <c r="AC2351" s="56">
        <v>372.4</v>
      </c>
      <c r="AD2351" s="56">
        <v>20</v>
      </c>
      <c r="AE2351" s="56">
        <v>1043.3</v>
      </c>
      <c r="AF2351" s="56">
        <v>20</v>
      </c>
      <c r="AG2351" s="56"/>
      <c r="AH2351" s="56"/>
      <c r="AI2351" s="56"/>
      <c r="AJ2351" s="56" t="s">
        <v>4460</v>
      </c>
      <c r="AK2351" s="56" t="s">
        <v>4151</v>
      </c>
      <c r="AN2351" s="56">
        <v>83</v>
      </c>
      <c r="AO2351" s="56">
        <v>3.3541019662496847</v>
      </c>
      <c r="AP2351" s="56">
        <v>82</v>
      </c>
      <c r="AQ2351" s="56">
        <v>6.7082039324993694</v>
      </c>
      <c r="AW2351" s="28">
        <f t="shared" si="258"/>
        <v>-0.18856180831641267</v>
      </c>
      <c r="AX2351">
        <f t="shared" si="259"/>
        <v>0.90322580645161288</v>
      </c>
      <c r="AY2351" s="62">
        <f t="shared" si="260"/>
        <v>-0.17031389138256628</v>
      </c>
      <c r="AZ2351" s="68" t="str">
        <f t="shared" si="261"/>
        <v>No</v>
      </c>
      <c r="BA2351" s="68" t="str">
        <f t="shared" si="262"/>
        <v>No</v>
      </c>
    </row>
    <row r="2352" spans="1:53" ht="15" hidden="1">
      <c r="A2352" s="56" t="s">
        <v>3914</v>
      </c>
      <c r="G2352" s="56" t="s">
        <v>4951</v>
      </c>
      <c r="P2352" s="56" t="s">
        <v>4596</v>
      </c>
      <c r="Q2352" s="56"/>
      <c r="R2352" s="56" t="s">
        <v>4597</v>
      </c>
      <c r="S2352" s="56" t="s">
        <v>956</v>
      </c>
      <c r="T2352" s="56"/>
      <c r="U2352" s="56"/>
      <c r="V2352" s="56" t="s">
        <v>4598</v>
      </c>
      <c r="W2352" s="56"/>
      <c r="X2352" s="56"/>
      <c r="Y2352" s="56"/>
      <c r="Z2352" s="56">
        <v>5</v>
      </c>
      <c r="AA2352" s="56">
        <v>5</v>
      </c>
      <c r="AB2352" s="56"/>
      <c r="AC2352" s="56">
        <v>372.4</v>
      </c>
      <c r="AD2352" s="56">
        <v>20</v>
      </c>
      <c r="AE2352" s="56">
        <v>489.2</v>
      </c>
      <c r="AF2352" s="56">
        <v>24</v>
      </c>
      <c r="AG2352" s="56"/>
      <c r="AH2352" s="56"/>
      <c r="AI2352" s="56"/>
      <c r="AJ2352" s="56" t="s">
        <v>1813</v>
      </c>
      <c r="AK2352" s="56" t="s">
        <v>4599</v>
      </c>
      <c r="AN2352" s="56">
        <v>95</v>
      </c>
      <c r="AO2352" s="56">
        <v>0.5</v>
      </c>
      <c r="AP2352" s="56">
        <v>92</v>
      </c>
      <c r="AQ2352" s="56">
        <v>6.7082039324993694</v>
      </c>
      <c r="AW2352" s="28">
        <f t="shared" si="258"/>
        <v>-0.63070599747316392</v>
      </c>
      <c r="AX2352">
        <f t="shared" si="259"/>
        <v>0.90322580645161288</v>
      </c>
      <c r="AY2352" s="62">
        <f t="shared" si="260"/>
        <v>-0.56966993320156745</v>
      </c>
      <c r="AZ2352" s="68" t="str">
        <f t="shared" si="261"/>
        <v>No</v>
      </c>
      <c r="BA2352" s="68" t="str">
        <f t="shared" si="262"/>
        <v>No</v>
      </c>
    </row>
    <row r="2353" spans="1:55" ht="15" hidden="1">
      <c r="A2353" s="56" t="s">
        <v>3914</v>
      </c>
      <c r="G2353" s="56" t="s">
        <v>4360</v>
      </c>
      <c r="P2353" s="56" t="s">
        <v>60</v>
      </c>
      <c r="Q2353" s="56"/>
      <c r="R2353" s="56" t="s">
        <v>4357</v>
      </c>
      <c r="S2353" s="56" t="s">
        <v>956</v>
      </c>
      <c r="T2353" s="56"/>
      <c r="U2353" s="56"/>
      <c r="V2353" s="56" t="s">
        <v>3956</v>
      </c>
      <c r="W2353" s="56"/>
      <c r="X2353" s="56"/>
      <c r="Y2353" s="56"/>
      <c r="Z2353" s="56">
        <v>5</v>
      </c>
      <c r="AA2353" s="56">
        <v>5</v>
      </c>
      <c r="AB2353" s="56"/>
      <c r="AC2353" s="56">
        <v>372.4</v>
      </c>
      <c r="AD2353" s="56">
        <v>20</v>
      </c>
      <c r="AE2353" s="56">
        <v>851.1</v>
      </c>
      <c r="AF2353" s="56">
        <v>20</v>
      </c>
      <c r="AG2353" s="56"/>
      <c r="AH2353" s="56"/>
      <c r="AI2353" s="56"/>
      <c r="AJ2353" s="56" t="s">
        <v>4460</v>
      </c>
      <c r="AK2353" s="56" t="s">
        <v>4151</v>
      </c>
      <c r="AN2353" s="56">
        <v>83</v>
      </c>
      <c r="AO2353" s="56">
        <v>3.3541019662496847</v>
      </c>
      <c r="AP2353" s="56">
        <v>80</v>
      </c>
      <c r="AQ2353" s="56">
        <v>7.8262379212492643</v>
      </c>
      <c r="AW2353" s="28">
        <f t="shared" si="258"/>
        <v>-0.49827287912243978</v>
      </c>
      <c r="AX2353">
        <f t="shared" si="259"/>
        <v>0.90322580645161288</v>
      </c>
      <c r="AY2353" s="62">
        <f t="shared" si="260"/>
        <v>-0.45005292307833267</v>
      </c>
      <c r="AZ2353" s="68" t="str">
        <f t="shared" si="261"/>
        <v>No</v>
      </c>
      <c r="BA2353" s="68" t="str">
        <f t="shared" si="262"/>
        <v>No</v>
      </c>
    </row>
    <row r="2354" spans="1:55" ht="15" hidden="1">
      <c r="A2354" s="56" t="s">
        <v>3914</v>
      </c>
      <c r="G2354" s="56" t="s">
        <v>4360</v>
      </c>
      <c r="P2354" s="56" t="s">
        <v>4596</v>
      </c>
      <c r="Q2354" s="56"/>
      <c r="R2354" s="56" t="s">
        <v>4357</v>
      </c>
      <c r="S2354" s="56" t="s">
        <v>956</v>
      </c>
      <c r="T2354" s="56"/>
      <c r="U2354" s="56"/>
      <c r="V2354" s="56" t="s">
        <v>4626</v>
      </c>
      <c r="W2354" s="56"/>
      <c r="X2354" s="56"/>
      <c r="Y2354" s="56"/>
      <c r="Z2354" s="56">
        <v>5</v>
      </c>
      <c r="AA2354" s="56">
        <v>5</v>
      </c>
      <c r="AB2354" s="56"/>
      <c r="AC2354" s="56">
        <v>372.4</v>
      </c>
      <c r="AD2354" s="56">
        <v>20</v>
      </c>
      <c r="AE2354" s="56">
        <v>624.70000000000005</v>
      </c>
      <c r="AF2354" s="56">
        <v>24</v>
      </c>
      <c r="AG2354" s="56"/>
      <c r="AH2354" s="56"/>
      <c r="AI2354" s="56"/>
      <c r="AJ2354" s="56" t="s">
        <v>4601</v>
      </c>
      <c r="AK2354" s="56" t="s">
        <v>4123</v>
      </c>
      <c r="AN2354" s="56">
        <v>80</v>
      </c>
      <c r="AO2354" s="56">
        <f>SQRT(5)*5</f>
        <v>11.180339887498949</v>
      </c>
      <c r="AP2354" s="56">
        <v>30</v>
      </c>
      <c r="AQ2354" s="56">
        <f>SQRT(5)*9</f>
        <v>20.124611797498108</v>
      </c>
      <c r="AW2354" s="28">
        <f t="shared" si="258"/>
        <v>-3.0714755841697552</v>
      </c>
      <c r="AX2354">
        <f t="shared" si="259"/>
        <v>0.90322580645161288</v>
      </c>
      <c r="AY2354" s="62">
        <f t="shared" si="260"/>
        <v>-2.7742360115081661</v>
      </c>
      <c r="AZ2354" s="68" t="str">
        <f t="shared" si="261"/>
        <v>No</v>
      </c>
      <c r="BA2354" s="68" t="str">
        <f t="shared" si="262"/>
        <v>No</v>
      </c>
    </row>
    <row r="2355" spans="1:55" ht="15" hidden="1">
      <c r="A2355" s="56" t="s">
        <v>3914</v>
      </c>
      <c r="G2355" s="56" t="s">
        <v>4360</v>
      </c>
      <c r="P2355" s="56" t="s">
        <v>4596</v>
      </c>
      <c r="Q2355" s="56"/>
      <c r="R2355" s="56" t="s">
        <v>4357</v>
      </c>
      <c r="S2355" s="56" t="s">
        <v>956</v>
      </c>
      <c r="T2355" s="56"/>
      <c r="U2355" s="56"/>
      <c r="V2355" s="56" t="s">
        <v>4598</v>
      </c>
      <c r="W2355" s="56"/>
      <c r="X2355" s="56"/>
      <c r="Y2355" s="56"/>
      <c r="Z2355" s="56">
        <v>5</v>
      </c>
      <c r="AA2355" s="56">
        <v>5</v>
      </c>
      <c r="AB2355" s="56"/>
      <c r="AC2355" s="56">
        <v>372.4</v>
      </c>
      <c r="AD2355" s="56">
        <v>20</v>
      </c>
      <c r="AE2355" s="56">
        <v>489.2</v>
      </c>
      <c r="AF2355" s="56">
        <v>24</v>
      </c>
      <c r="AG2355" s="56"/>
      <c r="AH2355" s="56"/>
      <c r="AI2355" s="56"/>
      <c r="AJ2355" s="56" t="s">
        <v>4603</v>
      </c>
      <c r="AK2355" s="56" t="s">
        <v>4123</v>
      </c>
      <c r="AN2355" s="56">
        <v>83</v>
      </c>
      <c r="AO2355" s="56">
        <v>3.3541019662496847</v>
      </c>
      <c r="AP2355" s="56">
        <v>46</v>
      </c>
      <c r="AQ2355" s="56">
        <f>SQRT(5)*9</f>
        <v>20.124611797498108</v>
      </c>
      <c r="AW2355" s="28">
        <f t="shared" si="258"/>
        <v>-2.5647178748895123</v>
      </c>
      <c r="AX2355">
        <f t="shared" si="259"/>
        <v>0.90322580645161288</v>
      </c>
      <c r="AY2355" s="62">
        <f t="shared" si="260"/>
        <v>-2.3165193708679466</v>
      </c>
      <c r="AZ2355" s="68" t="str">
        <f t="shared" si="261"/>
        <v>No</v>
      </c>
      <c r="BA2355" s="68" t="str">
        <f t="shared" si="262"/>
        <v>No</v>
      </c>
    </row>
    <row r="2356" spans="1:55" ht="15" hidden="1">
      <c r="A2356" s="56" t="s">
        <v>3914</v>
      </c>
      <c r="G2356" s="56" t="s">
        <v>4360</v>
      </c>
      <c r="P2356" s="56" t="s">
        <v>4596</v>
      </c>
      <c r="Q2356" s="56"/>
      <c r="R2356" s="56" t="s">
        <v>4357</v>
      </c>
      <c r="S2356" s="56" t="s">
        <v>956</v>
      </c>
      <c r="T2356" s="56"/>
      <c r="U2356" s="56"/>
      <c r="V2356" s="56" t="s">
        <v>4626</v>
      </c>
      <c r="W2356" s="56"/>
      <c r="X2356" s="56"/>
      <c r="Y2356" s="56"/>
      <c r="Z2356" s="56">
        <v>5</v>
      </c>
      <c r="AA2356" s="56">
        <v>5</v>
      </c>
      <c r="AB2356" s="56"/>
      <c r="AC2356" s="56">
        <v>372.4</v>
      </c>
      <c r="AD2356" s="56">
        <v>20</v>
      </c>
      <c r="AE2356" s="56">
        <v>624.70000000000005</v>
      </c>
      <c r="AF2356" s="56">
        <v>24</v>
      </c>
      <c r="AG2356" s="56"/>
      <c r="AH2356" s="56"/>
      <c r="AI2356" s="56"/>
      <c r="AJ2356" s="56" t="s">
        <v>4460</v>
      </c>
      <c r="AK2356" s="56" t="s">
        <v>4123</v>
      </c>
      <c r="AN2356" s="56">
        <v>83</v>
      </c>
      <c r="AO2356" s="56">
        <v>3.3541019662496847</v>
      </c>
      <c r="AP2356" s="56">
        <v>39</v>
      </c>
      <c r="AQ2356" s="56">
        <f>SQRT(5)*9</f>
        <v>20.124611797498108</v>
      </c>
      <c r="AW2356" s="28">
        <f t="shared" si="258"/>
        <v>-3.0499347701388797</v>
      </c>
      <c r="AX2356">
        <f t="shared" si="259"/>
        <v>0.90322580645161288</v>
      </c>
      <c r="AY2356" s="62">
        <f t="shared" si="260"/>
        <v>-2.7547797923835042</v>
      </c>
      <c r="AZ2356" s="68" t="str">
        <f t="shared" si="261"/>
        <v>No</v>
      </c>
      <c r="BA2356" s="68" t="str">
        <f t="shared" si="262"/>
        <v>No</v>
      </c>
    </row>
    <row r="2357" spans="1:55" ht="15" hidden="1">
      <c r="A2357" s="56" t="s">
        <v>3914</v>
      </c>
      <c r="G2357" s="56" t="s">
        <v>4360</v>
      </c>
      <c r="P2357" s="56" t="s">
        <v>4596</v>
      </c>
      <c r="Q2357" s="56"/>
      <c r="R2357" s="56" t="s">
        <v>4357</v>
      </c>
      <c r="S2357" s="56" t="s">
        <v>956</v>
      </c>
      <c r="T2357" s="56"/>
      <c r="U2357" s="56"/>
      <c r="V2357" s="56" t="s">
        <v>4627</v>
      </c>
      <c r="W2357" s="56"/>
      <c r="X2357" s="56"/>
      <c r="Y2357" s="56"/>
      <c r="Z2357" s="56">
        <v>5</v>
      </c>
      <c r="AA2357" s="56">
        <v>5</v>
      </c>
      <c r="AB2357" s="56"/>
      <c r="AC2357" s="56">
        <v>372.4</v>
      </c>
      <c r="AD2357" s="56">
        <v>20</v>
      </c>
      <c r="AE2357" s="56">
        <v>813.9</v>
      </c>
      <c r="AF2357" s="56">
        <v>24</v>
      </c>
      <c r="AG2357" s="56"/>
      <c r="AH2357" s="56"/>
      <c r="AI2357" s="56"/>
      <c r="AJ2357" s="56" t="s">
        <v>4601</v>
      </c>
      <c r="AK2357" s="56" t="s">
        <v>4123</v>
      </c>
      <c r="AN2357" s="56">
        <v>80</v>
      </c>
      <c r="AO2357" s="56">
        <f>SQRT(5)*5</f>
        <v>11.180339887498949</v>
      </c>
      <c r="AP2357" s="56">
        <v>28</v>
      </c>
      <c r="AQ2357" s="56">
        <f>SQRT(5)*10</f>
        <v>22.360679774997898</v>
      </c>
      <c r="AW2357" s="28">
        <f t="shared" si="258"/>
        <v>-2.9415642097360375</v>
      </c>
      <c r="AX2357">
        <f t="shared" si="259"/>
        <v>0.90322580645161288</v>
      </c>
      <c r="AY2357" s="62">
        <f t="shared" si="260"/>
        <v>-2.6568967055680339</v>
      </c>
      <c r="AZ2357" s="68" t="str">
        <f t="shared" si="261"/>
        <v>No</v>
      </c>
      <c r="BA2357" s="68" t="str">
        <f t="shared" si="262"/>
        <v>No</v>
      </c>
    </row>
    <row r="2358" spans="1:55" ht="15" hidden="1">
      <c r="A2358" s="56" t="s">
        <v>3914</v>
      </c>
      <c r="G2358" s="56" t="s">
        <v>4360</v>
      </c>
      <c r="H2358" t="s">
        <v>4610</v>
      </c>
      <c r="I2358" t="s">
        <v>4611</v>
      </c>
      <c r="J2358" t="s">
        <v>4612</v>
      </c>
      <c r="K2358" t="s">
        <v>4613</v>
      </c>
      <c r="L2358" t="s">
        <v>4614</v>
      </c>
      <c r="M2358" t="s">
        <v>4615</v>
      </c>
      <c r="N2358" t="s">
        <v>4616</v>
      </c>
      <c r="O2358" t="s">
        <v>4617</v>
      </c>
      <c r="P2358" s="56" t="s">
        <v>4596</v>
      </c>
      <c r="Q2358" s="56"/>
      <c r="R2358" s="56" t="s">
        <v>4357</v>
      </c>
      <c r="S2358" s="56" t="s">
        <v>956</v>
      </c>
      <c r="T2358" s="56"/>
      <c r="U2358" s="56"/>
      <c r="V2358" s="56" t="s">
        <v>4627</v>
      </c>
      <c r="W2358" s="56"/>
      <c r="X2358" s="56"/>
      <c r="Y2358" s="56"/>
      <c r="Z2358" s="56">
        <v>5</v>
      </c>
      <c r="AA2358" s="56">
        <v>5</v>
      </c>
      <c r="AB2358" s="56"/>
      <c r="AC2358" s="56">
        <v>372.4</v>
      </c>
      <c r="AD2358" s="56">
        <v>20</v>
      </c>
      <c r="AE2358" s="56">
        <v>813.9</v>
      </c>
      <c r="AF2358" s="56">
        <v>24</v>
      </c>
      <c r="AG2358" s="56"/>
      <c r="AH2358" s="56"/>
      <c r="AI2358" s="56"/>
      <c r="AJ2358" s="56" t="s">
        <v>4460</v>
      </c>
      <c r="AK2358" s="56" t="s">
        <v>4123</v>
      </c>
      <c r="AN2358" s="56">
        <v>83</v>
      </c>
      <c r="AO2358" s="56">
        <v>3.3541019662496847</v>
      </c>
      <c r="AP2358" s="56">
        <v>30</v>
      </c>
      <c r="AQ2358" s="56">
        <f>SQRT(5)*10</f>
        <v>22.360679774997898</v>
      </c>
      <c r="AW2358" s="28">
        <f t="shared" si="258"/>
        <v>-3.3149288161640391</v>
      </c>
      <c r="AX2358">
        <f t="shared" si="259"/>
        <v>0.90322580645161288</v>
      </c>
      <c r="AY2358" s="62">
        <f t="shared" si="260"/>
        <v>-2.9941292533094548</v>
      </c>
      <c r="AZ2358" s="68" t="str">
        <f t="shared" si="261"/>
        <v>No</v>
      </c>
      <c r="BA2358" s="68" t="str">
        <f t="shared" si="262"/>
        <v>No</v>
      </c>
    </row>
    <row r="2359" spans="1:55" ht="15" hidden="1">
      <c r="A2359" s="56" t="s">
        <v>3914</v>
      </c>
      <c r="G2359" s="56" t="s">
        <v>4360</v>
      </c>
      <c r="P2359" s="56" t="s">
        <v>4596</v>
      </c>
      <c r="Q2359" s="56"/>
      <c r="R2359" s="56" t="s">
        <v>4357</v>
      </c>
      <c r="S2359" s="56" t="s">
        <v>956</v>
      </c>
      <c r="T2359" s="56"/>
      <c r="U2359" s="56"/>
      <c r="V2359" s="56" t="s">
        <v>4598</v>
      </c>
      <c r="W2359" s="56"/>
      <c r="X2359" s="56"/>
      <c r="Y2359" s="56"/>
      <c r="Z2359" s="56">
        <v>5</v>
      </c>
      <c r="AA2359" s="56">
        <v>5</v>
      </c>
      <c r="AB2359" s="56"/>
      <c r="AC2359" s="56">
        <v>372.4</v>
      </c>
      <c r="AD2359" s="56">
        <v>20</v>
      </c>
      <c r="AE2359" s="56">
        <v>489.2</v>
      </c>
      <c r="AF2359" s="56">
        <v>24</v>
      </c>
      <c r="AG2359" s="56"/>
      <c r="AH2359" s="56"/>
      <c r="AI2359" s="56"/>
      <c r="AJ2359" s="56" t="s">
        <v>4602</v>
      </c>
      <c r="AK2359" s="56" t="s">
        <v>4123</v>
      </c>
      <c r="AN2359" s="56">
        <v>80</v>
      </c>
      <c r="AO2359" s="56">
        <f>SQRT(5)*5</f>
        <v>11.180339887498949</v>
      </c>
      <c r="AP2359" s="56">
        <v>40</v>
      </c>
      <c r="AQ2359" s="56">
        <f>SQRT(5)*13</f>
        <v>29.068883707497267</v>
      </c>
      <c r="AW2359" s="28">
        <f t="shared" si="258"/>
        <v>-1.8163064367459991</v>
      </c>
      <c r="AX2359">
        <f t="shared" si="259"/>
        <v>0.90322580645161288</v>
      </c>
      <c r="AY2359" s="78">
        <f t="shared" si="260"/>
        <v>-1.6405348460931604</v>
      </c>
      <c r="AZ2359" s="79" t="str">
        <f t="shared" si="261"/>
        <v>No</v>
      </c>
      <c r="BA2359" s="79" t="str">
        <f t="shared" si="262"/>
        <v>No</v>
      </c>
      <c r="BB2359" s="77"/>
      <c r="BC2359" s="77"/>
    </row>
    <row r="2360" spans="1:55" ht="15" hidden="1">
      <c r="A2360" t="s">
        <v>3914</v>
      </c>
      <c r="G2360" s="56" t="s">
        <v>4287</v>
      </c>
      <c r="P2360" t="s">
        <v>4596</v>
      </c>
      <c r="R2360" t="s">
        <v>4653</v>
      </c>
      <c r="S2360" t="s">
        <v>1762</v>
      </c>
      <c r="V2360" t="s">
        <v>4626</v>
      </c>
      <c r="Z2360">
        <v>5</v>
      </c>
      <c r="AA2360">
        <v>5</v>
      </c>
      <c r="AC2360">
        <v>330</v>
      </c>
      <c r="AD2360">
        <v>22</v>
      </c>
      <c r="AE2360">
        <v>1104</v>
      </c>
      <c r="AF2360">
        <v>26</v>
      </c>
      <c r="AJ2360" t="s">
        <v>1813</v>
      </c>
      <c r="AK2360" t="s">
        <v>4041</v>
      </c>
      <c r="AN2360">
        <v>96</v>
      </c>
      <c r="AO2360">
        <v>0.73147538585327021</v>
      </c>
      <c r="AP2360">
        <v>99</v>
      </c>
      <c r="AQ2360">
        <v>0.63029112815479527</v>
      </c>
      <c r="AW2360" s="28">
        <f t="shared" si="258"/>
        <v>4.3939288415521141</v>
      </c>
      <c r="AX2360">
        <f t="shared" si="259"/>
        <v>0.90322580645161288</v>
      </c>
      <c r="AY2360" s="78">
        <f t="shared" si="260"/>
        <v>3.9687099214019095</v>
      </c>
      <c r="AZ2360" s="79" t="str">
        <f t="shared" si="261"/>
        <v>No</v>
      </c>
      <c r="BA2360" s="79" t="str">
        <f t="shared" si="262"/>
        <v>No</v>
      </c>
      <c r="BB2360" s="77"/>
      <c r="BC2360" s="77"/>
    </row>
    <row r="2361" spans="1:55" ht="15" hidden="1">
      <c r="A2361" t="s">
        <v>3914</v>
      </c>
      <c r="G2361" s="56" t="s">
        <v>4287</v>
      </c>
      <c r="P2361" t="s">
        <v>4596</v>
      </c>
      <c r="R2361" t="s">
        <v>4653</v>
      </c>
      <c r="S2361" t="s">
        <v>1762</v>
      </c>
      <c r="V2361" t="s">
        <v>4598</v>
      </c>
      <c r="Z2361">
        <v>5</v>
      </c>
      <c r="AA2361">
        <v>5</v>
      </c>
      <c r="AC2361">
        <v>330</v>
      </c>
      <c r="AD2361">
        <v>22</v>
      </c>
      <c r="AE2361">
        <v>335</v>
      </c>
      <c r="AF2361">
        <v>26</v>
      </c>
      <c r="AJ2361" t="s">
        <v>1813</v>
      </c>
      <c r="AK2361" t="s">
        <v>4041</v>
      </c>
      <c r="AN2361">
        <v>96</v>
      </c>
      <c r="AO2361">
        <v>0.73147538585327021</v>
      </c>
      <c r="AP2361">
        <v>97</v>
      </c>
      <c r="AQ2361">
        <v>0.76298399724000154</v>
      </c>
      <c r="AW2361" s="28">
        <f t="shared" si="258"/>
        <v>1.3379792397156212</v>
      </c>
      <c r="AX2361">
        <f t="shared" si="259"/>
        <v>0.90322580645161288</v>
      </c>
      <c r="AY2361" s="78">
        <f t="shared" si="260"/>
        <v>1.2084973778076578</v>
      </c>
      <c r="AZ2361" s="79" t="str">
        <f t="shared" si="261"/>
        <v>No</v>
      </c>
      <c r="BA2361" s="79" t="str">
        <f t="shared" si="262"/>
        <v>No</v>
      </c>
      <c r="BB2361" s="77"/>
      <c r="BC2361" s="77"/>
    </row>
    <row r="2362" spans="1:55" ht="15" hidden="1">
      <c r="A2362" t="s">
        <v>3914</v>
      </c>
      <c r="G2362" s="56" t="s">
        <v>4287</v>
      </c>
      <c r="P2362" t="s">
        <v>4596</v>
      </c>
      <c r="R2362" t="s">
        <v>4653</v>
      </c>
      <c r="S2362" t="s">
        <v>1762</v>
      </c>
      <c r="V2362" t="s">
        <v>4627</v>
      </c>
      <c r="Z2362">
        <v>5</v>
      </c>
      <c r="AA2362">
        <v>5</v>
      </c>
      <c r="AC2362">
        <v>330</v>
      </c>
      <c r="AD2362">
        <v>22</v>
      </c>
      <c r="AE2362">
        <v>1828</v>
      </c>
      <c r="AF2362">
        <v>26</v>
      </c>
      <c r="AJ2362" t="s">
        <v>1813</v>
      </c>
      <c r="AK2362" t="s">
        <v>4041</v>
      </c>
      <c r="AN2362">
        <v>96</v>
      </c>
      <c r="AO2362">
        <v>0.73147538585327021</v>
      </c>
      <c r="AP2362">
        <v>99</v>
      </c>
      <c r="AQ2362">
        <v>0.76298399724000154</v>
      </c>
      <c r="AW2362" s="28">
        <f t="shared" si="258"/>
        <v>4.0139377191468633</v>
      </c>
      <c r="AX2362">
        <f t="shared" si="259"/>
        <v>0.90322580645161288</v>
      </c>
      <c r="AY2362" s="78">
        <f t="shared" si="260"/>
        <v>3.6254921334229731</v>
      </c>
      <c r="AZ2362" s="79" t="str">
        <f t="shared" si="261"/>
        <v>No</v>
      </c>
      <c r="BA2362" s="79" t="str">
        <f t="shared" si="262"/>
        <v>No</v>
      </c>
      <c r="BB2362" s="77"/>
      <c r="BC2362" s="77"/>
    </row>
    <row r="2363" spans="1:55" hidden="1">
      <c r="A2363" t="s">
        <v>3914</v>
      </c>
      <c r="G2363" t="s">
        <v>4287</v>
      </c>
      <c r="P2363" t="s">
        <v>60</v>
      </c>
      <c r="R2363" t="s">
        <v>4357</v>
      </c>
      <c r="S2363" t="s">
        <v>952</v>
      </c>
      <c r="V2363" t="s">
        <v>3956</v>
      </c>
      <c r="Z2363">
        <v>3</v>
      </c>
      <c r="AA2363">
        <v>3</v>
      </c>
      <c r="AC2363">
        <v>324</v>
      </c>
      <c r="AD2363">
        <v>18</v>
      </c>
      <c r="AE2363">
        <v>1033</v>
      </c>
      <c r="AF2363">
        <v>18</v>
      </c>
      <c r="AJ2363" t="s">
        <v>1813</v>
      </c>
      <c r="AK2363" t="s">
        <v>4093</v>
      </c>
      <c r="AN2363">
        <v>94</v>
      </c>
      <c r="AO2363">
        <v>2.6510981748503224</v>
      </c>
      <c r="AP2363">
        <v>95</v>
      </c>
      <c r="AQ2363">
        <v>0.88369939161677413</v>
      </c>
      <c r="AW2363" s="28">
        <f t="shared" si="258"/>
        <v>0.50606982390443578</v>
      </c>
      <c r="AX2363">
        <f t="shared" si="259"/>
        <v>0.8</v>
      </c>
      <c r="AY2363" s="62">
        <f t="shared" si="260"/>
        <v>0.40485585912354866</v>
      </c>
      <c r="AZ2363" s="68" t="str">
        <f t="shared" si="261"/>
        <v>No</v>
      </c>
      <c r="BA2363" s="68" t="str">
        <f t="shared" si="262"/>
        <v>No</v>
      </c>
    </row>
    <row r="2364" spans="1:55" hidden="1">
      <c r="A2364" t="s">
        <v>3914</v>
      </c>
      <c r="G2364" t="s">
        <v>4287</v>
      </c>
      <c r="P2364" t="s">
        <v>60</v>
      </c>
      <c r="R2364" t="s">
        <v>4286</v>
      </c>
      <c r="S2364" t="s">
        <v>1762</v>
      </c>
      <c r="V2364" t="s">
        <v>3956</v>
      </c>
      <c r="Z2364">
        <v>5</v>
      </c>
      <c r="AA2364">
        <v>5</v>
      </c>
      <c r="AC2364">
        <v>324</v>
      </c>
      <c r="AD2364">
        <v>18</v>
      </c>
      <c r="AE2364">
        <v>1033</v>
      </c>
      <c r="AF2364">
        <v>18</v>
      </c>
      <c r="AJ2364" t="s">
        <v>1813</v>
      </c>
      <c r="AK2364" t="s">
        <v>4093</v>
      </c>
      <c r="AN2364">
        <v>98</v>
      </c>
      <c r="AO2364">
        <v>1.1408510089284642</v>
      </c>
      <c r="AP2364">
        <v>98</v>
      </c>
      <c r="AQ2364">
        <v>1.1408510089284642</v>
      </c>
      <c r="AW2364" s="28">
        <f t="shared" si="258"/>
        <v>0</v>
      </c>
      <c r="AX2364">
        <f t="shared" si="259"/>
        <v>0.90322580645161288</v>
      </c>
      <c r="AY2364" s="62">
        <f t="shared" si="260"/>
        <v>0</v>
      </c>
      <c r="AZ2364" s="68" t="str">
        <f t="shared" si="261"/>
        <v>No</v>
      </c>
      <c r="BA2364" s="68" t="str">
        <f t="shared" si="262"/>
        <v>No</v>
      </c>
    </row>
    <row r="2365" spans="1:55" hidden="1">
      <c r="A2365" t="s">
        <v>3914</v>
      </c>
      <c r="G2365" t="s">
        <v>4287</v>
      </c>
      <c r="P2365" t="s">
        <v>60</v>
      </c>
      <c r="R2365" t="s">
        <v>4286</v>
      </c>
      <c r="S2365" t="s">
        <v>1762</v>
      </c>
      <c r="V2365" t="s">
        <v>3956</v>
      </c>
      <c r="Z2365">
        <v>5</v>
      </c>
      <c r="AA2365">
        <v>5</v>
      </c>
      <c r="AC2365">
        <v>324</v>
      </c>
      <c r="AD2365">
        <v>18</v>
      </c>
      <c r="AE2365">
        <v>1695</v>
      </c>
      <c r="AF2365">
        <v>18</v>
      </c>
      <c r="AJ2365" t="s">
        <v>1813</v>
      </c>
      <c r="AK2365" t="s">
        <v>4093</v>
      </c>
      <c r="AN2365">
        <v>98</v>
      </c>
      <c r="AO2365">
        <v>1.1408510089284642</v>
      </c>
      <c r="AP2365">
        <v>98</v>
      </c>
      <c r="AQ2365">
        <v>1.1408510089284642</v>
      </c>
      <c r="AW2365" s="28">
        <f t="shared" si="258"/>
        <v>0</v>
      </c>
      <c r="AX2365">
        <f t="shared" si="259"/>
        <v>0.90322580645161288</v>
      </c>
      <c r="AY2365" s="62">
        <f t="shared" si="260"/>
        <v>0</v>
      </c>
      <c r="AZ2365" s="68" t="str">
        <f t="shared" si="261"/>
        <v>No</v>
      </c>
      <c r="BA2365" s="68" t="str">
        <f t="shared" si="262"/>
        <v>No</v>
      </c>
    </row>
    <row r="2366" spans="1:55" ht="15" hidden="1">
      <c r="A2366" t="s">
        <v>3914</v>
      </c>
      <c r="G2366" s="56" t="s">
        <v>4287</v>
      </c>
      <c r="P2366" t="s">
        <v>4596</v>
      </c>
      <c r="R2366" t="s">
        <v>4652</v>
      </c>
      <c r="S2366" t="s">
        <v>1755</v>
      </c>
      <c r="V2366" t="s">
        <v>4626</v>
      </c>
      <c r="Z2366">
        <v>4</v>
      </c>
      <c r="AA2366">
        <v>4</v>
      </c>
      <c r="AC2366">
        <v>327</v>
      </c>
      <c r="AD2366">
        <v>20</v>
      </c>
      <c r="AE2366">
        <v>1087</v>
      </c>
      <c r="AF2366">
        <v>24</v>
      </c>
      <c r="AJ2366" t="s">
        <v>1813</v>
      </c>
      <c r="AK2366" t="s">
        <v>4041</v>
      </c>
      <c r="AN2366">
        <v>89</v>
      </c>
      <c r="AO2366">
        <v>2.2602914683660216</v>
      </c>
      <c r="AP2366">
        <v>94</v>
      </c>
      <c r="AQ2366">
        <v>1.3468534303423483</v>
      </c>
      <c r="AW2366" s="28">
        <f t="shared" si="258"/>
        <v>2.6874474393768031</v>
      </c>
      <c r="AX2366">
        <f t="shared" si="259"/>
        <v>0.86956521739130432</v>
      </c>
      <c r="AY2366" s="62">
        <f t="shared" si="260"/>
        <v>2.3369108168493939</v>
      </c>
      <c r="AZ2366" s="68" t="str">
        <f t="shared" si="261"/>
        <v>No</v>
      </c>
      <c r="BA2366" s="68" t="str">
        <f t="shared" si="262"/>
        <v>No</v>
      </c>
    </row>
    <row r="2367" spans="1:55" ht="15" hidden="1">
      <c r="A2367" t="s">
        <v>3914</v>
      </c>
      <c r="G2367" s="56" t="s">
        <v>4287</v>
      </c>
      <c r="P2367" t="s">
        <v>4596</v>
      </c>
      <c r="R2367" t="s">
        <v>4357</v>
      </c>
      <c r="S2367" t="s">
        <v>952</v>
      </c>
      <c r="V2367" t="s">
        <v>4598</v>
      </c>
      <c r="Z2367">
        <v>3</v>
      </c>
      <c r="AA2367">
        <v>3</v>
      </c>
      <c r="AC2367">
        <v>324</v>
      </c>
      <c r="AD2367">
        <v>18</v>
      </c>
      <c r="AE2367">
        <v>330</v>
      </c>
      <c r="AF2367">
        <v>22</v>
      </c>
      <c r="AJ2367" t="s">
        <v>1813</v>
      </c>
      <c r="AK2367" t="s">
        <v>4041</v>
      </c>
      <c r="AN2367">
        <v>94</v>
      </c>
      <c r="AO2367">
        <v>1.3899247406604085</v>
      </c>
      <c r="AP2367">
        <v>94</v>
      </c>
      <c r="AQ2367">
        <v>1.3602468959611766</v>
      </c>
      <c r="AW2367" s="28">
        <f t="shared" si="258"/>
        <v>0</v>
      </c>
      <c r="AX2367">
        <f t="shared" si="259"/>
        <v>0.8</v>
      </c>
      <c r="AY2367" s="62">
        <f t="shared" si="260"/>
        <v>0</v>
      </c>
      <c r="AZ2367" s="68" t="str">
        <f t="shared" si="261"/>
        <v>No</v>
      </c>
      <c r="BA2367" s="68" t="str">
        <f t="shared" si="262"/>
        <v>No</v>
      </c>
    </row>
    <row r="2368" spans="1:55" s="56" customFormat="1" ht="15" hidden="1">
      <c r="A2368" t="s">
        <v>3914</v>
      </c>
      <c r="B2368"/>
      <c r="C2368"/>
      <c r="D2368" s="25"/>
      <c r="E2368" s="25"/>
      <c r="F2368"/>
      <c r="G2368" s="56" t="s">
        <v>4287</v>
      </c>
      <c r="H2368"/>
      <c r="I2368"/>
      <c r="J2368"/>
      <c r="K2368"/>
      <c r="L2368"/>
      <c r="M2368" s="25"/>
      <c r="N2368"/>
      <c r="O2368"/>
      <c r="P2368" t="s">
        <v>4596</v>
      </c>
      <c r="Q2368"/>
      <c r="R2368" t="s">
        <v>4357</v>
      </c>
      <c r="S2368" t="s">
        <v>956</v>
      </c>
      <c r="T2368"/>
      <c r="U2368"/>
      <c r="V2368" t="s">
        <v>4598</v>
      </c>
      <c r="W2368" s="25"/>
      <c r="X2368"/>
      <c r="Y2368"/>
      <c r="Z2368">
        <v>3</v>
      </c>
      <c r="AA2368">
        <v>3</v>
      </c>
      <c r="AB2368"/>
      <c r="AC2368">
        <v>330</v>
      </c>
      <c r="AD2368">
        <v>22</v>
      </c>
      <c r="AE2368">
        <v>335</v>
      </c>
      <c r="AF2368">
        <v>26</v>
      </c>
      <c r="AG2368"/>
      <c r="AH2368"/>
      <c r="AI2368"/>
      <c r="AJ2368" t="s">
        <v>1813</v>
      </c>
      <c r="AK2368" t="s">
        <v>4041</v>
      </c>
      <c r="AL2368" s="25"/>
      <c r="AM2368" s="35"/>
      <c r="AN2368">
        <v>90</v>
      </c>
      <c r="AO2368">
        <v>8.3850737814432037</v>
      </c>
      <c r="AP2368">
        <v>93</v>
      </c>
      <c r="AQ2368">
        <v>1.6244321759144578</v>
      </c>
      <c r="AR2368"/>
      <c r="AS2368"/>
      <c r="AT2368"/>
      <c r="AU2368"/>
      <c r="AV2368"/>
      <c r="AW2368" s="28">
        <f t="shared" si="258"/>
        <v>0.49673966126895064</v>
      </c>
      <c r="AX2368">
        <f t="shared" si="259"/>
        <v>0.8</v>
      </c>
      <c r="AY2368" s="78">
        <f t="shared" si="260"/>
        <v>0.39739172901516051</v>
      </c>
      <c r="AZ2368" s="79" t="str">
        <f t="shared" si="261"/>
        <v>No</v>
      </c>
      <c r="BA2368" s="79" t="str">
        <f t="shared" si="262"/>
        <v>No</v>
      </c>
      <c r="BB2368" s="77"/>
      <c r="BC2368" s="77"/>
    </row>
    <row r="2369" spans="1:55" hidden="1">
      <c r="A2369" t="s">
        <v>3914</v>
      </c>
      <c r="G2369" t="s">
        <v>4287</v>
      </c>
      <c r="P2369" t="s">
        <v>60</v>
      </c>
      <c r="R2369" t="s">
        <v>4357</v>
      </c>
      <c r="S2369" t="s">
        <v>1756</v>
      </c>
      <c r="V2369" t="s">
        <v>3956</v>
      </c>
      <c r="Z2369">
        <v>3</v>
      </c>
      <c r="AA2369">
        <v>3</v>
      </c>
      <c r="AC2369">
        <v>324</v>
      </c>
      <c r="AD2369">
        <v>18</v>
      </c>
      <c r="AE2369">
        <v>1033</v>
      </c>
      <c r="AF2369">
        <v>18</v>
      </c>
      <c r="AJ2369" t="s">
        <v>1813</v>
      </c>
      <c r="AK2369" t="s">
        <v>4093</v>
      </c>
      <c r="AN2369">
        <v>95</v>
      </c>
      <c r="AO2369">
        <v>1.7673987832335483</v>
      </c>
      <c r="AP2369">
        <v>94</v>
      </c>
      <c r="AQ2369">
        <v>1.7673987832335483</v>
      </c>
      <c r="AW2369" s="28">
        <f t="shared" si="258"/>
        <v>-0.56580326380583323</v>
      </c>
      <c r="AX2369">
        <f t="shared" si="259"/>
        <v>0.8</v>
      </c>
      <c r="AY2369" s="62">
        <f t="shared" si="260"/>
        <v>-0.45264261104466663</v>
      </c>
      <c r="AZ2369" s="68" t="str">
        <f t="shared" si="261"/>
        <v>No</v>
      </c>
      <c r="BA2369" s="68" t="str">
        <f t="shared" si="262"/>
        <v>No</v>
      </c>
    </row>
    <row r="2370" spans="1:55" ht="15" hidden="1">
      <c r="A2370" t="s">
        <v>3914</v>
      </c>
      <c r="G2370" s="56" t="s">
        <v>4287</v>
      </c>
      <c r="P2370" t="s">
        <v>4596</v>
      </c>
      <c r="R2370" t="s">
        <v>4357</v>
      </c>
      <c r="S2370" t="s">
        <v>952</v>
      </c>
      <c r="V2370" t="s">
        <v>4626</v>
      </c>
      <c r="Z2370">
        <v>3</v>
      </c>
      <c r="AA2370">
        <v>3</v>
      </c>
      <c r="AC2370">
        <v>324</v>
      </c>
      <c r="AD2370">
        <v>18</v>
      </c>
      <c r="AE2370">
        <v>1069</v>
      </c>
      <c r="AF2370">
        <v>22</v>
      </c>
      <c r="AJ2370" t="s">
        <v>1813</v>
      </c>
      <c r="AK2370" t="s">
        <v>4041</v>
      </c>
      <c r="AN2370">
        <v>94</v>
      </c>
      <c r="AO2370">
        <v>1.3899247406604085</v>
      </c>
      <c r="AP2370">
        <v>94</v>
      </c>
      <c r="AQ2370">
        <v>1.7950799200798966</v>
      </c>
      <c r="AW2370" s="28">
        <f t="shared" si="258"/>
        <v>0</v>
      </c>
      <c r="AX2370">
        <f t="shared" si="259"/>
        <v>0.8</v>
      </c>
      <c r="AY2370" s="62">
        <f t="shared" si="260"/>
        <v>0</v>
      </c>
      <c r="AZ2370" s="68" t="str">
        <f t="shared" si="261"/>
        <v>No</v>
      </c>
      <c r="BA2370" s="68" t="str">
        <f t="shared" si="262"/>
        <v>No</v>
      </c>
    </row>
    <row r="2371" spans="1:55" ht="15" hidden="1">
      <c r="A2371" t="s">
        <v>3914</v>
      </c>
      <c r="G2371" s="56" t="s">
        <v>4287</v>
      </c>
      <c r="P2371" t="s">
        <v>4596</v>
      </c>
      <c r="R2371" t="s">
        <v>4357</v>
      </c>
      <c r="S2371" t="s">
        <v>952</v>
      </c>
      <c r="V2371" t="s">
        <v>4627</v>
      </c>
      <c r="Z2371">
        <v>3</v>
      </c>
      <c r="AA2371">
        <v>3</v>
      </c>
      <c r="AC2371">
        <v>324</v>
      </c>
      <c r="AD2371">
        <v>18</v>
      </c>
      <c r="AE2371">
        <v>1762</v>
      </c>
      <c r="AF2371">
        <v>22</v>
      </c>
      <c r="AJ2371" t="s">
        <v>1813</v>
      </c>
      <c r="AK2371" t="s">
        <v>4041</v>
      </c>
      <c r="AN2371">
        <v>94</v>
      </c>
      <c r="AO2371">
        <v>1.3899247406604085</v>
      </c>
      <c r="AP2371">
        <v>93</v>
      </c>
      <c r="AQ2371">
        <v>1.8842764378479147</v>
      </c>
      <c r="AW2371" s="28">
        <f t="shared" si="258"/>
        <v>-0.60399048189033244</v>
      </c>
      <c r="AX2371">
        <f t="shared" si="259"/>
        <v>0.8</v>
      </c>
      <c r="AY2371" s="62">
        <f t="shared" si="260"/>
        <v>-0.48319238551226595</v>
      </c>
      <c r="AZ2371" s="68" t="str">
        <f t="shared" si="261"/>
        <v>No</v>
      </c>
      <c r="BA2371" s="68" t="str">
        <f t="shared" si="262"/>
        <v>No</v>
      </c>
    </row>
    <row r="2372" spans="1:55" ht="15" hidden="1">
      <c r="A2372" t="s">
        <v>3914</v>
      </c>
      <c r="G2372" s="56" t="s">
        <v>4287</v>
      </c>
      <c r="P2372" t="s">
        <v>4596</v>
      </c>
      <c r="R2372" t="s">
        <v>4652</v>
      </c>
      <c r="S2372" t="s">
        <v>1755</v>
      </c>
      <c r="V2372" t="s">
        <v>4598</v>
      </c>
      <c r="Z2372">
        <v>4</v>
      </c>
      <c r="AA2372">
        <v>4</v>
      </c>
      <c r="AC2372">
        <v>327</v>
      </c>
      <c r="AD2372">
        <v>20</v>
      </c>
      <c r="AE2372">
        <v>332</v>
      </c>
      <c r="AF2372">
        <v>24</v>
      </c>
      <c r="AJ2372" t="s">
        <v>1813</v>
      </c>
      <c r="AK2372" t="s">
        <v>4041</v>
      </c>
      <c r="AN2372">
        <v>89</v>
      </c>
      <c r="AO2372">
        <v>2.2602914683660216</v>
      </c>
      <c r="AP2372">
        <v>91</v>
      </c>
      <c r="AQ2372">
        <v>1.9336014594023951</v>
      </c>
      <c r="AW2372" s="28">
        <f t="shared" si="258"/>
        <v>0.95088722063073161</v>
      </c>
      <c r="AX2372">
        <f t="shared" si="259"/>
        <v>0.86956521739130432</v>
      </c>
      <c r="AY2372" s="62">
        <f t="shared" si="260"/>
        <v>0.82685845272237524</v>
      </c>
      <c r="AZ2372" s="68" t="str">
        <f t="shared" si="261"/>
        <v>No</v>
      </c>
      <c r="BA2372" s="68" t="str">
        <f t="shared" si="262"/>
        <v>No</v>
      </c>
    </row>
    <row r="2373" spans="1:55" hidden="1">
      <c r="A2373" t="s">
        <v>3914</v>
      </c>
      <c r="G2373" t="s">
        <v>4997</v>
      </c>
      <c r="P2373" t="s">
        <v>60</v>
      </c>
      <c r="R2373" t="s">
        <v>4357</v>
      </c>
      <c r="S2373" t="s">
        <v>956</v>
      </c>
      <c r="V2373" t="s">
        <v>3956</v>
      </c>
      <c r="Z2373">
        <v>4</v>
      </c>
      <c r="AA2373">
        <v>4</v>
      </c>
      <c r="AC2373">
        <v>324</v>
      </c>
      <c r="AD2373">
        <v>18</v>
      </c>
      <c r="AE2373">
        <v>1033</v>
      </c>
      <c r="AF2373">
        <v>18</v>
      </c>
      <c r="AJ2373" t="s">
        <v>1813</v>
      </c>
      <c r="AK2373" t="s">
        <v>4093</v>
      </c>
      <c r="AN2373">
        <v>92</v>
      </c>
      <c r="AO2373">
        <v>5.1020408163265305</v>
      </c>
      <c r="AP2373">
        <v>90</v>
      </c>
      <c r="AQ2373">
        <v>2.0408163265306123</v>
      </c>
      <c r="AW2373" s="28">
        <f t="shared" si="258"/>
        <v>-0.5147212168101124</v>
      </c>
      <c r="AX2373">
        <f t="shared" si="259"/>
        <v>0.86956521739130432</v>
      </c>
      <c r="AY2373" s="62">
        <f t="shared" si="260"/>
        <v>-0.4475836667914021</v>
      </c>
      <c r="AZ2373" s="68" t="str">
        <f t="shared" si="261"/>
        <v>No</v>
      </c>
      <c r="BA2373" s="68" t="str">
        <f t="shared" si="262"/>
        <v>No</v>
      </c>
    </row>
    <row r="2374" spans="1:55" ht="15" hidden="1">
      <c r="A2374" t="s">
        <v>3914</v>
      </c>
      <c r="G2374" s="56" t="s">
        <v>4287</v>
      </c>
      <c r="P2374" t="s">
        <v>4596</v>
      </c>
      <c r="R2374" t="s">
        <v>4357</v>
      </c>
      <c r="S2374" t="s">
        <v>1756</v>
      </c>
      <c r="V2374" t="s">
        <v>4598</v>
      </c>
      <c r="Z2374">
        <v>3</v>
      </c>
      <c r="AA2374">
        <v>3</v>
      </c>
      <c r="AC2374">
        <v>327</v>
      </c>
      <c r="AD2374">
        <v>20</v>
      </c>
      <c r="AE2374">
        <v>332</v>
      </c>
      <c r="AF2374">
        <v>24</v>
      </c>
      <c r="AJ2374" t="s">
        <v>1813</v>
      </c>
      <c r="AK2374" t="s">
        <v>4041</v>
      </c>
      <c r="AN2374">
        <v>95</v>
      </c>
      <c r="AO2374">
        <v>1.3992218961163219</v>
      </c>
      <c r="AP2374">
        <v>92</v>
      </c>
      <c r="AQ2374">
        <v>2.2051527068249466</v>
      </c>
      <c r="AW2374" s="28">
        <f t="shared" si="258"/>
        <v>-1.6245291075478152</v>
      </c>
      <c r="AX2374">
        <f t="shared" si="259"/>
        <v>0.8</v>
      </c>
      <c r="AY2374" s="62">
        <f t="shared" si="260"/>
        <v>-1.2996232860382522</v>
      </c>
      <c r="AZ2374" s="68" t="str">
        <f t="shared" si="261"/>
        <v>No</v>
      </c>
      <c r="BA2374" s="68" t="str">
        <f t="shared" si="262"/>
        <v>No</v>
      </c>
    </row>
    <row r="2375" spans="1:55" ht="15" hidden="1">
      <c r="A2375" t="s">
        <v>3914</v>
      </c>
      <c r="G2375" s="56" t="s">
        <v>4287</v>
      </c>
      <c r="P2375" t="s">
        <v>4596</v>
      </c>
      <c r="R2375" t="s">
        <v>4357</v>
      </c>
      <c r="S2375" t="s">
        <v>956</v>
      </c>
      <c r="V2375" t="s">
        <v>4627</v>
      </c>
      <c r="Z2375">
        <v>3</v>
      </c>
      <c r="AA2375">
        <v>3</v>
      </c>
      <c r="AC2375">
        <v>330</v>
      </c>
      <c r="AD2375">
        <v>22</v>
      </c>
      <c r="AE2375">
        <v>1828</v>
      </c>
      <c r="AF2375">
        <v>26</v>
      </c>
      <c r="AJ2375" t="s">
        <v>1813</v>
      </c>
      <c r="AK2375" t="s">
        <v>4041</v>
      </c>
      <c r="AN2375">
        <v>90</v>
      </c>
      <c r="AO2375">
        <v>8.3850737814432037</v>
      </c>
      <c r="AP2375">
        <v>92</v>
      </c>
      <c r="AQ2375">
        <v>2.2843577473799002</v>
      </c>
      <c r="AW2375" s="28">
        <f t="shared" si="258"/>
        <v>0.32545557277399639</v>
      </c>
      <c r="AX2375">
        <f t="shared" si="259"/>
        <v>0.8</v>
      </c>
      <c r="AY2375" s="78">
        <f t="shared" si="260"/>
        <v>0.26036445821919713</v>
      </c>
      <c r="AZ2375" s="79" t="str">
        <f t="shared" si="261"/>
        <v>No</v>
      </c>
      <c r="BA2375" s="79" t="str">
        <f t="shared" si="262"/>
        <v>No</v>
      </c>
      <c r="BB2375" s="77"/>
      <c r="BC2375" s="77"/>
    </row>
    <row r="2376" spans="1:55" ht="15" hidden="1">
      <c r="A2376" t="s">
        <v>3914</v>
      </c>
      <c r="G2376" s="56" t="s">
        <v>4287</v>
      </c>
      <c r="P2376" t="s">
        <v>4596</v>
      </c>
      <c r="R2376" t="s">
        <v>4357</v>
      </c>
      <c r="S2376" t="s">
        <v>950</v>
      </c>
      <c r="V2376" t="s">
        <v>4627</v>
      </c>
      <c r="Z2376">
        <v>3</v>
      </c>
      <c r="AA2376">
        <v>3</v>
      </c>
      <c r="AC2376">
        <v>327</v>
      </c>
      <c r="AD2376">
        <v>20</v>
      </c>
      <c r="AE2376">
        <v>1795</v>
      </c>
      <c r="AF2376">
        <v>24</v>
      </c>
      <c r="AJ2376" t="s">
        <v>1813</v>
      </c>
      <c r="AK2376" t="s">
        <v>4041</v>
      </c>
      <c r="AN2376">
        <v>88</v>
      </c>
      <c r="AO2376">
        <v>3.8393283734899009</v>
      </c>
      <c r="AP2376">
        <v>90</v>
      </c>
      <c r="AQ2376">
        <v>2.4188120477872972</v>
      </c>
      <c r="AW2376" s="28">
        <f t="shared" si="258"/>
        <v>0.62331170437966044</v>
      </c>
      <c r="AX2376">
        <f t="shared" si="259"/>
        <v>0.8</v>
      </c>
      <c r="AY2376" s="62">
        <f t="shared" si="260"/>
        <v>0.49864936350372835</v>
      </c>
      <c r="AZ2376" s="68" t="str">
        <f t="shared" si="261"/>
        <v>No</v>
      </c>
      <c r="BA2376" s="68" t="str">
        <f t="shared" si="262"/>
        <v>No</v>
      </c>
    </row>
    <row r="2377" spans="1:55" s="56" customFormat="1" ht="15" hidden="1">
      <c r="A2377" t="s">
        <v>3914</v>
      </c>
      <c r="B2377"/>
      <c r="C2377"/>
      <c r="D2377" s="25"/>
      <c r="E2377" s="25"/>
      <c r="F2377"/>
      <c r="G2377" s="56" t="s">
        <v>4287</v>
      </c>
      <c r="H2377"/>
      <c r="I2377"/>
      <c r="J2377"/>
      <c r="K2377"/>
      <c r="L2377"/>
      <c r="M2377" s="25"/>
      <c r="N2377"/>
      <c r="O2377"/>
      <c r="P2377" t="s">
        <v>4596</v>
      </c>
      <c r="Q2377"/>
      <c r="R2377" t="s">
        <v>4652</v>
      </c>
      <c r="S2377" t="s">
        <v>1755</v>
      </c>
      <c r="T2377"/>
      <c r="U2377"/>
      <c r="V2377" t="s">
        <v>4627</v>
      </c>
      <c r="W2377" s="25"/>
      <c r="X2377"/>
      <c r="Y2377"/>
      <c r="Z2377">
        <v>4</v>
      </c>
      <c r="AA2377">
        <v>4</v>
      </c>
      <c r="AB2377"/>
      <c r="AC2377">
        <v>327</v>
      </c>
      <c r="AD2377">
        <v>20</v>
      </c>
      <c r="AE2377">
        <v>1795</v>
      </c>
      <c r="AF2377">
        <v>24</v>
      </c>
      <c r="AG2377"/>
      <c r="AH2377"/>
      <c r="AI2377"/>
      <c r="AJ2377" t="s">
        <v>1813</v>
      </c>
      <c r="AK2377" t="s">
        <v>4041</v>
      </c>
      <c r="AL2377" s="25"/>
      <c r="AM2377" s="35"/>
      <c r="AN2377">
        <v>89</v>
      </c>
      <c r="AO2377">
        <v>2.2602914683660216</v>
      </c>
      <c r="AP2377">
        <v>89</v>
      </c>
      <c r="AQ2377">
        <v>2.4536735760691801</v>
      </c>
      <c r="AR2377"/>
      <c r="AS2377"/>
      <c r="AT2377"/>
      <c r="AU2377"/>
      <c r="AV2377"/>
      <c r="AW2377" s="28">
        <f t="shared" si="258"/>
        <v>0</v>
      </c>
      <c r="AX2377">
        <f t="shared" si="259"/>
        <v>0.86956521739130432</v>
      </c>
      <c r="AY2377" s="62">
        <f t="shared" si="260"/>
        <v>0</v>
      </c>
      <c r="AZ2377" s="68" t="str">
        <f t="shared" si="261"/>
        <v>No</v>
      </c>
      <c r="BA2377" s="68" t="str">
        <f t="shared" si="262"/>
        <v>No</v>
      </c>
      <c r="BB2377"/>
      <c r="BC2377"/>
    </row>
    <row r="2378" spans="1:55" ht="15" hidden="1">
      <c r="A2378" t="s">
        <v>3914</v>
      </c>
      <c r="G2378" s="56" t="s">
        <v>4609</v>
      </c>
      <c r="P2378" t="s">
        <v>4596</v>
      </c>
      <c r="R2378" t="s">
        <v>4357</v>
      </c>
      <c r="S2378" t="s">
        <v>956</v>
      </c>
      <c r="V2378" t="s">
        <v>4598</v>
      </c>
      <c r="Z2378">
        <v>4</v>
      </c>
      <c r="AA2378">
        <v>4</v>
      </c>
      <c r="AC2378">
        <v>330</v>
      </c>
      <c r="AD2378">
        <v>22</v>
      </c>
      <c r="AE2378">
        <v>335</v>
      </c>
      <c r="AF2378">
        <v>26</v>
      </c>
      <c r="AJ2378" t="s">
        <v>1813</v>
      </c>
      <c r="AK2378" t="s">
        <v>4041</v>
      </c>
      <c r="AN2378">
        <v>92</v>
      </c>
      <c r="AO2378">
        <v>2.4295432458697461</v>
      </c>
      <c r="AP2378">
        <v>93</v>
      </c>
      <c r="AQ2378">
        <v>2.6030820491461699</v>
      </c>
      <c r="AW2378" s="28">
        <f t="shared" si="258"/>
        <v>0.3971708365982875</v>
      </c>
      <c r="AX2378">
        <f t="shared" si="259"/>
        <v>0.86956521739130432</v>
      </c>
      <c r="AY2378" s="62">
        <f t="shared" si="260"/>
        <v>0.34536594486807609</v>
      </c>
      <c r="AZ2378" s="68" t="str">
        <f t="shared" si="261"/>
        <v>No</v>
      </c>
      <c r="BA2378" s="68" t="str">
        <f t="shared" si="262"/>
        <v>No</v>
      </c>
    </row>
    <row r="2379" spans="1:55" s="56" customFormat="1" ht="15" hidden="1">
      <c r="A2379" t="s">
        <v>3914</v>
      </c>
      <c r="B2379"/>
      <c r="C2379"/>
      <c r="D2379" s="25"/>
      <c r="E2379" s="25"/>
      <c r="F2379"/>
      <c r="G2379" t="s">
        <v>4287</v>
      </c>
      <c r="H2379"/>
      <c r="I2379"/>
      <c r="J2379"/>
      <c r="K2379"/>
      <c r="L2379"/>
      <c r="M2379" s="25"/>
      <c r="N2379"/>
      <c r="O2379"/>
      <c r="P2379" t="s">
        <v>60</v>
      </c>
      <c r="Q2379"/>
      <c r="R2379" t="s">
        <v>4357</v>
      </c>
      <c r="S2379" t="s">
        <v>1756</v>
      </c>
      <c r="T2379"/>
      <c r="U2379"/>
      <c r="V2379" t="s">
        <v>3956</v>
      </c>
      <c r="W2379" s="25"/>
      <c r="X2379"/>
      <c r="Y2379"/>
      <c r="Z2379">
        <v>3</v>
      </c>
      <c r="AA2379">
        <v>3</v>
      </c>
      <c r="AB2379"/>
      <c r="AC2379">
        <v>324</v>
      </c>
      <c r="AD2379">
        <v>18</v>
      </c>
      <c r="AE2379">
        <v>1695</v>
      </c>
      <c r="AF2379">
        <v>18</v>
      </c>
      <c r="AG2379"/>
      <c r="AH2379"/>
      <c r="AI2379"/>
      <c r="AJ2379" t="s">
        <v>1813</v>
      </c>
      <c r="AK2379" t="s">
        <v>4093</v>
      </c>
      <c r="AL2379" s="25"/>
      <c r="AM2379" s="35"/>
      <c r="AN2379">
        <v>95</v>
      </c>
      <c r="AO2379">
        <v>1.7673987832335483</v>
      </c>
      <c r="AP2379">
        <v>92</v>
      </c>
      <c r="AQ2379">
        <v>2.6510981748503224</v>
      </c>
      <c r="AR2379"/>
      <c r="AS2379"/>
      <c r="AT2379"/>
      <c r="AU2379"/>
      <c r="AV2379"/>
      <c r="AW2379" s="28">
        <f t="shared" si="258"/>
        <v>-1.3315577921540447</v>
      </c>
      <c r="AX2379">
        <f t="shared" si="259"/>
        <v>0.8</v>
      </c>
      <c r="AY2379" s="62">
        <f t="shared" si="260"/>
        <v>-1.0652462337232358</v>
      </c>
      <c r="AZ2379" s="68" t="str">
        <f t="shared" si="261"/>
        <v>No</v>
      </c>
      <c r="BA2379" s="68" t="str">
        <f t="shared" si="262"/>
        <v>No</v>
      </c>
      <c r="BB2379"/>
      <c r="BC2379"/>
    </row>
    <row r="2380" spans="1:55" ht="15" hidden="1">
      <c r="A2380" t="s">
        <v>3914</v>
      </c>
      <c r="G2380" s="56" t="s">
        <v>4287</v>
      </c>
      <c r="P2380" t="s">
        <v>4596</v>
      </c>
      <c r="R2380" t="s">
        <v>4357</v>
      </c>
      <c r="S2380" t="s">
        <v>950</v>
      </c>
      <c r="V2380" t="s">
        <v>4626</v>
      </c>
      <c r="Z2380">
        <v>3</v>
      </c>
      <c r="AA2380">
        <v>3</v>
      </c>
      <c r="AC2380">
        <v>327</v>
      </c>
      <c r="AD2380">
        <v>20</v>
      </c>
      <c r="AE2380">
        <v>1087</v>
      </c>
      <c r="AF2380">
        <v>24</v>
      </c>
      <c r="AJ2380" t="s">
        <v>1813</v>
      </c>
      <c r="AK2380" t="s">
        <v>4041</v>
      </c>
      <c r="AN2380">
        <v>88</v>
      </c>
      <c r="AO2380">
        <v>3.8393283734899009</v>
      </c>
      <c r="AP2380">
        <v>90</v>
      </c>
      <c r="AQ2380">
        <v>3.350280041345151</v>
      </c>
      <c r="AW2380" s="28">
        <f t="shared" si="258"/>
        <v>0.5550758672417262</v>
      </c>
      <c r="AX2380">
        <f t="shared" si="259"/>
        <v>0.8</v>
      </c>
      <c r="AY2380" s="62">
        <f t="shared" si="260"/>
        <v>0.44406069379338098</v>
      </c>
      <c r="AZ2380" s="68" t="str">
        <f t="shared" si="261"/>
        <v>No</v>
      </c>
      <c r="BA2380" s="68" t="str">
        <f t="shared" si="262"/>
        <v>No</v>
      </c>
    </row>
    <row r="2381" spans="1:55" s="56" customFormat="1" ht="15" hidden="1">
      <c r="A2381" t="s">
        <v>3914</v>
      </c>
      <c r="B2381"/>
      <c r="C2381"/>
      <c r="D2381" s="25"/>
      <c r="E2381" s="25"/>
      <c r="F2381"/>
      <c r="G2381" s="56" t="s">
        <v>4287</v>
      </c>
      <c r="H2381"/>
      <c r="I2381"/>
      <c r="J2381"/>
      <c r="K2381"/>
      <c r="L2381"/>
      <c r="M2381" s="25"/>
      <c r="N2381"/>
      <c r="O2381"/>
      <c r="P2381" t="s">
        <v>4596</v>
      </c>
      <c r="Q2381"/>
      <c r="R2381" t="s">
        <v>4357</v>
      </c>
      <c r="S2381" t="s">
        <v>956</v>
      </c>
      <c r="T2381"/>
      <c r="U2381"/>
      <c r="V2381" t="s">
        <v>4626</v>
      </c>
      <c r="W2381" s="25"/>
      <c r="X2381"/>
      <c r="Y2381"/>
      <c r="Z2381">
        <v>4</v>
      </c>
      <c r="AA2381">
        <v>4</v>
      </c>
      <c r="AB2381"/>
      <c r="AC2381">
        <v>330</v>
      </c>
      <c r="AD2381">
        <v>22</v>
      </c>
      <c r="AE2381">
        <v>1104</v>
      </c>
      <c r="AF2381">
        <v>26</v>
      </c>
      <c r="AG2381"/>
      <c r="AH2381"/>
      <c r="AI2381"/>
      <c r="AJ2381" t="s">
        <v>1813</v>
      </c>
      <c r="AK2381" t="s">
        <v>4041</v>
      </c>
      <c r="AL2381" s="25"/>
      <c r="AM2381" s="35"/>
      <c r="AN2381">
        <v>92</v>
      </c>
      <c r="AO2381">
        <v>2.4295432458697461</v>
      </c>
      <c r="AP2381">
        <v>87</v>
      </c>
      <c r="AQ2381">
        <v>3.3840066638900521</v>
      </c>
      <c r="AR2381"/>
      <c r="AS2381"/>
      <c r="AT2381"/>
      <c r="AU2381"/>
      <c r="AV2381"/>
      <c r="AW2381" s="28">
        <f t="shared" si="258"/>
        <v>-1.6973950632860035</v>
      </c>
      <c r="AX2381">
        <f t="shared" si="259"/>
        <v>0.86956521739130432</v>
      </c>
      <c r="AY2381" s="62">
        <f t="shared" si="260"/>
        <v>-1.4759957072052203</v>
      </c>
      <c r="AZ2381" s="68" t="str">
        <f t="shared" si="261"/>
        <v>No</v>
      </c>
      <c r="BA2381" s="68" t="str">
        <f t="shared" si="262"/>
        <v>No</v>
      </c>
      <c r="BB2381"/>
      <c r="BC2381"/>
    </row>
    <row r="2382" spans="1:55" ht="15" hidden="1">
      <c r="A2382" t="s">
        <v>3914</v>
      </c>
      <c r="G2382" s="56" t="s">
        <v>4287</v>
      </c>
      <c r="P2382" t="s">
        <v>4596</v>
      </c>
      <c r="R2382" t="s">
        <v>4357</v>
      </c>
      <c r="S2382" t="s">
        <v>956</v>
      </c>
      <c r="V2382" t="s">
        <v>4627</v>
      </c>
      <c r="Z2382">
        <v>4</v>
      </c>
      <c r="AA2382">
        <v>4</v>
      </c>
      <c r="AC2382">
        <v>330</v>
      </c>
      <c r="AD2382">
        <v>22</v>
      </c>
      <c r="AE2382">
        <v>1828</v>
      </c>
      <c r="AF2382">
        <v>26</v>
      </c>
      <c r="AJ2382" t="s">
        <v>1813</v>
      </c>
      <c r="AK2382" t="s">
        <v>4041</v>
      </c>
      <c r="AN2382">
        <v>92</v>
      </c>
      <c r="AO2382">
        <v>2.4295432458697461</v>
      </c>
      <c r="AP2382">
        <v>87</v>
      </c>
      <c r="AQ2382">
        <v>3.3840066638900521</v>
      </c>
      <c r="AW2382" s="28">
        <f t="shared" ref="AW2382:AW2445" si="263">(AP2382-$AN2382)/SQRT(((AA2382-1)*AQ2382*AQ2382+($Z2382-1)*$AO2382*$AO2382)/(AA2382+$Z2382-2))</f>
        <v>-1.6973950632860035</v>
      </c>
      <c r="AX2382">
        <f t="shared" ref="AX2382:AX2445" si="264">1-(3/(4*(AA2382+$Z2382-2)-1))</f>
        <v>0.86956521739130432</v>
      </c>
      <c r="AY2382" s="62">
        <f t="shared" ref="AY2382:AY2445" si="265">AX2382*AW2382</f>
        <v>-1.4759957072052203</v>
      </c>
      <c r="AZ2382" s="68" t="str">
        <f t="shared" ref="AZ2382:AZ2445" si="266">IF(AY2382&gt;10,"Yes","No")</f>
        <v>No</v>
      </c>
      <c r="BA2382" s="68" t="str">
        <f t="shared" ref="BA2382:BA2445" si="267">IF(AY2382&lt;-10,"Yes","No")</f>
        <v>No</v>
      </c>
    </row>
    <row r="2383" spans="1:55" ht="15" hidden="1">
      <c r="A2383" t="s">
        <v>3914</v>
      </c>
      <c r="G2383" s="56" t="s">
        <v>4287</v>
      </c>
      <c r="P2383" t="s">
        <v>4596</v>
      </c>
      <c r="R2383" t="s">
        <v>4357</v>
      </c>
      <c r="S2383" t="s">
        <v>1756</v>
      </c>
      <c r="V2383" t="s">
        <v>4626</v>
      </c>
      <c r="Z2383">
        <v>3</v>
      </c>
      <c r="AA2383">
        <v>3</v>
      </c>
      <c r="AC2383">
        <v>327</v>
      </c>
      <c r="AD2383">
        <v>20</v>
      </c>
      <c r="AE2383">
        <v>1087</v>
      </c>
      <c r="AF2383">
        <v>24</v>
      </c>
      <c r="AJ2383" t="s">
        <v>1813</v>
      </c>
      <c r="AK2383" t="s">
        <v>4041</v>
      </c>
      <c r="AN2383">
        <v>95</v>
      </c>
      <c r="AO2383">
        <v>1.3992218961163219</v>
      </c>
      <c r="AP2383">
        <v>90</v>
      </c>
      <c r="AQ2383">
        <v>3.6227508754981086</v>
      </c>
      <c r="AW2383" s="28">
        <f t="shared" si="263"/>
        <v>-1.8207630629730736</v>
      </c>
      <c r="AX2383">
        <f t="shared" si="264"/>
        <v>0.8</v>
      </c>
      <c r="AY2383" s="62">
        <f t="shared" si="265"/>
        <v>-1.4566104503784589</v>
      </c>
      <c r="AZ2383" s="68" t="str">
        <f t="shared" si="266"/>
        <v>No</v>
      </c>
      <c r="BA2383" s="68" t="str">
        <f t="shared" si="267"/>
        <v>No</v>
      </c>
    </row>
    <row r="2384" spans="1:55" hidden="1">
      <c r="A2384" t="s">
        <v>3914</v>
      </c>
      <c r="G2384" t="s">
        <v>4287</v>
      </c>
      <c r="P2384" t="s">
        <v>60</v>
      </c>
      <c r="R2384" t="s">
        <v>4357</v>
      </c>
      <c r="S2384" t="s">
        <v>950</v>
      </c>
      <c r="V2384" t="s">
        <v>3956</v>
      </c>
      <c r="Z2384">
        <v>3</v>
      </c>
      <c r="AA2384">
        <v>3</v>
      </c>
      <c r="AC2384">
        <v>324</v>
      </c>
      <c r="AD2384">
        <v>18</v>
      </c>
      <c r="AE2384">
        <v>1695</v>
      </c>
      <c r="AF2384">
        <v>18</v>
      </c>
      <c r="AJ2384" t="s">
        <v>1813</v>
      </c>
      <c r="AK2384" t="s">
        <v>4093</v>
      </c>
      <c r="AN2384">
        <v>88</v>
      </c>
      <c r="AO2384">
        <v>6.1858957413174185</v>
      </c>
      <c r="AP2384">
        <v>92</v>
      </c>
      <c r="AQ2384">
        <v>4.4184969580838702</v>
      </c>
      <c r="AW2384" s="28">
        <f t="shared" si="263"/>
        <v>0.74413986866995929</v>
      </c>
      <c r="AX2384">
        <f t="shared" si="264"/>
        <v>0.8</v>
      </c>
      <c r="AY2384" s="62">
        <f t="shared" si="265"/>
        <v>0.59531189493596748</v>
      </c>
      <c r="AZ2384" s="68" t="str">
        <f t="shared" si="266"/>
        <v>No</v>
      </c>
      <c r="BA2384" s="68" t="str">
        <f t="shared" si="267"/>
        <v>No</v>
      </c>
    </row>
    <row r="2385" spans="1:55" ht="15" hidden="1">
      <c r="A2385" t="s">
        <v>3914</v>
      </c>
      <c r="G2385" s="56" t="s">
        <v>4287</v>
      </c>
      <c r="P2385" t="s">
        <v>4596</v>
      </c>
      <c r="R2385" t="s">
        <v>4357</v>
      </c>
      <c r="S2385" t="s">
        <v>1756</v>
      </c>
      <c r="V2385" t="s">
        <v>4627</v>
      </c>
      <c r="Z2385">
        <v>3</v>
      </c>
      <c r="AA2385">
        <v>3</v>
      </c>
      <c r="AC2385">
        <v>327</v>
      </c>
      <c r="AD2385">
        <v>20</v>
      </c>
      <c r="AE2385">
        <v>1795</v>
      </c>
      <c r="AF2385">
        <v>24</v>
      </c>
      <c r="AJ2385" t="s">
        <v>1813</v>
      </c>
      <c r="AK2385" t="s">
        <v>4041</v>
      </c>
      <c r="AN2385">
        <v>95</v>
      </c>
      <c r="AO2385">
        <v>1.3992218961163219</v>
      </c>
      <c r="AP2385">
        <v>82</v>
      </c>
      <c r="AQ2385">
        <v>4.5284385943726573</v>
      </c>
      <c r="AW2385" s="28">
        <f t="shared" si="263"/>
        <v>-3.8789056642853561</v>
      </c>
      <c r="AX2385">
        <f t="shared" si="264"/>
        <v>0.8</v>
      </c>
      <c r="AY2385" s="62">
        <f t="shared" si="265"/>
        <v>-3.1031245314282851</v>
      </c>
      <c r="AZ2385" s="68" t="str">
        <f t="shared" si="266"/>
        <v>No</v>
      </c>
      <c r="BA2385" s="68" t="str">
        <f t="shared" si="267"/>
        <v>No</v>
      </c>
    </row>
    <row r="2386" spans="1:55" ht="15" hidden="1">
      <c r="A2386" t="s">
        <v>3914</v>
      </c>
      <c r="G2386" s="56" t="s">
        <v>4287</v>
      </c>
      <c r="P2386" t="s">
        <v>4596</v>
      </c>
      <c r="R2386" t="s">
        <v>4357</v>
      </c>
      <c r="S2386" t="s">
        <v>950</v>
      </c>
      <c r="V2386" t="s">
        <v>4598</v>
      </c>
      <c r="Z2386">
        <v>3</v>
      </c>
      <c r="AA2386">
        <v>3</v>
      </c>
      <c r="AC2386">
        <v>327</v>
      </c>
      <c r="AD2386">
        <v>20</v>
      </c>
      <c r="AE2386">
        <v>332</v>
      </c>
      <c r="AF2386">
        <v>24</v>
      </c>
      <c r="AJ2386" t="s">
        <v>1813</v>
      </c>
      <c r="AK2386" t="s">
        <v>4041</v>
      </c>
      <c r="AN2386">
        <v>88</v>
      </c>
      <c r="AO2386">
        <v>3.8393283734899009</v>
      </c>
      <c r="AP2386">
        <v>88</v>
      </c>
      <c r="AQ2386">
        <v>4.7174346770510223</v>
      </c>
      <c r="AW2386" s="28">
        <f t="shared" si="263"/>
        <v>0</v>
      </c>
      <c r="AX2386">
        <f t="shared" si="264"/>
        <v>0.8</v>
      </c>
      <c r="AY2386" s="62">
        <f t="shared" si="265"/>
        <v>0</v>
      </c>
      <c r="AZ2386" s="68" t="str">
        <f t="shared" si="266"/>
        <v>No</v>
      </c>
      <c r="BA2386" s="68" t="str">
        <f t="shared" si="267"/>
        <v>No</v>
      </c>
    </row>
    <row r="2387" spans="1:55" ht="15" hidden="1">
      <c r="A2387" t="s">
        <v>3914</v>
      </c>
      <c r="G2387" s="56" t="s">
        <v>4287</v>
      </c>
      <c r="P2387" t="s">
        <v>4596</v>
      </c>
      <c r="R2387" t="s">
        <v>4357</v>
      </c>
      <c r="S2387" t="s">
        <v>956</v>
      </c>
      <c r="V2387" t="s">
        <v>4626</v>
      </c>
      <c r="Z2387">
        <v>3</v>
      </c>
      <c r="AA2387">
        <v>3</v>
      </c>
      <c r="AC2387">
        <v>330</v>
      </c>
      <c r="AD2387">
        <v>22</v>
      </c>
      <c r="AE2387">
        <v>1104</v>
      </c>
      <c r="AF2387">
        <v>26</v>
      </c>
      <c r="AJ2387" t="s">
        <v>1813</v>
      </c>
      <c r="AK2387" t="s">
        <v>4041</v>
      </c>
      <c r="AN2387">
        <v>90</v>
      </c>
      <c r="AO2387">
        <v>8.3850737814432037</v>
      </c>
      <c r="AP2387">
        <v>92</v>
      </c>
      <c r="AQ2387">
        <v>5.025587044235726</v>
      </c>
      <c r="AW2387" s="28">
        <f t="shared" si="263"/>
        <v>0.2893299005033772</v>
      </c>
      <c r="AX2387">
        <f t="shared" si="264"/>
        <v>0.8</v>
      </c>
      <c r="AY2387" s="78">
        <f t="shared" si="265"/>
        <v>0.23146392040270178</v>
      </c>
      <c r="AZ2387" s="79" t="str">
        <f t="shared" si="266"/>
        <v>No</v>
      </c>
      <c r="BA2387" s="79" t="str">
        <f t="shared" si="267"/>
        <v>No</v>
      </c>
      <c r="BB2387" s="77"/>
      <c r="BC2387" s="77"/>
    </row>
    <row r="2388" spans="1:55" s="56" customFormat="1" ht="15" hidden="1">
      <c r="A2388" t="s">
        <v>3914</v>
      </c>
      <c r="B2388"/>
      <c r="C2388"/>
      <c r="D2388" s="25"/>
      <c r="E2388" s="25"/>
      <c r="F2388"/>
      <c r="G2388" t="s">
        <v>4997</v>
      </c>
      <c r="H2388"/>
      <c r="I2388"/>
      <c r="J2388"/>
      <c r="K2388"/>
      <c r="L2388"/>
      <c r="M2388" s="25"/>
      <c r="N2388"/>
      <c r="O2388"/>
      <c r="P2388" t="s">
        <v>60</v>
      </c>
      <c r="Q2388"/>
      <c r="R2388" t="s">
        <v>4357</v>
      </c>
      <c r="S2388" t="s">
        <v>956</v>
      </c>
      <c r="T2388"/>
      <c r="U2388"/>
      <c r="V2388" t="s">
        <v>3956</v>
      </c>
      <c r="W2388" s="25"/>
      <c r="X2388"/>
      <c r="Y2388"/>
      <c r="Z2388">
        <v>4</v>
      </c>
      <c r="AA2388">
        <v>4</v>
      </c>
      <c r="AB2388"/>
      <c r="AC2388">
        <v>324</v>
      </c>
      <c r="AD2388">
        <v>18</v>
      </c>
      <c r="AE2388">
        <v>1695</v>
      </c>
      <c r="AF2388">
        <v>18</v>
      </c>
      <c r="AG2388"/>
      <c r="AH2388"/>
      <c r="AI2388"/>
      <c r="AJ2388" t="s">
        <v>1813</v>
      </c>
      <c r="AK2388" t="s">
        <v>4093</v>
      </c>
      <c r="AL2388" s="25"/>
      <c r="AM2388" s="35"/>
      <c r="AN2388">
        <v>92</v>
      </c>
      <c r="AO2388">
        <v>5.1020408163265305</v>
      </c>
      <c r="AP2388">
        <v>94</v>
      </c>
      <c r="AQ2388">
        <v>5.1020408163265305</v>
      </c>
      <c r="AR2388"/>
      <c r="AS2388"/>
      <c r="AT2388"/>
      <c r="AU2388"/>
      <c r="AV2388"/>
      <c r="AW2388" s="28">
        <f t="shared" si="263"/>
        <v>0.39200000000000002</v>
      </c>
      <c r="AX2388">
        <f t="shared" si="264"/>
        <v>0.86956521739130432</v>
      </c>
      <c r="AY2388" s="62">
        <f t="shared" si="265"/>
        <v>0.34086956521739131</v>
      </c>
      <c r="AZ2388" s="68" t="str">
        <f t="shared" si="266"/>
        <v>No</v>
      </c>
      <c r="BA2388" s="68" t="str">
        <f t="shared" si="267"/>
        <v>No</v>
      </c>
      <c r="BB2388"/>
      <c r="BC2388"/>
    </row>
    <row r="2389" spans="1:55" hidden="1">
      <c r="A2389" t="s">
        <v>3914</v>
      </c>
      <c r="G2389" t="s">
        <v>4997</v>
      </c>
      <c r="P2389" t="s">
        <v>60</v>
      </c>
      <c r="R2389" t="s">
        <v>4346</v>
      </c>
      <c r="S2389" t="s">
        <v>1755</v>
      </c>
      <c r="V2389" t="s">
        <v>3956</v>
      </c>
      <c r="Z2389">
        <v>4</v>
      </c>
      <c r="AA2389">
        <v>4</v>
      </c>
      <c r="AC2389">
        <v>324</v>
      </c>
      <c r="AD2389">
        <v>18</v>
      </c>
      <c r="AE2389">
        <v>1033</v>
      </c>
      <c r="AF2389">
        <v>18</v>
      </c>
      <c r="AJ2389" t="s">
        <v>1813</v>
      </c>
      <c r="AK2389" t="s">
        <v>4093</v>
      </c>
      <c r="AN2389">
        <v>90</v>
      </c>
      <c r="AO2389">
        <v>4.0816326530612246</v>
      </c>
      <c r="AP2389">
        <v>90</v>
      </c>
      <c r="AQ2389">
        <v>6.1224489795918364</v>
      </c>
      <c r="AW2389" s="28">
        <f t="shared" si="263"/>
        <v>0</v>
      </c>
      <c r="AX2389">
        <f t="shared" si="264"/>
        <v>0.86956521739130432</v>
      </c>
      <c r="AY2389" s="62">
        <f t="shared" si="265"/>
        <v>0</v>
      </c>
      <c r="AZ2389" s="68" t="str">
        <f t="shared" si="266"/>
        <v>No</v>
      </c>
      <c r="BA2389" s="68" t="str">
        <f t="shared" si="267"/>
        <v>No</v>
      </c>
    </row>
    <row r="2390" spans="1:55" hidden="1">
      <c r="A2390" t="s">
        <v>3914</v>
      </c>
      <c r="G2390" t="s">
        <v>4287</v>
      </c>
      <c r="P2390" t="s">
        <v>60</v>
      </c>
      <c r="R2390" t="s">
        <v>4346</v>
      </c>
      <c r="S2390" t="s">
        <v>1755</v>
      </c>
      <c r="V2390" t="s">
        <v>3956</v>
      </c>
      <c r="Z2390">
        <v>4</v>
      </c>
      <c r="AA2390">
        <v>4</v>
      </c>
      <c r="AC2390">
        <v>324</v>
      </c>
      <c r="AD2390">
        <v>18</v>
      </c>
      <c r="AE2390">
        <v>1695</v>
      </c>
      <c r="AF2390">
        <v>18</v>
      </c>
      <c r="AJ2390" t="s">
        <v>1813</v>
      </c>
      <c r="AK2390" t="s">
        <v>4093</v>
      </c>
      <c r="AN2390">
        <v>90</v>
      </c>
      <c r="AO2390">
        <v>4.0816326530612246</v>
      </c>
      <c r="AP2390">
        <v>90</v>
      </c>
      <c r="AQ2390">
        <v>6.1224489795918364</v>
      </c>
      <c r="AW2390" s="28">
        <f t="shared" si="263"/>
        <v>0</v>
      </c>
      <c r="AX2390">
        <f t="shared" si="264"/>
        <v>0.86956521739130432</v>
      </c>
      <c r="AY2390" s="62">
        <f t="shared" si="265"/>
        <v>0</v>
      </c>
      <c r="AZ2390" s="68" t="str">
        <f t="shared" si="266"/>
        <v>No</v>
      </c>
      <c r="BA2390" s="68" t="str">
        <f t="shared" si="267"/>
        <v>No</v>
      </c>
    </row>
    <row r="2391" spans="1:55" hidden="1">
      <c r="A2391" t="s">
        <v>3914</v>
      </c>
      <c r="G2391" t="s">
        <v>4287</v>
      </c>
      <c r="P2391" t="s">
        <v>60</v>
      </c>
      <c r="R2391" t="s">
        <v>4357</v>
      </c>
      <c r="S2391" t="s">
        <v>952</v>
      </c>
      <c r="V2391" t="s">
        <v>3956</v>
      </c>
      <c r="Z2391">
        <v>3</v>
      </c>
      <c r="AA2391">
        <v>3</v>
      </c>
      <c r="AC2391">
        <v>324</v>
      </c>
      <c r="AD2391">
        <v>18</v>
      </c>
      <c r="AE2391">
        <v>1695</v>
      </c>
      <c r="AF2391">
        <v>18</v>
      </c>
      <c r="AJ2391" t="s">
        <v>1813</v>
      </c>
      <c r="AK2391" t="s">
        <v>4093</v>
      </c>
      <c r="AN2391">
        <v>94</v>
      </c>
      <c r="AO2391">
        <v>2.6510981748503224</v>
      </c>
      <c r="AP2391">
        <v>88</v>
      </c>
      <c r="AQ2391">
        <v>6.1858957413174185</v>
      </c>
      <c r="AW2391" s="28">
        <f t="shared" si="263"/>
        <v>-1.2608043409692467</v>
      </c>
      <c r="AX2391">
        <f t="shared" si="264"/>
        <v>0.8</v>
      </c>
      <c r="AY2391" s="62">
        <f t="shared" si="265"/>
        <v>-1.0086434727753975</v>
      </c>
      <c r="AZ2391" s="68" t="str">
        <f t="shared" si="266"/>
        <v>No</v>
      </c>
      <c r="BA2391" s="68" t="str">
        <f t="shared" si="267"/>
        <v>No</v>
      </c>
    </row>
    <row r="2392" spans="1:55" hidden="1">
      <c r="A2392" t="s">
        <v>3914</v>
      </c>
      <c r="G2392" t="s">
        <v>4287</v>
      </c>
      <c r="P2392" t="s">
        <v>60</v>
      </c>
      <c r="R2392" t="s">
        <v>4357</v>
      </c>
      <c r="S2392" t="s">
        <v>950</v>
      </c>
      <c r="V2392" t="s">
        <v>3956</v>
      </c>
      <c r="Z2392">
        <v>3</v>
      </c>
      <c r="AA2392">
        <v>3</v>
      </c>
      <c r="AC2392">
        <v>324</v>
      </c>
      <c r="AD2392">
        <v>18</v>
      </c>
      <c r="AE2392">
        <v>1033</v>
      </c>
      <c r="AF2392">
        <v>18</v>
      </c>
      <c r="AJ2392" t="s">
        <v>1813</v>
      </c>
      <c r="AK2392" t="s">
        <v>4093</v>
      </c>
      <c r="AN2392">
        <v>88</v>
      </c>
      <c r="AO2392">
        <v>6.1858957413174185</v>
      </c>
      <c r="AP2392">
        <v>89</v>
      </c>
      <c r="AQ2392">
        <v>7.0695951329341931</v>
      </c>
      <c r="AW2392" s="28">
        <f t="shared" si="263"/>
        <v>0.15054669303794344</v>
      </c>
      <c r="AX2392">
        <f t="shared" si="264"/>
        <v>0.8</v>
      </c>
      <c r="AY2392" s="62">
        <f t="shared" si="265"/>
        <v>0.12043735443035475</v>
      </c>
      <c r="AZ2392" s="68" t="str">
        <f t="shared" si="266"/>
        <v>No</v>
      </c>
      <c r="BA2392" s="68" t="str">
        <f t="shared" si="267"/>
        <v>No</v>
      </c>
    </row>
    <row r="2393" spans="1:55" hidden="1">
      <c r="A2393" t="s">
        <v>3914</v>
      </c>
      <c r="G2393" t="s">
        <v>5008</v>
      </c>
      <c r="P2393" t="s">
        <v>60</v>
      </c>
      <c r="R2393" t="s">
        <v>4357</v>
      </c>
      <c r="S2393" t="s">
        <v>956</v>
      </c>
      <c r="V2393" t="s">
        <v>3956</v>
      </c>
      <c r="Z2393">
        <v>3</v>
      </c>
      <c r="AA2393">
        <v>3</v>
      </c>
      <c r="AC2393">
        <v>367</v>
      </c>
      <c r="AD2393">
        <v>22</v>
      </c>
      <c r="AE2393">
        <v>1105</v>
      </c>
      <c r="AF2393">
        <v>22</v>
      </c>
      <c r="AJ2393" t="s">
        <v>1813</v>
      </c>
      <c r="AK2393" t="s">
        <v>4093</v>
      </c>
      <c r="AN2393">
        <v>92</v>
      </c>
      <c r="AO2393">
        <v>6.9282032302755088</v>
      </c>
      <c r="AP2393">
        <v>92</v>
      </c>
      <c r="AQ2393">
        <v>0.8660254037844386</v>
      </c>
      <c r="AW2393" s="28">
        <f t="shared" si="263"/>
        <v>0</v>
      </c>
      <c r="AX2393">
        <f t="shared" si="264"/>
        <v>0.8</v>
      </c>
      <c r="AY2393" s="78">
        <f t="shared" si="265"/>
        <v>0</v>
      </c>
      <c r="AZ2393" s="79" t="str">
        <f t="shared" si="266"/>
        <v>No</v>
      </c>
      <c r="BA2393" s="79" t="str">
        <f t="shared" si="267"/>
        <v>No</v>
      </c>
      <c r="BB2393" s="77"/>
      <c r="BC2393" s="77"/>
    </row>
    <row r="2394" spans="1:55" hidden="1">
      <c r="A2394" t="s">
        <v>3914</v>
      </c>
      <c r="G2394" t="s">
        <v>4362</v>
      </c>
      <c r="P2394" t="s">
        <v>60</v>
      </c>
      <c r="R2394" t="s">
        <v>4357</v>
      </c>
      <c r="S2394" t="s">
        <v>956</v>
      </c>
      <c r="V2394" t="s">
        <v>3956</v>
      </c>
      <c r="Z2394">
        <v>3</v>
      </c>
      <c r="AA2394">
        <v>3</v>
      </c>
      <c r="AC2394">
        <v>367</v>
      </c>
      <c r="AD2394">
        <v>22</v>
      </c>
      <c r="AE2394">
        <v>1823</v>
      </c>
      <c r="AF2394">
        <v>22</v>
      </c>
      <c r="AJ2394" t="s">
        <v>1813</v>
      </c>
      <c r="AK2394" t="s">
        <v>4093</v>
      </c>
      <c r="AN2394">
        <v>92</v>
      </c>
      <c r="AO2394">
        <v>6.9282032302755088</v>
      </c>
      <c r="AP2394">
        <v>95</v>
      </c>
      <c r="AQ2394">
        <v>0.8660254037844386</v>
      </c>
      <c r="AW2394" s="28">
        <f t="shared" si="263"/>
        <v>0.60764362025020002</v>
      </c>
      <c r="AX2394">
        <f t="shared" si="264"/>
        <v>0.8</v>
      </c>
      <c r="AY2394" s="78">
        <f t="shared" si="265"/>
        <v>0.48611489620016002</v>
      </c>
      <c r="AZ2394" s="79" t="str">
        <f t="shared" si="266"/>
        <v>No</v>
      </c>
      <c r="BA2394" s="79" t="str">
        <f t="shared" si="267"/>
        <v>No</v>
      </c>
      <c r="BB2394" s="77"/>
      <c r="BC2394" s="77"/>
    </row>
    <row r="2395" spans="1:55" hidden="1">
      <c r="A2395" t="s">
        <v>3914</v>
      </c>
      <c r="G2395" t="s">
        <v>4631</v>
      </c>
      <c r="P2395" t="s">
        <v>4596</v>
      </c>
      <c r="R2395" t="s">
        <v>4632</v>
      </c>
      <c r="S2395" t="s">
        <v>1762</v>
      </c>
      <c r="V2395" t="s">
        <v>4627</v>
      </c>
      <c r="Z2395">
        <v>10</v>
      </c>
      <c r="AA2395">
        <v>10</v>
      </c>
      <c r="AC2395">
        <v>361</v>
      </c>
      <c r="AD2395">
        <v>20</v>
      </c>
      <c r="AE2395">
        <v>1804</v>
      </c>
      <c r="AF2395">
        <v>22</v>
      </c>
      <c r="AJ2395" t="s">
        <v>4304</v>
      </c>
      <c r="AK2395" t="s">
        <v>4123</v>
      </c>
      <c r="AN2395">
        <v>60</v>
      </c>
      <c r="AO2395">
        <f>10*SQRT(10)</f>
        <v>31.622776601683796</v>
      </c>
      <c r="AP2395">
        <v>1</v>
      </c>
      <c r="AQ2395">
        <f>1*SQRT(10)</f>
        <v>3.1622776601683795</v>
      </c>
      <c r="AW2395" s="28">
        <f t="shared" si="263"/>
        <v>-2.6254655409909105</v>
      </c>
      <c r="AX2395">
        <f t="shared" si="264"/>
        <v>0.95774647887323949</v>
      </c>
      <c r="AY2395" s="62">
        <f t="shared" si="265"/>
        <v>-2.5145303772870693</v>
      </c>
      <c r="AZ2395" s="68" t="str">
        <f t="shared" si="266"/>
        <v>No</v>
      </c>
      <c r="BA2395" s="68" t="str">
        <f t="shared" si="267"/>
        <v>No</v>
      </c>
    </row>
    <row r="2396" spans="1:55" s="56" customFormat="1" ht="15" hidden="1">
      <c r="A2396" t="s">
        <v>3914</v>
      </c>
      <c r="B2396"/>
      <c r="C2396"/>
      <c r="D2396" s="25"/>
      <c r="E2396" s="25"/>
      <c r="F2396"/>
      <c r="G2396" t="s">
        <v>4631</v>
      </c>
      <c r="H2396"/>
      <c r="I2396"/>
      <c r="J2396"/>
      <c r="K2396"/>
      <c r="L2396"/>
      <c r="M2396" s="25"/>
      <c r="N2396"/>
      <c r="O2396"/>
      <c r="P2396" t="s">
        <v>4596</v>
      </c>
      <c r="Q2396"/>
      <c r="R2396" t="s">
        <v>4286</v>
      </c>
      <c r="S2396" t="s">
        <v>1762</v>
      </c>
      <c r="T2396"/>
      <c r="U2396"/>
      <c r="V2396" t="s">
        <v>4627</v>
      </c>
      <c r="W2396" s="25"/>
      <c r="X2396"/>
      <c r="Y2396"/>
      <c r="Z2396">
        <v>10</v>
      </c>
      <c r="AA2396">
        <v>10</v>
      </c>
      <c r="AB2396"/>
      <c r="AC2396">
        <v>361</v>
      </c>
      <c r="AD2396">
        <v>20</v>
      </c>
      <c r="AE2396">
        <v>1804</v>
      </c>
      <c r="AF2396">
        <v>24</v>
      </c>
      <c r="AG2396"/>
      <c r="AH2396"/>
      <c r="AI2396"/>
      <c r="AJ2396" t="s">
        <v>4304</v>
      </c>
      <c r="AK2396" t="s">
        <v>4123</v>
      </c>
      <c r="AL2396" s="25"/>
      <c r="AM2396" s="35"/>
      <c r="AN2396">
        <v>60</v>
      </c>
      <c r="AO2396">
        <f>10*SQRT(10)</f>
        <v>31.622776601683796</v>
      </c>
      <c r="AP2396">
        <v>2</v>
      </c>
      <c r="AQ2396">
        <f>1*SQRT(10)</f>
        <v>3.1622776601683795</v>
      </c>
      <c r="AR2396"/>
      <c r="AS2396"/>
      <c r="AT2396"/>
      <c r="AU2396"/>
      <c r="AV2396"/>
      <c r="AW2396" s="28">
        <f t="shared" si="263"/>
        <v>-2.580966125041912</v>
      </c>
      <c r="AX2396">
        <f t="shared" si="264"/>
        <v>0.95774647887323949</v>
      </c>
      <c r="AY2396" s="62">
        <f t="shared" si="265"/>
        <v>-2.4719112183500003</v>
      </c>
      <c r="AZ2396" s="68" t="str">
        <f t="shared" si="266"/>
        <v>No</v>
      </c>
      <c r="BA2396" s="68" t="str">
        <f t="shared" si="267"/>
        <v>No</v>
      </c>
      <c r="BB2396"/>
      <c r="BC2396"/>
    </row>
    <row r="2397" spans="1:55" hidden="1">
      <c r="A2397" t="s">
        <v>3914</v>
      </c>
      <c r="G2397" t="s">
        <v>4631</v>
      </c>
      <c r="P2397" t="s">
        <v>4596</v>
      </c>
      <c r="R2397" t="s">
        <v>4632</v>
      </c>
      <c r="S2397" t="s">
        <v>1762</v>
      </c>
      <c r="V2397" t="s">
        <v>4626</v>
      </c>
      <c r="Z2397">
        <v>10</v>
      </c>
      <c r="AA2397">
        <v>10</v>
      </c>
      <c r="AC2397">
        <v>361</v>
      </c>
      <c r="AD2397">
        <v>20</v>
      </c>
      <c r="AE2397">
        <v>1095</v>
      </c>
      <c r="AF2397">
        <v>24</v>
      </c>
      <c r="AJ2397" t="s">
        <v>4304</v>
      </c>
      <c r="AK2397" t="s">
        <v>4123</v>
      </c>
      <c r="AN2397">
        <v>60</v>
      </c>
      <c r="AO2397">
        <f>10*SQRT(10)</f>
        <v>31.622776601683796</v>
      </c>
      <c r="AP2397">
        <v>6</v>
      </c>
      <c r="AQ2397">
        <f>3*SQRT(10)</f>
        <v>9.4868329805051381</v>
      </c>
      <c r="AW2397" s="28">
        <f t="shared" si="263"/>
        <v>-2.3131058591418445</v>
      </c>
      <c r="AX2397">
        <f t="shared" si="264"/>
        <v>0.95774647887323949</v>
      </c>
      <c r="AY2397" s="62">
        <f t="shared" si="265"/>
        <v>-2.2153689918541613</v>
      </c>
      <c r="AZ2397" s="68" t="str">
        <f t="shared" si="266"/>
        <v>No</v>
      </c>
      <c r="BA2397" s="68" t="str">
        <f t="shared" si="267"/>
        <v>No</v>
      </c>
    </row>
    <row r="2398" spans="1:55" hidden="1">
      <c r="A2398" t="s">
        <v>3914</v>
      </c>
      <c r="G2398" t="s">
        <v>4631</v>
      </c>
      <c r="P2398" t="s">
        <v>4596</v>
      </c>
      <c r="R2398" t="s">
        <v>4632</v>
      </c>
      <c r="S2398" t="s">
        <v>1762</v>
      </c>
      <c r="V2398" t="s">
        <v>4625</v>
      </c>
      <c r="Z2398">
        <v>10</v>
      </c>
      <c r="AA2398">
        <v>10</v>
      </c>
      <c r="AC2398">
        <v>361</v>
      </c>
      <c r="AD2398">
        <v>20</v>
      </c>
      <c r="AE2398">
        <v>308</v>
      </c>
      <c r="AF2398">
        <v>22</v>
      </c>
      <c r="AJ2398" t="s">
        <v>4633</v>
      </c>
      <c r="AK2398" t="s">
        <v>4123</v>
      </c>
      <c r="AN2398">
        <v>60</v>
      </c>
      <c r="AO2398">
        <f>10*SQRT(10)</f>
        <v>31.622776601683796</v>
      </c>
      <c r="AP2398">
        <v>36</v>
      </c>
      <c r="AQ2398">
        <f>7*SQRT(10)</f>
        <v>22.135943621178658</v>
      </c>
      <c r="AW2398" s="28">
        <f t="shared" si="263"/>
        <v>-0.87929196653677399</v>
      </c>
      <c r="AX2398">
        <f t="shared" si="264"/>
        <v>0.95774647887323949</v>
      </c>
      <c r="AY2398" s="62">
        <f t="shared" si="265"/>
        <v>-0.84213878485212157</v>
      </c>
      <c r="AZ2398" s="68" t="str">
        <f t="shared" si="266"/>
        <v>No</v>
      </c>
      <c r="BA2398" s="68" t="str">
        <f t="shared" si="267"/>
        <v>No</v>
      </c>
    </row>
    <row r="2399" spans="1:55" s="56" customFormat="1" ht="15" hidden="1">
      <c r="A2399" t="s">
        <v>3914</v>
      </c>
      <c r="B2399"/>
      <c r="C2399"/>
      <c r="D2399" s="25"/>
      <c r="E2399" s="25"/>
      <c r="F2399"/>
      <c r="G2399" t="s">
        <v>4631</v>
      </c>
      <c r="H2399"/>
      <c r="I2399"/>
      <c r="J2399"/>
      <c r="K2399"/>
      <c r="L2399"/>
      <c r="M2399" s="25"/>
      <c r="N2399"/>
      <c r="O2399"/>
      <c r="P2399" t="s">
        <v>4596</v>
      </c>
      <c r="Q2399"/>
      <c r="R2399" t="s">
        <v>4632</v>
      </c>
      <c r="S2399" t="s">
        <v>1762</v>
      </c>
      <c r="T2399"/>
      <c r="U2399"/>
      <c r="V2399" t="s">
        <v>4626</v>
      </c>
      <c r="W2399" s="25"/>
      <c r="X2399"/>
      <c r="Y2399"/>
      <c r="Z2399">
        <v>10</v>
      </c>
      <c r="AA2399">
        <v>10</v>
      </c>
      <c r="AB2399"/>
      <c r="AC2399">
        <v>361</v>
      </c>
      <c r="AD2399">
        <v>20</v>
      </c>
      <c r="AE2399">
        <v>1095</v>
      </c>
      <c r="AF2399">
        <v>22</v>
      </c>
      <c r="AG2399"/>
      <c r="AH2399"/>
      <c r="AI2399"/>
      <c r="AJ2399" t="s">
        <v>4633</v>
      </c>
      <c r="AK2399" t="s">
        <v>4123</v>
      </c>
      <c r="AL2399" s="25"/>
      <c r="AM2399" s="35"/>
      <c r="AN2399">
        <v>60</v>
      </c>
      <c r="AO2399">
        <f>10*SQRT(10)</f>
        <v>31.622776601683796</v>
      </c>
      <c r="AP2399">
        <v>15</v>
      </c>
      <c r="AQ2399">
        <f>7*SQRT(10)</f>
        <v>22.135943621178658</v>
      </c>
      <c r="AR2399"/>
      <c r="AS2399"/>
      <c r="AT2399"/>
      <c r="AU2399"/>
      <c r="AV2399"/>
      <c r="AW2399" s="28">
        <f t="shared" si="263"/>
        <v>-1.6486724372564512</v>
      </c>
      <c r="AX2399">
        <f t="shared" si="264"/>
        <v>0.95774647887323949</v>
      </c>
      <c r="AY2399" s="62">
        <f t="shared" si="265"/>
        <v>-1.579010221597728</v>
      </c>
      <c r="AZ2399" s="68" t="str">
        <f t="shared" si="266"/>
        <v>No</v>
      </c>
      <c r="BA2399" s="68" t="str">
        <f t="shared" si="267"/>
        <v>No</v>
      </c>
      <c r="BB2399"/>
      <c r="BC2399"/>
    </row>
    <row r="2400" spans="1:55" ht="15" hidden="1">
      <c r="A2400" s="56" t="s">
        <v>3914</v>
      </c>
      <c r="G2400" s="56" t="s">
        <v>4302</v>
      </c>
      <c r="P2400" s="56" t="s">
        <v>60</v>
      </c>
      <c r="Q2400" s="56"/>
      <c r="R2400" s="56" t="s">
        <v>4286</v>
      </c>
      <c r="S2400" s="56" t="s">
        <v>1762</v>
      </c>
      <c r="T2400" s="56"/>
      <c r="U2400" s="56"/>
      <c r="V2400" s="56" t="s">
        <v>3956</v>
      </c>
      <c r="W2400" s="56"/>
      <c r="X2400" s="56"/>
      <c r="Y2400" s="56"/>
      <c r="Z2400" s="56">
        <v>10</v>
      </c>
      <c r="AA2400" s="56">
        <v>10</v>
      </c>
      <c r="AB2400" s="56"/>
      <c r="AC2400" s="56">
        <v>361</v>
      </c>
      <c r="AD2400" s="56">
        <v>20</v>
      </c>
      <c r="AE2400" s="56">
        <v>1038</v>
      </c>
      <c r="AF2400" s="56">
        <v>20</v>
      </c>
      <c r="AG2400" s="56"/>
      <c r="AH2400" s="56"/>
      <c r="AI2400" s="56"/>
      <c r="AJ2400" s="56" t="s">
        <v>4304</v>
      </c>
      <c r="AK2400" s="56" t="s">
        <v>4151</v>
      </c>
      <c r="AN2400" s="56">
        <v>60</v>
      </c>
      <c r="AO2400" s="56">
        <v>31.622776601683796</v>
      </c>
      <c r="AP2400" s="56">
        <v>36</v>
      </c>
      <c r="AQ2400" s="56">
        <v>25.298221281347036</v>
      </c>
      <c r="AW2400" s="28">
        <f t="shared" si="263"/>
        <v>-0.83811635492349379</v>
      </c>
      <c r="AX2400">
        <f t="shared" si="264"/>
        <v>0.95774647887323949</v>
      </c>
      <c r="AY2400" s="62">
        <f t="shared" si="265"/>
        <v>-0.80270298781405047</v>
      </c>
      <c r="AZ2400" s="68" t="str">
        <f t="shared" si="266"/>
        <v>No</v>
      </c>
      <c r="BA2400" s="68" t="str">
        <f t="shared" si="267"/>
        <v>No</v>
      </c>
    </row>
    <row r="2401" spans="1:55" hidden="1">
      <c r="A2401" t="s">
        <v>3914</v>
      </c>
      <c r="G2401" t="s">
        <v>4631</v>
      </c>
      <c r="P2401" t="s">
        <v>4596</v>
      </c>
      <c r="R2401" t="s">
        <v>4632</v>
      </c>
      <c r="S2401" t="s">
        <v>1762</v>
      </c>
      <c r="V2401" t="s">
        <v>4628</v>
      </c>
      <c r="Z2401">
        <v>10</v>
      </c>
      <c r="AA2401">
        <v>10</v>
      </c>
      <c r="AC2401">
        <v>361</v>
      </c>
      <c r="AD2401">
        <v>20</v>
      </c>
      <c r="AE2401">
        <v>308</v>
      </c>
      <c r="AF2401">
        <v>24</v>
      </c>
      <c r="AJ2401" t="s">
        <v>4304</v>
      </c>
      <c r="AK2401" t="s">
        <v>4123</v>
      </c>
      <c r="AN2401">
        <v>60</v>
      </c>
      <c r="AO2401">
        <f>10*SQRT(10)</f>
        <v>31.622776601683796</v>
      </c>
      <c r="AP2401">
        <v>28</v>
      </c>
      <c r="AQ2401">
        <f>8*SQRT(10)</f>
        <v>25.298221281347036</v>
      </c>
      <c r="AW2401" s="28">
        <f t="shared" si="263"/>
        <v>-1.1174884732313251</v>
      </c>
      <c r="AX2401">
        <f t="shared" si="264"/>
        <v>0.95774647887323949</v>
      </c>
      <c r="AY2401" s="62">
        <f t="shared" si="265"/>
        <v>-1.0702706504187338</v>
      </c>
      <c r="AZ2401" s="68" t="str">
        <f t="shared" si="266"/>
        <v>No</v>
      </c>
      <c r="BA2401" s="68" t="str">
        <f t="shared" si="267"/>
        <v>No</v>
      </c>
    </row>
    <row r="2402" spans="1:55" ht="15" hidden="1">
      <c r="A2402" s="56" t="s">
        <v>3914</v>
      </c>
      <c r="G2402" s="56" t="s">
        <v>5123</v>
      </c>
      <c r="P2402" s="56" t="s">
        <v>60</v>
      </c>
      <c r="Q2402" s="56"/>
      <c r="R2402" s="56" t="s">
        <v>4286</v>
      </c>
      <c r="S2402" s="56" t="s">
        <v>1762</v>
      </c>
      <c r="T2402" s="56"/>
      <c r="U2402" s="56"/>
      <c r="V2402" s="56" t="s">
        <v>3956</v>
      </c>
      <c r="W2402" s="56"/>
      <c r="X2402" s="56"/>
      <c r="Y2402" s="56"/>
      <c r="Z2402" s="56">
        <v>10</v>
      </c>
      <c r="AA2402" s="56">
        <v>10</v>
      </c>
      <c r="AB2402" s="56"/>
      <c r="AC2402" s="56">
        <v>361</v>
      </c>
      <c r="AD2402" s="56">
        <v>20</v>
      </c>
      <c r="AE2402" s="56">
        <v>1705.1</v>
      </c>
      <c r="AF2402" s="56">
        <v>20</v>
      </c>
      <c r="AG2402" s="56"/>
      <c r="AH2402" s="56"/>
      <c r="AI2402" s="56"/>
      <c r="AJ2402" s="56" t="s">
        <v>4304</v>
      </c>
      <c r="AK2402" s="56" t="s">
        <v>4151</v>
      </c>
      <c r="AN2402" s="56">
        <v>60</v>
      </c>
      <c r="AO2402" s="56">
        <v>31.622776601683796</v>
      </c>
      <c r="AP2402" s="56">
        <v>24</v>
      </c>
      <c r="AQ2402" s="56">
        <v>37.947331922020552</v>
      </c>
      <c r="AW2402" s="28">
        <f t="shared" si="263"/>
        <v>-1.0306770017649629</v>
      </c>
      <c r="AX2402">
        <f t="shared" si="264"/>
        <v>0.95774647887323949</v>
      </c>
      <c r="AY2402" s="62">
        <f t="shared" si="265"/>
        <v>-0.9871272692960209</v>
      </c>
      <c r="AZ2402" s="68" t="str">
        <f t="shared" si="266"/>
        <v>No</v>
      </c>
      <c r="BA2402" s="68" t="str">
        <f t="shared" si="267"/>
        <v>No</v>
      </c>
    </row>
    <row r="2403" spans="1:55" hidden="1">
      <c r="A2403" t="s">
        <v>3914</v>
      </c>
      <c r="G2403" t="s">
        <v>5067</v>
      </c>
      <c r="P2403" t="s">
        <v>60</v>
      </c>
      <c r="R2403" t="s">
        <v>4357</v>
      </c>
      <c r="S2403" t="s">
        <v>948</v>
      </c>
      <c r="V2403" t="s">
        <v>3956</v>
      </c>
      <c r="Z2403">
        <v>32</v>
      </c>
      <c r="AA2403">
        <v>32</v>
      </c>
      <c r="AC2403">
        <v>436.6</v>
      </c>
      <c r="AD2403">
        <v>-0.9</v>
      </c>
      <c r="AE2403">
        <v>1399</v>
      </c>
      <c r="AF2403">
        <v>-0.9</v>
      </c>
      <c r="AJ2403" t="s">
        <v>4494</v>
      </c>
      <c r="AK2403" t="s">
        <v>4123</v>
      </c>
      <c r="AN2403">
        <v>9.1999999999999998E-3</v>
      </c>
      <c r="AO2403">
        <v>3.4641016151377543E-3</v>
      </c>
      <c r="AP2403">
        <v>1.6E-2</v>
      </c>
      <c r="AQ2403">
        <v>5.1961524227066317E-3</v>
      </c>
      <c r="AW2403" s="28">
        <f t="shared" si="263"/>
        <v>1.5398967664366503</v>
      </c>
      <c r="AX2403">
        <f t="shared" si="264"/>
        <v>0.98785425101214575</v>
      </c>
      <c r="AY2403" s="62">
        <f t="shared" si="265"/>
        <v>1.5211935668443024</v>
      </c>
      <c r="AZ2403" s="68" t="str">
        <f t="shared" si="266"/>
        <v>No</v>
      </c>
      <c r="BA2403" s="68" t="str">
        <f t="shared" si="267"/>
        <v>No</v>
      </c>
    </row>
    <row r="2404" spans="1:55" hidden="1">
      <c r="A2404" t="s">
        <v>3914</v>
      </c>
      <c r="G2404" t="s">
        <v>4474</v>
      </c>
      <c r="P2404" t="s">
        <v>60</v>
      </c>
      <c r="R2404" t="s">
        <v>4357</v>
      </c>
      <c r="S2404" t="s">
        <v>948</v>
      </c>
      <c r="V2404" t="s">
        <v>3956</v>
      </c>
      <c r="Z2404">
        <v>32</v>
      </c>
      <c r="AA2404">
        <v>32</v>
      </c>
      <c r="AC2404">
        <v>436.6</v>
      </c>
      <c r="AD2404">
        <v>-0.9</v>
      </c>
      <c r="AE2404">
        <v>897.1</v>
      </c>
      <c r="AF2404">
        <v>-1</v>
      </c>
      <c r="AJ2404" t="s">
        <v>4494</v>
      </c>
      <c r="AK2404" t="s">
        <v>4123</v>
      </c>
      <c r="AN2404">
        <v>9.1999999999999998E-3</v>
      </c>
      <c r="AO2404">
        <v>3.4641016151377543E-3</v>
      </c>
      <c r="AP2404">
        <v>1.0999999999999999E-2</v>
      </c>
      <c r="AQ2404">
        <v>5.888972745734182E-3</v>
      </c>
      <c r="AW2404" s="28">
        <f t="shared" si="263"/>
        <v>0.37258217982049852</v>
      </c>
      <c r="AX2404">
        <f t="shared" si="264"/>
        <v>0.98785425101214575</v>
      </c>
      <c r="AY2404" s="62">
        <f t="shared" si="265"/>
        <v>0.36805689018705118</v>
      </c>
      <c r="AZ2404" s="68" t="str">
        <f t="shared" si="266"/>
        <v>No</v>
      </c>
      <c r="BA2404" s="68" t="str">
        <f t="shared" si="267"/>
        <v>No</v>
      </c>
    </row>
    <row r="2405" spans="1:55" hidden="1">
      <c r="A2405" t="s">
        <v>3914</v>
      </c>
      <c r="G2405" t="s">
        <v>4936</v>
      </c>
      <c r="P2405" t="s">
        <v>4596</v>
      </c>
      <c r="R2405" t="s">
        <v>4357</v>
      </c>
      <c r="S2405" t="s">
        <v>948</v>
      </c>
      <c r="V2405" t="s">
        <v>4626</v>
      </c>
      <c r="Z2405">
        <v>32</v>
      </c>
      <c r="AA2405">
        <v>32</v>
      </c>
      <c r="AC2405">
        <v>436.6</v>
      </c>
      <c r="AD2405">
        <v>-1</v>
      </c>
      <c r="AE2405">
        <v>838.9</v>
      </c>
      <c r="AF2405">
        <v>1</v>
      </c>
      <c r="AJ2405" t="s">
        <v>4725</v>
      </c>
      <c r="AK2405" t="s">
        <v>4642</v>
      </c>
      <c r="AN2405">
        <v>0.86</v>
      </c>
      <c r="AO2405">
        <v>2.9712102856981532E-2</v>
      </c>
      <c r="AP2405">
        <v>0.98</v>
      </c>
      <c r="AQ2405">
        <v>7.5930929523369342E-2</v>
      </c>
      <c r="AW2405" s="28">
        <f t="shared" si="263"/>
        <v>2.0813276126427591</v>
      </c>
      <c r="AX2405">
        <f t="shared" si="264"/>
        <v>0.98785425101214575</v>
      </c>
      <c r="AY2405" s="62">
        <f t="shared" si="265"/>
        <v>2.0560483298981103</v>
      </c>
      <c r="AZ2405" s="68" t="str">
        <f t="shared" si="266"/>
        <v>No</v>
      </c>
      <c r="BA2405" s="68" t="str">
        <f t="shared" si="267"/>
        <v>No</v>
      </c>
    </row>
    <row r="2406" spans="1:55" hidden="1">
      <c r="A2406" t="s">
        <v>3914</v>
      </c>
      <c r="G2406" t="s">
        <v>4474</v>
      </c>
      <c r="P2406" t="s">
        <v>4596</v>
      </c>
      <c r="R2406" t="s">
        <v>4357</v>
      </c>
      <c r="S2406" t="s">
        <v>948</v>
      </c>
      <c r="V2406" t="s">
        <v>4626</v>
      </c>
      <c r="Z2406">
        <v>12</v>
      </c>
      <c r="AA2406">
        <v>12</v>
      </c>
      <c r="AC2406">
        <v>436.6</v>
      </c>
      <c r="AD2406">
        <v>-1</v>
      </c>
      <c r="AE2406">
        <v>838.9</v>
      </c>
      <c r="AF2406">
        <v>1</v>
      </c>
      <c r="AJ2406" t="s">
        <v>4724</v>
      </c>
      <c r="AK2406" t="s">
        <v>4637</v>
      </c>
      <c r="AN2406">
        <v>0.92</v>
      </c>
      <c r="AO2406">
        <v>3.4346616580685982E-2</v>
      </c>
      <c r="AP2406">
        <v>0.86</v>
      </c>
      <c r="AQ2406">
        <v>7.7751681490343796E-2</v>
      </c>
      <c r="AW2406" s="28">
        <f t="shared" si="263"/>
        <v>-0.99826742667336099</v>
      </c>
      <c r="AX2406">
        <f t="shared" si="264"/>
        <v>0.96551724137931039</v>
      </c>
      <c r="AY2406" s="62">
        <f t="shared" si="265"/>
        <v>-0.96384441196048654</v>
      </c>
      <c r="AZ2406" s="68" t="str">
        <f t="shared" si="266"/>
        <v>No</v>
      </c>
      <c r="BA2406" s="68" t="str">
        <f t="shared" si="267"/>
        <v>No</v>
      </c>
    </row>
    <row r="2407" spans="1:55" s="56" customFormat="1" ht="15" hidden="1">
      <c r="A2407" t="s">
        <v>3914</v>
      </c>
      <c r="B2407"/>
      <c r="C2407"/>
      <c r="D2407" s="25"/>
      <c r="E2407" s="25"/>
      <c r="F2407"/>
      <c r="G2407" t="s">
        <v>4474</v>
      </c>
      <c r="H2407"/>
      <c r="I2407"/>
      <c r="J2407"/>
      <c r="K2407"/>
      <c r="L2407"/>
      <c r="M2407" s="25"/>
      <c r="N2407"/>
      <c r="O2407"/>
      <c r="P2407" t="s">
        <v>4596</v>
      </c>
      <c r="Q2407"/>
      <c r="R2407" t="s">
        <v>4357</v>
      </c>
      <c r="S2407" t="s">
        <v>948</v>
      </c>
      <c r="T2407"/>
      <c r="U2407"/>
      <c r="V2407" t="s">
        <v>4627</v>
      </c>
      <c r="W2407" s="25"/>
      <c r="X2407"/>
      <c r="Y2407"/>
      <c r="Z2407">
        <v>12</v>
      </c>
      <c r="AA2407">
        <v>12</v>
      </c>
      <c r="AB2407"/>
      <c r="AC2407">
        <v>436.6</v>
      </c>
      <c r="AD2407">
        <v>-1</v>
      </c>
      <c r="AE2407">
        <v>1355</v>
      </c>
      <c r="AF2407">
        <v>1</v>
      </c>
      <c r="AG2407"/>
      <c r="AH2407"/>
      <c r="AI2407"/>
      <c r="AJ2407" t="s">
        <v>4724</v>
      </c>
      <c r="AK2407" t="s">
        <v>4637</v>
      </c>
      <c r="AL2407" s="25"/>
      <c r="AM2407" s="35"/>
      <c r="AN2407">
        <v>0.92</v>
      </c>
      <c r="AO2407">
        <v>3.4346616580685982E-2</v>
      </c>
      <c r="AP2407">
        <v>0.8</v>
      </c>
      <c r="AQ2407">
        <v>0.1019075437009342</v>
      </c>
      <c r="AR2407"/>
      <c r="AS2407"/>
      <c r="AT2407"/>
      <c r="AU2407"/>
      <c r="AV2407"/>
      <c r="AW2407" s="28">
        <f t="shared" si="263"/>
        <v>-1.5780707707935779</v>
      </c>
      <c r="AX2407">
        <f t="shared" si="264"/>
        <v>0.96551724137931039</v>
      </c>
      <c r="AY2407" s="62">
        <f t="shared" si="265"/>
        <v>-1.5236545373179373</v>
      </c>
      <c r="AZ2407" s="68" t="str">
        <f t="shared" si="266"/>
        <v>No</v>
      </c>
      <c r="BA2407" s="68" t="str">
        <f t="shared" si="267"/>
        <v>No</v>
      </c>
      <c r="BB2407"/>
      <c r="BC2407"/>
    </row>
    <row r="2408" spans="1:55" hidden="1">
      <c r="A2408" t="s">
        <v>3914</v>
      </c>
      <c r="G2408" t="s">
        <v>4474</v>
      </c>
      <c r="P2408" t="s">
        <v>4596</v>
      </c>
      <c r="R2408" t="s">
        <v>4357</v>
      </c>
      <c r="S2408" t="s">
        <v>948</v>
      </c>
      <c r="V2408" t="s">
        <v>4598</v>
      </c>
      <c r="Z2408">
        <v>32</v>
      </c>
      <c r="AA2408">
        <v>32</v>
      </c>
      <c r="AC2408">
        <v>436.6</v>
      </c>
      <c r="AD2408">
        <v>-1</v>
      </c>
      <c r="AE2408">
        <v>415.7</v>
      </c>
      <c r="AF2408">
        <v>1</v>
      </c>
      <c r="AJ2408" t="s">
        <v>4729</v>
      </c>
      <c r="AK2408" t="s">
        <v>4642</v>
      </c>
      <c r="AN2408">
        <v>0.86</v>
      </c>
      <c r="AO2408">
        <v>2.9712102856981532E-2</v>
      </c>
      <c r="AP2408">
        <v>1</v>
      </c>
      <c r="AQ2408">
        <v>0.10630330133271569</v>
      </c>
      <c r="AW2408" s="28">
        <f t="shared" si="263"/>
        <v>1.7937517182523812</v>
      </c>
      <c r="AX2408">
        <f t="shared" si="264"/>
        <v>0.98785425101214575</v>
      </c>
      <c r="AY2408" s="62">
        <f t="shared" si="265"/>
        <v>1.7719652601359555</v>
      </c>
      <c r="AZ2408" s="68" t="str">
        <f t="shared" si="266"/>
        <v>No</v>
      </c>
      <c r="BA2408" s="68" t="str">
        <f t="shared" si="267"/>
        <v>No</v>
      </c>
    </row>
    <row r="2409" spans="1:55" hidden="1">
      <c r="A2409" t="s">
        <v>3914</v>
      </c>
      <c r="G2409" t="s">
        <v>4474</v>
      </c>
      <c r="P2409" t="s">
        <v>4596</v>
      </c>
      <c r="R2409" t="s">
        <v>4357</v>
      </c>
      <c r="S2409" t="s">
        <v>948</v>
      </c>
      <c r="V2409" t="s">
        <v>4598</v>
      </c>
      <c r="Z2409">
        <v>12</v>
      </c>
      <c r="AA2409">
        <v>12</v>
      </c>
      <c r="AC2409">
        <v>436.6</v>
      </c>
      <c r="AD2409">
        <v>-1</v>
      </c>
      <c r="AE2409">
        <v>415.7</v>
      </c>
      <c r="AF2409">
        <v>1</v>
      </c>
      <c r="AJ2409" t="s">
        <v>4728</v>
      </c>
      <c r="AK2409" t="s">
        <v>4637</v>
      </c>
      <c r="AN2409">
        <v>0.92</v>
      </c>
      <c r="AO2409">
        <v>3.4346616580686003E-2</v>
      </c>
      <c r="AP2409">
        <v>0.91</v>
      </c>
      <c r="AQ2409">
        <v>0.11587265154143288</v>
      </c>
      <c r="AW2409" s="28">
        <f t="shared" si="263"/>
        <v>-0.11701645834296955</v>
      </c>
      <c r="AX2409">
        <f t="shared" si="264"/>
        <v>0.96551724137931039</v>
      </c>
      <c r="AY2409" s="62">
        <f t="shared" si="265"/>
        <v>-0.11298140805528095</v>
      </c>
      <c r="AZ2409" s="68" t="str">
        <f t="shared" si="266"/>
        <v>No</v>
      </c>
      <c r="BA2409" s="68" t="str">
        <f t="shared" si="267"/>
        <v>No</v>
      </c>
    </row>
    <row r="2410" spans="1:55" hidden="1">
      <c r="A2410" t="s">
        <v>3914</v>
      </c>
      <c r="G2410" t="s">
        <v>4474</v>
      </c>
      <c r="P2410" t="s">
        <v>4596</v>
      </c>
      <c r="R2410" t="s">
        <v>4357</v>
      </c>
      <c r="S2410" t="s">
        <v>948</v>
      </c>
      <c r="V2410" t="s">
        <v>4627</v>
      </c>
      <c r="Z2410">
        <v>32</v>
      </c>
      <c r="AA2410">
        <v>32</v>
      </c>
      <c r="AC2410">
        <v>436.6</v>
      </c>
      <c r="AD2410">
        <v>-1</v>
      </c>
      <c r="AE2410">
        <v>1355</v>
      </c>
      <c r="AF2410">
        <v>1</v>
      </c>
      <c r="AJ2410" t="s">
        <v>4725</v>
      </c>
      <c r="AK2410" t="s">
        <v>4642</v>
      </c>
      <c r="AN2410">
        <v>0.86</v>
      </c>
      <c r="AO2410">
        <v>2.9712102856981532E-2</v>
      </c>
      <c r="AP2410">
        <v>0.96</v>
      </c>
      <c r="AQ2410">
        <v>0.12214975618980173</v>
      </c>
      <c r="AW2410" s="28">
        <f t="shared" si="263"/>
        <v>1.1249678635256284</v>
      </c>
      <c r="AX2410">
        <f t="shared" si="264"/>
        <v>0.98785425101214575</v>
      </c>
      <c r="AY2410" s="62">
        <f t="shared" si="265"/>
        <v>1.1113042862358433</v>
      </c>
      <c r="AZ2410" s="68" t="str">
        <f t="shared" si="266"/>
        <v>No</v>
      </c>
      <c r="BA2410" s="68" t="str">
        <f t="shared" si="267"/>
        <v>No</v>
      </c>
    </row>
    <row r="2411" spans="1:55" hidden="1">
      <c r="A2411" t="s">
        <v>3914</v>
      </c>
      <c r="G2411" t="s">
        <v>4474</v>
      </c>
      <c r="P2411" t="s">
        <v>4596</v>
      </c>
      <c r="R2411" t="s">
        <v>4357</v>
      </c>
      <c r="S2411" t="s">
        <v>948</v>
      </c>
      <c r="V2411" t="s">
        <v>4627</v>
      </c>
      <c r="Z2411">
        <v>12</v>
      </c>
      <c r="AA2411">
        <v>12</v>
      </c>
      <c r="AC2411">
        <v>436.6</v>
      </c>
      <c r="AD2411">
        <v>-1</v>
      </c>
      <c r="AE2411">
        <v>1355</v>
      </c>
      <c r="AF2411">
        <v>1</v>
      </c>
      <c r="AJ2411" t="s">
        <v>4724</v>
      </c>
      <c r="AK2411" t="s">
        <v>4637</v>
      </c>
      <c r="AN2411">
        <v>0.77</v>
      </c>
      <c r="AO2411">
        <v>0.28612296251955127</v>
      </c>
      <c r="AP2411">
        <v>0.13</v>
      </c>
      <c r="AQ2411">
        <v>0.22193408676370005</v>
      </c>
      <c r="AW2411" s="28">
        <f t="shared" si="263"/>
        <v>-2.4995319865744365</v>
      </c>
      <c r="AX2411">
        <f t="shared" si="264"/>
        <v>0.96551724137931039</v>
      </c>
      <c r="AY2411" s="62">
        <f t="shared" si="265"/>
        <v>-2.4133412284166975</v>
      </c>
      <c r="AZ2411" s="68" t="str">
        <f t="shared" si="266"/>
        <v>No</v>
      </c>
      <c r="BA2411" s="68" t="str">
        <f t="shared" si="267"/>
        <v>No</v>
      </c>
    </row>
    <row r="2412" spans="1:55" hidden="1">
      <c r="A2412" t="s">
        <v>3914</v>
      </c>
      <c r="G2412" t="s">
        <v>5067</v>
      </c>
      <c r="P2412" t="s">
        <v>60</v>
      </c>
      <c r="R2412" t="s">
        <v>4357</v>
      </c>
      <c r="S2412" t="s">
        <v>948</v>
      </c>
      <c r="V2412" t="s">
        <v>3956</v>
      </c>
      <c r="Z2412">
        <v>12</v>
      </c>
      <c r="AA2412">
        <v>12</v>
      </c>
      <c r="AC2412">
        <v>436.6</v>
      </c>
      <c r="AD2412">
        <v>-0.9</v>
      </c>
      <c r="AE2412">
        <v>897.1</v>
      </c>
      <c r="AF2412">
        <v>-1</v>
      </c>
      <c r="AJ2412" t="s">
        <v>4480</v>
      </c>
      <c r="AK2412" t="s">
        <v>4151</v>
      </c>
      <c r="AN2412">
        <v>0.77</v>
      </c>
      <c r="AO2412">
        <v>0.31176914536239786</v>
      </c>
      <c r="AP2412">
        <v>0.6</v>
      </c>
      <c r="AQ2412">
        <v>0.38105117766515301</v>
      </c>
      <c r="AW2412" s="28">
        <f t="shared" si="263"/>
        <v>-0.48831224117821231</v>
      </c>
      <c r="AX2412">
        <f t="shared" si="264"/>
        <v>0.96551724137931039</v>
      </c>
      <c r="AY2412" s="62">
        <f t="shared" si="265"/>
        <v>-0.47147388803413603</v>
      </c>
      <c r="AZ2412" s="68" t="str">
        <f t="shared" si="266"/>
        <v>No</v>
      </c>
      <c r="BA2412" s="68" t="str">
        <f t="shared" si="267"/>
        <v>No</v>
      </c>
    </row>
    <row r="2413" spans="1:55" hidden="1">
      <c r="A2413" t="s">
        <v>3914</v>
      </c>
      <c r="G2413" t="s">
        <v>5067</v>
      </c>
      <c r="P2413" t="s">
        <v>60</v>
      </c>
      <c r="R2413" t="s">
        <v>4357</v>
      </c>
      <c r="S2413" t="s">
        <v>948</v>
      </c>
      <c r="V2413" t="s">
        <v>3956</v>
      </c>
      <c r="Z2413">
        <v>12</v>
      </c>
      <c r="AA2413">
        <v>12</v>
      </c>
      <c r="AC2413">
        <v>436.6</v>
      </c>
      <c r="AD2413">
        <v>-0.9</v>
      </c>
      <c r="AE2413">
        <v>1399</v>
      </c>
      <c r="AF2413">
        <v>-0.9</v>
      </c>
      <c r="AJ2413" t="s">
        <v>4480</v>
      </c>
      <c r="AK2413" t="s">
        <v>4151</v>
      </c>
      <c r="AN2413">
        <v>0.77</v>
      </c>
      <c r="AO2413">
        <v>0.31176914536239786</v>
      </c>
      <c r="AP2413">
        <v>0.55000000000000004</v>
      </c>
      <c r="AQ2413">
        <v>0.38105117766515301</v>
      </c>
      <c r="AW2413" s="28">
        <f t="shared" si="263"/>
        <v>-0.63193348858356868</v>
      </c>
      <c r="AX2413">
        <f t="shared" si="264"/>
        <v>0.96551724137931039</v>
      </c>
      <c r="AY2413" s="62">
        <f t="shared" si="265"/>
        <v>-0.61014267863241112</v>
      </c>
      <c r="AZ2413" s="68" t="str">
        <f t="shared" si="266"/>
        <v>No</v>
      </c>
      <c r="BA2413" s="68" t="str">
        <f t="shared" si="267"/>
        <v>No</v>
      </c>
    </row>
    <row r="2414" spans="1:55" hidden="1">
      <c r="A2414" t="s">
        <v>3914</v>
      </c>
      <c r="G2414" t="s">
        <v>4474</v>
      </c>
      <c r="P2414" t="s">
        <v>4596</v>
      </c>
      <c r="R2414" t="s">
        <v>4357</v>
      </c>
      <c r="S2414" t="s">
        <v>948</v>
      </c>
      <c r="V2414" t="s">
        <v>4626</v>
      </c>
      <c r="Z2414">
        <v>12</v>
      </c>
      <c r="AA2414">
        <v>12</v>
      </c>
      <c r="AC2414">
        <v>436.6</v>
      </c>
      <c r="AD2414">
        <v>-1</v>
      </c>
      <c r="AE2414">
        <v>838.9</v>
      </c>
      <c r="AF2414">
        <v>1</v>
      </c>
      <c r="AJ2414" t="s">
        <v>4724</v>
      </c>
      <c r="AK2414" t="s">
        <v>4637</v>
      </c>
      <c r="AN2414">
        <v>0.77</v>
      </c>
      <c r="AO2414">
        <v>0.28612296251955127</v>
      </c>
      <c r="AP2414">
        <v>0.42</v>
      </c>
      <c r="AQ2414">
        <v>0.41492024916691661</v>
      </c>
      <c r="AW2414" s="28">
        <f t="shared" si="263"/>
        <v>-0.98207503913217553</v>
      </c>
      <c r="AX2414">
        <f t="shared" si="264"/>
        <v>0.96551724137931039</v>
      </c>
      <c r="AY2414" s="62">
        <f t="shared" si="265"/>
        <v>-0.94821038261037638</v>
      </c>
      <c r="AZ2414" s="68" t="str">
        <f t="shared" si="266"/>
        <v>No</v>
      </c>
      <c r="BA2414" s="68" t="str">
        <f t="shared" si="267"/>
        <v>No</v>
      </c>
    </row>
    <row r="2415" spans="1:55" hidden="1">
      <c r="A2415" t="s">
        <v>3914</v>
      </c>
      <c r="G2415" t="s">
        <v>4474</v>
      </c>
      <c r="P2415" t="s">
        <v>4596</v>
      </c>
      <c r="R2415" t="s">
        <v>4357</v>
      </c>
      <c r="S2415" t="s">
        <v>948</v>
      </c>
      <c r="V2415" t="s">
        <v>4598</v>
      </c>
      <c r="Z2415">
        <v>12</v>
      </c>
      <c r="AA2415">
        <v>12</v>
      </c>
      <c r="AC2415">
        <v>436.6</v>
      </c>
      <c r="AD2415">
        <v>-1</v>
      </c>
      <c r="AE2415">
        <v>415.7</v>
      </c>
      <c r="AF2415">
        <v>1</v>
      </c>
      <c r="AJ2415" t="s">
        <v>4724</v>
      </c>
      <c r="AK2415" t="s">
        <v>4637</v>
      </c>
      <c r="AN2415">
        <v>0.77</v>
      </c>
      <c r="AO2415">
        <v>0.28612296251955127</v>
      </c>
      <c r="AP2415">
        <v>0.5</v>
      </c>
      <c r="AQ2415">
        <v>0.4472244546126723</v>
      </c>
      <c r="AW2415" s="28">
        <f t="shared" si="263"/>
        <v>-0.71919997541328318</v>
      </c>
      <c r="AX2415">
        <f t="shared" si="264"/>
        <v>0.96551724137931039</v>
      </c>
      <c r="AY2415" s="62">
        <f t="shared" si="265"/>
        <v>-0.69439997626110106</v>
      </c>
      <c r="AZ2415" s="68" t="str">
        <f t="shared" si="266"/>
        <v>No</v>
      </c>
      <c r="BA2415" s="68" t="str">
        <f t="shared" si="267"/>
        <v>No</v>
      </c>
    </row>
    <row r="2416" spans="1:55" ht="15" hidden="1">
      <c r="A2416" t="s">
        <v>3914</v>
      </c>
      <c r="G2416" t="s">
        <v>4441</v>
      </c>
      <c r="P2416" t="s">
        <v>4596</v>
      </c>
      <c r="R2416" t="s">
        <v>4357</v>
      </c>
      <c r="S2416" t="s">
        <v>948</v>
      </c>
      <c r="V2416" t="s">
        <v>4626</v>
      </c>
      <c r="Z2416">
        <v>32</v>
      </c>
      <c r="AA2416">
        <v>32</v>
      </c>
      <c r="AC2416">
        <v>338.1</v>
      </c>
      <c r="AD2416">
        <v>20</v>
      </c>
      <c r="AE2416">
        <v>761.8</v>
      </c>
      <c r="AF2416">
        <v>24</v>
      </c>
      <c r="AJ2416" t="s">
        <v>4727</v>
      </c>
      <c r="AK2416" t="s">
        <v>4637</v>
      </c>
      <c r="AN2416" s="70">
        <v>2.2669999999999999E-2</v>
      </c>
      <c r="AO2416" s="70">
        <v>5.8999999999999999E-3</v>
      </c>
      <c r="AP2416">
        <v>3.1199999999999999E-2</v>
      </c>
      <c r="AQ2416">
        <v>5.8999999999999999E-3</v>
      </c>
      <c r="AU2416" s="58" t="s">
        <v>4730</v>
      </c>
      <c r="AW2416" s="28">
        <f t="shared" si="263"/>
        <v>1.4457627118644067</v>
      </c>
      <c r="AX2416">
        <f t="shared" si="264"/>
        <v>0.98785425101214575</v>
      </c>
      <c r="AY2416" s="62">
        <f t="shared" si="265"/>
        <v>1.4282028408701022</v>
      </c>
      <c r="AZ2416" s="68" t="str">
        <f t="shared" si="266"/>
        <v>No</v>
      </c>
      <c r="BA2416" s="68" t="str">
        <f t="shared" si="267"/>
        <v>No</v>
      </c>
    </row>
    <row r="2417" spans="1:55" s="56" customFormat="1" ht="15" hidden="1">
      <c r="A2417" t="s">
        <v>3914</v>
      </c>
      <c r="B2417"/>
      <c r="C2417"/>
      <c r="D2417" s="25"/>
      <c r="E2417" s="25"/>
      <c r="F2417"/>
      <c r="G2417" t="s">
        <v>4441</v>
      </c>
      <c r="H2417"/>
      <c r="I2417"/>
      <c r="J2417"/>
      <c r="K2417"/>
      <c r="L2417"/>
      <c r="M2417" s="25"/>
      <c r="N2417"/>
      <c r="O2417"/>
      <c r="P2417" t="s">
        <v>4596</v>
      </c>
      <c r="Q2417"/>
      <c r="R2417" t="s">
        <v>4357</v>
      </c>
      <c r="S2417" t="s">
        <v>948</v>
      </c>
      <c r="T2417"/>
      <c r="U2417"/>
      <c r="V2417" t="s">
        <v>4627</v>
      </c>
      <c r="W2417" s="25"/>
      <c r="X2417"/>
      <c r="Y2417"/>
      <c r="Z2417">
        <v>32</v>
      </c>
      <c r="AA2417">
        <v>32</v>
      </c>
      <c r="AB2417"/>
      <c r="AC2417">
        <v>338.1</v>
      </c>
      <c r="AD2417">
        <v>20</v>
      </c>
      <c r="AE2417">
        <v>1273.8</v>
      </c>
      <c r="AF2417">
        <v>24</v>
      </c>
      <c r="AG2417"/>
      <c r="AH2417"/>
      <c r="AI2417"/>
      <c r="AJ2417" t="s">
        <v>4727</v>
      </c>
      <c r="AK2417" t="s">
        <v>4637</v>
      </c>
      <c r="AL2417" s="25"/>
      <c r="AM2417" s="35"/>
      <c r="AN2417" s="70">
        <v>2.2669999999999999E-2</v>
      </c>
      <c r="AO2417" s="70">
        <v>5.8999999999999999E-3</v>
      </c>
      <c r="AP2417">
        <v>2.911E-2</v>
      </c>
      <c r="AQ2417">
        <v>6.3E-3</v>
      </c>
      <c r="AR2417"/>
      <c r="AS2417"/>
      <c r="AT2417"/>
      <c r="AU2417" s="58" t="s">
        <v>4730</v>
      </c>
      <c r="AV2417"/>
      <c r="AW2417" s="28">
        <f t="shared" si="263"/>
        <v>1.0551707136285244</v>
      </c>
      <c r="AX2417">
        <f t="shared" si="264"/>
        <v>0.98785425101214575</v>
      </c>
      <c r="AY2417" s="62">
        <f t="shared" si="265"/>
        <v>1.0423548750014573</v>
      </c>
      <c r="AZ2417" s="68" t="str">
        <f t="shared" si="266"/>
        <v>No</v>
      </c>
      <c r="BA2417" s="68" t="str">
        <f t="shared" si="267"/>
        <v>No</v>
      </c>
      <c r="BB2417"/>
      <c r="BC2417"/>
    </row>
    <row r="2418" spans="1:55" ht="15" hidden="1">
      <c r="A2418" t="s">
        <v>3914</v>
      </c>
      <c r="G2418" t="s">
        <v>4978</v>
      </c>
      <c r="P2418" t="s">
        <v>4596</v>
      </c>
      <c r="R2418" t="s">
        <v>4357</v>
      </c>
      <c r="S2418" t="s">
        <v>948</v>
      </c>
      <c r="V2418" t="s">
        <v>4598</v>
      </c>
      <c r="Z2418">
        <v>32</v>
      </c>
      <c r="AA2418">
        <v>32</v>
      </c>
      <c r="AC2418">
        <v>338.1</v>
      </c>
      <c r="AD2418">
        <v>20</v>
      </c>
      <c r="AE2418">
        <v>334.5</v>
      </c>
      <c r="AF2418">
        <v>24</v>
      </c>
      <c r="AJ2418" s="56" t="s">
        <v>4726</v>
      </c>
      <c r="AK2418" t="s">
        <v>4637</v>
      </c>
      <c r="AN2418" s="70">
        <v>2.2669999999999999E-2</v>
      </c>
      <c r="AO2418" s="70">
        <v>5.8999999999999999E-3</v>
      </c>
      <c r="AP2418">
        <v>2.6349999999999998E-2</v>
      </c>
      <c r="AQ2418">
        <v>6.4000000000000003E-3</v>
      </c>
      <c r="AU2418" s="58" t="s">
        <v>4730</v>
      </c>
      <c r="AW2418" s="28">
        <f t="shared" si="263"/>
        <v>0.59788020241451689</v>
      </c>
      <c r="AX2418">
        <f t="shared" si="264"/>
        <v>0.98785425101214575</v>
      </c>
      <c r="AY2418" s="62">
        <f t="shared" si="265"/>
        <v>0.59061849955118273</v>
      </c>
      <c r="AZ2418" s="68" t="str">
        <f t="shared" si="266"/>
        <v>No</v>
      </c>
      <c r="BA2418" s="68" t="str">
        <f t="shared" si="267"/>
        <v>No</v>
      </c>
    </row>
    <row r="2419" spans="1:55" hidden="1">
      <c r="A2419" t="s">
        <v>3914</v>
      </c>
      <c r="G2419" s="50" t="s">
        <v>4441</v>
      </c>
      <c r="P2419" t="s">
        <v>60</v>
      </c>
      <c r="R2419" t="s">
        <v>4357</v>
      </c>
      <c r="S2419" s="50" t="s">
        <v>1756</v>
      </c>
      <c r="V2419" t="s">
        <v>3956</v>
      </c>
      <c r="Z2419" s="50">
        <v>8</v>
      </c>
      <c r="AA2419" s="50">
        <v>8</v>
      </c>
      <c r="AC2419">
        <v>338.1</v>
      </c>
      <c r="AD2419">
        <v>20</v>
      </c>
      <c r="AE2419">
        <v>757.2</v>
      </c>
      <c r="AF2419">
        <v>20</v>
      </c>
      <c r="AJ2419" s="50" t="s">
        <v>4479</v>
      </c>
      <c r="AK2419" t="s">
        <v>4151</v>
      </c>
      <c r="AN2419">
        <v>97</v>
      </c>
      <c r="AO2419">
        <v>1.4142135623730951</v>
      </c>
      <c r="AP2419">
        <v>92</v>
      </c>
      <c r="AQ2419">
        <v>4.2426406871192857</v>
      </c>
      <c r="AW2419" s="28">
        <f t="shared" si="263"/>
        <v>-1.5811388300841893</v>
      </c>
      <c r="AX2419">
        <f t="shared" si="264"/>
        <v>0.94545454545454544</v>
      </c>
      <c r="AY2419" s="62">
        <f t="shared" si="265"/>
        <v>-1.4948948938977789</v>
      </c>
      <c r="AZ2419" s="68" t="str">
        <f t="shared" si="266"/>
        <v>No</v>
      </c>
      <c r="BA2419" s="68" t="str">
        <f t="shared" si="267"/>
        <v>No</v>
      </c>
    </row>
    <row r="2420" spans="1:55" s="56" customFormat="1" ht="15" hidden="1">
      <c r="A2420" t="s">
        <v>3914</v>
      </c>
      <c r="B2420"/>
      <c r="C2420"/>
      <c r="D2420" s="25"/>
      <c r="E2420" s="25"/>
      <c r="F2420"/>
      <c r="G2420" t="s">
        <v>4441</v>
      </c>
      <c r="H2420"/>
      <c r="I2420"/>
      <c r="J2420"/>
      <c r="K2420"/>
      <c r="L2420"/>
      <c r="M2420" s="25"/>
      <c r="N2420"/>
      <c r="O2420"/>
      <c r="P2420" t="s">
        <v>60</v>
      </c>
      <c r="Q2420"/>
      <c r="R2420" t="s">
        <v>4357</v>
      </c>
      <c r="S2420" t="s">
        <v>1756</v>
      </c>
      <c r="T2420"/>
      <c r="U2420"/>
      <c r="V2420" t="s">
        <v>3956</v>
      </c>
      <c r="W2420" s="25"/>
      <c r="X2420"/>
      <c r="Y2420"/>
      <c r="Z2420">
        <v>8</v>
      </c>
      <c r="AA2420">
        <v>8</v>
      </c>
      <c r="AB2420"/>
      <c r="AC2420">
        <v>338.1</v>
      </c>
      <c r="AD2420">
        <v>20</v>
      </c>
      <c r="AE2420">
        <v>757.2</v>
      </c>
      <c r="AF2420">
        <v>20</v>
      </c>
      <c r="AG2420"/>
      <c r="AH2420"/>
      <c r="AI2420"/>
      <c r="AJ2420" t="s">
        <v>4495</v>
      </c>
      <c r="AK2420" t="s">
        <v>4123</v>
      </c>
      <c r="AL2420" s="25"/>
      <c r="AM2420" s="35"/>
      <c r="AN2420">
        <v>13</v>
      </c>
      <c r="AO2420">
        <v>2.8284271247461903</v>
      </c>
      <c r="AP2420">
        <v>16.5</v>
      </c>
      <c r="AQ2420">
        <v>4.2426406871192857</v>
      </c>
      <c r="AR2420"/>
      <c r="AS2420"/>
      <c r="AT2420"/>
      <c r="AU2420"/>
      <c r="AV2420"/>
      <c r="AW2420" s="28">
        <f t="shared" si="263"/>
        <v>0.97072534339415084</v>
      </c>
      <c r="AX2420">
        <f t="shared" si="264"/>
        <v>0.94545454545454544</v>
      </c>
      <c r="AY2420" s="62">
        <f t="shared" si="265"/>
        <v>0.91777668829992443</v>
      </c>
      <c r="AZ2420" s="68" t="str">
        <f t="shared" si="266"/>
        <v>No</v>
      </c>
      <c r="BA2420" s="68" t="str">
        <f t="shared" si="267"/>
        <v>No</v>
      </c>
      <c r="BB2420"/>
      <c r="BC2420"/>
    </row>
    <row r="2421" spans="1:55" hidden="1">
      <c r="A2421" t="s">
        <v>3914</v>
      </c>
      <c r="G2421" t="s">
        <v>4441</v>
      </c>
      <c r="P2421" t="s">
        <v>60</v>
      </c>
      <c r="R2421" t="s">
        <v>4357</v>
      </c>
      <c r="S2421" t="s">
        <v>1756</v>
      </c>
      <c r="V2421" t="s">
        <v>3956</v>
      </c>
      <c r="Z2421">
        <v>8</v>
      </c>
      <c r="AA2421">
        <v>8</v>
      </c>
      <c r="AC2421">
        <v>338.1</v>
      </c>
      <c r="AD2421">
        <v>20</v>
      </c>
      <c r="AE2421">
        <v>2053.9</v>
      </c>
      <c r="AF2421">
        <v>20</v>
      </c>
      <c r="AJ2421" t="s">
        <v>4495</v>
      </c>
      <c r="AK2421" t="s">
        <v>4123</v>
      </c>
      <c r="AN2421">
        <v>13</v>
      </c>
      <c r="AO2421">
        <v>2.8284271247461903</v>
      </c>
      <c r="AP2421">
        <v>17.5</v>
      </c>
      <c r="AQ2421">
        <v>4.2426406871192857</v>
      </c>
      <c r="AW2421" s="28">
        <f t="shared" si="263"/>
        <v>1.2480754415067654</v>
      </c>
      <c r="AX2421">
        <f t="shared" si="264"/>
        <v>0.94545454545454544</v>
      </c>
      <c r="AY2421" s="62">
        <f t="shared" si="265"/>
        <v>1.17999859924276</v>
      </c>
      <c r="AZ2421" s="68" t="str">
        <f t="shared" si="266"/>
        <v>No</v>
      </c>
      <c r="BA2421" s="68" t="str">
        <f t="shared" si="267"/>
        <v>No</v>
      </c>
    </row>
    <row r="2422" spans="1:55" s="56" customFormat="1" ht="15" hidden="1">
      <c r="A2422" t="s">
        <v>3914</v>
      </c>
      <c r="B2422"/>
      <c r="C2422"/>
      <c r="D2422" s="25"/>
      <c r="E2422" s="25"/>
      <c r="F2422"/>
      <c r="G2422" t="s">
        <v>4935</v>
      </c>
      <c r="H2422"/>
      <c r="I2422"/>
      <c r="J2422"/>
      <c r="K2422"/>
      <c r="L2422"/>
      <c r="M2422" s="25"/>
      <c r="N2422"/>
      <c r="O2422"/>
      <c r="P2422" t="s">
        <v>4596</v>
      </c>
      <c r="Q2422"/>
      <c r="R2422" t="s">
        <v>4357</v>
      </c>
      <c r="S2422" t="s">
        <v>948</v>
      </c>
      <c r="T2422"/>
      <c r="U2422"/>
      <c r="V2422" t="s">
        <v>4598</v>
      </c>
      <c r="W2422" s="25"/>
      <c r="X2422"/>
      <c r="Y2422"/>
      <c r="Z2422">
        <v>8</v>
      </c>
      <c r="AA2422">
        <v>8</v>
      </c>
      <c r="AB2422"/>
      <c r="AC2422">
        <v>338.1</v>
      </c>
      <c r="AD2422">
        <v>20</v>
      </c>
      <c r="AE2422">
        <v>334.5</v>
      </c>
      <c r="AF2422">
        <v>24</v>
      </c>
      <c r="AG2422"/>
      <c r="AH2422"/>
      <c r="AI2422"/>
      <c r="AJ2422" t="s">
        <v>4724</v>
      </c>
      <c r="AK2422" t="s">
        <v>4637</v>
      </c>
      <c r="AL2422" s="25"/>
      <c r="AM2422" s="35"/>
      <c r="AN2422">
        <v>97</v>
      </c>
      <c r="AO2422">
        <v>1.8833539418132894</v>
      </c>
      <c r="AP2422">
        <v>88</v>
      </c>
      <c r="AQ2422">
        <v>4.970819420195757</v>
      </c>
      <c r="AR2422"/>
      <c r="AS2422"/>
      <c r="AT2422"/>
      <c r="AU2422"/>
      <c r="AV2422"/>
      <c r="AW2422" s="28">
        <f t="shared" si="263"/>
        <v>-2.3944272448081465</v>
      </c>
      <c r="AX2422">
        <f t="shared" si="264"/>
        <v>0.94545454545454544</v>
      </c>
      <c r="AY2422" s="62">
        <f t="shared" si="265"/>
        <v>-2.2638221223640658</v>
      </c>
      <c r="AZ2422" s="68" t="str">
        <f t="shared" si="266"/>
        <v>No</v>
      </c>
      <c r="BA2422" s="68" t="str">
        <f t="shared" si="267"/>
        <v>No</v>
      </c>
      <c r="BB2422"/>
      <c r="BC2422"/>
    </row>
    <row r="2423" spans="1:55" s="56" customFormat="1" ht="15" hidden="1">
      <c r="A2423" t="s">
        <v>3914</v>
      </c>
      <c r="B2423"/>
      <c r="C2423"/>
      <c r="D2423" s="25"/>
      <c r="E2423" s="25"/>
      <c r="F2423"/>
      <c r="G2423" t="s">
        <v>4935</v>
      </c>
      <c r="H2423"/>
      <c r="I2423"/>
      <c r="J2423"/>
      <c r="K2423"/>
      <c r="L2423"/>
      <c r="M2423" s="25"/>
      <c r="N2423"/>
      <c r="O2423"/>
      <c r="P2423" t="s">
        <v>4596</v>
      </c>
      <c r="Q2423"/>
      <c r="R2423" t="s">
        <v>4357</v>
      </c>
      <c r="S2423" t="s">
        <v>948</v>
      </c>
      <c r="T2423"/>
      <c r="U2423"/>
      <c r="V2423" t="s">
        <v>4626</v>
      </c>
      <c r="W2423" s="25"/>
      <c r="X2423"/>
      <c r="Y2423"/>
      <c r="Z2423">
        <v>8</v>
      </c>
      <c r="AA2423">
        <v>8</v>
      </c>
      <c r="AB2423"/>
      <c r="AC2423">
        <v>338.1</v>
      </c>
      <c r="AD2423">
        <v>20</v>
      </c>
      <c r="AE2423">
        <v>761.8</v>
      </c>
      <c r="AF2423">
        <v>24</v>
      </c>
      <c r="AG2423"/>
      <c r="AH2423"/>
      <c r="AI2423"/>
      <c r="AJ2423" t="s">
        <v>4724</v>
      </c>
      <c r="AK2423" t="s">
        <v>4637</v>
      </c>
      <c r="AL2423" s="25"/>
      <c r="AM2423" s="35"/>
      <c r="AN2423">
        <v>95</v>
      </c>
      <c r="AO2423">
        <v>3.1926225906415389</v>
      </c>
      <c r="AP2423">
        <v>88</v>
      </c>
      <c r="AQ2423">
        <v>6.1191932987296429</v>
      </c>
      <c r="AR2423"/>
      <c r="AS2423"/>
      <c r="AT2423"/>
      <c r="AU2423"/>
      <c r="AV2423"/>
      <c r="AW2423" s="28">
        <f t="shared" si="263"/>
        <v>-1.4342972622410259</v>
      </c>
      <c r="AX2423">
        <f t="shared" si="264"/>
        <v>0.94545454545454544</v>
      </c>
      <c r="AY2423" s="62">
        <f t="shared" si="265"/>
        <v>-1.3560628661187881</v>
      </c>
      <c r="AZ2423" s="68" t="str">
        <f t="shared" si="266"/>
        <v>No</v>
      </c>
      <c r="BA2423" s="68" t="str">
        <f t="shared" si="267"/>
        <v>No</v>
      </c>
      <c r="BB2423"/>
      <c r="BC2423"/>
    </row>
    <row r="2424" spans="1:55" s="56" customFormat="1" ht="15" hidden="1">
      <c r="A2424" t="s">
        <v>3914</v>
      </c>
      <c r="B2424"/>
      <c r="C2424"/>
      <c r="D2424" s="25"/>
      <c r="E2424" s="25"/>
      <c r="F2424"/>
      <c r="G2424" s="50" t="s">
        <v>4441</v>
      </c>
      <c r="H2424"/>
      <c r="I2424"/>
      <c r="J2424"/>
      <c r="K2424"/>
      <c r="L2424"/>
      <c r="M2424" s="25"/>
      <c r="N2424"/>
      <c r="O2424"/>
      <c r="P2424" t="s">
        <v>60</v>
      </c>
      <c r="Q2424"/>
      <c r="R2424" t="s">
        <v>4357</v>
      </c>
      <c r="S2424" s="50" t="s">
        <v>1756</v>
      </c>
      <c r="T2424"/>
      <c r="U2424"/>
      <c r="V2424" t="s">
        <v>3956</v>
      </c>
      <c r="W2424" s="25"/>
      <c r="X2424"/>
      <c r="Y2424"/>
      <c r="Z2424">
        <v>8</v>
      </c>
      <c r="AA2424">
        <v>8</v>
      </c>
      <c r="AB2424"/>
      <c r="AC2424">
        <v>338.1</v>
      </c>
      <c r="AD2424">
        <v>20</v>
      </c>
      <c r="AE2424">
        <v>2053.9</v>
      </c>
      <c r="AF2424">
        <v>20</v>
      </c>
      <c r="AG2424"/>
      <c r="AH2424"/>
      <c r="AI2424"/>
      <c r="AJ2424" s="50" t="s">
        <v>4479</v>
      </c>
      <c r="AK2424" t="s">
        <v>4151</v>
      </c>
      <c r="AL2424" s="25"/>
      <c r="AM2424" s="35"/>
      <c r="AN2424">
        <v>97</v>
      </c>
      <c r="AO2424">
        <v>1.4142135623730951</v>
      </c>
      <c r="AP2424">
        <v>74</v>
      </c>
      <c r="AQ2424">
        <v>7.0710678118654755</v>
      </c>
      <c r="AR2424"/>
      <c r="AS2424"/>
      <c r="AT2424"/>
      <c r="AU2424"/>
      <c r="AV2424"/>
      <c r="AW2424" s="28">
        <f t="shared" si="263"/>
        <v>-4.5106711081782329</v>
      </c>
      <c r="AX2424">
        <f t="shared" si="264"/>
        <v>0.94545454545454544</v>
      </c>
      <c r="AY2424" s="62">
        <f t="shared" si="265"/>
        <v>-4.2646345022776018</v>
      </c>
      <c r="AZ2424" s="68" t="str">
        <f t="shared" si="266"/>
        <v>No</v>
      </c>
      <c r="BA2424" s="68" t="str">
        <f t="shared" si="267"/>
        <v>No</v>
      </c>
      <c r="BB2424"/>
      <c r="BC2424"/>
    </row>
    <row r="2425" spans="1:55" s="56" customFormat="1" ht="15" hidden="1">
      <c r="A2425" t="s">
        <v>3914</v>
      </c>
      <c r="B2425"/>
      <c r="C2425"/>
      <c r="D2425" s="25"/>
      <c r="E2425" s="25"/>
      <c r="F2425"/>
      <c r="G2425" t="s">
        <v>4935</v>
      </c>
      <c r="H2425"/>
      <c r="I2425"/>
      <c r="J2425"/>
      <c r="K2425"/>
      <c r="L2425"/>
      <c r="M2425" s="25"/>
      <c r="N2425"/>
      <c r="O2425"/>
      <c r="P2425" t="s">
        <v>4596</v>
      </c>
      <c r="Q2425"/>
      <c r="R2425" t="s">
        <v>4357</v>
      </c>
      <c r="S2425" t="s">
        <v>948</v>
      </c>
      <c r="T2425"/>
      <c r="U2425"/>
      <c r="V2425" t="s">
        <v>4627</v>
      </c>
      <c r="W2425" s="25"/>
      <c r="X2425"/>
      <c r="Y2425"/>
      <c r="Z2425">
        <v>8</v>
      </c>
      <c r="AA2425">
        <v>8</v>
      </c>
      <c r="AB2425"/>
      <c r="AC2425">
        <v>338.1</v>
      </c>
      <c r="AD2425">
        <v>20</v>
      </c>
      <c r="AE2425">
        <v>1273.8</v>
      </c>
      <c r="AF2425">
        <v>24</v>
      </c>
      <c r="AG2425"/>
      <c r="AH2425"/>
      <c r="AI2425"/>
      <c r="AJ2425" t="s">
        <v>4724</v>
      </c>
      <c r="AK2425" t="s">
        <v>4637</v>
      </c>
      <c r="AL2425" s="25"/>
      <c r="AM2425" s="35"/>
      <c r="AN2425">
        <v>95</v>
      </c>
      <c r="AO2425">
        <v>3.1926225906415389</v>
      </c>
      <c r="AP2425">
        <v>73</v>
      </c>
      <c r="AQ2425">
        <v>7.479014031780884</v>
      </c>
      <c r="AR2425"/>
      <c r="AS2425"/>
      <c r="AT2425"/>
      <c r="AU2425"/>
      <c r="AV2425"/>
      <c r="AW2425" s="28">
        <f t="shared" si="263"/>
        <v>-3.8259859953963988</v>
      </c>
      <c r="AX2425">
        <f t="shared" si="264"/>
        <v>0.94545454545454544</v>
      </c>
      <c r="AY2425" s="73">
        <f t="shared" si="265"/>
        <v>-3.6172958501929586</v>
      </c>
      <c r="AZ2425" s="74" t="str">
        <f t="shared" si="266"/>
        <v>No</v>
      </c>
      <c r="BA2425" s="74" t="str">
        <f t="shared" si="267"/>
        <v>No</v>
      </c>
    </row>
    <row r="2426" spans="1:55" s="56" customFormat="1" ht="15" hidden="1">
      <c r="A2426" t="s">
        <v>3914</v>
      </c>
      <c r="B2426"/>
      <c r="C2426"/>
      <c r="D2426" s="25"/>
      <c r="E2426" s="25"/>
      <c r="F2426"/>
      <c r="G2426" t="s">
        <v>4935</v>
      </c>
      <c r="H2426"/>
      <c r="I2426"/>
      <c r="J2426"/>
      <c r="K2426"/>
      <c r="L2426"/>
      <c r="M2426" s="25"/>
      <c r="N2426"/>
      <c r="O2426"/>
      <c r="P2426" t="s">
        <v>4596</v>
      </c>
      <c r="Q2426"/>
      <c r="R2426" t="s">
        <v>4357</v>
      </c>
      <c r="S2426" t="s">
        <v>948</v>
      </c>
      <c r="T2426"/>
      <c r="U2426"/>
      <c r="V2426" t="s">
        <v>4627</v>
      </c>
      <c r="W2426" s="25"/>
      <c r="X2426"/>
      <c r="Y2426"/>
      <c r="Z2426">
        <v>8</v>
      </c>
      <c r="AA2426">
        <v>8</v>
      </c>
      <c r="AB2426"/>
      <c r="AC2426">
        <v>338.1</v>
      </c>
      <c r="AD2426">
        <v>20</v>
      </c>
      <c r="AE2426">
        <v>1273.8</v>
      </c>
      <c r="AF2426">
        <v>24</v>
      </c>
      <c r="AG2426"/>
      <c r="AH2426"/>
      <c r="AI2426"/>
      <c r="AJ2426" t="s">
        <v>4724</v>
      </c>
      <c r="AK2426" t="s">
        <v>4637</v>
      </c>
      <c r="AL2426" s="25"/>
      <c r="AM2426" s="35"/>
      <c r="AN2426">
        <v>97</v>
      </c>
      <c r="AO2426">
        <v>1.8833539418132894</v>
      </c>
      <c r="AP2426">
        <v>65</v>
      </c>
      <c r="AQ2426">
        <v>7.8421623150914845</v>
      </c>
      <c r="AR2426"/>
      <c r="AS2426"/>
      <c r="AT2426"/>
      <c r="AU2426"/>
      <c r="AV2426"/>
      <c r="AW2426" s="28">
        <f t="shared" si="263"/>
        <v>-5.6111632383784462</v>
      </c>
      <c r="AX2426">
        <f t="shared" si="264"/>
        <v>0.94545454545454544</v>
      </c>
      <c r="AY2426" s="62">
        <f t="shared" si="265"/>
        <v>-5.305099789012349</v>
      </c>
      <c r="AZ2426" s="68" t="str">
        <f t="shared" si="266"/>
        <v>No</v>
      </c>
      <c r="BA2426" s="68" t="str">
        <f t="shared" si="267"/>
        <v>No</v>
      </c>
      <c r="BB2426"/>
      <c r="BC2426"/>
    </row>
    <row r="2427" spans="1:55" ht="15" hidden="1">
      <c r="A2427" t="s">
        <v>3914</v>
      </c>
      <c r="G2427" t="s">
        <v>4935</v>
      </c>
      <c r="P2427" t="s">
        <v>4596</v>
      </c>
      <c r="R2427" t="s">
        <v>4357</v>
      </c>
      <c r="S2427" t="s">
        <v>948</v>
      </c>
      <c r="V2427" t="s">
        <v>4626</v>
      </c>
      <c r="Z2427">
        <v>8</v>
      </c>
      <c r="AA2427">
        <v>8</v>
      </c>
      <c r="AC2427">
        <v>338.1</v>
      </c>
      <c r="AD2427">
        <v>20</v>
      </c>
      <c r="AE2427">
        <v>761.8</v>
      </c>
      <c r="AF2427">
        <v>24</v>
      </c>
      <c r="AJ2427" t="s">
        <v>4724</v>
      </c>
      <c r="AK2427" t="s">
        <v>4637</v>
      </c>
      <c r="AN2427">
        <v>97</v>
      </c>
      <c r="AO2427">
        <v>1.8833539418132894</v>
      </c>
      <c r="AP2427">
        <v>83</v>
      </c>
      <c r="AQ2427">
        <v>8.5522793751194435</v>
      </c>
      <c r="AW2427" s="28">
        <f t="shared" si="263"/>
        <v>-2.2608820140966372</v>
      </c>
      <c r="AX2427">
        <f t="shared" si="264"/>
        <v>0.94545454545454544</v>
      </c>
      <c r="AY2427" s="73">
        <f t="shared" si="265"/>
        <v>-2.1375611769640934</v>
      </c>
      <c r="AZ2427" s="74" t="str">
        <f t="shared" si="266"/>
        <v>No</v>
      </c>
      <c r="BA2427" s="74" t="str">
        <f t="shared" si="267"/>
        <v>No</v>
      </c>
      <c r="BB2427" s="56"/>
      <c r="BC2427" s="56"/>
    </row>
    <row r="2428" spans="1:55" hidden="1">
      <c r="A2428" t="s">
        <v>3914</v>
      </c>
      <c r="G2428" t="s">
        <v>4935</v>
      </c>
      <c r="P2428" t="s">
        <v>4596</v>
      </c>
      <c r="R2428" t="s">
        <v>4357</v>
      </c>
      <c r="S2428" t="s">
        <v>948</v>
      </c>
      <c r="V2428" t="s">
        <v>4598</v>
      </c>
      <c r="Z2428">
        <v>8</v>
      </c>
      <c r="AA2428">
        <v>8</v>
      </c>
      <c r="AC2428">
        <v>338.1</v>
      </c>
      <c r="AD2428">
        <v>20</v>
      </c>
      <c r="AE2428">
        <v>334.5</v>
      </c>
      <c r="AF2428">
        <v>24</v>
      </c>
      <c r="AJ2428" t="s">
        <v>4724</v>
      </c>
      <c r="AK2428" t="s">
        <v>4637</v>
      </c>
      <c r="AN2428">
        <v>95</v>
      </c>
      <c r="AO2428">
        <v>3.1926225906415402</v>
      </c>
      <c r="AP2428">
        <v>87</v>
      </c>
      <c r="AQ2428">
        <v>10.464707380436561</v>
      </c>
      <c r="AW2428" s="28">
        <f t="shared" si="263"/>
        <v>-1.034076281882907</v>
      </c>
      <c r="AX2428">
        <f t="shared" si="264"/>
        <v>0.94545454545454544</v>
      </c>
      <c r="AY2428" s="62">
        <f t="shared" si="265"/>
        <v>-0.97767212105293022</v>
      </c>
      <c r="AZ2428" s="68" t="str">
        <f t="shared" si="266"/>
        <v>No</v>
      </c>
      <c r="BA2428" s="68" t="str">
        <f t="shared" si="267"/>
        <v>No</v>
      </c>
    </row>
    <row r="2429" spans="1:55" hidden="1">
      <c r="A2429" t="s">
        <v>3914</v>
      </c>
      <c r="G2429" t="s">
        <v>4935</v>
      </c>
      <c r="P2429" t="s">
        <v>4596</v>
      </c>
      <c r="R2429" t="s">
        <v>4357</v>
      </c>
      <c r="S2429" t="s">
        <v>948</v>
      </c>
      <c r="V2429" t="s">
        <v>4598</v>
      </c>
      <c r="Z2429">
        <v>8</v>
      </c>
      <c r="AA2429">
        <v>8</v>
      </c>
      <c r="AC2429">
        <v>338.1</v>
      </c>
      <c r="AD2429">
        <v>20</v>
      </c>
      <c r="AE2429">
        <v>334.5</v>
      </c>
      <c r="AF2429">
        <v>24</v>
      </c>
      <c r="AJ2429" t="s">
        <v>4444</v>
      </c>
      <c r="AK2429" t="s">
        <v>4642</v>
      </c>
      <c r="AN2429">
        <v>370</v>
      </c>
      <c r="AO2429">
        <v>42.215330220091452</v>
      </c>
      <c r="AP2429">
        <v>470</v>
      </c>
      <c r="AQ2429">
        <v>16.366088165036246</v>
      </c>
      <c r="AW2429" s="28">
        <f t="shared" si="263"/>
        <v>3.1234882289069281</v>
      </c>
      <c r="AX2429">
        <f t="shared" si="264"/>
        <v>0.94545454545454544</v>
      </c>
      <c r="AY2429" s="62">
        <f t="shared" si="265"/>
        <v>2.9531161436938227</v>
      </c>
      <c r="AZ2429" s="68" t="str">
        <f t="shared" si="266"/>
        <v>No</v>
      </c>
      <c r="BA2429" s="68" t="str">
        <f t="shared" si="267"/>
        <v>No</v>
      </c>
    </row>
    <row r="2430" spans="1:55" hidden="1">
      <c r="A2430" t="s">
        <v>3914</v>
      </c>
      <c r="G2430" s="50" t="s">
        <v>5065</v>
      </c>
      <c r="P2430" t="s">
        <v>60</v>
      </c>
      <c r="R2430" t="s">
        <v>4357</v>
      </c>
      <c r="S2430" s="50" t="s">
        <v>1756</v>
      </c>
      <c r="V2430" t="s">
        <v>3956</v>
      </c>
      <c r="Z2430" s="50">
        <v>8</v>
      </c>
      <c r="AA2430" s="50">
        <v>8</v>
      </c>
      <c r="AC2430">
        <v>338.1</v>
      </c>
      <c r="AD2430">
        <v>20</v>
      </c>
      <c r="AE2430">
        <v>757.2</v>
      </c>
      <c r="AF2430">
        <v>20</v>
      </c>
      <c r="AJ2430" s="50" t="s">
        <v>4444</v>
      </c>
      <c r="AK2430" t="s">
        <v>4244</v>
      </c>
      <c r="AN2430">
        <v>375</v>
      </c>
      <c r="AO2430">
        <v>56.568542494923804</v>
      </c>
      <c r="AP2430">
        <v>350</v>
      </c>
      <c r="AQ2430">
        <v>22.627416997969522</v>
      </c>
      <c r="AW2430" s="28">
        <f t="shared" si="263"/>
        <v>-0.58029793180328715</v>
      </c>
      <c r="AX2430">
        <f t="shared" si="264"/>
        <v>0.94545454545454544</v>
      </c>
      <c r="AY2430" s="62">
        <f t="shared" si="265"/>
        <v>-0.54864531734128963</v>
      </c>
      <c r="AZ2430" s="68" t="str">
        <f t="shared" si="266"/>
        <v>No</v>
      </c>
      <c r="BA2430" s="68" t="str">
        <f t="shared" si="267"/>
        <v>No</v>
      </c>
    </row>
    <row r="2431" spans="1:55" ht="15" hidden="1">
      <c r="A2431" t="s">
        <v>3914</v>
      </c>
      <c r="G2431" t="s">
        <v>4935</v>
      </c>
      <c r="P2431" t="s">
        <v>4596</v>
      </c>
      <c r="R2431" t="s">
        <v>4357</v>
      </c>
      <c r="S2431" t="s">
        <v>948</v>
      </c>
      <c r="V2431" t="s">
        <v>4626</v>
      </c>
      <c r="Z2431">
        <v>8</v>
      </c>
      <c r="AA2431">
        <v>8</v>
      </c>
      <c r="AC2431">
        <v>338.1</v>
      </c>
      <c r="AD2431">
        <v>20</v>
      </c>
      <c r="AE2431">
        <v>761.8</v>
      </c>
      <c r="AF2431">
        <v>24</v>
      </c>
      <c r="AJ2431" t="s">
        <v>4444</v>
      </c>
      <c r="AK2431" t="s">
        <v>4642</v>
      </c>
      <c r="AN2431">
        <v>370</v>
      </c>
      <c r="AO2431">
        <v>42.215330220091452</v>
      </c>
      <c r="AP2431">
        <v>450</v>
      </c>
      <c r="AQ2431">
        <v>38.697386035084676</v>
      </c>
      <c r="AW2431" s="28">
        <f t="shared" si="263"/>
        <v>1.9755730957380113</v>
      </c>
      <c r="AX2431">
        <f t="shared" si="264"/>
        <v>0.94545454545454544</v>
      </c>
      <c r="AY2431" s="73">
        <f t="shared" si="265"/>
        <v>1.8678145632432106</v>
      </c>
      <c r="AZ2431" s="74" t="str">
        <f t="shared" si="266"/>
        <v>No</v>
      </c>
      <c r="BA2431" s="74" t="str">
        <f t="shared" si="267"/>
        <v>No</v>
      </c>
      <c r="BB2431" s="56"/>
      <c r="BC2431" s="56"/>
    </row>
    <row r="2432" spans="1:55" s="56" customFormat="1" ht="15" hidden="1">
      <c r="A2432" t="s">
        <v>3914</v>
      </c>
      <c r="B2432"/>
      <c r="C2432"/>
      <c r="D2432" s="25"/>
      <c r="E2432" s="25"/>
      <c r="F2432"/>
      <c r="G2432" s="50" t="s">
        <v>4441</v>
      </c>
      <c r="H2432"/>
      <c r="I2432"/>
      <c r="J2432"/>
      <c r="K2432"/>
      <c r="L2432"/>
      <c r="M2432" s="25"/>
      <c r="N2432"/>
      <c r="O2432"/>
      <c r="P2432" t="s">
        <v>60</v>
      </c>
      <c r="Q2432"/>
      <c r="R2432" t="s">
        <v>4357</v>
      </c>
      <c r="S2432" s="50" t="s">
        <v>1756</v>
      </c>
      <c r="T2432"/>
      <c r="U2432"/>
      <c r="V2432" t="s">
        <v>3956</v>
      </c>
      <c r="W2432" s="25"/>
      <c r="X2432"/>
      <c r="Y2432"/>
      <c r="Z2432">
        <v>8</v>
      </c>
      <c r="AA2432">
        <v>8</v>
      </c>
      <c r="AB2432"/>
      <c r="AC2432">
        <v>338.1</v>
      </c>
      <c r="AD2432">
        <v>20</v>
      </c>
      <c r="AE2432">
        <v>2053.9</v>
      </c>
      <c r="AF2432">
        <v>20</v>
      </c>
      <c r="AG2432"/>
      <c r="AH2432"/>
      <c r="AI2432"/>
      <c r="AJ2432" s="50" t="s">
        <v>4444</v>
      </c>
      <c r="AK2432" t="s">
        <v>4244</v>
      </c>
      <c r="AL2432" s="25"/>
      <c r="AM2432" s="35"/>
      <c r="AN2432">
        <v>375</v>
      </c>
      <c r="AO2432">
        <v>56.568542494923804</v>
      </c>
      <c r="AP2432">
        <v>285</v>
      </c>
      <c r="AQ2432">
        <v>42.426406871192853</v>
      </c>
      <c r="AR2432"/>
      <c r="AS2432"/>
      <c r="AT2432"/>
      <c r="AU2432"/>
      <c r="AV2432"/>
      <c r="AW2432" s="28">
        <f t="shared" si="263"/>
        <v>-1.8</v>
      </c>
      <c r="AX2432">
        <f t="shared" si="264"/>
        <v>0.94545454545454544</v>
      </c>
      <c r="AY2432" s="73">
        <f t="shared" si="265"/>
        <v>-1.7018181818181819</v>
      </c>
      <c r="AZ2432" s="74" t="str">
        <f t="shared" si="266"/>
        <v>No</v>
      </c>
      <c r="BA2432" s="74" t="str">
        <f t="shared" si="267"/>
        <v>No</v>
      </c>
    </row>
    <row r="2433" spans="1:55" s="56" customFormat="1" ht="15" hidden="1">
      <c r="A2433" t="s">
        <v>3914</v>
      </c>
      <c r="B2433"/>
      <c r="C2433"/>
      <c r="D2433" s="25"/>
      <c r="E2433" s="25"/>
      <c r="F2433"/>
      <c r="G2433" t="s">
        <v>4935</v>
      </c>
      <c r="H2433"/>
      <c r="I2433"/>
      <c r="J2433"/>
      <c r="K2433"/>
      <c r="L2433"/>
      <c r="M2433" s="25"/>
      <c r="N2433"/>
      <c r="O2433"/>
      <c r="P2433" t="s">
        <v>4596</v>
      </c>
      <c r="Q2433"/>
      <c r="R2433" t="s">
        <v>4357</v>
      </c>
      <c r="S2433" t="s">
        <v>948</v>
      </c>
      <c r="T2433"/>
      <c r="U2433"/>
      <c r="V2433" t="s">
        <v>4627</v>
      </c>
      <c r="W2433" s="25"/>
      <c r="X2433"/>
      <c r="Y2433"/>
      <c r="Z2433">
        <v>8</v>
      </c>
      <c r="AA2433">
        <v>8</v>
      </c>
      <c r="AB2433"/>
      <c r="AC2433">
        <v>338.1</v>
      </c>
      <c r="AD2433">
        <v>20</v>
      </c>
      <c r="AE2433">
        <v>1273.8</v>
      </c>
      <c r="AF2433">
        <v>24</v>
      </c>
      <c r="AG2433"/>
      <c r="AH2433"/>
      <c r="AI2433"/>
      <c r="AJ2433" t="s">
        <v>4444</v>
      </c>
      <c r="AK2433" t="s">
        <v>4642</v>
      </c>
      <c r="AL2433" s="25"/>
      <c r="AM2433" s="35"/>
      <c r="AN2433">
        <v>370</v>
      </c>
      <c r="AO2433">
        <v>42.215330220091452</v>
      </c>
      <c r="AP2433">
        <v>430</v>
      </c>
      <c r="AQ2433">
        <v>48.18053992510653</v>
      </c>
      <c r="AR2433"/>
      <c r="AS2433"/>
      <c r="AT2433"/>
      <c r="AU2433"/>
      <c r="AV2433"/>
      <c r="AW2433" s="28">
        <f t="shared" si="263"/>
        <v>1.3246132866527351</v>
      </c>
      <c r="AX2433">
        <f t="shared" si="264"/>
        <v>0.94545454545454544</v>
      </c>
      <c r="AY2433" s="62">
        <f t="shared" si="265"/>
        <v>1.2523616528353132</v>
      </c>
      <c r="AZ2433" s="68" t="str">
        <f t="shared" si="266"/>
        <v>No</v>
      </c>
      <c r="BA2433" s="68" t="str">
        <f t="shared" si="267"/>
        <v>No</v>
      </c>
      <c r="BB2433"/>
      <c r="BC2433"/>
    </row>
    <row r="2434" spans="1:55" s="56" customFormat="1" ht="15" hidden="1">
      <c r="A2434" t="s">
        <v>3914</v>
      </c>
      <c r="B2434"/>
      <c r="C2434"/>
      <c r="D2434" s="25"/>
      <c r="E2434" s="25"/>
      <c r="F2434"/>
      <c r="G2434" t="s">
        <v>4089</v>
      </c>
      <c r="H2434"/>
      <c r="I2434"/>
      <c r="J2434"/>
      <c r="K2434"/>
      <c r="L2434"/>
      <c r="M2434" s="25"/>
      <c r="N2434"/>
      <c r="O2434"/>
      <c r="P2434" t="s">
        <v>60</v>
      </c>
      <c r="Q2434"/>
      <c r="R2434" t="s">
        <v>4090</v>
      </c>
      <c r="S2434" t="s">
        <v>1770</v>
      </c>
      <c r="T2434"/>
      <c r="U2434"/>
      <c r="V2434" t="s">
        <v>3956</v>
      </c>
      <c r="W2434" s="25"/>
      <c r="X2434"/>
      <c r="Y2434"/>
      <c r="Z2434">
        <v>6</v>
      </c>
      <c r="AA2434">
        <v>6</v>
      </c>
      <c r="AB2434"/>
      <c r="AC2434">
        <v>427.36</v>
      </c>
      <c r="AD2434">
        <v>27.86</v>
      </c>
      <c r="AE2434">
        <v>2165.79</v>
      </c>
      <c r="AF2434">
        <v>27.88</v>
      </c>
      <c r="AG2434"/>
      <c r="AH2434"/>
      <c r="AI2434"/>
      <c r="AJ2434" t="s">
        <v>4059</v>
      </c>
      <c r="AK2434" t="s">
        <v>4093</v>
      </c>
      <c r="AL2434" s="25"/>
      <c r="AM2434" s="35"/>
      <c r="AN2434">
        <v>54</v>
      </c>
      <c r="AO2434">
        <v>19.595917942265423</v>
      </c>
      <c r="AP2434">
        <v>59</v>
      </c>
      <c r="AQ2434">
        <v>4.8989794855663558</v>
      </c>
      <c r="AR2434"/>
      <c r="AS2434"/>
      <c r="AT2434"/>
      <c r="AU2434"/>
      <c r="AV2434"/>
      <c r="AW2434" s="28">
        <f t="shared" si="263"/>
        <v>0.35007002100700246</v>
      </c>
      <c r="AX2434">
        <f t="shared" si="264"/>
        <v>0.92307692307692313</v>
      </c>
      <c r="AY2434" s="62">
        <f t="shared" si="265"/>
        <v>0.32314155785261767</v>
      </c>
      <c r="AZ2434" s="68" t="str">
        <f t="shared" si="266"/>
        <v>No</v>
      </c>
      <c r="BA2434" s="68" t="str">
        <f t="shared" si="267"/>
        <v>No</v>
      </c>
      <c r="BB2434"/>
      <c r="BC2434"/>
    </row>
    <row r="2435" spans="1:55" s="56" customFormat="1" ht="15" hidden="1">
      <c r="A2435" t="s">
        <v>3914</v>
      </c>
      <c r="B2435"/>
      <c r="C2435"/>
      <c r="D2435" s="25"/>
      <c r="E2435" s="25"/>
      <c r="F2435"/>
      <c r="G2435" t="s">
        <v>4202</v>
      </c>
      <c r="H2435"/>
      <c r="I2435"/>
      <c r="J2435"/>
      <c r="K2435"/>
      <c r="L2435"/>
      <c r="M2435" s="25"/>
      <c r="N2435"/>
      <c r="O2435"/>
      <c r="P2435" t="s">
        <v>60</v>
      </c>
      <c r="Q2435"/>
      <c r="R2435" t="s">
        <v>4286</v>
      </c>
      <c r="S2435" t="s">
        <v>4333</v>
      </c>
      <c r="T2435"/>
      <c r="U2435"/>
      <c r="V2435" t="s">
        <v>3956</v>
      </c>
      <c r="W2435" s="25"/>
      <c r="X2435"/>
      <c r="Y2435"/>
      <c r="Z2435">
        <v>4</v>
      </c>
      <c r="AA2435">
        <v>4</v>
      </c>
      <c r="AB2435"/>
      <c r="AC2435">
        <v>436.81</v>
      </c>
      <c r="AD2435">
        <v>27.85</v>
      </c>
      <c r="AE2435">
        <v>1148.45</v>
      </c>
      <c r="AF2435">
        <v>27.82</v>
      </c>
      <c r="AG2435"/>
      <c r="AH2435"/>
      <c r="AI2435"/>
      <c r="AJ2435" t="s">
        <v>4344</v>
      </c>
      <c r="AK2435" t="s">
        <v>4266</v>
      </c>
      <c r="AL2435" s="25"/>
      <c r="AM2435" s="35"/>
      <c r="AN2435">
        <v>1.2999999999999999E-2</v>
      </c>
      <c r="AO2435">
        <v>7.0000000000000001E-3</v>
      </c>
      <c r="AP2435">
        <v>1.2800000000000001E-2</v>
      </c>
      <c r="AQ2435">
        <v>7.1999999999999998E-3</v>
      </c>
      <c r="AR2435"/>
      <c r="AS2435"/>
      <c r="AT2435"/>
      <c r="AU2435"/>
      <c r="AV2435"/>
      <c r="AW2435" s="28">
        <f t="shared" si="263"/>
        <v>-2.8166220509443275E-2</v>
      </c>
      <c r="AX2435">
        <f t="shared" si="264"/>
        <v>0.86956521739130432</v>
      </c>
      <c r="AY2435" s="62">
        <f t="shared" si="265"/>
        <v>-2.4492365660385457E-2</v>
      </c>
      <c r="AZ2435" s="68" t="str">
        <f t="shared" si="266"/>
        <v>No</v>
      </c>
      <c r="BA2435" s="68" t="str">
        <f t="shared" si="267"/>
        <v>No</v>
      </c>
      <c r="BB2435"/>
      <c r="BC2435"/>
    </row>
    <row r="2436" spans="1:55" s="56" customFormat="1" ht="15" hidden="1">
      <c r="A2436" t="s">
        <v>3914</v>
      </c>
      <c r="B2436"/>
      <c r="C2436"/>
      <c r="D2436" s="25"/>
      <c r="E2436" s="25"/>
      <c r="F2436"/>
      <c r="G2436" t="s">
        <v>4202</v>
      </c>
      <c r="H2436"/>
      <c r="I2436"/>
      <c r="J2436"/>
      <c r="K2436"/>
      <c r="L2436"/>
      <c r="M2436" s="25"/>
      <c r="N2436"/>
      <c r="O2436"/>
      <c r="P2436" t="s">
        <v>60</v>
      </c>
      <c r="Q2436"/>
      <c r="R2436" t="s">
        <v>4286</v>
      </c>
      <c r="S2436" t="s">
        <v>4333</v>
      </c>
      <c r="T2436"/>
      <c r="U2436"/>
      <c r="V2436" t="s">
        <v>3956</v>
      </c>
      <c r="W2436" s="25"/>
      <c r="X2436"/>
      <c r="Y2436"/>
      <c r="Z2436">
        <v>4</v>
      </c>
      <c r="AA2436">
        <v>4</v>
      </c>
      <c r="AB2436"/>
      <c r="AC2436">
        <v>436.81</v>
      </c>
      <c r="AD2436">
        <v>27.85</v>
      </c>
      <c r="AE2436">
        <v>1843.3</v>
      </c>
      <c r="AF2436">
        <v>28.36</v>
      </c>
      <c r="AG2436"/>
      <c r="AH2436"/>
      <c r="AI2436"/>
      <c r="AJ2436" t="s">
        <v>4344</v>
      </c>
      <c r="AK2436" t="s">
        <v>4266</v>
      </c>
      <c r="AL2436" s="25"/>
      <c r="AM2436" s="35"/>
      <c r="AN2436">
        <v>1.2999999999999999E-2</v>
      </c>
      <c r="AO2436">
        <v>7.0000000000000001E-3</v>
      </c>
      <c r="AP2436">
        <v>0.02</v>
      </c>
      <c r="AQ2436">
        <v>1.0999999999999999E-2</v>
      </c>
      <c r="AR2436"/>
      <c r="AS2436"/>
      <c r="AT2436"/>
      <c r="AU2436"/>
      <c r="AV2436"/>
      <c r="AW2436" s="28">
        <f t="shared" si="263"/>
        <v>0.75925660236529668</v>
      </c>
      <c r="AX2436">
        <f t="shared" si="264"/>
        <v>0.86956521739130432</v>
      </c>
      <c r="AY2436" s="62">
        <f t="shared" si="265"/>
        <v>0.66022313249156228</v>
      </c>
      <c r="AZ2436" s="68" t="str">
        <f t="shared" si="266"/>
        <v>No</v>
      </c>
      <c r="BA2436" s="68" t="str">
        <f t="shared" si="267"/>
        <v>No</v>
      </c>
      <c r="BB2436"/>
      <c r="BC2436"/>
    </row>
    <row r="2437" spans="1:55" s="56" customFormat="1" ht="15" hidden="1">
      <c r="A2437" t="s">
        <v>3914</v>
      </c>
      <c r="B2437"/>
      <c r="C2437"/>
      <c r="D2437" s="25"/>
      <c r="E2437" s="25"/>
      <c r="F2437"/>
      <c r="G2437" t="s">
        <v>4202</v>
      </c>
      <c r="H2437"/>
      <c r="I2437"/>
      <c r="J2437"/>
      <c r="K2437"/>
      <c r="L2437"/>
      <c r="M2437" s="25"/>
      <c r="N2437"/>
      <c r="O2437"/>
      <c r="P2437" t="s">
        <v>60</v>
      </c>
      <c r="Q2437"/>
      <c r="R2437" t="s">
        <v>4116</v>
      </c>
      <c r="S2437" t="s">
        <v>4212</v>
      </c>
      <c r="T2437"/>
      <c r="U2437"/>
      <c r="V2437" t="s">
        <v>3956</v>
      </c>
      <c r="W2437" s="25"/>
      <c r="X2437"/>
      <c r="Y2437"/>
      <c r="Z2437">
        <v>4</v>
      </c>
      <c r="AA2437">
        <v>4</v>
      </c>
      <c r="AB2437"/>
      <c r="AC2437">
        <v>404.35</v>
      </c>
      <c r="AD2437">
        <v>28.42</v>
      </c>
      <c r="AE2437">
        <v>1148.45</v>
      </c>
      <c r="AF2437">
        <v>28.35</v>
      </c>
      <c r="AG2437"/>
      <c r="AH2437"/>
      <c r="AI2437"/>
      <c r="AJ2437" t="s">
        <v>4238</v>
      </c>
      <c r="AK2437" t="s">
        <v>4244</v>
      </c>
      <c r="AL2437" s="25"/>
      <c r="AM2437" s="35"/>
      <c r="AN2437">
        <v>0.21</v>
      </c>
      <c r="AO2437">
        <v>0.03</v>
      </c>
      <c r="AP2437">
        <v>0.125</v>
      </c>
      <c r="AQ2437">
        <v>2.2499999999999999E-2</v>
      </c>
      <c r="AR2437"/>
      <c r="AS2437"/>
      <c r="AT2437"/>
      <c r="AU2437"/>
      <c r="AV2437"/>
      <c r="AW2437" s="28">
        <f t="shared" si="263"/>
        <v>-3.2055507413790147</v>
      </c>
      <c r="AX2437">
        <f t="shared" si="264"/>
        <v>0.86956521739130432</v>
      </c>
      <c r="AY2437" s="62">
        <f t="shared" si="265"/>
        <v>-2.7874354272860997</v>
      </c>
      <c r="AZ2437" s="68" t="str">
        <f t="shared" si="266"/>
        <v>No</v>
      </c>
      <c r="BA2437" s="68" t="str">
        <f t="shared" si="267"/>
        <v>No</v>
      </c>
      <c r="BB2437"/>
      <c r="BC2437"/>
    </row>
    <row r="2438" spans="1:55" s="56" customFormat="1" ht="15" hidden="1">
      <c r="A2438" t="s">
        <v>3914</v>
      </c>
      <c r="B2438"/>
      <c r="C2438"/>
      <c r="D2438" s="25"/>
      <c r="E2438" s="25"/>
      <c r="F2438"/>
      <c r="G2438" t="s">
        <v>4202</v>
      </c>
      <c r="H2438"/>
      <c r="I2438"/>
      <c r="J2438"/>
      <c r="K2438"/>
      <c r="L2438"/>
      <c r="M2438" s="25"/>
      <c r="N2438"/>
      <c r="O2438"/>
      <c r="P2438" t="s">
        <v>60</v>
      </c>
      <c r="Q2438"/>
      <c r="R2438" t="s">
        <v>4116</v>
      </c>
      <c r="S2438" t="s">
        <v>4212</v>
      </c>
      <c r="T2438"/>
      <c r="U2438"/>
      <c r="V2438" t="s">
        <v>3956</v>
      </c>
      <c r="W2438" s="25"/>
      <c r="X2438"/>
      <c r="Y2438"/>
      <c r="Z2438">
        <v>4</v>
      </c>
      <c r="AA2438">
        <v>4</v>
      </c>
      <c r="AB2438"/>
      <c r="AC2438">
        <v>404.35</v>
      </c>
      <c r="AD2438">
        <v>28.42</v>
      </c>
      <c r="AE2438">
        <v>1843.6</v>
      </c>
      <c r="AF2438">
        <v>28.36</v>
      </c>
      <c r="AG2438"/>
      <c r="AH2438"/>
      <c r="AI2438"/>
      <c r="AJ2438" t="s">
        <v>4238</v>
      </c>
      <c r="AK2438" t="s">
        <v>4244</v>
      </c>
      <c r="AL2438" s="25"/>
      <c r="AM2438" s="35"/>
      <c r="AN2438">
        <v>0.21</v>
      </c>
      <c r="AO2438">
        <v>0.03</v>
      </c>
      <c r="AP2438">
        <v>0.125</v>
      </c>
      <c r="AQ2438">
        <v>2.6250000000000002E-2</v>
      </c>
      <c r="AR2438"/>
      <c r="AS2438"/>
      <c r="AT2438"/>
      <c r="AU2438"/>
      <c r="AV2438"/>
      <c r="AW2438" s="28">
        <f t="shared" si="263"/>
        <v>-3.0155284770777513</v>
      </c>
      <c r="AX2438">
        <f t="shared" si="264"/>
        <v>0.86956521739130432</v>
      </c>
      <c r="AY2438" s="62">
        <f t="shared" si="265"/>
        <v>-2.6221986757197837</v>
      </c>
      <c r="AZ2438" s="68" t="str">
        <f t="shared" si="266"/>
        <v>No</v>
      </c>
      <c r="BA2438" s="68" t="str">
        <f t="shared" si="267"/>
        <v>No</v>
      </c>
      <c r="BB2438"/>
      <c r="BC2438"/>
    </row>
    <row r="2439" spans="1:55" hidden="1">
      <c r="A2439" t="s">
        <v>3914</v>
      </c>
      <c r="G2439" t="s">
        <v>4202</v>
      </c>
      <c r="P2439" t="s">
        <v>60</v>
      </c>
      <c r="R2439" t="s">
        <v>4286</v>
      </c>
      <c r="S2439" t="s">
        <v>4333</v>
      </c>
      <c r="V2439" t="s">
        <v>3956</v>
      </c>
      <c r="Z2439">
        <v>4</v>
      </c>
      <c r="AA2439">
        <v>4</v>
      </c>
      <c r="AC2439">
        <v>404.35</v>
      </c>
      <c r="AD2439">
        <v>28.42</v>
      </c>
      <c r="AE2439">
        <v>1843.6</v>
      </c>
      <c r="AF2439">
        <v>28.36</v>
      </c>
      <c r="AJ2439" t="s">
        <v>4238</v>
      </c>
      <c r="AK2439" t="s">
        <v>4244</v>
      </c>
      <c r="AN2439">
        <v>6</v>
      </c>
      <c r="AO2439">
        <v>1.5</v>
      </c>
      <c r="AP2439">
        <v>5.2</v>
      </c>
      <c r="AQ2439">
        <v>0.75</v>
      </c>
      <c r="AW2439" s="28">
        <f t="shared" si="263"/>
        <v>-0.67461923416925407</v>
      </c>
      <c r="AX2439">
        <f t="shared" si="264"/>
        <v>0.86956521739130432</v>
      </c>
      <c r="AY2439" s="62">
        <f t="shared" si="265"/>
        <v>-0.58662542101674264</v>
      </c>
      <c r="AZ2439" s="68" t="str">
        <f t="shared" si="266"/>
        <v>No</v>
      </c>
      <c r="BA2439" s="68" t="str">
        <f t="shared" si="267"/>
        <v>No</v>
      </c>
    </row>
    <row r="2440" spans="1:55" hidden="1">
      <c r="A2440" t="s">
        <v>3914</v>
      </c>
      <c r="G2440" t="s">
        <v>4202</v>
      </c>
      <c r="P2440" t="s">
        <v>60</v>
      </c>
      <c r="R2440" t="s">
        <v>4286</v>
      </c>
      <c r="S2440" t="s">
        <v>4333</v>
      </c>
      <c r="V2440" t="s">
        <v>3956</v>
      </c>
      <c r="Z2440">
        <v>4</v>
      </c>
      <c r="AA2440">
        <v>4</v>
      </c>
      <c r="AC2440">
        <v>404.35</v>
      </c>
      <c r="AD2440">
        <v>28.42</v>
      </c>
      <c r="AE2440">
        <v>1148.45</v>
      </c>
      <c r="AF2440">
        <v>28.35</v>
      </c>
      <c r="AJ2440" t="s">
        <v>4238</v>
      </c>
      <c r="AK2440" t="s">
        <v>4244</v>
      </c>
      <c r="AN2440">
        <v>6</v>
      </c>
      <c r="AO2440">
        <v>1.5</v>
      </c>
      <c r="AP2440">
        <v>5</v>
      </c>
      <c r="AQ2440">
        <v>1.35</v>
      </c>
      <c r="AW2440" s="28">
        <f t="shared" si="263"/>
        <v>-0.70078444163684883</v>
      </c>
      <c r="AX2440">
        <f t="shared" si="264"/>
        <v>0.86956521739130432</v>
      </c>
      <c r="AY2440" s="62">
        <f t="shared" si="265"/>
        <v>-0.60937777533639026</v>
      </c>
      <c r="AZ2440" s="68" t="str">
        <f t="shared" si="266"/>
        <v>No</v>
      </c>
      <c r="BA2440" s="68" t="str">
        <f t="shared" si="267"/>
        <v>No</v>
      </c>
    </row>
    <row r="2441" spans="1:55" hidden="1">
      <c r="A2441" t="s">
        <v>3914</v>
      </c>
      <c r="G2441" t="s">
        <v>4202</v>
      </c>
      <c r="P2441" t="s">
        <v>60</v>
      </c>
      <c r="R2441" t="s">
        <v>4286</v>
      </c>
      <c r="S2441" t="s">
        <v>4333</v>
      </c>
      <c r="V2441" t="s">
        <v>3956</v>
      </c>
      <c r="Z2441">
        <v>4</v>
      </c>
      <c r="AA2441">
        <v>4</v>
      </c>
      <c r="AC2441">
        <v>436.81</v>
      </c>
      <c r="AD2441">
        <v>27.85</v>
      </c>
      <c r="AE2441">
        <v>1843.3</v>
      </c>
      <c r="AF2441">
        <v>28.36</v>
      </c>
      <c r="AJ2441" t="s">
        <v>4065</v>
      </c>
      <c r="AK2441" t="s">
        <v>4258</v>
      </c>
      <c r="AN2441">
        <v>59</v>
      </c>
      <c r="AO2441">
        <v>6</v>
      </c>
      <c r="AP2441">
        <v>37</v>
      </c>
      <c r="AQ2441">
        <v>3.75</v>
      </c>
      <c r="AW2441" s="28">
        <f t="shared" si="263"/>
        <v>-4.397252575442387</v>
      </c>
      <c r="AX2441">
        <f t="shared" si="264"/>
        <v>0.86956521739130432</v>
      </c>
      <c r="AY2441" s="62">
        <f t="shared" si="265"/>
        <v>-3.8236978916890321</v>
      </c>
      <c r="AZ2441" s="68" t="str">
        <f t="shared" si="266"/>
        <v>No</v>
      </c>
      <c r="BA2441" s="68" t="str">
        <f t="shared" si="267"/>
        <v>No</v>
      </c>
    </row>
    <row r="2442" spans="1:55" hidden="1">
      <c r="A2442" t="s">
        <v>3914</v>
      </c>
      <c r="G2442" t="s">
        <v>4202</v>
      </c>
      <c r="P2442" t="s">
        <v>60</v>
      </c>
      <c r="R2442" t="s">
        <v>4116</v>
      </c>
      <c r="S2442" s="50" t="s">
        <v>4212</v>
      </c>
      <c r="V2442" t="s">
        <v>3956</v>
      </c>
      <c r="Z2442">
        <v>4</v>
      </c>
      <c r="AA2442">
        <v>4</v>
      </c>
      <c r="AC2442">
        <v>404.35</v>
      </c>
      <c r="AD2442">
        <v>28.42</v>
      </c>
      <c r="AE2442">
        <v>1148.45</v>
      </c>
      <c r="AF2442">
        <v>28.35</v>
      </c>
      <c r="AJ2442" s="50" t="s">
        <v>4256</v>
      </c>
      <c r="AK2442" t="s">
        <v>4258</v>
      </c>
      <c r="AN2442">
        <v>32</v>
      </c>
      <c r="AO2442">
        <v>6</v>
      </c>
      <c r="AP2442">
        <v>32</v>
      </c>
      <c r="AQ2442">
        <v>4</v>
      </c>
      <c r="AW2442" s="28">
        <f t="shared" si="263"/>
        <v>0</v>
      </c>
      <c r="AX2442">
        <f t="shared" si="264"/>
        <v>0.86956521739130432</v>
      </c>
      <c r="AY2442" s="62">
        <f t="shared" si="265"/>
        <v>0</v>
      </c>
      <c r="AZ2442" s="68" t="str">
        <f t="shared" si="266"/>
        <v>No</v>
      </c>
      <c r="BA2442" s="68" t="str">
        <f t="shared" si="267"/>
        <v>No</v>
      </c>
    </row>
    <row r="2443" spans="1:55" hidden="1">
      <c r="A2443" t="s">
        <v>3914</v>
      </c>
      <c r="G2443" t="s">
        <v>4990</v>
      </c>
      <c r="P2443" t="s">
        <v>60</v>
      </c>
      <c r="R2443" t="s">
        <v>4286</v>
      </c>
      <c r="S2443" t="s">
        <v>4333</v>
      </c>
      <c r="V2443" t="s">
        <v>3956</v>
      </c>
      <c r="Z2443">
        <v>4</v>
      </c>
      <c r="AA2443">
        <v>4</v>
      </c>
      <c r="AC2443">
        <v>436.81</v>
      </c>
      <c r="AD2443">
        <v>27.85</v>
      </c>
      <c r="AE2443">
        <v>1148.45</v>
      </c>
      <c r="AF2443">
        <v>27.82</v>
      </c>
      <c r="AJ2443" t="s">
        <v>4065</v>
      </c>
      <c r="AK2443" t="s">
        <v>4258</v>
      </c>
      <c r="AN2443">
        <v>59</v>
      </c>
      <c r="AO2443">
        <v>6</v>
      </c>
      <c r="AP2443">
        <v>62</v>
      </c>
      <c r="AQ2443">
        <v>6.75</v>
      </c>
      <c r="AW2443" s="28">
        <f t="shared" si="263"/>
        <v>0.46977617561176277</v>
      </c>
      <c r="AX2443">
        <f t="shared" si="264"/>
        <v>0.86956521739130432</v>
      </c>
      <c r="AY2443" s="62">
        <f t="shared" si="265"/>
        <v>0.40850102227109802</v>
      </c>
      <c r="AZ2443" s="68" t="str">
        <f t="shared" si="266"/>
        <v>No</v>
      </c>
      <c r="BA2443" s="68" t="str">
        <f t="shared" si="267"/>
        <v>No</v>
      </c>
    </row>
    <row r="2444" spans="1:55" s="56" customFormat="1" ht="15" hidden="1">
      <c r="A2444" t="s">
        <v>3914</v>
      </c>
      <c r="B2444"/>
      <c r="C2444"/>
      <c r="D2444" s="25"/>
      <c r="E2444" s="25"/>
      <c r="F2444"/>
      <c r="G2444" s="50" t="s">
        <v>4202</v>
      </c>
      <c r="H2444"/>
      <c r="I2444"/>
      <c r="J2444"/>
      <c r="K2444"/>
      <c r="L2444"/>
      <c r="M2444" s="25"/>
      <c r="N2444"/>
      <c r="O2444"/>
      <c r="P2444" t="s">
        <v>60</v>
      </c>
      <c r="Q2444"/>
      <c r="R2444" t="s">
        <v>4116</v>
      </c>
      <c r="S2444" s="50" t="s">
        <v>4212</v>
      </c>
      <c r="T2444"/>
      <c r="U2444"/>
      <c r="V2444" t="s">
        <v>3956</v>
      </c>
      <c r="W2444" s="25"/>
      <c r="X2444"/>
      <c r="Y2444"/>
      <c r="Z2444">
        <v>4</v>
      </c>
      <c r="AA2444">
        <v>4</v>
      </c>
      <c r="AB2444"/>
      <c r="AC2444">
        <v>404.35</v>
      </c>
      <c r="AD2444">
        <v>28.42</v>
      </c>
      <c r="AE2444">
        <v>1843.6</v>
      </c>
      <c r="AF2444">
        <v>28.36</v>
      </c>
      <c r="AG2444"/>
      <c r="AH2444"/>
      <c r="AI2444"/>
      <c r="AJ2444" s="50" t="s">
        <v>4256</v>
      </c>
      <c r="AK2444" t="s">
        <v>4258</v>
      </c>
      <c r="AL2444" s="25"/>
      <c r="AM2444" s="35"/>
      <c r="AN2444">
        <v>32</v>
      </c>
      <c r="AO2444">
        <v>6</v>
      </c>
      <c r="AP2444">
        <v>23</v>
      </c>
      <c r="AQ2444">
        <v>7</v>
      </c>
      <c r="AR2444"/>
      <c r="AS2444"/>
      <c r="AT2444"/>
      <c r="AU2444"/>
      <c r="AV2444"/>
      <c r="AW2444" s="28">
        <f t="shared" si="263"/>
        <v>-1.3805369799252667</v>
      </c>
      <c r="AX2444">
        <f t="shared" si="264"/>
        <v>0.86956521739130432</v>
      </c>
      <c r="AY2444" s="62">
        <f t="shared" si="265"/>
        <v>-1.2004669390654492</v>
      </c>
      <c r="AZ2444" s="68" t="str">
        <f t="shared" si="266"/>
        <v>No</v>
      </c>
      <c r="BA2444" s="68" t="str">
        <f t="shared" si="267"/>
        <v>No</v>
      </c>
      <c r="BB2444"/>
      <c r="BC2444"/>
    </row>
    <row r="2445" spans="1:55" s="56" customFormat="1" ht="15" hidden="1">
      <c r="A2445" t="s">
        <v>3914</v>
      </c>
      <c r="B2445"/>
      <c r="C2445"/>
      <c r="D2445" s="25"/>
      <c r="E2445" s="25"/>
      <c r="F2445"/>
      <c r="G2445" t="s">
        <v>4538</v>
      </c>
      <c r="H2445"/>
      <c r="I2445"/>
      <c r="J2445"/>
      <c r="K2445"/>
      <c r="L2445"/>
      <c r="M2445" s="25"/>
      <c r="N2445"/>
      <c r="O2445"/>
      <c r="P2445" t="s">
        <v>60</v>
      </c>
      <c r="Q2445"/>
      <c r="R2445" t="s">
        <v>4509</v>
      </c>
      <c r="S2445" t="s">
        <v>4512</v>
      </c>
      <c r="T2445"/>
      <c r="U2445"/>
      <c r="V2445" t="s">
        <v>3956</v>
      </c>
      <c r="W2445" s="25"/>
      <c r="X2445"/>
      <c r="Y2445"/>
      <c r="Z2445">
        <v>50</v>
      </c>
      <c r="AA2445">
        <v>50</v>
      </c>
      <c r="AB2445"/>
      <c r="AC2445">
        <v>574</v>
      </c>
      <c r="AD2445">
        <v>13.1</v>
      </c>
      <c r="AE2445">
        <v>1361</v>
      </c>
      <c r="AF2445">
        <v>13.3</v>
      </c>
      <c r="AG2445"/>
      <c r="AH2445"/>
      <c r="AI2445"/>
      <c r="AJ2445" t="s">
        <v>4565</v>
      </c>
      <c r="AK2445" t="s">
        <v>4502</v>
      </c>
      <c r="AL2445" s="25"/>
      <c r="AM2445" s="35"/>
      <c r="AN2445">
        <v>11.7</v>
      </c>
      <c r="AO2445">
        <v>5.2478567053607712</v>
      </c>
      <c r="AP2445">
        <v>12.3</v>
      </c>
      <c r="AQ2445">
        <v>4.0816663263917103</v>
      </c>
      <c r="AR2445"/>
      <c r="AS2445"/>
      <c r="AT2445"/>
      <c r="AU2445"/>
      <c r="AV2445"/>
      <c r="AW2445" s="28">
        <f t="shared" si="263"/>
        <v>0.12763068894345539</v>
      </c>
      <c r="AX2445">
        <f t="shared" si="264"/>
        <v>0.99232736572890023</v>
      </c>
      <c r="AY2445" s="62">
        <f t="shared" si="265"/>
        <v>0.12665142534542376</v>
      </c>
      <c r="AZ2445" s="68" t="str">
        <f t="shared" si="266"/>
        <v>No</v>
      </c>
      <c r="BA2445" s="68" t="str">
        <f t="shared" si="267"/>
        <v>No</v>
      </c>
      <c r="BB2445"/>
      <c r="BC2445"/>
    </row>
    <row r="2446" spans="1:55" hidden="1">
      <c r="A2446" t="s">
        <v>3914</v>
      </c>
      <c r="G2446" t="s">
        <v>5090</v>
      </c>
      <c r="P2446" t="s">
        <v>60</v>
      </c>
      <c r="R2446" t="s">
        <v>4509</v>
      </c>
      <c r="S2446" t="s">
        <v>4512</v>
      </c>
      <c r="V2446" t="s">
        <v>3956</v>
      </c>
      <c r="Z2446">
        <v>17</v>
      </c>
      <c r="AA2446">
        <v>17</v>
      </c>
      <c r="AC2446">
        <v>574</v>
      </c>
      <c r="AD2446">
        <v>13.1</v>
      </c>
      <c r="AE2446">
        <v>1361</v>
      </c>
      <c r="AF2446">
        <v>13.3</v>
      </c>
      <c r="AJ2446" t="s">
        <v>4541</v>
      </c>
      <c r="AK2446" t="s">
        <v>4537</v>
      </c>
      <c r="AN2446">
        <v>77.7</v>
      </c>
      <c r="AO2446">
        <v>20.991426821443085</v>
      </c>
      <c r="AP2446">
        <v>79.400000000000006</v>
      </c>
      <c r="AQ2446">
        <v>16.909760495051373</v>
      </c>
      <c r="AW2446" s="28">
        <f t="shared" ref="AW2446:AW2509" si="268">(AP2446-$AN2446)/SQRT(((AA2446-1)*AQ2446*AQ2446+($Z2446-1)*$AO2446*$AO2446)/(AA2446+$Z2446-2))</f>
        <v>8.9191239542028691E-2</v>
      </c>
      <c r="AX2446">
        <f t="shared" ref="AX2446:AX2509" si="269">1-(3/(4*(AA2446+$Z2446-2)-1))</f>
        <v>0.97637795275590555</v>
      </c>
      <c r="AY2446" s="62">
        <f t="shared" ref="AY2446:AY2509" si="270">AX2446*AW2446</f>
        <v>8.7084359867807548E-2</v>
      </c>
      <c r="AZ2446" s="68" t="str">
        <f t="shared" ref="AZ2446:AZ2509" si="271">IF(AY2446&gt;10,"Yes","No")</f>
        <v>No</v>
      </c>
      <c r="BA2446" s="68" t="str">
        <f t="shared" ref="BA2446:BA2509" si="272">IF(AY2446&lt;-10,"Yes","No")</f>
        <v>No</v>
      </c>
    </row>
    <row r="2447" spans="1:55" s="56" customFormat="1" ht="15" hidden="1">
      <c r="A2447" t="s">
        <v>3914</v>
      </c>
      <c r="B2447"/>
      <c r="C2447"/>
      <c r="D2447" s="25"/>
      <c r="E2447" s="25"/>
      <c r="F2447"/>
      <c r="G2447" s="50" t="s">
        <v>4440</v>
      </c>
      <c r="H2447"/>
      <c r="I2447"/>
      <c r="J2447"/>
      <c r="K2447"/>
      <c r="L2447"/>
      <c r="M2447" s="25"/>
      <c r="N2447"/>
      <c r="O2447"/>
      <c r="P2447" t="s">
        <v>60</v>
      </c>
      <c r="Q2447"/>
      <c r="R2447" t="s">
        <v>4357</v>
      </c>
      <c r="S2447" s="50" t="s">
        <v>4443</v>
      </c>
      <c r="T2447"/>
      <c r="U2447"/>
      <c r="V2447" t="s">
        <v>3956</v>
      </c>
      <c r="W2447" s="25"/>
      <c r="X2447"/>
      <c r="Y2447"/>
      <c r="Z2447">
        <v>50</v>
      </c>
      <c r="AA2447">
        <v>75</v>
      </c>
      <c r="AB2447"/>
      <c r="AC2447">
        <v>722</v>
      </c>
      <c r="AD2447">
        <v>8.5</v>
      </c>
      <c r="AE2447">
        <v>2062</v>
      </c>
      <c r="AF2447">
        <v>8.5</v>
      </c>
      <c r="AG2447"/>
      <c r="AH2447"/>
      <c r="AI2447"/>
      <c r="AJ2447" s="50" t="s">
        <v>4444</v>
      </c>
      <c r="AK2447" t="s">
        <v>4244</v>
      </c>
      <c r="AL2447" s="25"/>
      <c r="AM2447" s="35"/>
      <c r="AN2447">
        <v>0.11</v>
      </c>
      <c r="AO2447">
        <v>1.7000000000000001E-2</v>
      </c>
      <c r="AP2447">
        <v>6.7000000000000004E-2</v>
      </c>
      <c r="AQ2447">
        <v>1.4999999999999999E-2</v>
      </c>
      <c r="AR2447"/>
      <c r="AS2447"/>
      <c r="AT2447"/>
      <c r="AU2447"/>
      <c r="AV2447"/>
      <c r="AW2447" s="28">
        <f t="shared" si="268"/>
        <v>-2.7168653458453047</v>
      </c>
      <c r="AX2447">
        <f t="shared" si="269"/>
        <v>0.99389002036659879</v>
      </c>
      <c r="AY2447" s="62">
        <f t="shared" si="270"/>
        <v>-2.7002653539154964</v>
      </c>
      <c r="AZ2447" s="68" t="str">
        <f t="shared" si="271"/>
        <v>No</v>
      </c>
      <c r="BA2447" s="68" t="str">
        <f t="shared" si="272"/>
        <v>No</v>
      </c>
      <c r="BB2447"/>
      <c r="BC2447"/>
    </row>
    <row r="2448" spans="1:55" hidden="1">
      <c r="A2448" t="s">
        <v>3914</v>
      </c>
      <c r="G2448" s="50" t="s">
        <v>5064</v>
      </c>
      <c r="P2448" t="s">
        <v>60</v>
      </c>
      <c r="R2448" t="s">
        <v>4357</v>
      </c>
      <c r="S2448" s="50" t="s">
        <v>4443</v>
      </c>
      <c r="V2448" t="s">
        <v>3956</v>
      </c>
      <c r="Z2448" s="50">
        <v>50</v>
      </c>
      <c r="AA2448" s="50">
        <v>75</v>
      </c>
      <c r="AC2448">
        <v>722</v>
      </c>
      <c r="AD2448">
        <v>8.5</v>
      </c>
      <c r="AE2448">
        <v>1255</v>
      </c>
      <c r="AF2448">
        <v>8.5</v>
      </c>
      <c r="AJ2448" s="50" t="s">
        <v>4444</v>
      </c>
      <c r="AK2448" t="s">
        <v>4244</v>
      </c>
      <c r="AN2448">
        <v>0.11</v>
      </c>
      <c r="AO2448">
        <v>1.7000000000000001E-2</v>
      </c>
      <c r="AP2448">
        <v>8.5999999999999993E-2</v>
      </c>
      <c r="AQ2448">
        <v>2.5000000000000001E-2</v>
      </c>
      <c r="AW2448" s="28">
        <f t="shared" si="268"/>
        <v>-1.0829434653472925</v>
      </c>
      <c r="AX2448">
        <f t="shared" si="269"/>
        <v>0.99389002036659879</v>
      </c>
      <c r="AY2448" s="62">
        <f t="shared" si="270"/>
        <v>-1.0763267028298955</v>
      </c>
      <c r="AZ2448" s="68" t="str">
        <f t="shared" si="271"/>
        <v>No</v>
      </c>
      <c r="BA2448" s="68" t="str">
        <f t="shared" si="272"/>
        <v>No</v>
      </c>
    </row>
    <row r="2449" spans="1:55" hidden="1">
      <c r="A2449" t="s">
        <v>3914</v>
      </c>
      <c r="G2449" t="s">
        <v>4440</v>
      </c>
      <c r="P2449" t="s">
        <v>60</v>
      </c>
      <c r="R2449" t="s">
        <v>4357</v>
      </c>
      <c r="S2449" t="s">
        <v>4443</v>
      </c>
      <c r="V2449" t="s">
        <v>3956</v>
      </c>
      <c r="Z2449">
        <v>200</v>
      </c>
      <c r="AA2449">
        <v>300</v>
      </c>
      <c r="AC2449">
        <v>722</v>
      </c>
      <c r="AD2449">
        <v>8.5</v>
      </c>
      <c r="AE2449">
        <v>1255</v>
      </c>
      <c r="AF2449">
        <v>8.5</v>
      </c>
      <c r="AJ2449" t="s">
        <v>4477</v>
      </c>
      <c r="AK2449" t="s">
        <v>4151</v>
      </c>
      <c r="AN2449">
        <v>66</v>
      </c>
      <c r="AO2449">
        <v>3.5</v>
      </c>
      <c r="AP2449">
        <v>46</v>
      </c>
      <c r="AQ2449">
        <v>3.5</v>
      </c>
      <c r="AW2449" s="28">
        <f t="shared" si="268"/>
        <v>-5.7142857142857144</v>
      </c>
      <c r="AX2449">
        <f t="shared" si="269"/>
        <v>0.99849321948769465</v>
      </c>
      <c r="AY2449" s="62">
        <f t="shared" si="270"/>
        <v>-5.7056755399296835</v>
      </c>
      <c r="AZ2449" s="68" t="str">
        <f t="shared" si="271"/>
        <v>No</v>
      </c>
      <c r="BA2449" s="68" t="str">
        <f t="shared" si="272"/>
        <v>No</v>
      </c>
    </row>
    <row r="2450" spans="1:55" hidden="1">
      <c r="A2450" t="s">
        <v>3914</v>
      </c>
      <c r="G2450" s="50" t="s">
        <v>4440</v>
      </c>
      <c r="P2450" t="s">
        <v>60</v>
      </c>
      <c r="R2450" t="s">
        <v>4357</v>
      </c>
      <c r="S2450" s="50" t="s">
        <v>4443</v>
      </c>
      <c r="V2450" t="s">
        <v>3956</v>
      </c>
      <c r="Z2450">
        <v>200</v>
      </c>
      <c r="AA2450">
        <v>300</v>
      </c>
      <c r="AC2450">
        <v>722</v>
      </c>
      <c r="AD2450">
        <v>8.5</v>
      </c>
      <c r="AE2450">
        <v>1255</v>
      </c>
      <c r="AF2450">
        <v>8.5</v>
      </c>
      <c r="AJ2450" s="50" t="s">
        <v>2031</v>
      </c>
      <c r="AK2450" t="s">
        <v>4151</v>
      </c>
      <c r="AN2450">
        <v>26</v>
      </c>
      <c r="AO2450">
        <v>7.1</v>
      </c>
      <c r="AP2450">
        <v>29</v>
      </c>
      <c r="AQ2450">
        <v>5.2</v>
      </c>
      <c r="AW2450" s="28">
        <f t="shared" si="268"/>
        <v>0.49739129196222759</v>
      </c>
      <c r="AX2450">
        <f t="shared" si="269"/>
        <v>0.99849321948769465</v>
      </c>
      <c r="AY2450" s="62">
        <f t="shared" si="270"/>
        <v>0.4966418324565085</v>
      </c>
      <c r="AZ2450" s="68" t="str">
        <f t="shared" si="271"/>
        <v>No</v>
      </c>
      <c r="BA2450" s="68" t="str">
        <f t="shared" si="272"/>
        <v>No</v>
      </c>
    </row>
    <row r="2451" spans="1:55" hidden="1">
      <c r="A2451" t="s">
        <v>3914</v>
      </c>
      <c r="G2451" t="s">
        <v>4440</v>
      </c>
      <c r="P2451" t="s">
        <v>60</v>
      </c>
      <c r="R2451" t="s">
        <v>4357</v>
      </c>
      <c r="S2451" t="s">
        <v>4443</v>
      </c>
      <c r="V2451" t="s">
        <v>3956</v>
      </c>
      <c r="Z2451">
        <v>200</v>
      </c>
      <c r="AA2451">
        <v>300</v>
      </c>
      <c r="AC2451">
        <v>722</v>
      </c>
      <c r="AD2451">
        <v>8.5</v>
      </c>
      <c r="AE2451">
        <v>2062</v>
      </c>
      <c r="AF2451">
        <v>8.5</v>
      </c>
      <c r="AJ2451" t="s">
        <v>4477</v>
      </c>
      <c r="AK2451" t="s">
        <v>4151</v>
      </c>
      <c r="AN2451">
        <v>66</v>
      </c>
      <c r="AO2451">
        <v>3.5</v>
      </c>
      <c r="AP2451">
        <v>44</v>
      </c>
      <c r="AQ2451">
        <v>12.7</v>
      </c>
      <c r="AW2451" s="28">
        <f t="shared" si="268"/>
        <v>-2.1811720763668996</v>
      </c>
      <c r="AX2451">
        <f t="shared" si="269"/>
        <v>0.99849321948769465</v>
      </c>
      <c r="AY2451" s="62">
        <f t="shared" si="270"/>
        <v>-2.1778855287882455</v>
      </c>
      <c r="AZ2451" s="68" t="str">
        <f t="shared" si="271"/>
        <v>No</v>
      </c>
      <c r="BA2451" s="68" t="str">
        <f t="shared" si="272"/>
        <v>No</v>
      </c>
    </row>
    <row r="2452" spans="1:55" s="56" customFormat="1" ht="15" hidden="1">
      <c r="A2452" t="s">
        <v>3914</v>
      </c>
      <c r="B2452"/>
      <c r="C2452"/>
      <c r="D2452" s="25"/>
      <c r="E2452" s="25"/>
      <c r="F2452"/>
      <c r="G2452" s="50" t="s">
        <v>4440</v>
      </c>
      <c r="H2452"/>
      <c r="I2452"/>
      <c r="J2452"/>
      <c r="K2452"/>
      <c r="L2452"/>
      <c r="M2452" s="25"/>
      <c r="N2452"/>
      <c r="O2452"/>
      <c r="P2452" t="s">
        <v>60</v>
      </c>
      <c r="Q2452"/>
      <c r="R2452" t="s">
        <v>4357</v>
      </c>
      <c r="S2452" s="50" t="s">
        <v>4443</v>
      </c>
      <c r="T2452"/>
      <c r="U2452"/>
      <c r="V2452" t="s">
        <v>3956</v>
      </c>
      <c r="W2452" s="25"/>
      <c r="X2452"/>
      <c r="Y2452"/>
      <c r="Z2452">
        <v>200</v>
      </c>
      <c r="AA2452">
        <v>300</v>
      </c>
      <c r="AB2452"/>
      <c r="AC2452">
        <v>722</v>
      </c>
      <c r="AD2452">
        <v>8.5</v>
      </c>
      <c r="AE2452">
        <v>2062</v>
      </c>
      <c r="AF2452">
        <v>8.5</v>
      </c>
      <c r="AG2452"/>
      <c r="AH2452"/>
      <c r="AI2452"/>
      <c r="AJ2452" s="50" t="s">
        <v>2031</v>
      </c>
      <c r="AK2452" t="s">
        <v>4151</v>
      </c>
      <c r="AL2452" s="25"/>
      <c r="AM2452" s="35"/>
      <c r="AN2452">
        <v>26</v>
      </c>
      <c r="AO2452">
        <v>7.1</v>
      </c>
      <c r="AP2452">
        <v>35</v>
      </c>
      <c r="AQ2452">
        <v>16</v>
      </c>
      <c r="AR2452"/>
      <c r="AS2452"/>
      <c r="AT2452"/>
      <c r="AU2452"/>
      <c r="AV2452"/>
      <c r="AW2452" s="28">
        <f t="shared" si="268"/>
        <v>0.68258926025007494</v>
      </c>
      <c r="AX2452">
        <f t="shared" si="269"/>
        <v>0.99849321948769465</v>
      </c>
      <c r="AY2452" s="62">
        <f t="shared" si="270"/>
        <v>0.68156074805482125</v>
      </c>
      <c r="AZ2452" s="68" t="str">
        <f t="shared" si="271"/>
        <v>No</v>
      </c>
      <c r="BA2452" s="68" t="str">
        <f t="shared" si="272"/>
        <v>No</v>
      </c>
      <c r="BB2452"/>
      <c r="BC2452"/>
    </row>
    <row r="2453" spans="1:55" hidden="1">
      <c r="A2453" t="s">
        <v>3914</v>
      </c>
      <c r="G2453" t="s">
        <v>4507</v>
      </c>
      <c r="P2453" t="s">
        <v>60</v>
      </c>
      <c r="R2453" t="s">
        <v>4509</v>
      </c>
      <c r="S2453" t="s">
        <v>4512</v>
      </c>
      <c r="V2453" t="s">
        <v>3956</v>
      </c>
      <c r="Z2453">
        <v>30</v>
      </c>
      <c r="AA2453">
        <v>29</v>
      </c>
      <c r="AC2453">
        <v>574</v>
      </c>
      <c r="AD2453">
        <v>13</v>
      </c>
      <c r="AE2453">
        <v>1361</v>
      </c>
      <c r="AF2453">
        <v>13</v>
      </c>
      <c r="AJ2453" t="s">
        <v>4535</v>
      </c>
      <c r="AK2453" t="s">
        <v>4537</v>
      </c>
      <c r="AN2453">
        <v>1.62</v>
      </c>
      <c r="AO2453">
        <v>0.04</v>
      </c>
      <c r="AP2453">
        <v>1.64</v>
      </c>
      <c r="AQ2453">
        <v>0.06</v>
      </c>
      <c r="AW2453" s="28">
        <f t="shared" si="268"/>
        <v>0.39356232587459755</v>
      </c>
      <c r="AX2453">
        <f t="shared" si="269"/>
        <v>0.986784140969163</v>
      </c>
      <c r="AY2453" s="62">
        <f t="shared" si="270"/>
        <v>0.38836106165599055</v>
      </c>
      <c r="AZ2453" s="68" t="str">
        <f t="shared" si="271"/>
        <v>No</v>
      </c>
      <c r="BA2453" s="68" t="str">
        <f t="shared" si="272"/>
        <v>No</v>
      </c>
    </row>
    <row r="2454" spans="1:55" hidden="1">
      <c r="A2454" t="s">
        <v>3914</v>
      </c>
      <c r="G2454" t="s">
        <v>4507</v>
      </c>
      <c r="P2454" t="s">
        <v>60</v>
      </c>
      <c r="R2454" t="s">
        <v>4509</v>
      </c>
      <c r="S2454" t="s">
        <v>4512</v>
      </c>
      <c r="V2454" t="s">
        <v>3956</v>
      </c>
      <c r="Z2454">
        <v>10</v>
      </c>
      <c r="AA2454">
        <v>10</v>
      </c>
      <c r="AC2454">
        <v>574</v>
      </c>
      <c r="AD2454">
        <v>13</v>
      </c>
      <c r="AE2454">
        <v>1361</v>
      </c>
      <c r="AF2454">
        <v>13</v>
      </c>
      <c r="AJ2454" t="s">
        <v>4065</v>
      </c>
      <c r="AK2454" t="s">
        <v>4491</v>
      </c>
      <c r="AN2454">
        <v>0.48</v>
      </c>
      <c r="AO2454">
        <v>4.8402209084209891E-2</v>
      </c>
      <c r="AP2454">
        <v>0.44</v>
      </c>
      <c r="AQ2454">
        <v>6.4536278778946535E-2</v>
      </c>
      <c r="AW2454" s="28">
        <f t="shared" si="268"/>
        <v>-0.70123091774393354</v>
      </c>
      <c r="AX2454">
        <f t="shared" si="269"/>
        <v>0.95774647887323949</v>
      </c>
      <c r="AY2454" s="62">
        <f t="shared" si="270"/>
        <v>-0.67160144234630259</v>
      </c>
      <c r="AZ2454" s="68" t="str">
        <f t="shared" si="271"/>
        <v>No</v>
      </c>
      <c r="BA2454" s="68" t="str">
        <f t="shared" si="272"/>
        <v>No</v>
      </c>
    </row>
    <row r="2455" spans="1:55" hidden="1">
      <c r="A2455" t="s">
        <v>3914</v>
      </c>
      <c r="G2455" t="s">
        <v>5077</v>
      </c>
      <c r="P2455" t="s">
        <v>60</v>
      </c>
      <c r="R2455" t="s">
        <v>4509</v>
      </c>
      <c r="S2455" t="s">
        <v>4512</v>
      </c>
      <c r="V2455" t="s">
        <v>3956</v>
      </c>
      <c r="Z2455">
        <v>6</v>
      </c>
      <c r="AA2455">
        <v>6</v>
      </c>
      <c r="AC2455">
        <v>574</v>
      </c>
      <c r="AD2455">
        <v>13</v>
      </c>
      <c r="AE2455">
        <v>1361</v>
      </c>
      <c r="AF2455">
        <v>13</v>
      </c>
      <c r="AJ2455" t="s">
        <v>677</v>
      </c>
      <c r="AK2455" t="s">
        <v>4516</v>
      </c>
      <c r="AN2455">
        <v>61.3</v>
      </c>
      <c r="AO2455">
        <v>26.703308159601992</v>
      </c>
      <c r="AP2455">
        <v>60.3</v>
      </c>
      <c r="AQ2455">
        <v>26.237377917772193</v>
      </c>
      <c r="AW2455" s="28">
        <f t="shared" si="268"/>
        <v>-3.777666470397311E-2</v>
      </c>
      <c r="AX2455">
        <f t="shared" si="269"/>
        <v>0.92307692307692313</v>
      </c>
      <c r="AY2455" s="62">
        <f t="shared" si="270"/>
        <v>-3.4870767419052102E-2</v>
      </c>
      <c r="AZ2455" s="68" t="str">
        <f t="shared" si="271"/>
        <v>No</v>
      </c>
      <c r="BA2455" s="68" t="str">
        <f t="shared" si="272"/>
        <v>No</v>
      </c>
    </row>
    <row r="2456" spans="1:55" hidden="1">
      <c r="A2456" t="s">
        <v>3914</v>
      </c>
      <c r="G2456" t="s">
        <v>4507</v>
      </c>
      <c r="P2456" t="s">
        <v>60</v>
      </c>
      <c r="R2456" t="s">
        <v>4509</v>
      </c>
      <c r="S2456" t="s">
        <v>4512</v>
      </c>
      <c r="V2456" t="s">
        <v>3956</v>
      </c>
      <c r="Z2456">
        <v>8</v>
      </c>
      <c r="AA2456">
        <v>8</v>
      </c>
      <c r="AC2456">
        <v>574</v>
      </c>
      <c r="AD2456">
        <v>13</v>
      </c>
      <c r="AE2456">
        <v>1361</v>
      </c>
      <c r="AF2456">
        <v>13</v>
      </c>
      <c r="AJ2456" t="s">
        <v>4564</v>
      </c>
      <c r="AK2456" t="s">
        <v>4502</v>
      </c>
      <c r="AN2456">
        <v>185.9</v>
      </c>
      <c r="AO2456">
        <v>115.68</v>
      </c>
      <c r="AP2456">
        <v>159.05000000000001</v>
      </c>
      <c r="AQ2456">
        <v>94.26</v>
      </c>
      <c r="AW2456" s="28">
        <f t="shared" si="268"/>
        <v>-0.25446630649305457</v>
      </c>
      <c r="AX2456">
        <f t="shared" si="269"/>
        <v>0.94545454545454544</v>
      </c>
      <c r="AY2456" s="62">
        <f t="shared" si="270"/>
        <v>-0.24058632613888795</v>
      </c>
      <c r="AZ2456" s="68" t="str">
        <f t="shared" si="271"/>
        <v>No</v>
      </c>
      <c r="BA2456" s="68" t="str">
        <f t="shared" si="272"/>
        <v>No</v>
      </c>
    </row>
    <row r="2457" spans="1:55" hidden="1">
      <c r="A2457" t="s">
        <v>3914</v>
      </c>
      <c r="G2457" s="50" t="s">
        <v>5049</v>
      </c>
      <c r="P2457" t="s">
        <v>60</v>
      </c>
      <c r="R2457" t="s">
        <v>4357</v>
      </c>
      <c r="S2457" s="50" t="s">
        <v>4385</v>
      </c>
      <c r="V2457" t="s">
        <v>3956</v>
      </c>
      <c r="Z2457" s="50">
        <v>5</v>
      </c>
      <c r="AA2457" s="50">
        <v>5</v>
      </c>
      <c r="AC2457">
        <v>413.6</v>
      </c>
      <c r="AD2457">
        <v>22</v>
      </c>
      <c r="AE2457">
        <v>1795.11</v>
      </c>
      <c r="AF2457">
        <v>22.12</v>
      </c>
      <c r="AJ2457" s="50" t="s">
        <v>4432</v>
      </c>
      <c r="AK2457" t="s">
        <v>4244</v>
      </c>
      <c r="AN2457">
        <v>0.57499999999999996</v>
      </c>
      <c r="AO2457">
        <v>4.4721359549995794E-2</v>
      </c>
      <c r="AP2457">
        <v>0.52</v>
      </c>
      <c r="AQ2457">
        <v>4.4721359549995794E-2</v>
      </c>
      <c r="AW2457" s="28">
        <f t="shared" si="268"/>
        <v>-1.2298373876248829</v>
      </c>
      <c r="AX2457">
        <f t="shared" si="269"/>
        <v>0.90322580645161288</v>
      </c>
      <c r="AY2457" s="62">
        <f t="shared" si="270"/>
        <v>-1.1108208662418297</v>
      </c>
      <c r="AZ2457" s="68" t="str">
        <f t="shared" si="271"/>
        <v>No</v>
      </c>
      <c r="BA2457" s="68" t="str">
        <f t="shared" si="272"/>
        <v>No</v>
      </c>
    </row>
    <row r="2458" spans="1:55" hidden="1">
      <c r="A2458" t="s">
        <v>3914</v>
      </c>
      <c r="G2458" s="50" t="s">
        <v>4411</v>
      </c>
      <c r="P2458" t="s">
        <v>60</v>
      </c>
      <c r="R2458" t="s">
        <v>4357</v>
      </c>
      <c r="S2458" s="50" t="s">
        <v>4385</v>
      </c>
      <c r="V2458" t="s">
        <v>3956</v>
      </c>
      <c r="Z2458" s="50">
        <v>5</v>
      </c>
      <c r="AA2458" s="50">
        <v>5</v>
      </c>
      <c r="AC2458">
        <v>413.6</v>
      </c>
      <c r="AD2458">
        <v>22</v>
      </c>
      <c r="AE2458">
        <v>4289.88</v>
      </c>
      <c r="AF2458">
        <v>22.08</v>
      </c>
      <c r="AJ2458" s="50" t="s">
        <v>4432</v>
      </c>
      <c r="AK2458" t="s">
        <v>4244</v>
      </c>
      <c r="AN2458">
        <v>0.57499999999999996</v>
      </c>
      <c r="AO2458">
        <v>4.4721359549995794E-2</v>
      </c>
      <c r="AP2458">
        <v>0.48</v>
      </c>
      <c r="AQ2458">
        <v>4.4721359549995794E-2</v>
      </c>
      <c r="AW2458" s="28">
        <f t="shared" si="268"/>
        <v>-2.1242645786247998</v>
      </c>
      <c r="AX2458">
        <f t="shared" si="269"/>
        <v>0.90322580645161288</v>
      </c>
      <c r="AY2458" s="62">
        <f t="shared" si="270"/>
        <v>-1.9186905871449804</v>
      </c>
      <c r="AZ2458" s="68" t="str">
        <f t="shared" si="271"/>
        <v>No</v>
      </c>
      <c r="BA2458" s="68" t="str">
        <f t="shared" si="272"/>
        <v>No</v>
      </c>
    </row>
    <row r="2459" spans="1:55" hidden="1">
      <c r="A2459" t="s">
        <v>3914</v>
      </c>
      <c r="G2459" s="50" t="s">
        <v>4411</v>
      </c>
      <c r="P2459" t="s">
        <v>60</v>
      </c>
      <c r="R2459" t="s">
        <v>4357</v>
      </c>
      <c r="S2459" s="50" t="s">
        <v>4385</v>
      </c>
      <c r="V2459" t="s">
        <v>3956</v>
      </c>
      <c r="Z2459" s="50">
        <v>5</v>
      </c>
      <c r="AA2459" s="50">
        <v>5</v>
      </c>
      <c r="AC2459">
        <v>413.6</v>
      </c>
      <c r="AD2459">
        <v>22</v>
      </c>
      <c r="AE2459">
        <v>1795.11</v>
      </c>
      <c r="AF2459">
        <v>22.12</v>
      </c>
      <c r="AJ2459" s="50" t="s">
        <v>4444</v>
      </c>
      <c r="AK2459" t="s">
        <v>4244</v>
      </c>
      <c r="AN2459">
        <v>0.43</v>
      </c>
      <c r="AO2459">
        <v>0.1118033988749895</v>
      </c>
      <c r="AP2459">
        <v>0.375</v>
      </c>
      <c r="AQ2459">
        <v>0.1118033988749895</v>
      </c>
      <c r="AW2459" s="28">
        <f t="shared" si="268"/>
        <v>-0.4919349550499536</v>
      </c>
      <c r="AX2459">
        <f t="shared" si="269"/>
        <v>0.90322580645161288</v>
      </c>
      <c r="AY2459" s="62">
        <f t="shared" si="270"/>
        <v>-0.44432834649673225</v>
      </c>
      <c r="AZ2459" s="68" t="str">
        <f t="shared" si="271"/>
        <v>No</v>
      </c>
      <c r="BA2459" s="68" t="str">
        <f t="shared" si="272"/>
        <v>No</v>
      </c>
    </row>
    <row r="2460" spans="1:55" hidden="1">
      <c r="A2460" t="s">
        <v>3914</v>
      </c>
      <c r="G2460" s="50" t="s">
        <v>4411</v>
      </c>
      <c r="P2460" t="s">
        <v>60</v>
      </c>
      <c r="R2460" t="s">
        <v>4357</v>
      </c>
      <c r="S2460" s="50" t="s">
        <v>4385</v>
      </c>
      <c r="V2460" t="s">
        <v>3956</v>
      </c>
      <c r="Z2460">
        <v>5</v>
      </c>
      <c r="AA2460">
        <v>5</v>
      </c>
      <c r="AC2460">
        <v>413.6</v>
      </c>
      <c r="AD2460">
        <v>22</v>
      </c>
      <c r="AE2460">
        <v>4289.88</v>
      </c>
      <c r="AF2460">
        <v>22.08</v>
      </c>
      <c r="AJ2460" s="50" t="s">
        <v>4444</v>
      </c>
      <c r="AK2460" t="s">
        <v>4244</v>
      </c>
      <c r="AN2460">
        <v>0.43</v>
      </c>
      <c r="AO2460">
        <v>0.1118033988749895</v>
      </c>
      <c r="AP2460">
        <v>0.36</v>
      </c>
      <c r="AQ2460">
        <v>0.1118033988749895</v>
      </c>
      <c r="AW2460" s="28">
        <f t="shared" si="268"/>
        <v>-0.62609903369994113</v>
      </c>
      <c r="AX2460">
        <f t="shared" si="269"/>
        <v>0.90322580645161288</v>
      </c>
      <c r="AY2460" s="62">
        <f t="shared" si="270"/>
        <v>-0.56550880463220488</v>
      </c>
      <c r="AZ2460" s="68" t="str">
        <f t="shared" si="271"/>
        <v>No</v>
      </c>
      <c r="BA2460" s="68" t="str">
        <f t="shared" si="272"/>
        <v>No</v>
      </c>
    </row>
    <row r="2461" spans="1:55" s="56" customFormat="1" ht="15" hidden="1">
      <c r="A2461" t="s">
        <v>3914</v>
      </c>
      <c r="B2461"/>
      <c r="C2461"/>
      <c r="D2461" s="25"/>
      <c r="E2461" s="25"/>
      <c r="F2461"/>
      <c r="G2461" s="50" t="s">
        <v>4411</v>
      </c>
      <c r="H2461"/>
      <c r="I2461"/>
      <c r="J2461"/>
      <c r="K2461"/>
      <c r="L2461"/>
      <c r="M2461" s="25"/>
      <c r="N2461"/>
      <c r="O2461"/>
      <c r="P2461" t="s">
        <v>60</v>
      </c>
      <c r="Q2461"/>
      <c r="R2461" t="s">
        <v>4357</v>
      </c>
      <c r="S2461" s="50" t="s">
        <v>4385</v>
      </c>
      <c r="T2461"/>
      <c r="U2461"/>
      <c r="V2461" t="s">
        <v>3956</v>
      </c>
      <c r="W2461" s="25"/>
      <c r="X2461"/>
      <c r="Y2461"/>
      <c r="Z2461">
        <v>5</v>
      </c>
      <c r="AA2461">
        <v>5</v>
      </c>
      <c r="AB2461"/>
      <c r="AC2461">
        <v>413.6</v>
      </c>
      <c r="AD2461">
        <v>22</v>
      </c>
      <c r="AE2461">
        <v>1795.11</v>
      </c>
      <c r="AF2461">
        <v>22.12</v>
      </c>
      <c r="AG2461"/>
      <c r="AH2461"/>
      <c r="AI2461"/>
      <c r="AJ2461" s="50" t="s">
        <v>4472</v>
      </c>
      <c r="AK2461" t="s">
        <v>4151</v>
      </c>
      <c r="AL2461" s="25"/>
      <c r="AM2461" s="35"/>
      <c r="AN2461">
        <v>0.5</v>
      </c>
      <c r="AO2461">
        <v>0.1118033988749895</v>
      </c>
      <c r="AP2461">
        <v>0.5</v>
      </c>
      <c r="AQ2461">
        <v>0.1118033988749895</v>
      </c>
      <c r="AR2461"/>
      <c r="AS2461"/>
      <c r="AT2461"/>
      <c r="AU2461"/>
      <c r="AV2461"/>
      <c r="AW2461" s="28">
        <f t="shared" si="268"/>
        <v>0</v>
      </c>
      <c r="AX2461">
        <f t="shared" si="269"/>
        <v>0.90322580645161288</v>
      </c>
      <c r="AY2461" s="62">
        <f t="shared" si="270"/>
        <v>0</v>
      </c>
      <c r="AZ2461" s="68" t="str">
        <f t="shared" si="271"/>
        <v>No</v>
      </c>
      <c r="BA2461" s="68" t="str">
        <f t="shared" si="272"/>
        <v>No</v>
      </c>
      <c r="BB2461"/>
      <c r="BC2461"/>
    </row>
    <row r="2462" spans="1:55" hidden="1">
      <c r="A2462" t="s">
        <v>3914</v>
      </c>
      <c r="G2462" s="50" t="s">
        <v>4411</v>
      </c>
      <c r="P2462" t="s">
        <v>60</v>
      </c>
      <c r="R2462" t="s">
        <v>4357</v>
      </c>
      <c r="S2462" s="50" t="s">
        <v>4385</v>
      </c>
      <c r="V2462" t="s">
        <v>3956</v>
      </c>
      <c r="Z2462" s="50">
        <v>5</v>
      </c>
      <c r="AA2462" s="50">
        <v>5</v>
      </c>
      <c r="AC2462">
        <v>413.6</v>
      </c>
      <c r="AD2462">
        <v>22</v>
      </c>
      <c r="AE2462">
        <v>4289.88</v>
      </c>
      <c r="AF2462">
        <v>22.08</v>
      </c>
      <c r="AJ2462" s="50" t="s">
        <v>4472</v>
      </c>
      <c r="AK2462" t="s">
        <v>4151</v>
      </c>
      <c r="AN2462">
        <v>0.5</v>
      </c>
      <c r="AO2462">
        <v>0.1118033988749895</v>
      </c>
      <c r="AP2462">
        <v>2.5</v>
      </c>
      <c r="AQ2462">
        <v>0.67082039324993692</v>
      </c>
      <c r="AW2462" s="28">
        <f t="shared" si="268"/>
        <v>4.1590019592802907</v>
      </c>
      <c r="AX2462">
        <f t="shared" si="269"/>
        <v>0.90322580645161288</v>
      </c>
      <c r="AY2462" s="62">
        <f t="shared" si="270"/>
        <v>3.7565178987047787</v>
      </c>
      <c r="AZ2462" s="68" t="str">
        <f t="shared" si="271"/>
        <v>No</v>
      </c>
      <c r="BA2462" s="68" t="str">
        <f t="shared" si="272"/>
        <v>No</v>
      </c>
    </row>
    <row r="2463" spans="1:55" hidden="1">
      <c r="A2463" t="s">
        <v>3914</v>
      </c>
      <c r="G2463" s="50" t="s">
        <v>4411</v>
      </c>
      <c r="P2463" t="s">
        <v>60</v>
      </c>
      <c r="R2463" t="s">
        <v>4357</v>
      </c>
      <c r="S2463" s="50" t="s">
        <v>4385</v>
      </c>
      <c r="V2463" t="s">
        <v>3956</v>
      </c>
      <c r="Z2463">
        <v>5</v>
      </c>
      <c r="AA2463">
        <v>5</v>
      </c>
      <c r="AC2463">
        <v>413.6</v>
      </c>
      <c r="AD2463">
        <v>22</v>
      </c>
      <c r="AE2463">
        <v>1795.11</v>
      </c>
      <c r="AF2463">
        <v>22.12</v>
      </c>
      <c r="AJ2463" s="50" t="s">
        <v>2031</v>
      </c>
      <c r="AK2463" t="s">
        <v>4151</v>
      </c>
      <c r="AN2463">
        <v>0.5</v>
      </c>
      <c r="AO2463">
        <v>2.2360679774997897E-2</v>
      </c>
      <c r="AP2463">
        <v>2</v>
      </c>
      <c r="AQ2463">
        <v>1.5652475842498528</v>
      </c>
      <c r="AW2463" s="28">
        <f t="shared" si="268"/>
        <v>1.3551235834954694</v>
      </c>
      <c r="AX2463">
        <f t="shared" si="269"/>
        <v>0.90322580645161288</v>
      </c>
      <c r="AY2463" s="62">
        <f t="shared" si="270"/>
        <v>1.2239825915442948</v>
      </c>
      <c r="AZ2463" s="68" t="str">
        <f t="shared" si="271"/>
        <v>No</v>
      </c>
      <c r="BA2463" s="68" t="str">
        <f t="shared" si="272"/>
        <v>No</v>
      </c>
    </row>
    <row r="2464" spans="1:55" hidden="1">
      <c r="A2464" t="s">
        <v>3914</v>
      </c>
      <c r="G2464" t="s">
        <v>4411</v>
      </c>
      <c r="P2464" t="s">
        <v>60</v>
      </c>
      <c r="R2464" t="s">
        <v>4357</v>
      </c>
      <c r="S2464" t="s">
        <v>4385</v>
      </c>
      <c r="V2464" t="s">
        <v>3956</v>
      </c>
      <c r="Z2464">
        <v>5</v>
      </c>
      <c r="AA2464">
        <v>5</v>
      </c>
      <c r="AC2464">
        <v>413.6</v>
      </c>
      <c r="AD2464">
        <v>22</v>
      </c>
      <c r="AE2464">
        <v>4289.88</v>
      </c>
      <c r="AF2464">
        <v>22.08</v>
      </c>
      <c r="AJ2464" t="s">
        <v>4465</v>
      </c>
      <c r="AK2464" t="s">
        <v>4151</v>
      </c>
      <c r="AN2464">
        <v>20</v>
      </c>
      <c r="AO2464">
        <v>11.180339887498949</v>
      </c>
      <c r="AP2464">
        <v>2</v>
      </c>
      <c r="AQ2464">
        <v>2.2360679774997898</v>
      </c>
      <c r="AW2464" s="28">
        <f t="shared" si="268"/>
        <v>-2.2326252226057517</v>
      </c>
      <c r="AX2464">
        <f t="shared" si="269"/>
        <v>0.90322580645161288</v>
      </c>
      <c r="AY2464" s="62">
        <f t="shared" si="270"/>
        <v>-2.0165647171922916</v>
      </c>
      <c r="AZ2464" s="68" t="str">
        <f t="shared" si="271"/>
        <v>No</v>
      </c>
      <c r="BA2464" s="68" t="str">
        <f t="shared" si="272"/>
        <v>No</v>
      </c>
    </row>
    <row r="2465" spans="1:55" hidden="1">
      <c r="A2465" t="s">
        <v>3914</v>
      </c>
      <c r="G2465" t="s">
        <v>4411</v>
      </c>
      <c r="P2465" t="s">
        <v>60</v>
      </c>
      <c r="R2465" t="s">
        <v>4357</v>
      </c>
      <c r="S2465" t="s">
        <v>4385</v>
      </c>
      <c r="V2465" t="s">
        <v>3956</v>
      </c>
      <c r="Z2465">
        <v>5</v>
      </c>
      <c r="AA2465">
        <v>5</v>
      </c>
      <c r="AC2465">
        <v>413.6</v>
      </c>
      <c r="AD2465">
        <v>22</v>
      </c>
      <c r="AE2465">
        <v>1795.11</v>
      </c>
      <c r="AF2465">
        <v>22.12</v>
      </c>
      <c r="AJ2465" t="s">
        <v>4478</v>
      </c>
      <c r="AK2465" t="s">
        <v>4151</v>
      </c>
      <c r="AN2465">
        <v>49.5</v>
      </c>
      <c r="AO2465">
        <v>1.1180339887498949</v>
      </c>
      <c r="AP2465">
        <v>47</v>
      </c>
      <c r="AQ2465">
        <v>2.2360679774997898</v>
      </c>
      <c r="AW2465" s="28">
        <f t="shared" si="268"/>
        <v>-1.4142135623730949</v>
      </c>
      <c r="AX2465">
        <f t="shared" si="269"/>
        <v>0.90322580645161288</v>
      </c>
      <c r="AY2465" s="62">
        <f t="shared" si="270"/>
        <v>-1.2773541853692469</v>
      </c>
      <c r="AZ2465" s="68" t="str">
        <f t="shared" si="271"/>
        <v>No</v>
      </c>
      <c r="BA2465" s="68" t="str">
        <f t="shared" si="272"/>
        <v>No</v>
      </c>
    </row>
    <row r="2466" spans="1:55" hidden="1">
      <c r="A2466" t="s">
        <v>3914</v>
      </c>
      <c r="G2466" s="50" t="s">
        <v>4411</v>
      </c>
      <c r="P2466" t="s">
        <v>60</v>
      </c>
      <c r="R2466" t="s">
        <v>4357</v>
      </c>
      <c r="S2466" s="50" t="s">
        <v>4385</v>
      </c>
      <c r="V2466" t="s">
        <v>3956</v>
      </c>
      <c r="Z2466">
        <v>5</v>
      </c>
      <c r="AA2466">
        <v>5</v>
      </c>
      <c r="AC2466">
        <v>413.6</v>
      </c>
      <c r="AD2466">
        <v>22</v>
      </c>
      <c r="AE2466">
        <v>4289.88</v>
      </c>
      <c r="AF2466">
        <v>22.08</v>
      </c>
      <c r="AJ2466" s="50" t="s">
        <v>2031</v>
      </c>
      <c r="AK2466" t="s">
        <v>4151</v>
      </c>
      <c r="AN2466">
        <v>0.5</v>
      </c>
      <c r="AO2466">
        <v>2.2360679774997897E-2</v>
      </c>
      <c r="AP2466">
        <v>6</v>
      </c>
      <c r="AQ2466">
        <v>3.3541019662496847</v>
      </c>
      <c r="AW2466" s="28">
        <f t="shared" si="268"/>
        <v>2.3189520857608068</v>
      </c>
      <c r="AX2466">
        <f t="shared" si="269"/>
        <v>0.90322580645161288</v>
      </c>
      <c r="AY2466" s="62">
        <f t="shared" si="270"/>
        <v>2.0945373677839543</v>
      </c>
      <c r="AZ2466" s="68" t="str">
        <f t="shared" si="271"/>
        <v>No</v>
      </c>
      <c r="BA2466" s="68" t="str">
        <f t="shared" si="272"/>
        <v>No</v>
      </c>
    </row>
    <row r="2467" spans="1:55" hidden="1">
      <c r="A2467" t="s">
        <v>3914</v>
      </c>
      <c r="G2467" t="s">
        <v>4411</v>
      </c>
      <c r="P2467" t="s">
        <v>60</v>
      </c>
      <c r="R2467" t="s">
        <v>4357</v>
      </c>
      <c r="S2467" t="s">
        <v>4385</v>
      </c>
      <c r="V2467" t="s">
        <v>3956</v>
      </c>
      <c r="Z2467">
        <v>5</v>
      </c>
      <c r="AA2467">
        <v>5</v>
      </c>
      <c r="AC2467">
        <v>413.6</v>
      </c>
      <c r="AD2467">
        <v>22</v>
      </c>
      <c r="AE2467">
        <v>1795.11</v>
      </c>
      <c r="AF2467">
        <v>22.12</v>
      </c>
      <c r="AJ2467" t="s">
        <v>4465</v>
      </c>
      <c r="AK2467" t="s">
        <v>4151</v>
      </c>
      <c r="AN2467">
        <v>20</v>
      </c>
      <c r="AO2467">
        <v>11.180339887498949</v>
      </c>
      <c r="AP2467">
        <v>21</v>
      </c>
      <c r="AQ2467">
        <v>6.7082039324993694</v>
      </c>
      <c r="AW2467" s="28">
        <f t="shared" si="268"/>
        <v>0.10846522890932807</v>
      </c>
      <c r="AX2467">
        <f t="shared" si="269"/>
        <v>0.90322580645161288</v>
      </c>
      <c r="AY2467" s="62">
        <f t="shared" si="270"/>
        <v>9.7968593853586639E-2</v>
      </c>
      <c r="AZ2467" s="68" t="str">
        <f t="shared" si="271"/>
        <v>No</v>
      </c>
      <c r="BA2467" s="68" t="str">
        <f t="shared" si="272"/>
        <v>No</v>
      </c>
    </row>
    <row r="2468" spans="1:55" hidden="1">
      <c r="A2468" t="s">
        <v>3914</v>
      </c>
      <c r="G2468" t="s">
        <v>4411</v>
      </c>
      <c r="P2468" t="s">
        <v>60</v>
      </c>
      <c r="R2468" t="s">
        <v>4357</v>
      </c>
      <c r="S2468" t="s">
        <v>4385</v>
      </c>
      <c r="V2468" t="s">
        <v>3956</v>
      </c>
      <c r="Z2468">
        <v>5</v>
      </c>
      <c r="AA2468">
        <v>5</v>
      </c>
      <c r="AC2468">
        <v>413.6</v>
      </c>
      <c r="AD2468">
        <v>22</v>
      </c>
      <c r="AE2468">
        <v>4289.88</v>
      </c>
      <c r="AF2468">
        <v>22.08</v>
      </c>
      <c r="AJ2468" t="s">
        <v>4478</v>
      </c>
      <c r="AK2468" t="s">
        <v>4151</v>
      </c>
      <c r="AN2468">
        <v>49.5</v>
      </c>
      <c r="AO2468">
        <v>1.1180339887498949</v>
      </c>
      <c r="AP2468">
        <v>35</v>
      </c>
      <c r="AQ2468">
        <v>6.7082039324993694</v>
      </c>
      <c r="AW2468" s="28">
        <f t="shared" si="268"/>
        <v>-3.0152764204782105</v>
      </c>
      <c r="AX2468">
        <f t="shared" si="269"/>
        <v>0.90322580645161288</v>
      </c>
      <c r="AY2468" s="62">
        <f t="shared" si="270"/>
        <v>-2.7234754765609641</v>
      </c>
      <c r="AZ2468" s="68" t="str">
        <f t="shared" si="271"/>
        <v>No</v>
      </c>
      <c r="BA2468" s="68" t="str">
        <f t="shared" si="272"/>
        <v>No</v>
      </c>
    </row>
    <row r="2469" spans="1:55" hidden="1">
      <c r="A2469" t="s">
        <v>3914</v>
      </c>
      <c r="G2469" t="s">
        <v>5060</v>
      </c>
      <c r="P2469" t="s">
        <v>60</v>
      </c>
      <c r="R2469" t="s">
        <v>4357</v>
      </c>
      <c r="S2469" t="s">
        <v>4425</v>
      </c>
      <c r="V2469" t="s">
        <v>3956</v>
      </c>
      <c r="Z2469">
        <v>3</v>
      </c>
      <c r="AA2469">
        <v>3</v>
      </c>
      <c r="AC2469">
        <v>415.2</v>
      </c>
      <c r="AD2469">
        <v>23.9</v>
      </c>
      <c r="AE2469">
        <v>2407.1</v>
      </c>
      <c r="AF2469">
        <v>24.1</v>
      </c>
      <c r="AJ2469" t="s">
        <v>50</v>
      </c>
      <c r="AK2469" t="s">
        <v>4244</v>
      </c>
      <c r="AN2469">
        <v>60.5</v>
      </c>
      <c r="AO2469">
        <v>6.0621778264910704</v>
      </c>
      <c r="AP2469">
        <v>59</v>
      </c>
      <c r="AQ2469">
        <v>1.3856406460551018</v>
      </c>
      <c r="AW2469" s="28">
        <f t="shared" si="268"/>
        <v>-0.34112941607324521</v>
      </c>
      <c r="AX2469">
        <f t="shared" si="269"/>
        <v>0.8</v>
      </c>
      <c r="AY2469" s="62">
        <f t="shared" si="270"/>
        <v>-0.2729035328585962</v>
      </c>
      <c r="AZ2469" s="68" t="str">
        <f t="shared" si="271"/>
        <v>No</v>
      </c>
      <c r="BA2469" s="68" t="str">
        <f t="shared" si="272"/>
        <v>No</v>
      </c>
    </row>
    <row r="2470" spans="1:55" hidden="1">
      <c r="A2470" t="s">
        <v>3914</v>
      </c>
      <c r="G2470" t="s">
        <v>4420</v>
      </c>
      <c r="P2470" t="s">
        <v>60</v>
      </c>
      <c r="R2470" t="s">
        <v>4357</v>
      </c>
      <c r="S2470" t="s">
        <v>4425</v>
      </c>
      <c r="V2470" t="s">
        <v>3956</v>
      </c>
      <c r="Z2470">
        <v>3</v>
      </c>
      <c r="AA2470">
        <v>3</v>
      </c>
      <c r="AC2470">
        <v>415.2</v>
      </c>
      <c r="AD2470">
        <v>23.9</v>
      </c>
      <c r="AE2470">
        <v>2407.1</v>
      </c>
      <c r="AF2470">
        <v>24.1</v>
      </c>
      <c r="AJ2470" t="s">
        <v>4065</v>
      </c>
      <c r="AK2470" t="s">
        <v>4491</v>
      </c>
      <c r="AN2470">
        <v>52</v>
      </c>
      <c r="AO2470">
        <v>4</v>
      </c>
      <c r="AP2470">
        <v>50</v>
      </c>
      <c r="AQ2470">
        <v>3</v>
      </c>
      <c r="AW2470" s="28">
        <f t="shared" si="268"/>
        <v>-0.56568542494923801</v>
      </c>
      <c r="AX2470">
        <f t="shared" si="269"/>
        <v>0.8</v>
      </c>
      <c r="AY2470" s="62">
        <f t="shared" si="270"/>
        <v>-0.45254833995939042</v>
      </c>
      <c r="AZ2470" s="68" t="str">
        <f t="shared" si="271"/>
        <v>No</v>
      </c>
      <c r="BA2470" s="68" t="str">
        <f t="shared" si="272"/>
        <v>No</v>
      </c>
    </row>
    <row r="2471" spans="1:55" ht="15" hidden="1">
      <c r="A2471" t="s">
        <v>3914</v>
      </c>
      <c r="G2471" s="50" t="s">
        <v>4420</v>
      </c>
      <c r="P2471" t="s">
        <v>60</v>
      </c>
      <c r="R2471" t="s">
        <v>4357</v>
      </c>
      <c r="S2471" s="50" t="s">
        <v>4425</v>
      </c>
      <c r="V2471" t="s">
        <v>3956</v>
      </c>
      <c r="Z2471">
        <v>3</v>
      </c>
      <c r="AA2471">
        <v>3</v>
      </c>
      <c r="AC2471">
        <v>415.2</v>
      </c>
      <c r="AD2471">
        <v>23.9</v>
      </c>
      <c r="AE2471">
        <v>2407.1</v>
      </c>
      <c r="AF2471">
        <v>24.1</v>
      </c>
      <c r="AJ2471" s="50" t="s">
        <v>4444</v>
      </c>
      <c r="AK2471" t="s">
        <v>4244</v>
      </c>
      <c r="AN2471">
        <v>135.5</v>
      </c>
      <c r="AO2471">
        <v>8.6602540378443855</v>
      </c>
      <c r="AP2471">
        <v>109</v>
      </c>
      <c r="AQ2471">
        <v>3.4641016151377544</v>
      </c>
      <c r="AW2471" s="28">
        <f t="shared" si="268"/>
        <v>-4.0179196309681888</v>
      </c>
      <c r="AX2471">
        <f t="shared" si="269"/>
        <v>0.8</v>
      </c>
      <c r="AY2471" s="73">
        <f t="shared" si="270"/>
        <v>-3.2143357047745513</v>
      </c>
      <c r="AZ2471" s="74" t="str">
        <f t="shared" si="271"/>
        <v>No</v>
      </c>
      <c r="BA2471" s="74" t="str">
        <f t="shared" si="272"/>
        <v>No</v>
      </c>
      <c r="BB2471" s="56"/>
      <c r="BC2471" s="56"/>
    </row>
    <row r="2472" spans="1:55" hidden="1">
      <c r="A2472" t="s">
        <v>3914</v>
      </c>
      <c r="G2472" s="50" t="s">
        <v>5039</v>
      </c>
      <c r="P2472" t="s">
        <v>60</v>
      </c>
      <c r="R2472" t="s">
        <v>4357</v>
      </c>
      <c r="S2472" s="50" t="s">
        <v>954</v>
      </c>
      <c r="V2472" t="s">
        <v>3956</v>
      </c>
      <c r="Z2472" s="50">
        <v>3</v>
      </c>
      <c r="AA2472" s="50">
        <v>3</v>
      </c>
      <c r="AC2472">
        <v>380</v>
      </c>
      <c r="AD2472">
        <v>20</v>
      </c>
      <c r="AE2472">
        <v>1000</v>
      </c>
      <c r="AF2472">
        <v>20</v>
      </c>
      <c r="AJ2472" s="50" t="s">
        <v>4429</v>
      </c>
      <c r="AK2472" t="s">
        <v>4244</v>
      </c>
      <c r="AN2472">
        <v>228.3</v>
      </c>
      <c r="AO2472">
        <v>11.777945491468365</v>
      </c>
      <c r="AP2472">
        <v>210</v>
      </c>
      <c r="AQ2472">
        <v>4.3301270189221928</v>
      </c>
      <c r="AW2472" s="28">
        <f t="shared" si="268"/>
        <v>-2.0623728073494805</v>
      </c>
      <c r="AX2472">
        <f t="shared" si="269"/>
        <v>0.8</v>
      </c>
      <c r="AY2472" s="62">
        <f t="shared" si="270"/>
        <v>-1.6498982458795846</v>
      </c>
      <c r="AZ2472" s="68" t="str">
        <f t="shared" si="271"/>
        <v>No</v>
      </c>
      <c r="BA2472" s="68" t="str">
        <f t="shared" si="272"/>
        <v>No</v>
      </c>
    </row>
    <row r="2473" spans="1:55" hidden="1">
      <c r="A2473" t="s">
        <v>3914</v>
      </c>
      <c r="G2473" t="s">
        <v>5055</v>
      </c>
      <c r="P2473" t="s">
        <v>60</v>
      </c>
      <c r="R2473" t="s">
        <v>4357</v>
      </c>
      <c r="S2473" t="s">
        <v>4398</v>
      </c>
      <c r="V2473" t="s">
        <v>3956</v>
      </c>
      <c r="Z2473" s="51">
        <v>3</v>
      </c>
      <c r="AA2473" s="51">
        <v>3</v>
      </c>
      <c r="AC2473">
        <v>398.4</v>
      </c>
      <c r="AD2473">
        <v>9</v>
      </c>
      <c r="AE2473">
        <v>1021.9</v>
      </c>
      <c r="AF2473">
        <v>9</v>
      </c>
      <c r="AJ2473" t="s">
        <v>50</v>
      </c>
      <c r="AK2473" t="s">
        <v>4244</v>
      </c>
      <c r="AN2473">
        <v>0.105</v>
      </c>
      <c r="AO2473">
        <v>3.5000000000000001E-3</v>
      </c>
      <c r="AP2473">
        <v>0.10299999999999999</v>
      </c>
      <c r="AQ2473">
        <v>1.6999999999999999E-3</v>
      </c>
      <c r="AW2473" s="28">
        <f t="shared" si="268"/>
        <v>-0.72691236418481453</v>
      </c>
      <c r="AX2473">
        <f t="shared" si="269"/>
        <v>0.8</v>
      </c>
      <c r="AY2473" s="62">
        <f t="shared" si="270"/>
        <v>-0.5815298913478516</v>
      </c>
      <c r="AZ2473" s="68" t="str">
        <f t="shared" si="271"/>
        <v>No</v>
      </c>
      <c r="BA2473" s="68" t="str">
        <f t="shared" si="272"/>
        <v>No</v>
      </c>
    </row>
    <row r="2474" spans="1:55" hidden="1">
      <c r="A2474" t="s">
        <v>3914</v>
      </c>
      <c r="G2474" t="s">
        <v>4416</v>
      </c>
      <c r="P2474" t="s">
        <v>60</v>
      </c>
      <c r="R2474" t="s">
        <v>4357</v>
      </c>
      <c r="S2474" t="s">
        <v>4398</v>
      </c>
      <c r="V2474" t="s">
        <v>3956</v>
      </c>
      <c r="Z2474">
        <v>3</v>
      </c>
      <c r="AA2474">
        <v>3</v>
      </c>
      <c r="AC2474">
        <v>398.4</v>
      </c>
      <c r="AD2474">
        <v>9</v>
      </c>
      <c r="AE2474">
        <v>1021.9</v>
      </c>
      <c r="AF2474">
        <v>9</v>
      </c>
      <c r="AJ2474" t="s">
        <v>4065</v>
      </c>
      <c r="AK2474" t="s">
        <v>4491</v>
      </c>
      <c r="AN2474">
        <v>0.96399999999999997</v>
      </c>
      <c r="AO2474">
        <v>4.4999999999999997E-3</v>
      </c>
      <c r="AP2474">
        <v>0.96099999999999997</v>
      </c>
      <c r="AQ2474">
        <v>4.3E-3</v>
      </c>
      <c r="AW2474" s="28">
        <f t="shared" si="268"/>
        <v>-0.68164216059882521</v>
      </c>
      <c r="AX2474">
        <f t="shared" si="269"/>
        <v>0.8</v>
      </c>
      <c r="AY2474" s="62">
        <f t="shared" si="270"/>
        <v>-0.54531372847906023</v>
      </c>
      <c r="AZ2474" s="68" t="str">
        <f t="shared" si="271"/>
        <v>No</v>
      </c>
      <c r="BA2474" s="68" t="str">
        <f t="shared" si="272"/>
        <v>No</v>
      </c>
    </row>
    <row r="2475" spans="1:55" s="56" customFormat="1" ht="15" hidden="1">
      <c r="A2475" t="s">
        <v>3914</v>
      </c>
      <c r="B2475"/>
      <c r="C2475"/>
      <c r="D2475" s="25"/>
      <c r="E2475" s="25"/>
      <c r="F2475"/>
      <c r="G2475" t="s">
        <v>4416</v>
      </c>
      <c r="H2475"/>
      <c r="I2475"/>
      <c r="J2475"/>
      <c r="K2475"/>
      <c r="L2475"/>
      <c r="M2475" s="25"/>
      <c r="N2475"/>
      <c r="O2475"/>
      <c r="P2475" t="s">
        <v>60</v>
      </c>
      <c r="Q2475"/>
      <c r="R2475" t="s">
        <v>4357</v>
      </c>
      <c r="S2475" t="s">
        <v>4398</v>
      </c>
      <c r="T2475"/>
      <c r="U2475"/>
      <c r="V2475" t="s">
        <v>3956</v>
      </c>
      <c r="W2475" s="25"/>
      <c r="X2475"/>
      <c r="Y2475"/>
      <c r="Z2475" s="51">
        <v>3</v>
      </c>
      <c r="AA2475">
        <v>3</v>
      </c>
      <c r="AB2475"/>
      <c r="AC2475">
        <v>398.4</v>
      </c>
      <c r="AD2475">
        <v>9</v>
      </c>
      <c r="AE2475">
        <v>3200.8</v>
      </c>
      <c r="AF2475">
        <v>9</v>
      </c>
      <c r="AG2475"/>
      <c r="AH2475"/>
      <c r="AI2475"/>
      <c r="AJ2475" t="s">
        <v>50</v>
      </c>
      <c r="AK2475" t="s">
        <v>4244</v>
      </c>
      <c r="AL2475" s="25"/>
      <c r="AM2475" s="35"/>
      <c r="AN2475">
        <v>0.105</v>
      </c>
      <c r="AO2475">
        <v>3.5000000000000001E-3</v>
      </c>
      <c r="AP2475">
        <v>7.9000000000000001E-2</v>
      </c>
      <c r="AQ2475">
        <v>4.5999999999999999E-3</v>
      </c>
      <c r="AR2475"/>
      <c r="AS2475"/>
      <c r="AT2475"/>
      <c r="AU2475"/>
      <c r="AV2475"/>
      <c r="AW2475" s="28">
        <f t="shared" si="268"/>
        <v>-6.361361966594802</v>
      </c>
      <c r="AX2475">
        <f t="shared" si="269"/>
        <v>0.8</v>
      </c>
      <c r="AY2475" s="62">
        <f t="shared" si="270"/>
        <v>-5.0890895732758423</v>
      </c>
      <c r="AZ2475" s="68" t="str">
        <f t="shared" si="271"/>
        <v>No</v>
      </c>
      <c r="BA2475" s="68" t="str">
        <f t="shared" si="272"/>
        <v>No</v>
      </c>
      <c r="BB2475"/>
      <c r="BC2475"/>
    </row>
    <row r="2476" spans="1:55" hidden="1">
      <c r="A2476" t="s">
        <v>3914</v>
      </c>
      <c r="G2476" t="s">
        <v>4416</v>
      </c>
      <c r="P2476" t="s">
        <v>60</v>
      </c>
      <c r="R2476" t="s">
        <v>4357</v>
      </c>
      <c r="S2476" t="s">
        <v>4398</v>
      </c>
      <c r="V2476" t="s">
        <v>3956</v>
      </c>
      <c r="Z2476">
        <v>3</v>
      </c>
      <c r="AA2476">
        <v>3</v>
      </c>
      <c r="AC2476">
        <v>398.4</v>
      </c>
      <c r="AD2476">
        <v>9</v>
      </c>
      <c r="AE2476">
        <v>3200.8</v>
      </c>
      <c r="AF2476">
        <v>9</v>
      </c>
      <c r="AJ2476" t="s">
        <v>4065</v>
      </c>
      <c r="AK2476" t="s">
        <v>4491</v>
      </c>
      <c r="AN2476">
        <v>0.96399999999999997</v>
      </c>
      <c r="AO2476">
        <v>4.4999999999999997E-3</v>
      </c>
      <c r="AP2476">
        <v>0.97299999999999998</v>
      </c>
      <c r="AQ2476">
        <v>9.7000000000000003E-3</v>
      </c>
      <c r="AW2476" s="28">
        <f t="shared" si="268"/>
        <v>1.1903054260027535</v>
      </c>
      <c r="AX2476">
        <f t="shared" si="269"/>
        <v>0.8</v>
      </c>
      <c r="AY2476" s="62">
        <f t="shared" si="270"/>
        <v>0.95224434080220277</v>
      </c>
      <c r="AZ2476" s="68" t="str">
        <f t="shared" si="271"/>
        <v>No</v>
      </c>
      <c r="BA2476" s="68" t="str">
        <f t="shared" si="272"/>
        <v>No</v>
      </c>
    </row>
    <row r="2477" spans="1:55" hidden="1">
      <c r="A2477" t="s">
        <v>3914</v>
      </c>
      <c r="G2477" s="50" t="s">
        <v>5005</v>
      </c>
      <c r="P2477" t="s">
        <v>60</v>
      </c>
      <c r="R2477" t="s">
        <v>4346</v>
      </c>
      <c r="S2477" t="s">
        <v>4355</v>
      </c>
      <c r="V2477" t="s">
        <v>3956</v>
      </c>
      <c r="Z2477">
        <v>3</v>
      </c>
      <c r="AA2477">
        <v>2</v>
      </c>
      <c r="AC2477">
        <v>425</v>
      </c>
      <c r="AD2477">
        <v>11.19</v>
      </c>
      <c r="AE2477">
        <v>1126</v>
      </c>
      <c r="AF2477">
        <v>11.14</v>
      </c>
      <c r="AJ2477" t="s">
        <v>1827</v>
      </c>
      <c r="AK2477" t="s">
        <v>4244</v>
      </c>
      <c r="AN2477">
        <v>237.33333333333334</v>
      </c>
      <c r="AO2477">
        <v>20.404247923737188</v>
      </c>
      <c r="AP2477">
        <v>191</v>
      </c>
      <c r="AQ2477">
        <v>8.4852813742385695</v>
      </c>
      <c r="AW2477" s="28">
        <f t="shared" si="268"/>
        <v>-2.6681477709516934</v>
      </c>
      <c r="AX2477">
        <f t="shared" si="269"/>
        <v>0.72727272727272729</v>
      </c>
      <c r="AY2477" s="62">
        <f t="shared" si="270"/>
        <v>-1.9404711061466862</v>
      </c>
      <c r="AZ2477" s="68" t="str">
        <f t="shared" si="271"/>
        <v>No</v>
      </c>
      <c r="BA2477" s="68" t="str">
        <f t="shared" si="272"/>
        <v>No</v>
      </c>
    </row>
    <row r="2478" spans="1:55" hidden="1">
      <c r="A2478" t="s">
        <v>3914</v>
      </c>
      <c r="G2478" t="s">
        <v>4050</v>
      </c>
      <c r="P2478" t="s">
        <v>60</v>
      </c>
      <c r="R2478" t="s">
        <v>4035</v>
      </c>
      <c r="S2478" t="s">
        <v>1777</v>
      </c>
      <c r="V2478" t="s">
        <v>3956</v>
      </c>
      <c r="Z2478">
        <v>3</v>
      </c>
      <c r="AA2478">
        <v>3</v>
      </c>
      <c r="AC2478">
        <v>414.2</v>
      </c>
      <c r="AD2478">
        <v>27.5</v>
      </c>
      <c r="AE2478">
        <v>916.9</v>
      </c>
      <c r="AF2478">
        <v>27.8</v>
      </c>
      <c r="AJ2478" t="s">
        <v>1202</v>
      </c>
      <c r="AK2478" t="s">
        <v>4041</v>
      </c>
      <c r="AN2478">
        <v>2.2000000000000002</v>
      </c>
      <c r="AO2478">
        <v>1.0392304845413263</v>
      </c>
      <c r="AP2478">
        <v>1.3</v>
      </c>
      <c r="AQ2478">
        <v>0.8660254037844386</v>
      </c>
      <c r="AW2478" s="28">
        <f t="shared" si="268"/>
        <v>-0.94087507228077027</v>
      </c>
      <c r="AX2478">
        <f t="shared" si="269"/>
        <v>0.8</v>
      </c>
      <c r="AY2478" s="62">
        <f t="shared" si="270"/>
        <v>-0.75270005782461624</v>
      </c>
      <c r="AZ2478" s="68" t="str">
        <f t="shared" si="271"/>
        <v>No</v>
      </c>
      <c r="BA2478" s="68" t="str">
        <f t="shared" si="272"/>
        <v>No</v>
      </c>
    </row>
    <row r="2479" spans="1:55" hidden="1">
      <c r="A2479" t="s">
        <v>3914</v>
      </c>
      <c r="G2479" t="s">
        <v>4050</v>
      </c>
      <c r="P2479" t="s">
        <v>60</v>
      </c>
      <c r="R2479" t="s">
        <v>4035</v>
      </c>
      <c r="S2479" t="s">
        <v>1766</v>
      </c>
      <c r="V2479" t="s">
        <v>3956</v>
      </c>
      <c r="Z2479">
        <v>3</v>
      </c>
      <c r="AA2479">
        <v>3</v>
      </c>
      <c r="AC2479">
        <v>414.2</v>
      </c>
      <c r="AD2479">
        <v>27.5</v>
      </c>
      <c r="AE2479">
        <v>916.9</v>
      </c>
      <c r="AF2479">
        <v>27.8</v>
      </c>
      <c r="AJ2479" t="s">
        <v>1202</v>
      </c>
      <c r="AK2479" t="s">
        <v>4041</v>
      </c>
      <c r="AN2479">
        <v>6</v>
      </c>
      <c r="AO2479">
        <v>1.3856406460551018</v>
      </c>
      <c r="AP2479">
        <v>9.8000000000000007</v>
      </c>
      <c r="AQ2479">
        <v>1.5588457268119895</v>
      </c>
      <c r="AW2479" s="28">
        <f t="shared" si="268"/>
        <v>2.5766413137590805</v>
      </c>
      <c r="AX2479">
        <f t="shared" si="269"/>
        <v>0.8</v>
      </c>
      <c r="AY2479" s="62">
        <f t="shared" si="270"/>
        <v>2.0613130510072644</v>
      </c>
      <c r="AZ2479" s="68" t="str">
        <f t="shared" si="271"/>
        <v>No</v>
      </c>
      <c r="BA2479" s="68" t="str">
        <f t="shared" si="272"/>
        <v>No</v>
      </c>
    </row>
    <row r="2480" spans="1:55" ht="15" hidden="1">
      <c r="A2480" t="s">
        <v>3914</v>
      </c>
      <c r="G2480" t="s">
        <v>4050</v>
      </c>
      <c r="P2480" t="s">
        <v>60</v>
      </c>
      <c r="R2480" t="s">
        <v>4035</v>
      </c>
      <c r="S2480" t="s">
        <v>1766</v>
      </c>
      <c r="V2480" t="s">
        <v>3956</v>
      </c>
      <c r="Z2480">
        <v>3</v>
      </c>
      <c r="AA2480">
        <v>3</v>
      </c>
      <c r="AC2480">
        <v>414.2</v>
      </c>
      <c r="AD2480">
        <v>27.5</v>
      </c>
      <c r="AE2480">
        <v>916.9</v>
      </c>
      <c r="AF2480">
        <v>27.8</v>
      </c>
      <c r="AJ2480" t="s">
        <v>1202</v>
      </c>
      <c r="AK2480" t="s">
        <v>4041</v>
      </c>
      <c r="AN2480">
        <v>4.5999999999999996</v>
      </c>
      <c r="AO2480">
        <v>2.4248711305964279</v>
      </c>
      <c r="AP2480">
        <v>4.5</v>
      </c>
      <c r="AQ2480">
        <v>2.2516660498395402</v>
      </c>
      <c r="AW2480" s="28">
        <f t="shared" si="268"/>
        <v>-4.273738431706868E-2</v>
      </c>
      <c r="AX2480">
        <f t="shared" si="269"/>
        <v>0.8</v>
      </c>
      <c r="AY2480" s="73">
        <f t="shared" si="270"/>
        <v>-3.4189907453654945E-2</v>
      </c>
      <c r="AZ2480" s="74" t="str">
        <f t="shared" si="271"/>
        <v>No</v>
      </c>
      <c r="BA2480" s="74" t="str">
        <f t="shared" si="272"/>
        <v>No</v>
      </c>
      <c r="BB2480" s="56"/>
      <c r="BC2480" s="56"/>
    </row>
    <row r="2481" spans="1:55" hidden="1">
      <c r="A2481" t="s">
        <v>3914</v>
      </c>
      <c r="G2481" t="s">
        <v>4050</v>
      </c>
      <c r="P2481" t="s">
        <v>60</v>
      </c>
      <c r="R2481" t="s">
        <v>4035</v>
      </c>
      <c r="S2481" t="s">
        <v>1766</v>
      </c>
      <c r="V2481" t="s">
        <v>3956</v>
      </c>
      <c r="Z2481">
        <v>3</v>
      </c>
      <c r="AA2481">
        <v>3</v>
      </c>
      <c r="AC2481">
        <v>414.2</v>
      </c>
      <c r="AD2481">
        <v>27.5</v>
      </c>
      <c r="AE2481">
        <v>916.9</v>
      </c>
      <c r="AF2481">
        <v>27.8</v>
      </c>
      <c r="AJ2481" t="s">
        <v>69</v>
      </c>
      <c r="AK2481" t="s">
        <v>4066</v>
      </c>
      <c r="AN2481">
        <v>47</v>
      </c>
      <c r="AO2481">
        <v>21.208785398802579</v>
      </c>
      <c r="AP2481">
        <v>23</v>
      </c>
      <c r="AQ2481">
        <v>17.673987832335481</v>
      </c>
      <c r="AW2481" s="28">
        <f t="shared" si="268"/>
        <v>-1.2294100944468729</v>
      </c>
      <c r="AX2481">
        <f t="shared" si="269"/>
        <v>0.8</v>
      </c>
      <c r="AY2481" s="62">
        <f t="shared" si="270"/>
        <v>-0.98352807555749833</v>
      </c>
      <c r="AZ2481" s="68" t="str">
        <f t="shared" si="271"/>
        <v>No</v>
      </c>
      <c r="BA2481" s="68" t="str">
        <f t="shared" si="272"/>
        <v>No</v>
      </c>
    </row>
    <row r="2482" spans="1:55" hidden="1">
      <c r="A2482" t="s">
        <v>3914</v>
      </c>
      <c r="G2482" t="s">
        <v>4050</v>
      </c>
      <c r="P2482" t="s">
        <v>60</v>
      </c>
      <c r="R2482" t="s">
        <v>4035</v>
      </c>
      <c r="S2482" t="s">
        <v>1767</v>
      </c>
      <c r="V2482" t="s">
        <v>3956</v>
      </c>
      <c r="Z2482">
        <v>3</v>
      </c>
      <c r="AA2482">
        <v>3</v>
      </c>
      <c r="AC2482">
        <v>414.2</v>
      </c>
      <c r="AD2482">
        <v>27.5</v>
      </c>
      <c r="AE2482">
        <v>916.9</v>
      </c>
      <c r="AF2482">
        <v>27.8</v>
      </c>
      <c r="AJ2482" t="s">
        <v>69</v>
      </c>
      <c r="AK2482" t="s">
        <v>4066</v>
      </c>
      <c r="AN2482">
        <v>72</v>
      </c>
      <c r="AO2482">
        <v>44.184969580838704</v>
      </c>
      <c r="AP2482">
        <v>80</v>
      </c>
      <c r="AQ2482">
        <v>26.510981748503223</v>
      </c>
      <c r="AW2482" s="28">
        <f t="shared" si="268"/>
        <v>0.21956391717559193</v>
      </c>
      <c r="AX2482">
        <f t="shared" si="269"/>
        <v>0.8</v>
      </c>
      <c r="AY2482" s="62">
        <f t="shared" si="270"/>
        <v>0.17565113374047356</v>
      </c>
      <c r="AZ2482" s="68" t="str">
        <f t="shared" si="271"/>
        <v>No</v>
      </c>
      <c r="BA2482" s="68" t="str">
        <f t="shared" si="272"/>
        <v>No</v>
      </c>
    </row>
    <row r="2483" spans="1:55" hidden="1">
      <c r="A2483" t="s">
        <v>3914</v>
      </c>
      <c r="G2483" t="s">
        <v>4192</v>
      </c>
      <c r="P2483" t="s">
        <v>60</v>
      </c>
      <c r="R2483" t="s">
        <v>4116</v>
      </c>
      <c r="S2483" t="s">
        <v>1068</v>
      </c>
      <c r="V2483" t="s">
        <v>3956</v>
      </c>
      <c r="Z2483">
        <v>4</v>
      </c>
      <c r="AA2483">
        <v>4</v>
      </c>
      <c r="AC2483">
        <v>516</v>
      </c>
      <c r="AD2483">
        <v>23.1</v>
      </c>
      <c r="AE2483">
        <v>3480</v>
      </c>
      <c r="AF2483">
        <v>23.1</v>
      </c>
      <c r="AJ2483" t="s">
        <v>4232</v>
      </c>
      <c r="AK2483" t="s">
        <v>4244</v>
      </c>
      <c r="AN2483">
        <v>1.38</v>
      </c>
      <c r="AO2483">
        <v>0.06</v>
      </c>
      <c r="AP2483">
        <v>0.65</v>
      </c>
      <c r="AQ2483">
        <v>0.06</v>
      </c>
      <c r="AW2483" s="28">
        <f t="shared" si="268"/>
        <v>-12.166666666666664</v>
      </c>
      <c r="AX2483">
        <f t="shared" si="269"/>
        <v>0.86956521739130432</v>
      </c>
      <c r="AY2483" s="62">
        <f t="shared" si="270"/>
        <v>-10.579710144927533</v>
      </c>
      <c r="AZ2483" s="68" t="str">
        <f t="shared" si="271"/>
        <v>No</v>
      </c>
      <c r="BA2483" s="68" t="str">
        <f t="shared" si="272"/>
        <v>Yes</v>
      </c>
    </row>
    <row r="2484" spans="1:55" hidden="1">
      <c r="A2484" t="s">
        <v>3914</v>
      </c>
      <c r="G2484" t="s">
        <v>4192</v>
      </c>
      <c r="P2484" t="s">
        <v>60</v>
      </c>
      <c r="R2484" t="s">
        <v>4116</v>
      </c>
      <c r="S2484" t="s">
        <v>1069</v>
      </c>
      <c r="V2484" t="s">
        <v>3956</v>
      </c>
      <c r="Z2484">
        <v>4</v>
      </c>
      <c r="AA2484">
        <v>4</v>
      </c>
      <c r="AC2484">
        <v>516</v>
      </c>
      <c r="AD2484">
        <v>23.1</v>
      </c>
      <c r="AE2484">
        <v>3480</v>
      </c>
      <c r="AF2484">
        <v>23.1</v>
      </c>
      <c r="AJ2484" t="s">
        <v>4232</v>
      </c>
      <c r="AK2484" t="s">
        <v>4244</v>
      </c>
      <c r="AN2484">
        <v>12.8</v>
      </c>
      <c r="AO2484">
        <v>1.2</v>
      </c>
      <c r="AP2484">
        <v>7.3</v>
      </c>
      <c r="AQ2484">
        <v>0.7</v>
      </c>
      <c r="AW2484" s="28">
        <f t="shared" si="268"/>
        <v>-5.5988525841521648</v>
      </c>
      <c r="AX2484">
        <f t="shared" si="269"/>
        <v>0.86956521739130432</v>
      </c>
      <c r="AY2484" s="62">
        <f t="shared" si="270"/>
        <v>-4.8685674644801429</v>
      </c>
      <c r="AZ2484" s="68" t="str">
        <f t="shared" si="271"/>
        <v>No</v>
      </c>
      <c r="BA2484" s="68" t="str">
        <f t="shared" si="272"/>
        <v>No</v>
      </c>
    </row>
    <row r="2485" spans="1:55" hidden="1">
      <c r="A2485" t="s">
        <v>3914</v>
      </c>
      <c r="G2485" t="s">
        <v>4192</v>
      </c>
      <c r="P2485" t="s">
        <v>60</v>
      </c>
      <c r="R2485" t="s">
        <v>4116</v>
      </c>
      <c r="S2485" t="s">
        <v>1070</v>
      </c>
      <c r="V2485" t="s">
        <v>3956</v>
      </c>
      <c r="Z2485">
        <v>4</v>
      </c>
      <c r="AA2485">
        <v>4</v>
      </c>
      <c r="AC2485">
        <v>516</v>
      </c>
      <c r="AD2485">
        <v>23.1</v>
      </c>
      <c r="AE2485">
        <v>3480</v>
      </c>
      <c r="AF2485">
        <v>23.1</v>
      </c>
      <c r="AJ2485" t="s">
        <v>4232</v>
      </c>
      <c r="AK2485" t="s">
        <v>4244</v>
      </c>
      <c r="AN2485">
        <v>8.5</v>
      </c>
      <c r="AO2485">
        <v>0.5</v>
      </c>
      <c r="AP2485">
        <v>8.6</v>
      </c>
      <c r="AQ2485">
        <v>0.7</v>
      </c>
      <c r="AW2485" s="28">
        <f t="shared" si="268"/>
        <v>0.16439898730535671</v>
      </c>
      <c r="AX2485">
        <f t="shared" si="269"/>
        <v>0.86956521739130432</v>
      </c>
      <c r="AY2485" s="62">
        <f t="shared" si="270"/>
        <v>0.14295564113509279</v>
      </c>
      <c r="AZ2485" s="68" t="str">
        <f t="shared" si="271"/>
        <v>No</v>
      </c>
      <c r="BA2485" s="68" t="str">
        <f t="shared" si="272"/>
        <v>No</v>
      </c>
    </row>
    <row r="2486" spans="1:55" hidden="1">
      <c r="A2486" t="s">
        <v>3914</v>
      </c>
      <c r="G2486" t="s">
        <v>4402</v>
      </c>
      <c r="P2486" t="s">
        <v>60</v>
      </c>
      <c r="R2486" t="s">
        <v>4357</v>
      </c>
      <c r="S2486" t="s">
        <v>4401</v>
      </c>
      <c r="V2486" t="s">
        <v>3956</v>
      </c>
      <c r="Z2486">
        <v>4</v>
      </c>
      <c r="AA2486">
        <v>4</v>
      </c>
      <c r="AC2486">
        <v>438</v>
      </c>
      <c r="AD2486">
        <v>15</v>
      </c>
      <c r="AE2486">
        <v>1320</v>
      </c>
      <c r="AF2486">
        <v>15</v>
      </c>
      <c r="AJ2486" t="s">
        <v>4065</v>
      </c>
      <c r="AK2486" t="s">
        <v>4491</v>
      </c>
      <c r="AN2486">
        <v>0.71</v>
      </c>
      <c r="AO2486">
        <v>3.5999999999999997E-2</v>
      </c>
      <c r="AP2486">
        <v>0.87</v>
      </c>
      <c r="AQ2486">
        <v>0.03</v>
      </c>
      <c r="AW2486" s="28">
        <f t="shared" si="268"/>
        <v>4.828573122267656</v>
      </c>
      <c r="AX2486">
        <f t="shared" si="269"/>
        <v>0.86956521739130432</v>
      </c>
      <c r="AY2486" s="62">
        <f t="shared" si="270"/>
        <v>4.1987592367544835</v>
      </c>
      <c r="AZ2486" s="68" t="str">
        <f t="shared" si="271"/>
        <v>No</v>
      </c>
      <c r="BA2486" s="68" t="str">
        <f t="shared" si="272"/>
        <v>No</v>
      </c>
    </row>
    <row r="2487" spans="1:55" hidden="1">
      <c r="A2487" t="s">
        <v>3914</v>
      </c>
      <c r="G2487" t="s">
        <v>4402</v>
      </c>
      <c r="P2487" t="s">
        <v>60</v>
      </c>
      <c r="R2487" t="s">
        <v>4357</v>
      </c>
      <c r="S2487" t="s">
        <v>950</v>
      </c>
      <c r="V2487" t="s">
        <v>3956</v>
      </c>
      <c r="Z2487">
        <v>4</v>
      </c>
      <c r="AA2487">
        <v>4</v>
      </c>
      <c r="AC2487">
        <v>395</v>
      </c>
      <c r="AD2487">
        <v>26</v>
      </c>
      <c r="AE2487">
        <v>1119</v>
      </c>
      <c r="AF2487">
        <v>26</v>
      </c>
      <c r="AJ2487" t="s">
        <v>4065</v>
      </c>
      <c r="AK2487" t="s">
        <v>4491</v>
      </c>
      <c r="AN2487">
        <v>0.63</v>
      </c>
      <c r="AO2487">
        <v>6.8000000000000005E-2</v>
      </c>
      <c r="AP2487">
        <v>0.77</v>
      </c>
      <c r="AQ2487">
        <v>3.4000000000000002E-2</v>
      </c>
      <c r="AW2487" s="28">
        <f t="shared" si="268"/>
        <v>2.604228661315136</v>
      </c>
      <c r="AX2487">
        <f t="shared" si="269"/>
        <v>0.86956521739130432</v>
      </c>
      <c r="AY2487" s="62">
        <f t="shared" si="270"/>
        <v>2.2645466620131618</v>
      </c>
      <c r="AZ2487" s="68" t="str">
        <f t="shared" si="271"/>
        <v>No</v>
      </c>
      <c r="BA2487" s="68" t="str">
        <f t="shared" si="272"/>
        <v>No</v>
      </c>
    </row>
    <row r="2488" spans="1:55" s="56" customFormat="1" ht="15" hidden="1">
      <c r="A2488" t="s">
        <v>3914</v>
      </c>
      <c r="B2488"/>
      <c r="C2488"/>
      <c r="D2488" s="25"/>
      <c r="E2488" s="25"/>
      <c r="F2488"/>
      <c r="G2488" t="s">
        <v>4402</v>
      </c>
      <c r="H2488"/>
      <c r="I2488"/>
      <c r="J2488"/>
      <c r="K2488"/>
      <c r="L2488"/>
      <c r="M2488" s="25"/>
      <c r="N2488"/>
      <c r="O2488"/>
      <c r="P2488" t="s">
        <v>60</v>
      </c>
      <c r="Q2488"/>
      <c r="R2488" t="s">
        <v>4357</v>
      </c>
      <c r="S2488" t="s">
        <v>948</v>
      </c>
      <c r="T2488"/>
      <c r="U2488"/>
      <c r="V2488" t="s">
        <v>3956</v>
      </c>
      <c r="W2488" s="25"/>
      <c r="X2488"/>
      <c r="Y2488"/>
      <c r="Z2488">
        <v>3</v>
      </c>
      <c r="AA2488">
        <v>3</v>
      </c>
      <c r="AB2488"/>
      <c r="AC2488">
        <v>521</v>
      </c>
      <c r="AD2488">
        <v>-1.9</v>
      </c>
      <c r="AE2488">
        <v>1380</v>
      </c>
      <c r="AF2488">
        <v>-1.9</v>
      </c>
      <c r="AG2488"/>
      <c r="AH2488"/>
      <c r="AI2488"/>
      <c r="AJ2488" t="s">
        <v>4065</v>
      </c>
      <c r="AK2488" t="s">
        <v>4491</v>
      </c>
      <c r="AL2488" s="25"/>
      <c r="AM2488" s="35"/>
      <c r="AN2488">
        <v>1.1000000000000001</v>
      </c>
      <c r="AO2488">
        <v>0.10911920087683927</v>
      </c>
      <c r="AP2488">
        <v>0.86</v>
      </c>
      <c r="AQ2488">
        <v>3.6373066958946425E-2</v>
      </c>
      <c r="AR2488"/>
      <c r="AS2488"/>
      <c r="AT2488"/>
      <c r="AU2488"/>
      <c r="AV2488"/>
      <c r="AW2488" s="28">
        <f t="shared" si="268"/>
        <v>-2.9508444542532715</v>
      </c>
      <c r="AX2488">
        <f t="shared" si="269"/>
        <v>0.8</v>
      </c>
      <c r="AY2488" s="62">
        <f t="shared" si="270"/>
        <v>-2.3606755634026171</v>
      </c>
      <c r="AZ2488" s="68" t="str">
        <f t="shared" si="271"/>
        <v>No</v>
      </c>
      <c r="BA2488" s="68" t="str">
        <f t="shared" si="272"/>
        <v>No</v>
      </c>
      <c r="BB2488"/>
      <c r="BC2488"/>
    </row>
    <row r="2489" spans="1:55" s="56" customFormat="1" ht="15" hidden="1">
      <c r="A2489" t="s">
        <v>3914</v>
      </c>
      <c r="B2489"/>
      <c r="C2489"/>
      <c r="D2489" s="25"/>
      <c r="E2489" s="25"/>
      <c r="F2489"/>
      <c r="G2489" t="s">
        <v>4402</v>
      </c>
      <c r="H2489"/>
      <c r="I2489"/>
      <c r="J2489"/>
      <c r="K2489"/>
      <c r="L2489"/>
      <c r="M2489" s="25"/>
      <c r="N2489"/>
      <c r="O2489"/>
      <c r="P2489" t="s">
        <v>60</v>
      </c>
      <c r="Q2489"/>
      <c r="R2489" t="s">
        <v>4357</v>
      </c>
      <c r="S2489" t="s">
        <v>4401</v>
      </c>
      <c r="T2489"/>
      <c r="U2489"/>
      <c r="V2489" t="s">
        <v>3956</v>
      </c>
      <c r="W2489" s="25"/>
      <c r="X2489"/>
      <c r="Y2489"/>
      <c r="Z2489">
        <v>4</v>
      </c>
      <c r="AA2489">
        <v>4</v>
      </c>
      <c r="AB2489"/>
      <c r="AC2489">
        <v>438</v>
      </c>
      <c r="AD2489">
        <v>15</v>
      </c>
      <c r="AE2489">
        <v>1320</v>
      </c>
      <c r="AF2489">
        <v>15</v>
      </c>
      <c r="AG2489"/>
      <c r="AH2489"/>
      <c r="AI2489"/>
      <c r="AJ2489" t="s">
        <v>4065</v>
      </c>
      <c r="AK2489" t="s">
        <v>4491</v>
      </c>
      <c r="AL2489" s="25"/>
      <c r="AM2489" s="35"/>
      <c r="AN2489">
        <v>0.71</v>
      </c>
      <c r="AO2489">
        <v>3.5999999999999997E-2</v>
      </c>
      <c r="AP2489">
        <v>0.89</v>
      </c>
      <c r="AQ2489">
        <v>4.2000000000000003E-2</v>
      </c>
      <c r="AR2489"/>
      <c r="AS2489"/>
      <c r="AT2489"/>
      <c r="AU2489"/>
      <c r="AV2489"/>
      <c r="AW2489" s="28">
        <f t="shared" si="268"/>
        <v>4.6017899330842242</v>
      </c>
      <c r="AX2489">
        <f t="shared" si="269"/>
        <v>0.86956521739130432</v>
      </c>
      <c r="AY2489" s="62">
        <f t="shared" si="270"/>
        <v>4.0015564635514993</v>
      </c>
      <c r="AZ2489" s="68" t="str">
        <f t="shared" si="271"/>
        <v>No</v>
      </c>
      <c r="BA2489" s="68" t="str">
        <f t="shared" si="272"/>
        <v>No</v>
      </c>
      <c r="BB2489"/>
      <c r="BC2489"/>
    </row>
    <row r="2490" spans="1:55" hidden="1">
      <c r="A2490" t="s">
        <v>3914</v>
      </c>
      <c r="G2490" t="s">
        <v>4402</v>
      </c>
      <c r="P2490" t="s">
        <v>60</v>
      </c>
      <c r="R2490" t="s">
        <v>4357</v>
      </c>
      <c r="S2490" t="s">
        <v>950</v>
      </c>
      <c r="V2490" t="s">
        <v>3956</v>
      </c>
      <c r="Z2490">
        <v>4</v>
      </c>
      <c r="AA2490">
        <v>4</v>
      </c>
      <c r="AC2490">
        <v>395</v>
      </c>
      <c r="AD2490">
        <v>26</v>
      </c>
      <c r="AE2490">
        <v>1119</v>
      </c>
      <c r="AF2490">
        <v>26</v>
      </c>
      <c r="AJ2490" t="s">
        <v>4065</v>
      </c>
      <c r="AK2490" t="s">
        <v>4491</v>
      </c>
      <c r="AN2490">
        <v>0.63</v>
      </c>
      <c r="AO2490">
        <v>6.8000000000000005E-2</v>
      </c>
      <c r="AP2490">
        <v>0.78</v>
      </c>
      <c r="AQ2490">
        <v>8.7999999999999995E-2</v>
      </c>
      <c r="AW2490" s="28">
        <f t="shared" si="268"/>
        <v>1.907464739780482</v>
      </c>
      <c r="AX2490">
        <f t="shared" si="269"/>
        <v>0.86956521739130432</v>
      </c>
      <c r="AY2490" s="62">
        <f t="shared" si="270"/>
        <v>1.6586649911134626</v>
      </c>
      <c r="AZ2490" s="68" t="str">
        <f t="shared" si="271"/>
        <v>No</v>
      </c>
      <c r="BA2490" s="68" t="str">
        <f t="shared" si="272"/>
        <v>No</v>
      </c>
    </row>
    <row r="2491" spans="1:55" hidden="1">
      <c r="A2491" t="s">
        <v>3914</v>
      </c>
      <c r="G2491" t="s">
        <v>4402</v>
      </c>
      <c r="P2491" t="s">
        <v>60</v>
      </c>
      <c r="R2491" t="s">
        <v>4357</v>
      </c>
      <c r="S2491" t="s">
        <v>4400</v>
      </c>
      <c r="V2491" t="s">
        <v>3956</v>
      </c>
      <c r="Z2491">
        <v>4</v>
      </c>
      <c r="AA2491">
        <v>4</v>
      </c>
      <c r="AC2491">
        <v>429</v>
      </c>
      <c r="AD2491">
        <v>12</v>
      </c>
      <c r="AE2491">
        <v>1282</v>
      </c>
      <c r="AF2491">
        <v>12</v>
      </c>
      <c r="AJ2491" t="s">
        <v>4065</v>
      </c>
      <c r="AK2491" t="s">
        <v>4491</v>
      </c>
      <c r="AN2491">
        <v>1.04</v>
      </c>
      <c r="AO2491">
        <v>0.26200000000000001</v>
      </c>
      <c r="AP2491">
        <v>1.02</v>
      </c>
      <c r="AQ2491">
        <v>0.11799999999999999</v>
      </c>
      <c r="AW2491" s="28">
        <f t="shared" si="268"/>
        <v>-9.8432634962281135E-2</v>
      </c>
      <c r="AX2491">
        <f t="shared" si="269"/>
        <v>0.86956521739130432</v>
      </c>
      <c r="AY2491" s="62">
        <f t="shared" si="270"/>
        <v>-8.5593595619374893E-2</v>
      </c>
      <c r="AZ2491" s="68" t="str">
        <f t="shared" si="271"/>
        <v>No</v>
      </c>
      <c r="BA2491" s="68" t="str">
        <f t="shared" si="272"/>
        <v>No</v>
      </c>
    </row>
    <row r="2492" spans="1:55" hidden="1">
      <c r="A2492" t="s">
        <v>3914</v>
      </c>
      <c r="G2492" t="s">
        <v>4402</v>
      </c>
      <c r="P2492" t="s">
        <v>60</v>
      </c>
      <c r="R2492" t="s">
        <v>4357</v>
      </c>
      <c r="S2492" t="s">
        <v>948</v>
      </c>
      <c r="V2492" t="s">
        <v>3956</v>
      </c>
      <c r="Z2492">
        <v>3</v>
      </c>
      <c r="AA2492">
        <v>3</v>
      </c>
      <c r="AC2492">
        <v>521</v>
      </c>
      <c r="AD2492">
        <v>-1.9</v>
      </c>
      <c r="AE2492">
        <v>1380</v>
      </c>
      <c r="AF2492">
        <v>-1.9</v>
      </c>
      <c r="AJ2492" t="s">
        <v>4065</v>
      </c>
      <c r="AK2492" t="s">
        <v>4491</v>
      </c>
      <c r="AN2492">
        <v>1.1000000000000001</v>
      </c>
      <c r="AO2492">
        <v>0.10911920087683927</v>
      </c>
      <c r="AP2492">
        <v>1.07</v>
      </c>
      <c r="AQ2492">
        <v>0.14202816622064793</v>
      </c>
      <c r="AW2492" s="28">
        <f t="shared" si="268"/>
        <v>-0.23687860772259706</v>
      </c>
      <c r="AX2492">
        <f t="shared" si="269"/>
        <v>0.8</v>
      </c>
      <c r="AY2492" s="62">
        <f t="shared" si="270"/>
        <v>-0.18950288617807765</v>
      </c>
      <c r="AZ2492" s="68" t="str">
        <f t="shared" si="271"/>
        <v>No</v>
      </c>
      <c r="BA2492" s="68" t="str">
        <f t="shared" si="272"/>
        <v>No</v>
      </c>
    </row>
    <row r="2493" spans="1:55" hidden="1">
      <c r="A2493" t="s">
        <v>3914</v>
      </c>
      <c r="G2493" t="s">
        <v>4402</v>
      </c>
      <c r="P2493" t="s">
        <v>60</v>
      </c>
      <c r="R2493" t="s">
        <v>4357</v>
      </c>
      <c r="S2493" t="s">
        <v>950</v>
      </c>
      <c r="V2493" t="s">
        <v>3956</v>
      </c>
      <c r="Z2493">
        <v>4</v>
      </c>
      <c r="AA2493">
        <v>4</v>
      </c>
      <c r="AC2493">
        <v>395</v>
      </c>
      <c r="AD2493">
        <v>26</v>
      </c>
      <c r="AE2493">
        <v>1119</v>
      </c>
      <c r="AF2493">
        <v>26</v>
      </c>
      <c r="AJ2493" t="s">
        <v>4065</v>
      </c>
      <c r="AK2493" t="s">
        <v>4491</v>
      </c>
      <c r="AN2493">
        <v>0.63</v>
      </c>
      <c r="AO2493">
        <v>6.8000000000000005E-2</v>
      </c>
      <c r="AP2493">
        <v>0.52</v>
      </c>
      <c r="AQ2493">
        <v>0.2</v>
      </c>
      <c r="AW2493" s="28">
        <f t="shared" si="268"/>
        <v>-0.73641637091508139</v>
      </c>
      <c r="AX2493">
        <f t="shared" si="269"/>
        <v>0.86956521739130432</v>
      </c>
      <c r="AY2493" s="62">
        <f t="shared" si="270"/>
        <v>-0.6403620616652882</v>
      </c>
      <c r="AZ2493" s="68" t="str">
        <f t="shared" si="271"/>
        <v>No</v>
      </c>
      <c r="BA2493" s="68" t="str">
        <f t="shared" si="272"/>
        <v>No</v>
      </c>
    </row>
    <row r="2494" spans="1:55" hidden="1">
      <c r="A2494" t="s">
        <v>3914</v>
      </c>
      <c r="G2494" t="s">
        <v>4402</v>
      </c>
      <c r="P2494" t="s">
        <v>60</v>
      </c>
      <c r="R2494" t="s">
        <v>4357</v>
      </c>
      <c r="S2494" t="s">
        <v>4400</v>
      </c>
      <c r="V2494" t="s">
        <v>3956</v>
      </c>
      <c r="Z2494">
        <v>4</v>
      </c>
      <c r="AA2494">
        <v>4</v>
      </c>
      <c r="AC2494">
        <v>429</v>
      </c>
      <c r="AD2494">
        <v>12</v>
      </c>
      <c r="AE2494">
        <v>1282</v>
      </c>
      <c r="AF2494">
        <v>12</v>
      </c>
      <c r="AJ2494" t="s">
        <v>4065</v>
      </c>
      <c r="AK2494" t="s">
        <v>4491</v>
      </c>
      <c r="AN2494">
        <v>1.04</v>
      </c>
      <c r="AO2494">
        <v>0.26200000000000001</v>
      </c>
      <c r="AP2494">
        <v>0.95</v>
      </c>
      <c r="AQ2494">
        <v>0.26200000000000001</v>
      </c>
      <c r="AW2494" s="28">
        <f t="shared" si="268"/>
        <v>-0.34351145038167968</v>
      </c>
      <c r="AX2494">
        <f t="shared" si="269"/>
        <v>0.86956521739130432</v>
      </c>
      <c r="AY2494" s="62">
        <f t="shared" si="270"/>
        <v>-0.29870560902754756</v>
      </c>
      <c r="AZ2494" s="68" t="str">
        <f t="shared" si="271"/>
        <v>No</v>
      </c>
      <c r="BA2494" s="68" t="str">
        <f t="shared" si="272"/>
        <v>No</v>
      </c>
    </row>
    <row r="2495" spans="1:55" hidden="1">
      <c r="A2495" t="s">
        <v>3914</v>
      </c>
      <c r="G2495" t="s">
        <v>4402</v>
      </c>
      <c r="P2495" t="s">
        <v>60</v>
      </c>
      <c r="R2495" t="s">
        <v>4357</v>
      </c>
      <c r="S2495" t="s">
        <v>950</v>
      </c>
      <c r="V2495" t="s">
        <v>3956</v>
      </c>
      <c r="Z2495">
        <v>10</v>
      </c>
      <c r="AA2495">
        <v>10</v>
      </c>
      <c r="AC2495">
        <v>395</v>
      </c>
      <c r="AD2495">
        <v>26</v>
      </c>
      <c r="AE2495">
        <v>1119</v>
      </c>
      <c r="AF2495">
        <v>26</v>
      </c>
      <c r="AJ2495" t="s">
        <v>4501</v>
      </c>
      <c r="AK2495" t="s">
        <v>4502</v>
      </c>
      <c r="AN2495">
        <v>45.68</v>
      </c>
      <c r="AO2495">
        <v>1.5811388300841898</v>
      </c>
      <c r="AP2495">
        <v>39.35</v>
      </c>
      <c r="AQ2495">
        <v>1.5811388300841898</v>
      </c>
      <c r="AW2495" s="28">
        <f t="shared" si="268"/>
        <v>-4.0034435177731673</v>
      </c>
      <c r="AX2495">
        <f t="shared" si="269"/>
        <v>0.95774647887323949</v>
      </c>
      <c r="AY2495" s="62">
        <f t="shared" si="270"/>
        <v>-3.8342839325151465</v>
      </c>
      <c r="AZ2495" s="68" t="str">
        <f t="shared" si="271"/>
        <v>No</v>
      </c>
      <c r="BA2495" s="68" t="str">
        <f t="shared" si="272"/>
        <v>No</v>
      </c>
    </row>
    <row r="2496" spans="1:55" hidden="1">
      <c r="A2496" t="s">
        <v>3914</v>
      </c>
      <c r="G2496" t="s">
        <v>4402</v>
      </c>
      <c r="P2496" t="s">
        <v>60</v>
      </c>
      <c r="R2496" t="s">
        <v>4357</v>
      </c>
      <c r="S2496" t="s">
        <v>948</v>
      </c>
      <c r="V2496" t="s">
        <v>3956</v>
      </c>
      <c r="Z2496">
        <v>10</v>
      </c>
      <c r="AA2496">
        <v>10</v>
      </c>
      <c r="AC2496">
        <v>521</v>
      </c>
      <c r="AD2496">
        <v>-1.9</v>
      </c>
      <c r="AE2496">
        <v>1380</v>
      </c>
      <c r="AF2496">
        <v>-1.9</v>
      </c>
      <c r="AJ2496" t="s">
        <v>4501</v>
      </c>
      <c r="AK2496" t="s">
        <v>4502</v>
      </c>
      <c r="AN2496">
        <v>17.05</v>
      </c>
      <c r="AO2496">
        <v>2.8460498941515415</v>
      </c>
      <c r="AP2496">
        <v>16.39</v>
      </c>
      <c r="AQ2496">
        <v>6.2296869905317074</v>
      </c>
      <c r="AW2496" s="28">
        <f t="shared" si="268"/>
        <v>-0.1362795986776961</v>
      </c>
      <c r="AX2496">
        <f t="shared" si="269"/>
        <v>0.95774647887323949</v>
      </c>
      <c r="AY2496" s="62">
        <f t="shared" si="270"/>
        <v>-0.13052130577582163</v>
      </c>
      <c r="AZ2496" s="68" t="str">
        <f t="shared" si="271"/>
        <v>No</v>
      </c>
      <c r="BA2496" s="68" t="str">
        <f t="shared" si="272"/>
        <v>No</v>
      </c>
    </row>
    <row r="2497" spans="1:53" hidden="1">
      <c r="A2497" t="s">
        <v>3914</v>
      </c>
      <c r="G2497" t="s">
        <v>4402</v>
      </c>
      <c r="P2497" t="s">
        <v>60</v>
      </c>
      <c r="R2497" t="s">
        <v>4357</v>
      </c>
      <c r="S2497" t="s">
        <v>4400</v>
      </c>
      <c r="V2497" t="s">
        <v>3956</v>
      </c>
      <c r="Z2497">
        <v>10</v>
      </c>
      <c r="AA2497">
        <v>10</v>
      </c>
      <c r="AC2497">
        <v>429</v>
      </c>
      <c r="AD2497">
        <v>12</v>
      </c>
      <c r="AE2497">
        <v>1282</v>
      </c>
      <c r="AF2497">
        <v>12</v>
      </c>
      <c r="AJ2497" t="s">
        <v>4501</v>
      </c>
      <c r="AK2497" t="s">
        <v>4502</v>
      </c>
      <c r="AN2497">
        <v>54.91</v>
      </c>
      <c r="AO2497">
        <v>5.7237225649047669</v>
      </c>
      <c r="AP2497">
        <v>34.6</v>
      </c>
      <c r="AQ2497">
        <v>9.8663062997253448</v>
      </c>
      <c r="AW2497" s="28">
        <f t="shared" si="268"/>
        <v>-2.5181287281651463</v>
      </c>
      <c r="AX2497">
        <f t="shared" si="269"/>
        <v>0.95774647887323949</v>
      </c>
      <c r="AY2497" s="62">
        <f t="shared" si="270"/>
        <v>-2.4117289227497176</v>
      </c>
      <c r="AZ2497" s="68" t="str">
        <f t="shared" si="271"/>
        <v>No</v>
      </c>
      <c r="BA2497" s="68" t="str">
        <f t="shared" si="272"/>
        <v>No</v>
      </c>
    </row>
    <row r="2498" spans="1:53" hidden="1">
      <c r="A2498" t="s">
        <v>3914</v>
      </c>
      <c r="G2498" t="s">
        <v>4402</v>
      </c>
      <c r="P2498" t="s">
        <v>60</v>
      </c>
      <c r="R2498" t="s">
        <v>4357</v>
      </c>
      <c r="S2498" t="s">
        <v>4401</v>
      </c>
      <c r="V2498" t="s">
        <v>3956</v>
      </c>
      <c r="Z2498">
        <v>10</v>
      </c>
      <c r="AA2498">
        <v>10</v>
      </c>
      <c r="AC2498">
        <v>438</v>
      </c>
      <c r="AD2498">
        <v>15</v>
      </c>
      <c r="AE2498">
        <v>1320</v>
      </c>
      <c r="AF2498">
        <v>15</v>
      </c>
      <c r="AJ2498" t="s">
        <v>4501</v>
      </c>
      <c r="AK2498" t="s">
        <v>4502</v>
      </c>
      <c r="AN2498">
        <v>67.42</v>
      </c>
      <c r="AO2498">
        <v>8.0005624802259998</v>
      </c>
      <c r="AP2498">
        <v>42.82</v>
      </c>
      <c r="AQ2498">
        <v>15.147309992206537</v>
      </c>
      <c r="AW2498" s="28">
        <f t="shared" si="268"/>
        <v>-2.0308743197551626</v>
      </c>
      <c r="AX2498">
        <f t="shared" si="269"/>
        <v>0.95774647887323949</v>
      </c>
      <c r="AY2498" s="62">
        <f t="shared" si="270"/>
        <v>-1.9450627287795925</v>
      </c>
      <c r="AZ2498" s="68" t="str">
        <f t="shared" si="271"/>
        <v>No</v>
      </c>
      <c r="BA2498" s="68" t="str">
        <f t="shared" si="272"/>
        <v>No</v>
      </c>
    </row>
    <row r="2499" spans="1:53" hidden="1">
      <c r="A2499" t="s">
        <v>3914</v>
      </c>
      <c r="G2499" t="s">
        <v>4402</v>
      </c>
      <c r="P2499" t="s">
        <v>60</v>
      </c>
      <c r="R2499" t="s">
        <v>4357</v>
      </c>
      <c r="S2499" t="s">
        <v>948</v>
      </c>
      <c r="V2499" t="s">
        <v>3956</v>
      </c>
      <c r="Z2499">
        <v>30</v>
      </c>
      <c r="AA2499">
        <v>30</v>
      </c>
      <c r="AC2499">
        <v>521</v>
      </c>
      <c r="AD2499">
        <v>-1.9</v>
      </c>
      <c r="AE2499">
        <v>1380</v>
      </c>
      <c r="AF2499">
        <v>-1.9</v>
      </c>
      <c r="AJ2499" t="s">
        <v>4216</v>
      </c>
      <c r="AK2499" t="s">
        <v>4244</v>
      </c>
      <c r="AN2499">
        <v>148</v>
      </c>
      <c r="AO2499">
        <v>16.431676725154983</v>
      </c>
      <c r="AP2499">
        <v>145</v>
      </c>
      <c r="AQ2499">
        <v>27.386127875258307</v>
      </c>
      <c r="AW2499" s="28">
        <f t="shared" si="268"/>
        <v>-0.13284223283101429</v>
      </c>
      <c r="AX2499">
        <f t="shared" si="269"/>
        <v>0.98701298701298701</v>
      </c>
      <c r="AY2499" s="62">
        <f t="shared" si="270"/>
        <v>-0.1311170090280141</v>
      </c>
      <c r="AZ2499" s="68" t="str">
        <f t="shared" si="271"/>
        <v>No</v>
      </c>
      <c r="BA2499" s="68" t="str">
        <f t="shared" si="272"/>
        <v>No</v>
      </c>
    </row>
    <row r="2500" spans="1:53" hidden="1">
      <c r="A2500" t="s">
        <v>3914</v>
      </c>
      <c r="G2500" t="s">
        <v>4402</v>
      </c>
      <c r="P2500" t="s">
        <v>60</v>
      </c>
      <c r="R2500" t="s">
        <v>4357</v>
      </c>
      <c r="S2500" t="s">
        <v>4401</v>
      </c>
      <c r="V2500" t="s">
        <v>3956</v>
      </c>
      <c r="Z2500">
        <v>40</v>
      </c>
      <c r="AA2500">
        <v>40</v>
      </c>
      <c r="AC2500">
        <v>438</v>
      </c>
      <c r="AD2500">
        <v>15</v>
      </c>
      <c r="AE2500">
        <v>1320</v>
      </c>
      <c r="AF2500">
        <v>15</v>
      </c>
      <c r="AJ2500" t="s">
        <v>4216</v>
      </c>
      <c r="AK2500" t="s">
        <v>4244</v>
      </c>
      <c r="AN2500">
        <v>290</v>
      </c>
      <c r="AO2500">
        <v>56.920997883030829</v>
      </c>
      <c r="AP2500">
        <v>280</v>
      </c>
      <c r="AQ2500">
        <v>56.920997883030829</v>
      </c>
      <c r="AW2500" s="28">
        <f t="shared" si="268"/>
        <v>-0.17568209223157663</v>
      </c>
      <c r="AX2500">
        <f t="shared" si="269"/>
        <v>0.99035369774919613</v>
      </c>
      <c r="AY2500" s="62">
        <f t="shared" si="270"/>
        <v>-0.17398740966985723</v>
      </c>
      <c r="AZ2500" s="68" t="str">
        <f t="shared" si="271"/>
        <v>No</v>
      </c>
      <c r="BA2500" s="68" t="str">
        <f t="shared" si="272"/>
        <v>No</v>
      </c>
    </row>
    <row r="2501" spans="1:53" hidden="1">
      <c r="A2501" t="s">
        <v>3914</v>
      </c>
      <c r="G2501" t="s">
        <v>5036</v>
      </c>
      <c r="P2501" t="s">
        <v>60</v>
      </c>
      <c r="R2501" t="s">
        <v>4357</v>
      </c>
      <c r="S2501" t="s">
        <v>950</v>
      </c>
      <c r="V2501" t="s">
        <v>3956</v>
      </c>
      <c r="Z2501">
        <v>40</v>
      </c>
      <c r="AA2501">
        <v>40</v>
      </c>
      <c r="AC2501">
        <v>395</v>
      </c>
      <c r="AD2501">
        <v>26</v>
      </c>
      <c r="AE2501">
        <v>1119</v>
      </c>
      <c r="AF2501">
        <v>26</v>
      </c>
      <c r="AJ2501" t="s">
        <v>4216</v>
      </c>
      <c r="AK2501" t="s">
        <v>4244</v>
      </c>
      <c r="AN2501">
        <v>330</v>
      </c>
      <c r="AO2501">
        <v>50.596442562694072</v>
      </c>
      <c r="AP2501">
        <v>320</v>
      </c>
      <c r="AQ2501">
        <v>94.868329805051388</v>
      </c>
      <c r="AW2501" s="28">
        <f t="shared" si="268"/>
        <v>-0.13153341044116409</v>
      </c>
      <c r="AX2501">
        <f t="shared" si="269"/>
        <v>0.99035369774919613</v>
      </c>
      <c r="AY2501" s="62">
        <f t="shared" si="270"/>
        <v>-0.13026459940796958</v>
      </c>
      <c r="AZ2501" s="68" t="str">
        <f t="shared" si="271"/>
        <v>No</v>
      </c>
      <c r="BA2501" s="68" t="str">
        <f t="shared" si="272"/>
        <v>No</v>
      </c>
    </row>
    <row r="2502" spans="1:53" hidden="1">
      <c r="A2502" t="s">
        <v>3914</v>
      </c>
      <c r="G2502" t="s">
        <v>4402</v>
      </c>
      <c r="P2502" t="s">
        <v>60</v>
      </c>
      <c r="R2502" t="s">
        <v>4357</v>
      </c>
      <c r="S2502" t="s">
        <v>4400</v>
      </c>
      <c r="V2502" t="s">
        <v>3956</v>
      </c>
      <c r="Z2502">
        <v>30</v>
      </c>
      <c r="AA2502">
        <v>30</v>
      </c>
      <c r="AC2502">
        <v>429</v>
      </c>
      <c r="AD2502">
        <v>12</v>
      </c>
      <c r="AE2502">
        <v>1282</v>
      </c>
      <c r="AF2502">
        <v>12</v>
      </c>
      <c r="AJ2502" t="s">
        <v>4216</v>
      </c>
      <c r="AK2502" t="s">
        <v>4244</v>
      </c>
      <c r="AN2502">
        <v>305</v>
      </c>
      <c r="AO2502">
        <v>219.08902300206645</v>
      </c>
      <c r="AP2502">
        <v>250</v>
      </c>
      <c r="AQ2502">
        <v>219.08902300206645</v>
      </c>
      <c r="AW2502" s="28">
        <f t="shared" si="268"/>
        <v>-0.25103950552320115</v>
      </c>
      <c r="AX2502">
        <f t="shared" si="269"/>
        <v>0.98701298701298701</v>
      </c>
      <c r="AY2502" s="62">
        <f t="shared" si="270"/>
        <v>-0.24777925220471803</v>
      </c>
      <c r="AZ2502" s="68" t="str">
        <f t="shared" si="271"/>
        <v>No</v>
      </c>
      <c r="BA2502" s="68" t="str">
        <f t="shared" si="272"/>
        <v>No</v>
      </c>
    </row>
    <row r="2503" spans="1:53" ht="15" hidden="1">
      <c r="A2503" s="56" t="s">
        <v>3914</v>
      </c>
      <c r="G2503" s="56" t="s">
        <v>4155</v>
      </c>
      <c r="P2503" s="56" t="s">
        <v>60</v>
      </c>
      <c r="Q2503" s="56"/>
      <c r="R2503" s="56" t="s">
        <v>4116</v>
      </c>
      <c r="S2503" s="56" t="s">
        <v>1068</v>
      </c>
      <c r="T2503" s="56"/>
      <c r="U2503" s="56"/>
      <c r="V2503" s="56" t="s">
        <v>3956</v>
      </c>
      <c r="W2503" s="56"/>
      <c r="X2503" s="56"/>
      <c r="Y2503" s="56"/>
      <c r="Z2503" s="56">
        <v>3</v>
      </c>
      <c r="AA2503" s="56">
        <v>3</v>
      </c>
      <c r="AB2503" s="56"/>
      <c r="AC2503" s="56">
        <v>386</v>
      </c>
      <c r="AD2503" s="56">
        <v>25</v>
      </c>
      <c r="AE2503" s="56">
        <v>579.1</v>
      </c>
      <c r="AF2503" s="56">
        <v>25</v>
      </c>
      <c r="AG2503" s="56"/>
      <c r="AH2503" s="56"/>
      <c r="AI2503" s="56"/>
      <c r="AJ2503" s="56" t="s">
        <v>4243</v>
      </c>
      <c r="AK2503" s="56" t="s">
        <v>4244</v>
      </c>
      <c r="AN2503" s="56">
        <v>71</v>
      </c>
      <c r="AO2503" s="56">
        <v>1.125</v>
      </c>
      <c r="AP2503" s="56">
        <v>67</v>
      </c>
      <c r="AQ2503" s="56">
        <v>0.89999999999999991</v>
      </c>
      <c r="AW2503" s="28">
        <f t="shared" si="268"/>
        <v>-3.9264542604389887</v>
      </c>
      <c r="AX2503">
        <f t="shared" si="269"/>
        <v>0.8</v>
      </c>
      <c r="AY2503" s="62">
        <f t="shared" si="270"/>
        <v>-3.1411634083511912</v>
      </c>
      <c r="AZ2503" s="68" t="str">
        <f t="shared" si="271"/>
        <v>No</v>
      </c>
      <c r="BA2503" s="68" t="str">
        <f t="shared" si="272"/>
        <v>No</v>
      </c>
    </row>
    <row r="2504" spans="1:53" ht="15" hidden="1">
      <c r="A2504" s="56" t="s">
        <v>3914</v>
      </c>
      <c r="G2504" s="56" t="s">
        <v>4155</v>
      </c>
      <c r="P2504" s="56" t="s">
        <v>60</v>
      </c>
      <c r="Q2504" s="56"/>
      <c r="R2504" s="56" t="s">
        <v>4116</v>
      </c>
      <c r="S2504" s="56" t="s">
        <v>1068</v>
      </c>
      <c r="T2504" s="56"/>
      <c r="U2504" s="56"/>
      <c r="V2504" s="56" t="s">
        <v>3956</v>
      </c>
      <c r="W2504" s="56"/>
      <c r="X2504" s="56"/>
      <c r="Y2504" s="56"/>
      <c r="Z2504" s="56">
        <v>3</v>
      </c>
      <c r="AA2504" s="56">
        <v>3</v>
      </c>
      <c r="AB2504" s="56"/>
      <c r="AC2504" s="56">
        <v>386</v>
      </c>
      <c r="AD2504" s="56">
        <v>25</v>
      </c>
      <c r="AE2504" s="56">
        <v>1018.6</v>
      </c>
      <c r="AF2504" s="56">
        <v>25</v>
      </c>
      <c r="AG2504" s="56"/>
      <c r="AH2504" s="56"/>
      <c r="AI2504" s="56"/>
      <c r="AJ2504" s="56" t="s">
        <v>4243</v>
      </c>
      <c r="AK2504" s="56" t="s">
        <v>4244</v>
      </c>
      <c r="AN2504" s="56">
        <v>71</v>
      </c>
      <c r="AO2504" s="56">
        <v>1.2749999999999999</v>
      </c>
      <c r="AP2504" s="56">
        <v>67.5</v>
      </c>
      <c r="AQ2504" s="56">
        <v>1.5</v>
      </c>
      <c r="AW2504" s="28">
        <f t="shared" si="268"/>
        <v>-2.5142714727217048</v>
      </c>
      <c r="AX2504">
        <f t="shared" si="269"/>
        <v>0.8</v>
      </c>
      <c r="AY2504" s="62">
        <f t="shared" si="270"/>
        <v>-2.0114171781773638</v>
      </c>
      <c r="AZ2504" s="68" t="str">
        <f t="shared" si="271"/>
        <v>No</v>
      </c>
      <c r="BA2504" s="68" t="str">
        <f t="shared" si="272"/>
        <v>No</v>
      </c>
    </row>
    <row r="2505" spans="1:53" ht="15" hidden="1">
      <c r="A2505" s="56" t="s">
        <v>3914</v>
      </c>
      <c r="G2505" s="56" t="s">
        <v>4155</v>
      </c>
      <c r="P2505" s="56" t="s">
        <v>60</v>
      </c>
      <c r="Q2505" s="56"/>
      <c r="R2505" s="56" t="s">
        <v>4116</v>
      </c>
      <c r="S2505" s="56" t="s">
        <v>1068</v>
      </c>
      <c r="T2505" s="56"/>
      <c r="U2505" s="56"/>
      <c r="V2505" s="56" t="s">
        <v>3956</v>
      </c>
      <c r="W2505" s="56"/>
      <c r="X2505" s="56"/>
      <c r="Y2505" s="56"/>
      <c r="Z2505" s="56">
        <v>3</v>
      </c>
      <c r="AA2505" s="56">
        <v>3</v>
      </c>
      <c r="AB2505" s="56"/>
      <c r="AC2505" s="56">
        <v>386</v>
      </c>
      <c r="AD2505" s="56">
        <v>25</v>
      </c>
      <c r="AE2505" s="56">
        <v>1018.6</v>
      </c>
      <c r="AF2505" s="56">
        <v>25</v>
      </c>
      <c r="AG2505" s="56"/>
      <c r="AH2505" s="56"/>
      <c r="AI2505" s="56"/>
      <c r="AJ2505" s="56" t="s">
        <v>4168</v>
      </c>
      <c r="AK2505" s="56" t="s">
        <v>4151</v>
      </c>
      <c r="AN2505" s="56">
        <v>3</v>
      </c>
      <c r="AO2505" s="56">
        <v>1.125</v>
      </c>
      <c r="AP2505" s="56">
        <v>7.5</v>
      </c>
      <c r="AQ2505" s="56">
        <v>3</v>
      </c>
      <c r="AW2505" s="28">
        <f t="shared" si="268"/>
        <v>1.9862541326456831</v>
      </c>
      <c r="AX2505">
        <f t="shared" si="269"/>
        <v>0.8</v>
      </c>
      <c r="AY2505" s="62">
        <f t="shared" si="270"/>
        <v>1.5890033061165465</v>
      </c>
      <c r="AZ2505" s="68" t="str">
        <f t="shared" si="271"/>
        <v>No</v>
      </c>
      <c r="BA2505" s="68" t="str">
        <f t="shared" si="272"/>
        <v>No</v>
      </c>
    </row>
    <row r="2506" spans="1:53" ht="15" hidden="1">
      <c r="A2506" s="56" t="s">
        <v>3914</v>
      </c>
      <c r="G2506" s="56" t="s">
        <v>4155</v>
      </c>
      <c r="P2506" s="56" t="s">
        <v>60</v>
      </c>
      <c r="Q2506" s="56"/>
      <c r="R2506" s="56" t="s">
        <v>4116</v>
      </c>
      <c r="S2506" s="56" t="s">
        <v>1068</v>
      </c>
      <c r="T2506" s="56"/>
      <c r="U2506" s="56"/>
      <c r="V2506" s="56" t="s">
        <v>3956</v>
      </c>
      <c r="W2506" s="56"/>
      <c r="X2506" s="56"/>
      <c r="Y2506" s="56"/>
      <c r="Z2506" s="56">
        <v>3</v>
      </c>
      <c r="AA2506" s="56">
        <v>3</v>
      </c>
      <c r="AB2506" s="56"/>
      <c r="AC2506" s="56">
        <v>386</v>
      </c>
      <c r="AD2506" s="56">
        <v>25</v>
      </c>
      <c r="AE2506" s="56">
        <v>579.1</v>
      </c>
      <c r="AF2506" s="56">
        <v>25</v>
      </c>
      <c r="AG2506" s="56"/>
      <c r="AH2506" s="56"/>
      <c r="AI2506" s="56"/>
      <c r="AJ2506" s="56" t="s">
        <v>4168</v>
      </c>
      <c r="AK2506" s="56" t="s">
        <v>4151</v>
      </c>
      <c r="AN2506" s="56">
        <v>1.8</v>
      </c>
      <c r="AO2506" s="56">
        <v>1.5</v>
      </c>
      <c r="AP2506" s="56">
        <v>5</v>
      </c>
      <c r="AQ2506" s="56">
        <v>4.125</v>
      </c>
      <c r="AW2506" s="28">
        <f t="shared" si="268"/>
        <v>1.0310350392835022</v>
      </c>
      <c r="AX2506">
        <f t="shared" si="269"/>
        <v>0.8</v>
      </c>
      <c r="AY2506" s="62">
        <f t="shared" si="270"/>
        <v>0.82482803142680172</v>
      </c>
      <c r="AZ2506" s="68" t="str">
        <f t="shared" si="271"/>
        <v>No</v>
      </c>
      <c r="BA2506" s="68" t="str">
        <f t="shared" si="272"/>
        <v>No</v>
      </c>
    </row>
    <row r="2507" spans="1:53" ht="15" hidden="1">
      <c r="A2507" s="56" t="s">
        <v>3914</v>
      </c>
      <c r="G2507" s="56" t="s">
        <v>5122</v>
      </c>
      <c r="P2507" s="56" t="s">
        <v>60</v>
      </c>
      <c r="Q2507" s="56"/>
      <c r="R2507" s="56" t="s">
        <v>4116</v>
      </c>
      <c r="S2507" s="56" t="s">
        <v>1068</v>
      </c>
      <c r="T2507" s="56"/>
      <c r="U2507" s="56"/>
      <c r="V2507" s="56" t="s">
        <v>3956</v>
      </c>
      <c r="W2507" s="56"/>
      <c r="X2507" s="56"/>
      <c r="Y2507" s="56"/>
      <c r="Z2507" s="56">
        <v>3</v>
      </c>
      <c r="AA2507" s="56">
        <v>3</v>
      </c>
      <c r="AB2507" s="56"/>
      <c r="AC2507" s="56">
        <v>386</v>
      </c>
      <c r="AD2507" s="56">
        <v>25</v>
      </c>
      <c r="AE2507" s="56">
        <v>1018.6</v>
      </c>
      <c r="AF2507" s="56">
        <v>25</v>
      </c>
      <c r="AG2507" s="56"/>
      <c r="AH2507" s="56"/>
      <c r="AI2507" s="56"/>
      <c r="AJ2507" s="56" t="s">
        <v>4065</v>
      </c>
      <c r="AK2507" s="56" t="s">
        <v>4258</v>
      </c>
      <c r="AN2507" s="56">
        <v>36</v>
      </c>
      <c r="AO2507" s="56">
        <v>7.5</v>
      </c>
      <c r="AP2507" s="56">
        <v>45</v>
      </c>
      <c r="AQ2507" s="56">
        <v>7.5</v>
      </c>
      <c r="AW2507" s="28">
        <f t="shared" si="268"/>
        <v>1.2</v>
      </c>
      <c r="AX2507">
        <f t="shared" si="269"/>
        <v>0.8</v>
      </c>
      <c r="AY2507" s="62">
        <f t="shared" si="270"/>
        <v>0.96</v>
      </c>
      <c r="AZ2507" s="68" t="str">
        <f t="shared" si="271"/>
        <v>No</v>
      </c>
      <c r="BA2507" s="68" t="str">
        <f t="shared" si="272"/>
        <v>No</v>
      </c>
    </row>
    <row r="2508" spans="1:53" ht="15" hidden="1">
      <c r="A2508" s="56" t="s">
        <v>3914</v>
      </c>
      <c r="G2508" s="56" t="s">
        <v>4155</v>
      </c>
      <c r="P2508" s="56" t="s">
        <v>60</v>
      </c>
      <c r="Q2508" s="56"/>
      <c r="R2508" s="56" t="s">
        <v>4116</v>
      </c>
      <c r="S2508" s="56" t="s">
        <v>1068</v>
      </c>
      <c r="T2508" s="56"/>
      <c r="U2508" s="56"/>
      <c r="V2508" s="56" t="s">
        <v>3956</v>
      </c>
      <c r="W2508" s="56"/>
      <c r="X2508" s="56"/>
      <c r="Y2508" s="56"/>
      <c r="Z2508" s="56">
        <v>3</v>
      </c>
      <c r="AA2508" s="56">
        <v>3</v>
      </c>
      <c r="AB2508" s="56"/>
      <c r="AC2508" s="56">
        <v>386</v>
      </c>
      <c r="AD2508" s="56">
        <v>25</v>
      </c>
      <c r="AE2508" s="56">
        <v>579.1</v>
      </c>
      <c r="AF2508" s="56">
        <v>25</v>
      </c>
      <c r="AG2508" s="56"/>
      <c r="AH2508" s="56"/>
      <c r="AI2508" s="56"/>
      <c r="AJ2508" s="56" t="s">
        <v>4065</v>
      </c>
      <c r="AK2508" s="56" t="s">
        <v>4258</v>
      </c>
      <c r="AN2508" s="56">
        <v>35</v>
      </c>
      <c r="AO2508" s="56">
        <v>7.5</v>
      </c>
      <c r="AP2508" s="56">
        <v>40</v>
      </c>
      <c r="AQ2508" s="56">
        <v>10.125</v>
      </c>
      <c r="AW2508" s="28">
        <f t="shared" si="268"/>
        <v>0.56118591652869076</v>
      </c>
      <c r="AX2508">
        <f t="shared" si="269"/>
        <v>0.8</v>
      </c>
      <c r="AY2508" s="62">
        <f t="shared" si="270"/>
        <v>0.44894873322295265</v>
      </c>
      <c r="AZ2508" s="68" t="str">
        <f t="shared" si="271"/>
        <v>No</v>
      </c>
      <c r="BA2508" s="68" t="str">
        <f t="shared" si="272"/>
        <v>No</v>
      </c>
    </row>
    <row r="2509" spans="1:53" hidden="1">
      <c r="A2509" t="s">
        <v>3914</v>
      </c>
      <c r="G2509" s="50" t="s">
        <v>4366</v>
      </c>
      <c r="P2509" t="s">
        <v>60</v>
      </c>
      <c r="R2509" t="s">
        <v>4357</v>
      </c>
      <c r="S2509" s="50" t="s">
        <v>1148</v>
      </c>
      <c r="V2509" t="s">
        <v>3956</v>
      </c>
      <c r="Z2509" s="50">
        <v>4</v>
      </c>
      <c r="AA2509" s="50">
        <v>4</v>
      </c>
      <c r="AC2509">
        <v>396.2</v>
      </c>
      <c r="AD2509">
        <v>19</v>
      </c>
      <c r="AE2509">
        <v>1958.5</v>
      </c>
      <c r="AF2509">
        <v>18.75</v>
      </c>
      <c r="AJ2509" s="50" t="s">
        <v>4356</v>
      </c>
      <c r="AK2509" t="s">
        <v>4244</v>
      </c>
      <c r="AN2509">
        <v>0.187</v>
      </c>
      <c r="AO2509">
        <v>4.2000000000000003E-2</v>
      </c>
      <c r="AP2509">
        <v>0.04</v>
      </c>
      <c r="AQ2509">
        <v>8.9999999999999993E-3</v>
      </c>
      <c r="AW2509" s="28">
        <f t="shared" si="268"/>
        <v>-4.8398750235829882</v>
      </c>
      <c r="AX2509">
        <f t="shared" si="269"/>
        <v>0.86956521739130432</v>
      </c>
      <c r="AY2509" s="62">
        <f t="shared" si="270"/>
        <v>-4.208586977028685</v>
      </c>
      <c r="AZ2509" s="68" t="str">
        <f t="shared" si="271"/>
        <v>No</v>
      </c>
      <c r="BA2509" s="68" t="str">
        <f t="shared" si="272"/>
        <v>No</v>
      </c>
    </row>
    <row r="2510" spans="1:53" hidden="1">
      <c r="A2510" t="s">
        <v>3914</v>
      </c>
      <c r="G2510" s="50" t="s">
        <v>4366</v>
      </c>
      <c r="P2510" t="s">
        <v>60</v>
      </c>
      <c r="R2510" t="s">
        <v>4357</v>
      </c>
      <c r="S2510" s="50" t="s">
        <v>1148</v>
      </c>
      <c r="V2510" t="s">
        <v>3956</v>
      </c>
      <c r="Z2510" s="50">
        <v>4</v>
      </c>
      <c r="AA2510" s="50">
        <v>4</v>
      </c>
      <c r="AC2510">
        <v>396.2</v>
      </c>
      <c r="AD2510">
        <v>19</v>
      </c>
      <c r="AE2510">
        <v>997.8</v>
      </c>
      <c r="AF2510">
        <v>18.75</v>
      </c>
      <c r="AJ2510" s="50" t="s">
        <v>4444</v>
      </c>
      <c r="AK2510" t="s">
        <v>4244</v>
      </c>
      <c r="AN2510">
        <v>7.2999999999999995E-2</v>
      </c>
      <c r="AO2510">
        <v>3.4000000000000002E-2</v>
      </c>
      <c r="AP2510">
        <v>8.0000000000000002E-3</v>
      </c>
      <c r="AQ2510">
        <v>8.9999999999999993E-3</v>
      </c>
      <c r="AW2510" s="28">
        <f t="shared" ref="AW2510:AW2573" si="273">(AP2510-$AN2510)/SQRT(((AA2510-1)*AQ2510*AQ2510+($Z2510-1)*$AO2510*$AO2510)/(AA2510+$Z2510-2))</f>
        <v>-2.6136263783475591</v>
      </c>
      <c r="AX2510">
        <f t="shared" ref="AX2510:AX2573" si="274">1-(3/(4*(AA2510+$Z2510-2)-1))</f>
        <v>0.86956521739130432</v>
      </c>
      <c r="AY2510" s="62">
        <f t="shared" ref="AY2510:AY2573" si="275">AX2510*AW2510</f>
        <v>-2.2727185898674427</v>
      </c>
      <c r="AZ2510" s="68" t="str">
        <f t="shared" ref="AZ2510:AZ2573" si="276">IF(AY2510&gt;10,"Yes","No")</f>
        <v>No</v>
      </c>
      <c r="BA2510" s="68" t="str">
        <f t="shared" ref="BA2510:BA2573" si="277">IF(AY2510&lt;-10,"Yes","No")</f>
        <v>No</v>
      </c>
    </row>
    <row r="2511" spans="1:53" hidden="1">
      <c r="A2511" t="s">
        <v>3914</v>
      </c>
      <c r="G2511" s="50" t="s">
        <v>4366</v>
      </c>
      <c r="P2511" t="s">
        <v>60</v>
      </c>
      <c r="R2511" t="s">
        <v>4357</v>
      </c>
      <c r="S2511" s="50" t="s">
        <v>1148</v>
      </c>
      <c r="V2511" t="s">
        <v>3956</v>
      </c>
      <c r="Z2511" s="50">
        <v>4</v>
      </c>
      <c r="AA2511" s="50">
        <v>4</v>
      </c>
      <c r="AC2511">
        <v>396.2</v>
      </c>
      <c r="AD2511">
        <v>19</v>
      </c>
      <c r="AE2511">
        <v>997.8</v>
      </c>
      <c r="AF2511">
        <v>18.7</v>
      </c>
      <c r="AJ2511" s="50" t="s">
        <v>4356</v>
      </c>
      <c r="AK2511" t="s">
        <v>4244</v>
      </c>
      <c r="AN2511">
        <v>0.187</v>
      </c>
      <c r="AO2511">
        <v>4.2000000000000003E-2</v>
      </c>
      <c r="AP2511">
        <v>9.1999999999999998E-2</v>
      </c>
      <c r="AQ2511">
        <v>0.02</v>
      </c>
      <c r="AW2511" s="28">
        <f t="shared" si="273"/>
        <v>-2.888085026474787</v>
      </c>
      <c r="AX2511">
        <f t="shared" si="274"/>
        <v>0.86956521739130432</v>
      </c>
      <c r="AY2511" s="62">
        <f t="shared" si="275"/>
        <v>-2.5113782838911192</v>
      </c>
      <c r="AZ2511" s="68" t="str">
        <f t="shared" si="276"/>
        <v>No</v>
      </c>
      <c r="BA2511" s="68" t="str">
        <f t="shared" si="277"/>
        <v>No</v>
      </c>
    </row>
    <row r="2512" spans="1:53" hidden="1">
      <c r="A2512" t="s">
        <v>3914</v>
      </c>
      <c r="G2512" t="s">
        <v>5012</v>
      </c>
      <c r="P2512" t="s">
        <v>60</v>
      </c>
      <c r="R2512" t="s">
        <v>4357</v>
      </c>
      <c r="S2512" t="s">
        <v>1148</v>
      </c>
      <c r="V2512" t="s">
        <v>3956</v>
      </c>
      <c r="Z2512">
        <v>4</v>
      </c>
      <c r="AA2512">
        <v>4</v>
      </c>
      <c r="AC2512">
        <v>396.2</v>
      </c>
      <c r="AD2512">
        <v>19</v>
      </c>
      <c r="AE2512">
        <v>997.8</v>
      </c>
      <c r="AF2512">
        <v>18.7</v>
      </c>
      <c r="AJ2512" t="s">
        <v>2020</v>
      </c>
      <c r="AK2512" t="s">
        <v>4093</v>
      </c>
      <c r="AN2512">
        <v>99.89</v>
      </c>
      <c r="AO2512">
        <v>0.17</v>
      </c>
      <c r="AP2512">
        <v>99.78</v>
      </c>
      <c r="AQ2512">
        <v>0.27</v>
      </c>
      <c r="AW2512" s="28">
        <f t="shared" si="273"/>
        <v>-0.48756642789572735</v>
      </c>
      <c r="AX2512">
        <f t="shared" si="274"/>
        <v>0.86956521739130432</v>
      </c>
      <c r="AY2512" s="62">
        <f t="shared" si="275"/>
        <v>-0.42397080686584987</v>
      </c>
      <c r="AZ2512" s="68" t="str">
        <f t="shared" si="276"/>
        <v>No</v>
      </c>
      <c r="BA2512" s="68" t="str">
        <f t="shared" si="277"/>
        <v>No</v>
      </c>
    </row>
    <row r="2513" spans="1:55" hidden="1">
      <c r="A2513" t="s">
        <v>3914</v>
      </c>
      <c r="G2513" t="s">
        <v>4366</v>
      </c>
      <c r="P2513" t="s">
        <v>60</v>
      </c>
      <c r="R2513" t="s">
        <v>4357</v>
      </c>
      <c r="S2513" t="s">
        <v>1148</v>
      </c>
      <c r="V2513" t="s">
        <v>3956</v>
      </c>
      <c r="Z2513">
        <v>4</v>
      </c>
      <c r="AA2513">
        <v>4</v>
      </c>
      <c r="AC2513" s="55" t="s">
        <v>5013</v>
      </c>
      <c r="AD2513">
        <v>19</v>
      </c>
      <c r="AE2513">
        <v>1958.5</v>
      </c>
      <c r="AF2513">
        <v>18.75</v>
      </c>
      <c r="AJ2513" t="s">
        <v>2020</v>
      </c>
      <c r="AK2513" t="s">
        <v>4093</v>
      </c>
      <c r="AN2513">
        <v>99.89</v>
      </c>
      <c r="AO2513">
        <v>0.17</v>
      </c>
      <c r="AP2513">
        <v>99.93</v>
      </c>
      <c r="AQ2513">
        <v>0.28000000000000003</v>
      </c>
      <c r="AW2513" s="28">
        <f t="shared" si="273"/>
        <v>0.1726931567105652</v>
      </c>
      <c r="AX2513">
        <f t="shared" si="274"/>
        <v>0.86956521739130432</v>
      </c>
      <c r="AY2513" s="62">
        <f t="shared" si="275"/>
        <v>0.15016796235701321</v>
      </c>
      <c r="AZ2513" s="68" t="str">
        <f t="shared" si="276"/>
        <v>No</v>
      </c>
      <c r="BA2513" s="68" t="str">
        <f t="shared" si="277"/>
        <v>No</v>
      </c>
    </row>
    <row r="2514" spans="1:55" hidden="1">
      <c r="A2514" t="s">
        <v>3914</v>
      </c>
      <c r="G2514" t="s">
        <v>4131</v>
      </c>
      <c r="P2514" t="s">
        <v>4596</v>
      </c>
      <c r="R2514" t="s">
        <v>4664</v>
      </c>
      <c r="S2514" t="s">
        <v>1745</v>
      </c>
      <c r="V2514" t="s">
        <v>4598</v>
      </c>
      <c r="Z2514">
        <v>3</v>
      </c>
      <c r="AA2514">
        <v>3</v>
      </c>
      <c r="AC2514">
        <v>388.4</v>
      </c>
      <c r="AD2514">
        <v>26</v>
      </c>
      <c r="AE2514">
        <v>302.10000000000002</v>
      </c>
      <c r="AF2514">
        <v>30</v>
      </c>
      <c r="AJ2514" t="s">
        <v>4802</v>
      </c>
      <c r="AK2514" t="s">
        <v>4637</v>
      </c>
      <c r="AN2514">
        <v>0</v>
      </c>
      <c r="AO2514">
        <v>0</v>
      </c>
      <c r="AP2514">
        <v>1.5</v>
      </c>
      <c r="AQ2514">
        <v>2.239309264389135</v>
      </c>
      <c r="AW2514" s="28">
        <f t="shared" si="273"/>
        <v>0.94731012696378103</v>
      </c>
      <c r="AX2514">
        <f t="shared" si="274"/>
        <v>0.8</v>
      </c>
      <c r="AY2514" s="62">
        <f t="shared" si="275"/>
        <v>0.75784810157102489</v>
      </c>
      <c r="AZ2514" s="68" t="str">
        <f t="shared" si="276"/>
        <v>No</v>
      </c>
      <c r="BA2514" s="68" t="str">
        <f t="shared" si="277"/>
        <v>No</v>
      </c>
    </row>
    <row r="2515" spans="1:55" hidden="1">
      <c r="A2515" t="s">
        <v>3914</v>
      </c>
      <c r="G2515" t="s">
        <v>4131</v>
      </c>
      <c r="P2515" t="s">
        <v>60</v>
      </c>
      <c r="R2515" t="s">
        <v>4116</v>
      </c>
      <c r="S2515" t="s">
        <v>1745</v>
      </c>
      <c r="V2515" t="s">
        <v>3956</v>
      </c>
      <c r="Z2515">
        <v>3</v>
      </c>
      <c r="AA2515">
        <v>3</v>
      </c>
      <c r="AC2515">
        <v>388.43</v>
      </c>
      <c r="AD2515">
        <v>26</v>
      </c>
      <c r="AE2515">
        <v>1158.07</v>
      </c>
      <c r="AF2515">
        <v>26</v>
      </c>
      <c r="AJ2515" t="s">
        <v>2031</v>
      </c>
      <c r="AK2515" t="s">
        <v>4151</v>
      </c>
      <c r="AN2515">
        <v>0</v>
      </c>
      <c r="AO2515">
        <v>0</v>
      </c>
      <c r="AP2515">
        <v>1.2</v>
      </c>
      <c r="AQ2515">
        <v>2.2516660498395402</v>
      </c>
      <c r="AW2515" s="28">
        <f t="shared" si="273"/>
        <v>0.75368915162559336</v>
      </c>
      <c r="AX2515">
        <f t="shared" si="274"/>
        <v>0.8</v>
      </c>
      <c r="AY2515" s="62">
        <f t="shared" si="275"/>
        <v>0.60295132130047469</v>
      </c>
      <c r="AZ2515" s="68" t="str">
        <f t="shared" si="276"/>
        <v>No</v>
      </c>
      <c r="BA2515" s="68" t="str">
        <f t="shared" si="277"/>
        <v>No</v>
      </c>
    </row>
    <row r="2516" spans="1:55" hidden="1">
      <c r="A2516" t="s">
        <v>3914</v>
      </c>
      <c r="G2516" t="s">
        <v>4131</v>
      </c>
      <c r="P2516" t="s">
        <v>4596</v>
      </c>
      <c r="R2516" t="s">
        <v>4664</v>
      </c>
      <c r="S2516" t="s">
        <v>1745</v>
      </c>
      <c r="V2516" t="s">
        <v>4600</v>
      </c>
      <c r="Z2516">
        <v>3</v>
      </c>
      <c r="AA2516">
        <v>3</v>
      </c>
      <c r="AC2516">
        <v>388.4</v>
      </c>
      <c r="AD2516">
        <v>26</v>
      </c>
      <c r="AE2516">
        <v>1193.5</v>
      </c>
      <c r="AF2516">
        <v>30</v>
      </c>
      <c r="AJ2516" t="s">
        <v>4256</v>
      </c>
      <c r="AK2516" t="s">
        <v>4672</v>
      </c>
      <c r="AN2516">
        <v>3</v>
      </c>
      <c r="AO2516">
        <v>6.7677274762676412</v>
      </c>
      <c r="AP2516">
        <v>10</v>
      </c>
      <c r="AQ2516">
        <v>2.2629259312879801</v>
      </c>
      <c r="AW2516" s="28">
        <f t="shared" si="273"/>
        <v>1.3872546194123354</v>
      </c>
      <c r="AX2516">
        <f t="shared" si="274"/>
        <v>0.8</v>
      </c>
      <c r="AY2516" s="62">
        <f t="shared" si="275"/>
        <v>1.1098036955298685</v>
      </c>
      <c r="AZ2516" s="68" t="str">
        <f t="shared" si="276"/>
        <v>No</v>
      </c>
      <c r="BA2516" s="68" t="str">
        <f t="shared" si="277"/>
        <v>No</v>
      </c>
    </row>
    <row r="2517" spans="1:55" hidden="1">
      <c r="A2517" t="s">
        <v>3914</v>
      </c>
      <c r="G2517" t="s">
        <v>4131</v>
      </c>
      <c r="P2517" t="s">
        <v>4596</v>
      </c>
      <c r="R2517" t="s">
        <v>4664</v>
      </c>
      <c r="S2517" t="s">
        <v>1745</v>
      </c>
      <c r="V2517" t="s">
        <v>4600</v>
      </c>
      <c r="Z2517">
        <v>3</v>
      </c>
      <c r="AA2517">
        <v>3</v>
      </c>
      <c r="AC2517">
        <v>388.4</v>
      </c>
      <c r="AD2517">
        <v>26</v>
      </c>
      <c r="AE2517">
        <v>1193.5</v>
      </c>
      <c r="AF2517">
        <v>30</v>
      </c>
      <c r="AJ2517" t="s">
        <v>4145</v>
      </c>
      <c r="AK2517" t="s">
        <v>4637</v>
      </c>
      <c r="AN2517">
        <v>33</v>
      </c>
      <c r="AO2517">
        <v>9.9528292673733603</v>
      </c>
      <c r="AP2517">
        <v>10</v>
      </c>
      <c r="AQ2517">
        <v>2.2667331584811641</v>
      </c>
      <c r="AW2517" s="28">
        <f t="shared" si="273"/>
        <v>-3.1865112514407512</v>
      </c>
      <c r="AX2517">
        <f t="shared" si="274"/>
        <v>0.8</v>
      </c>
      <c r="AY2517" s="62">
        <f t="shared" si="275"/>
        <v>-2.549209001152601</v>
      </c>
      <c r="AZ2517" s="68" t="str">
        <f t="shared" si="276"/>
        <v>No</v>
      </c>
      <c r="BA2517" s="68" t="str">
        <f t="shared" si="277"/>
        <v>No</v>
      </c>
    </row>
    <row r="2518" spans="1:55" hidden="1">
      <c r="A2518" t="s">
        <v>3914</v>
      </c>
      <c r="G2518" t="s">
        <v>4131</v>
      </c>
      <c r="P2518" t="s">
        <v>4596</v>
      </c>
      <c r="R2518" t="s">
        <v>4664</v>
      </c>
      <c r="S2518" t="s">
        <v>1745</v>
      </c>
      <c r="V2518" t="s">
        <v>4600</v>
      </c>
      <c r="Z2518">
        <v>3</v>
      </c>
      <c r="AA2518">
        <v>3</v>
      </c>
      <c r="AC2518">
        <v>388.4</v>
      </c>
      <c r="AD2518">
        <v>26</v>
      </c>
      <c r="AE2518">
        <v>1193.5</v>
      </c>
      <c r="AF2518">
        <v>30</v>
      </c>
      <c r="AJ2518" t="s">
        <v>4218</v>
      </c>
      <c r="AK2518" t="s">
        <v>4642</v>
      </c>
      <c r="AN2518">
        <v>290</v>
      </c>
      <c r="AO2518">
        <v>9.4247467007533512</v>
      </c>
      <c r="AP2518">
        <v>283</v>
      </c>
      <c r="AQ2518">
        <v>4.4541611119996753</v>
      </c>
      <c r="AW2518" s="28">
        <f t="shared" si="273"/>
        <v>-0.94965835436574564</v>
      </c>
      <c r="AX2518">
        <f t="shared" si="274"/>
        <v>0.8</v>
      </c>
      <c r="AY2518" s="62">
        <f t="shared" si="275"/>
        <v>-0.75972668349259653</v>
      </c>
      <c r="AZ2518" s="68" t="str">
        <f t="shared" si="276"/>
        <v>No</v>
      </c>
      <c r="BA2518" s="68" t="str">
        <f t="shared" si="277"/>
        <v>No</v>
      </c>
    </row>
    <row r="2519" spans="1:55" ht="15" hidden="1">
      <c r="A2519" t="s">
        <v>3914</v>
      </c>
      <c r="G2519" t="s">
        <v>4131</v>
      </c>
      <c r="P2519" t="s">
        <v>4596</v>
      </c>
      <c r="R2519" t="s">
        <v>4664</v>
      </c>
      <c r="S2519" t="s">
        <v>1745</v>
      </c>
      <c r="V2519" t="s">
        <v>4600</v>
      </c>
      <c r="Z2519">
        <v>3</v>
      </c>
      <c r="AA2519">
        <v>3</v>
      </c>
      <c r="AC2519">
        <v>388.4</v>
      </c>
      <c r="AD2519">
        <v>26</v>
      </c>
      <c r="AE2519">
        <v>1193.5</v>
      </c>
      <c r="AF2519">
        <v>30</v>
      </c>
      <c r="AJ2519" t="s">
        <v>2031</v>
      </c>
      <c r="AK2519" t="s">
        <v>4637</v>
      </c>
      <c r="AN2519">
        <v>0</v>
      </c>
      <c r="AO2519">
        <v>0</v>
      </c>
      <c r="AP2519">
        <v>13.5</v>
      </c>
      <c r="AQ2519">
        <v>4.5761926160019417</v>
      </c>
      <c r="AW2519" s="28">
        <f t="shared" si="273"/>
        <v>4.1720016384967398</v>
      </c>
      <c r="AX2519">
        <f t="shared" si="274"/>
        <v>0.8</v>
      </c>
      <c r="AY2519" s="73">
        <f t="shared" si="275"/>
        <v>3.3376013107973921</v>
      </c>
      <c r="AZ2519" s="74" t="str">
        <f t="shared" si="276"/>
        <v>No</v>
      </c>
      <c r="BA2519" s="74" t="str">
        <f t="shared" si="277"/>
        <v>No</v>
      </c>
      <c r="BB2519" s="56"/>
      <c r="BC2519" s="56"/>
    </row>
    <row r="2520" spans="1:55" hidden="1">
      <c r="A2520" t="s">
        <v>3914</v>
      </c>
      <c r="G2520" t="s">
        <v>4131</v>
      </c>
      <c r="P2520" t="s">
        <v>4596</v>
      </c>
      <c r="R2520" t="s">
        <v>4664</v>
      </c>
      <c r="S2520" t="s">
        <v>1745</v>
      </c>
      <c r="V2520" t="s">
        <v>4598</v>
      </c>
      <c r="Z2520">
        <v>3</v>
      </c>
      <c r="AA2520">
        <v>3</v>
      </c>
      <c r="AC2520">
        <v>388.4</v>
      </c>
      <c r="AD2520">
        <v>26</v>
      </c>
      <c r="AE2520">
        <v>302.10000000000002</v>
      </c>
      <c r="AF2520">
        <v>30</v>
      </c>
      <c r="AJ2520" t="s">
        <v>4800</v>
      </c>
      <c r="AK2520" t="s">
        <v>4642</v>
      </c>
      <c r="AN2520">
        <v>290</v>
      </c>
      <c r="AO2520">
        <v>9.4247467007533494</v>
      </c>
      <c r="AP2520">
        <v>295</v>
      </c>
      <c r="AQ2520">
        <v>11.425891548172729</v>
      </c>
      <c r="AW2520" s="28">
        <f t="shared" si="273"/>
        <v>0.47740790515690867</v>
      </c>
      <c r="AX2520">
        <f t="shared" si="274"/>
        <v>0.8</v>
      </c>
      <c r="AY2520" s="62">
        <f t="shared" si="275"/>
        <v>0.38192632412552696</v>
      </c>
      <c r="AZ2520" s="68" t="str">
        <f t="shared" si="276"/>
        <v>No</v>
      </c>
      <c r="BA2520" s="68" t="str">
        <f t="shared" si="277"/>
        <v>No</v>
      </c>
    </row>
    <row r="2521" spans="1:55" hidden="1">
      <c r="A2521" t="s">
        <v>3914</v>
      </c>
      <c r="G2521" t="s">
        <v>4131</v>
      </c>
      <c r="P2521" t="s">
        <v>60</v>
      </c>
      <c r="R2521" t="s">
        <v>4116</v>
      </c>
      <c r="S2521" t="s">
        <v>1745</v>
      </c>
      <c r="V2521" t="s">
        <v>3956</v>
      </c>
      <c r="Z2521">
        <v>3</v>
      </c>
      <c r="AA2521">
        <v>3</v>
      </c>
      <c r="AC2521">
        <v>388.43</v>
      </c>
      <c r="AD2521">
        <v>26</v>
      </c>
      <c r="AE2521">
        <v>1158.07</v>
      </c>
      <c r="AF2521">
        <v>26</v>
      </c>
      <c r="AJ2521" t="s">
        <v>4145</v>
      </c>
      <c r="AK2521" t="s">
        <v>4151</v>
      </c>
      <c r="AN2521">
        <v>33</v>
      </c>
      <c r="AO2521">
        <v>10.392304845413264</v>
      </c>
      <c r="AP2521">
        <v>33</v>
      </c>
      <c r="AQ2521">
        <v>12.124355652982141</v>
      </c>
      <c r="AW2521" s="28">
        <f t="shared" si="273"/>
        <v>0</v>
      </c>
      <c r="AX2521">
        <f t="shared" si="274"/>
        <v>0.8</v>
      </c>
      <c r="AY2521" s="62">
        <f t="shared" si="275"/>
        <v>0</v>
      </c>
      <c r="AZ2521" s="68" t="str">
        <f t="shared" si="276"/>
        <v>No</v>
      </c>
      <c r="BA2521" s="68" t="str">
        <f t="shared" si="277"/>
        <v>No</v>
      </c>
    </row>
    <row r="2522" spans="1:55" hidden="1">
      <c r="A2522" t="s">
        <v>3914</v>
      </c>
      <c r="G2522" t="s">
        <v>4131</v>
      </c>
      <c r="P2522" t="s">
        <v>60</v>
      </c>
      <c r="R2522" t="s">
        <v>4116</v>
      </c>
      <c r="S2522" s="50" t="s">
        <v>1745</v>
      </c>
      <c r="V2522" t="s">
        <v>3956</v>
      </c>
      <c r="Z2522">
        <v>3</v>
      </c>
      <c r="AA2522">
        <v>3</v>
      </c>
      <c r="AC2522">
        <v>388.43</v>
      </c>
      <c r="AD2522">
        <v>26</v>
      </c>
      <c r="AE2522">
        <v>1158.07</v>
      </c>
      <c r="AF2522">
        <v>26</v>
      </c>
      <c r="AJ2522" t="s">
        <v>4065</v>
      </c>
      <c r="AK2522" t="s">
        <v>4258</v>
      </c>
      <c r="AN2522">
        <v>97</v>
      </c>
      <c r="AO2522">
        <v>6.9282032302755088</v>
      </c>
      <c r="AP2522">
        <v>95</v>
      </c>
      <c r="AQ2522">
        <v>12.124355652982141</v>
      </c>
      <c r="AW2522" s="28">
        <f t="shared" si="273"/>
        <v>-0.20254787341673333</v>
      </c>
      <c r="AX2522">
        <f t="shared" si="274"/>
        <v>0.8</v>
      </c>
      <c r="AY2522" s="62">
        <f t="shared" si="275"/>
        <v>-0.16203829873338668</v>
      </c>
      <c r="AZ2522" s="68" t="str">
        <f t="shared" si="276"/>
        <v>No</v>
      </c>
      <c r="BA2522" s="68" t="str">
        <f t="shared" si="277"/>
        <v>No</v>
      </c>
    </row>
    <row r="2523" spans="1:55" hidden="1">
      <c r="A2523" t="s">
        <v>3914</v>
      </c>
      <c r="G2523" t="s">
        <v>4131</v>
      </c>
      <c r="P2523" t="s">
        <v>60</v>
      </c>
      <c r="R2523" t="s">
        <v>4116</v>
      </c>
      <c r="S2523" t="s">
        <v>1745</v>
      </c>
      <c r="V2523" t="s">
        <v>3956</v>
      </c>
      <c r="Z2523">
        <v>3</v>
      </c>
      <c r="AA2523">
        <v>3</v>
      </c>
      <c r="AC2523">
        <v>388.43</v>
      </c>
      <c r="AD2523">
        <v>26</v>
      </c>
      <c r="AE2523">
        <v>1158.07</v>
      </c>
      <c r="AF2523">
        <v>26</v>
      </c>
      <c r="AJ2523" t="s">
        <v>4218</v>
      </c>
      <c r="AK2523" t="s">
        <v>4244</v>
      </c>
      <c r="AN2523">
        <v>290</v>
      </c>
      <c r="AO2523">
        <v>13.856406460551018</v>
      </c>
      <c r="AP2523">
        <v>275</v>
      </c>
      <c r="AQ2523">
        <v>13.856406460551018</v>
      </c>
      <c r="AW2523" s="28">
        <f t="shared" si="273"/>
        <v>-1.0825317547305484</v>
      </c>
      <c r="AX2523">
        <f t="shared" si="274"/>
        <v>0.8</v>
      </c>
      <c r="AY2523" s="62">
        <f t="shared" si="275"/>
        <v>-0.86602540378443882</v>
      </c>
      <c r="AZ2523" s="68" t="str">
        <f t="shared" si="276"/>
        <v>No</v>
      </c>
      <c r="BA2523" s="68" t="str">
        <f t="shared" si="277"/>
        <v>No</v>
      </c>
    </row>
    <row r="2524" spans="1:55" hidden="1">
      <c r="A2524" t="s">
        <v>3914</v>
      </c>
      <c r="G2524" t="s">
        <v>4131</v>
      </c>
      <c r="P2524" t="s">
        <v>4596</v>
      </c>
      <c r="R2524" t="s">
        <v>4664</v>
      </c>
      <c r="S2524" t="s">
        <v>1745</v>
      </c>
      <c r="V2524" t="s">
        <v>4598</v>
      </c>
      <c r="Z2524">
        <v>3</v>
      </c>
      <c r="AA2524">
        <v>3</v>
      </c>
      <c r="AC2524">
        <v>388.4</v>
      </c>
      <c r="AD2524">
        <v>26</v>
      </c>
      <c r="AE2524">
        <v>302.10000000000002</v>
      </c>
      <c r="AF2524">
        <v>30</v>
      </c>
      <c r="AJ2524" t="s">
        <v>4801</v>
      </c>
      <c r="AK2524" t="s">
        <v>4637</v>
      </c>
      <c r="AN2524">
        <v>33</v>
      </c>
      <c r="AO2524">
        <v>9.9528292673733603</v>
      </c>
      <c r="AP2524">
        <v>52</v>
      </c>
      <c r="AQ2524">
        <v>18.214070951754493</v>
      </c>
      <c r="AW2524" s="28">
        <f t="shared" si="273"/>
        <v>1.2945687243280986</v>
      </c>
      <c r="AX2524">
        <f t="shared" si="274"/>
        <v>0.8</v>
      </c>
      <c r="AY2524" s="62">
        <f t="shared" si="275"/>
        <v>1.035654979462479</v>
      </c>
      <c r="AZ2524" s="68" t="str">
        <f t="shared" si="276"/>
        <v>No</v>
      </c>
      <c r="BA2524" s="68" t="str">
        <f t="shared" si="277"/>
        <v>No</v>
      </c>
    </row>
    <row r="2525" spans="1:55" hidden="1">
      <c r="A2525" t="s">
        <v>3914</v>
      </c>
      <c r="G2525" t="s">
        <v>4131</v>
      </c>
      <c r="P2525" t="s">
        <v>4596</v>
      </c>
      <c r="R2525" t="s">
        <v>4664</v>
      </c>
      <c r="S2525" t="s">
        <v>1745</v>
      </c>
      <c r="V2525" t="s">
        <v>4598</v>
      </c>
      <c r="Z2525">
        <v>3</v>
      </c>
      <c r="AA2525">
        <v>3</v>
      </c>
      <c r="AC2525">
        <v>388.4</v>
      </c>
      <c r="AD2525">
        <v>26</v>
      </c>
      <c r="AE2525">
        <v>302.10000000000002</v>
      </c>
      <c r="AF2525">
        <v>30</v>
      </c>
      <c r="AJ2525" t="s">
        <v>4803</v>
      </c>
      <c r="AK2525" t="s">
        <v>4672</v>
      </c>
      <c r="AN2525">
        <v>3</v>
      </c>
      <c r="AO2525">
        <v>6.7677274762676412</v>
      </c>
      <c r="AP2525">
        <v>17</v>
      </c>
      <c r="AQ2525">
        <v>22.871544379630258</v>
      </c>
      <c r="AW2525" s="28">
        <f t="shared" si="273"/>
        <v>0.83008271929020638</v>
      </c>
      <c r="AX2525">
        <f t="shared" si="274"/>
        <v>0.8</v>
      </c>
      <c r="AY2525" s="62">
        <f t="shared" si="275"/>
        <v>0.66406617543216517</v>
      </c>
      <c r="AZ2525" s="68" t="str">
        <f t="shared" si="276"/>
        <v>No</v>
      </c>
      <c r="BA2525" s="68" t="str">
        <f t="shared" si="277"/>
        <v>No</v>
      </c>
    </row>
    <row r="2526" spans="1:55" hidden="1">
      <c r="A2526" t="s">
        <v>3914</v>
      </c>
      <c r="G2526" t="s">
        <v>4131</v>
      </c>
      <c r="P2526" t="s">
        <v>4596</v>
      </c>
      <c r="R2526" t="s">
        <v>4664</v>
      </c>
      <c r="S2526" t="s">
        <v>1745</v>
      </c>
      <c r="V2526" t="s">
        <v>4598</v>
      </c>
      <c r="Z2526">
        <v>3</v>
      </c>
      <c r="AA2526">
        <v>3</v>
      </c>
      <c r="AC2526">
        <v>388.4</v>
      </c>
      <c r="AD2526">
        <v>26</v>
      </c>
      <c r="AE2526">
        <v>302.10000000000002</v>
      </c>
      <c r="AF2526">
        <v>30</v>
      </c>
      <c r="AJ2526" t="s">
        <v>4804</v>
      </c>
      <c r="AK2526" t="s">
        <v>4081</v>
      </c>
      <c r="AN2526">
        <v>26300</v>
      </c>
      <c r="AO2526">
        <v>6696.2156354516655</v>
      </c>
      <c r="AP2526">
        <v>6400</v>
      </c>
      <c r="AQ2526">
        <v>1391.0013155769229</v>
      </c>
      <c r="AW2526" s="28">
        <f t="shared" si="273"/>
        <v>-4.1149536094822983</v>
      </c>
      <c r="AX2526">
        <f t="shared" si="274"/>
        <v>0.8</v>
      </c>
      <c r="AY2526" s="62">
        <f t="shared" si="275"/>
        <v>-3.2919628875858389</v>
      </c>
      <c r="AZ2526" s="68" t="str">
        <f t="shared" si="276"/>
        <v>No</v>
      </c>
      <c r="BA2526" s="68" t="str">
        <f t="shared" si="277"/>
        <v>No</v>
      </c>
    </row>
    <row r="2527" spans="1:55" hidden="1">
      <c r="A2527" t="s">
        <v>3914</v>
      </c>
      <c r="G2527" t="s">
        <v>4131</v>
      </c>
      <c r="P2527" t="s">
        <v>4596</v>
      </c>
      <c r="R2527" t="s">
        <v>4664</v>
      </c>
      <c r="S2527" t="s">
        <v>1745</v>
      </c>
      <c r="V2527" t="s">
        <v>4600</v>
      </c>
      <c r="Z2527">
        <v>3</v>
      </c>
      <c r="AA2527">
        <v>3</v>
      </c>
      <c r="AC2527">
        <v>388.4</v>
      </c>
      <c r="AD2527">
        <v>26</v>
      </c>
      <c r="AE2527">
        <v>1193.5</v>
      </c>
      <c r="AF2527">
        <v>30</v>
      </c>
      <c r="AJ2527" t="s">
        <v>4272</v>
      </c>
      <c r="AK2527" t="s">
        <v>4081</v>
      </c>
      <c r="AN2527">
        <v>26300</v>
      </c>
      <c r="AO2527">
        <v>6696.2156354516701</v>
      </c>
      <c r="AP2527">
        <v>2200</v>
      </c>
      <c r="AQ2527">
        <v>2008.5934982147533</v>
      </c>
      <c r="AW2527" s="28">
        <f t="shared" si="273"/>
        <v>-4.8752198084647311</v>
      </c>
      <c r="AX2527">
        <f t="shared" si="274"/>
        <v>0.8</v>
      </c>
      <c r="AY2527" s="62">
        <f t="shared" si="275"/>
        <v>-3.9001758467717851</v>
      </c>
      <c r="AZ2527" s="68" t="str">
        <f t="shared" si="276"/>
        <v>No</v>
      </c>
      <c r="BA2527" s="68" t="str">
        <f t="shared" si="277"/>
        <v>No</v>
      </c>
    </row>
    <row r="2528" spans="1:55" hidden="1">
      <c r="A2528" t="s">
        <v>3914</v>
      </c>
      <c r="G2528" t="s">
        <v>4131</v>
      </c>
      <c r="P2528" t="s">
        <v>60</v>
      </c>
      <c r="R2528" t="s">
        <v>4116</v>
      </c>
      <c r="S2528" t="s">
        <v>1745</v>
      </c>
      <c r="V2528" t="s">
        <v>3956</v>
      </c>
      <c r="Z2528">
        <v>3</v>
      </c>
      <c r="AA2528">
        <v>3</v>
      </c>
      <c r="AC2528">
        <v>388.43</v>
      </c>
      <c r="AD2528">
        <v>26</v>
      </c>
      <c r="AE2528">
        <v>1158.07</v>
      </c>
      <c r="AF2528">
        <v>26</v>
      </c>
      <c r="AJ2528" t="s">
        <v>4272</v>
      </c>
      <c r="AK2528" t="s">
        <v>4266</v>
      </c>
      <c r="AN2528">
        <v>26000</v>
      </c>
      <c r="AO2528">
        <v>6928.2032302755088</v>
      </c>
      <c r="AP2528">
        <v>6000</v>
      </c>
      <c r="AQ2528">
        <v>2598.076211353316</v>
      </c>
      <c r="AW2528" s="28">
        <f t="shared" si="273"/>
        <v>-3.8225478605399728</v>
      </c>
      <c r="AX2528">
        <f t="shared" si="274"/>
        <v>0.8</v>
      </c>
      <c r="AY2528" s="62">
        <f t="shared" si="275"/>
        <v>-3.0580382884319786</v>
      </c>
      <c r="AZ2528" s="68" t="str">
        <f t="shared" si="276"/>
        <v>No</v>
      </c>
      <c r="BA2528" s="68" t="str">
        <f t="shared" si="277"/>
        <v>No</v>
      </c>
    </row>
    <row r="2529" spans="1:55" hidden="1">
      <c r="A2529" t="s">
        <v>3914</v>
      </c>
      <c r="G2529" t="s">
        <v>4022</v>
      </c>
      <c r="P2529" t="s">
        <v>60</v>
      </c>
      <c r="R2529" t="s">
        <v>4005</v>
      </c>
      <c r="S2529" t="s">
        <v>1008</v>
      </c>
      <c r="V2529" t="s">
        <v>3956</v>
      </c>
      <c r="Z2529">
        <v>10</v>
      </c>
      <c r="AA2529">
        <v>10</v>
      </c>
      <c r="AC2529">
        <v>350</v>
      </c>
      <c r="AD2529">
        <v>5</v>
      </c>
      <c r="AE2529">
        <v>765</v>
      </c>
      <c r="AF2529">
        <v>5</v>
      </c>
      <c r="AJ2529" t="s">
        <v>4026</v>
      </c>
      <c r="AK2529" t="s">
        <v>904</v>
      </c>
      <c r="AN2529">
        <v>1.9933333333333334</v>
      </c>
      <c r="AO2529">
        <v>0.3219213154379994</v>
      </c>
      <c r="AP2529">
        <v>1.5166666666666666</v>
      </c>
      <c r="AQ2529">
        <v>0.1850225211517055</v>
      </c>
      <c r="AW2529" s="28">
        <f t="shared" si="273"/>
        <v>-1.8155162601255264</v>
      </c>
      <c r="AX2529">
        <f t="shared" si="274"/>
        <v>0.95774647887323949</v>
      </c>
      <c r="AY2529" s="62">
        <f t="shared" si="275"/>
        <v>-1.7388043054723352</v>
      </c>
      <c r="AZ2529" s="68" t="str">
        <f t="shared" si="276"/>
        <v>No</v>
      </c>
      <c r="BA2529" s="68" t="str">
        <f t="shared" si="277"/>
        <v>No</v>
      </c>
    </row>
    <row r="2530" spans="1:55" ht="15" hidden="1">
      <c r="A2530" t="s">
        <v>3914</v>
      </c>
      <c r="G2530" t="s">
        <v>3997</v>
      </c>
      <c r="P2530" t="s">
        <v>4596</v>
      </c>
      <c r="R2530" t="s">
        <v>822</v>
      </c>
      <c r="S2530" t="s">
        <v>1008</v>
      </c>
      <c r="V2530" t="s">
        <v>4600</v>
      </c>
      <c r="Z2530">
        <v>20</v>
      </c>
      <c r="AA2530">
        <v>20</v>
      </c>
      <c r="AC2530">
        <v>389</v>
      </c>
      <c r="AD2530">
        <v>0</v>
      </c>
      <c r="AE2530">
        <v>1115</v>
      </c>
      <c r="AF2530">
        <v>4</v>
      </c>
      <c r="AJ2530" t="s">
        <v>4026</v>
      </c>
      <c r="AK2530" t="s">
        <v>4630</v>
      </c>
      <c r="AN2530">
        <v>0.41</v>
      </c>
      <c r="AO2530">
        <v>0.04</v>
      </c>
      <c r="AP2530">
        <v>0.02</v>
      </c>
      <c r="AQ2530">
        <v>0.04</v>
      </c>
      <c r="AW2530" s="28">
        <f t="shared" si="273"/>
        <v>-9.7499999999999982</v>
      </c>
      <c r="AX2530">
        <f t="shared" si="274"/>
        <v>0.98013245033112584</v>
      </c>
      <c r="AY2530" s="73">
        <f t="shared" si="275"/>
        <v>-9.5562913907284752</v>
      </c>
      <c r="AZ2530" s="74" t="str">
        <f t="shared" si="276"/>
        <v>No</v>
      </c>
      <c r="BA2530" s="74" t="str">
        <f t="shared" si="277"/>
        <v>No</v>
      </c>
      <c r="BB2530" s="56"/>
      <c r="BC2530" s="56"/>
    </row>
    <row r="2531" spans="1:55" hidden="1">
      <c r="A2531" t="s">
        <v>3914</v>
      </c>
      <c r="G2531" t="s">
        <v>3997</v>
      </c>
      <c r="P2531" t="s">
        <v>4596</v>
      </c>
      <c r="R2531" t="s">
        <v>822</v>
      </c>
      <c r="S2531" t="s">
        <v>1008</v>
      </c>
      <c r="V2531" t="s">
        <v>4598</v>
      </c>
      <c r="Z2531">
        <v>20</v>
      </c>
      <c r="AA2531">
        <v>20</v>
      </c>
      <c r="AC2531">
        <v>389</v>
      </c>
      <c r="AD2531">
        <v>0</v>
      </c>
      <c r="AE2531">
        <v>395</v>
      </c>
      <c r="AF2531">
        <v>4</v>
      </c>
      <c r="AJ2531" t="s">
        <v>4657</v>
      </c>
      <c r="AK2531" t="s">
        <v>4630</v>
      </c>
      <c r="AN2531">
        <v>0.41</v>
      </c>
      <c r="AO2531">
        <v>0.04</v>
      </c>
      <c r="AP2531">
        <v>0.46</v>
      </c>
      <c r="AQ2531">
        <v>0.05</v>
      </c>
      <c r="AW2531" s="28">
        <f t="shared" si="273"/>
        <v>1.1043152607484663</v>
      </c>
      <c r="AX2531">
        <f t="shared" si="274"/>
        <v>0.98013245033112584</v>
      </c>
      <c r="AY2531" s="62">
        <f t="shared" si="275"/>
        <v>1.0823752224554504</v>
      </c>
      <c r="AZ2531" s="68" t="str">
        <f t="shared" si="276"/>
        <v>No</v>
      </c>
      <c r="BA2531" s="68" t="str">
        <f t="shared" si="277"/>
        <v>No</v>
      </c>
    </row>
    <row r="2532" spans="1:55" hidden="1">
      <c r="A2532" t="s">
        <v>3914</v>
      </c>
      <c r="G2532" t="s">
        <v>3997</v>
      </c>
      <c r="P2532" t="s">
        <v>60</v>
      </c>
      <c r="R2532" t="s">
        <v>4005</v>
      </c>
      <c r="S2532" t="s">
        <v>1008</v>
      </c>
      <c r="V2532" t="s">
        <v>3956</v>
      </c>
      <c r="Z2532">
        <v>3</v>
      </c>
      <c r="AA2532">
        <v>3</v>
      </c>
      <c r="AC2532">
        <v>380</v>
      </c>
      <c r="AD2532">
        <v>0</v>
      </c>
      <c r="AE2532">
        <v>1120</v>
      </c>
      <c r="AF2532">
        <v>0</v>
      </c>
      <c r="AJ2532" t="s">
        <v>4026</v>
      </c>
      <c r="AK2532" t="s">
        <v>904</v>
      </c>
      <c r="AN2532">
        <v>1.8</v>
      </c>
      <c r="AO2532">
        <v>0.79999999999999982</v>
      </c>
      <c r="AP2532">
        <v>-0.41666666666666669</v>
      </c>
      <c r="AQ2532">
        <v>0.27537852736430496</v>
      </c>
      <c r="AW2532" s="28">
        <f t="shared" si="273"/>
        <v>-3.705181010075401</v>
      </c>
      <c r="AX2532">
        <f t="shared" si="274"/>
        <v>0.8</v>
      </c>
      <c r="AY2532" s="62">
        <f t="shared" si="275"/>
        <v>-2.964144808060321</v>
      </c>
      <c r="AZ2532" s="68" t="str">
        <f t="shared" si="276"/>
        <v>No</v>
      </c>
      <c r="BA2532" s="68" t="str">
        <f t="shared" si="277"/>
        <v>No</v>
      </c>
    </row>
    <row r="2533" spans="1:55" hidden="1">
      <c r="A2533" t="s">
        <v>3914</v>
      </c>
      <c r="G2533" t="s">
        <v>3997</v>
      </c>
      <c r="P2533" t="s">
        <v>60</v>
      </c>
      <c r="R2533" t="s">
        <v>4005</v>
      </c>
      <c r="S2533" t="s">
        <v>1008</v>
      </c>
      <c r="V2533" t="s">
        <v>3956</v>
      </c>
      <c r="Z2533">
        <v>4</v>
      </c>
      <c r="AA2533">
        <v>4</v>
      </c>
      <c r="AC2533">
        <v>380</v>
      </c>
      <c r="AD2533">
        <v>0</v>
      </c>
      <c r="AE2533">
        <v>1120</v>
      </c>
      <c r="AF2533">
        <v>0</v>
      </c>
      <c r="AJ2533" t="s">
        <v>108</v>
      </c>
      <c r="AK2533" t="s">
        <v>904</v>
      </c>
      <c r="AN2533">
        <v>5.7</v>
      </c>
      <c r="AO2533">
        <v>0.5</v>
      </c>
      <c r="AP2533">
        <v>6.2</v>
      </c>
      <c r="AQ2533">
        <v>0.3</v>
      </c>
      <c r="AW2533" s="28">
        <f t="shared" si="273"/>
        <v>1.2126781251816647</v>
      </c>
      <c r="AX2533">
        <f t="shared" si="274"/>
        <v>0.86956521739130432</v>
      </c>
      <c r="AY2533" s="62">
        <f t="shared" si="275"/>
        <v>1.0545027175492736</v>
      </c>
      <c r="AZ2533" s="68" t="str">
        <f t="shared" si="276"/>
        <v>No</v>
      </c>
      <c r="BA2533" s="68" t="str">
        <f t="shared" si="277"/>
        <v>No</v>
      </c>
    </row>
    <row r="2534" spans="1:55" ht="15" hidden="1">
      <c r="A2534" t="s">
        <v>3914</v>
      </c>
      <c r="G2534" t="s">
        <v>5109</v>
      </c>
      <c r="P2534" t="s">
        <v>4596</v>
      </c>
      <c r="R2534" s="56" t="s">
        <v>4654</v>
      </c>
      <c r="S2534" t="s">
        <v>1008</v>
      </c>
      <c r="V2534" t="s">
        <v>4598</v>
      </c>
      <c r="Z2534">
        <v>20</v>
      </c>
      <c r="AA2534">
        <v>20</v>
      </c>
      <c r="AC2534">
        <v>389</v>
      </c>
      <c r="AD2534">
        <v>0</v>
      </c>
      <c r="AE2534">
        <v>395</v>
      </c>
      <c r="AF2534">
        <v>4</v>
      </c>
      <c r="AJ2534" t="s">
        <v>4656</v>
      </c>
      <c r="AK2534" t="s">
        <v>4650</v>
      </c>
      <c r="AN2534">
        <v>5.7</v>
      </c>
      <c r="AO2534">
        <v>0.5</v>
      </c>
      <c r="AP2534">
        <v>6.5</v>
      </c>
      <c r="AQ2534">
        <v>0.5</v>
      </c>
      <c r="AW2534" s="28">
        <f t="shared" si="273"/>
        <v>1.5999999999999996</v>
      </c>
      <c r="AX2534">
        <f t="shared" si="274"/>
        <v>0.98013245033112584</v>
      </c>
      <c r="AY2534" s="62">
        <f t="shared" si="275"/>
        <v>1.5682119205298011</v>
      </c>
      <c r="AZ2534" s="68" t="str">
        <f t="shared" si="276"/>
        <v>No</v>
      </c>
      <c r="BA2534" s="68" t="str">
        <f t="shared" si="277"/>
        <v>No</v>
      </c>
    </row>
    <row r="2535" spans="1:55" hidden="1">
      <c r="A2535" t="s">
        <v>3914</v>
      </c>
      <c r="G2535" t="s">
        <v>3997</v>
      </c>
      <c r="P2535" t="s">
        <v>4596</v>
      </c>
      <c r="R2535" t="s">
        <v>822</v>
      </c>
      <c r="S2535" t="s">
        <v>1008</v>
      </c>
      <c r="V2535" t="s">
        <v>4600</v>
      </c>
      <c r="Z2535">
        <v>20</v>
      </c>
      <c r="AA2535">
        <v>20</v>
      </c>
      <c r="AC2535">
        <v>389</v>
      </c>
      <c r="AD2535">
        <v>0</v>
      </c>
      <c r="AE2535">
        <v>1115</v>
      </c>
      <c r="AF2535">
        <v>4</v>
      </c>
      <c r="AJ2535" t="s">
        <v>108</v>
      </c>
      <c r="AK2535" t="s">
        <v>4650</v>
      </c>
      <c r="AN2535">
        <v>5.7</v>
      </c>
      <c r="AO2535">
        <v>0.5</v>
      </c>
      <c r="AP2535">
        <v>7.5</v>
      </c>
      <c r="AQ2535">
        <v>0.6</v>
      </c>
      <c r="AW2535" s="28">
        <f t="shared" si="273"/>
        <v>3.2592868575306668</v>
      </c>
      <c r="AX2535">
        <f t="shared" si="274"/>
        <v>0.98013245033112584</v>
      </c>
      <c r="AY2535" s="62">
        <f t="shared" si="275"/>
        <v>3.1945328140035674</v>
      </c>
      <c r="AZ2535" s="68" t="str">
        <f t="shared" si="276"/>
        <v>No</v>
      </c>
      <c r="BA2535" s="68" t="str">
        <f t="shared" si="277"/>
        <v>No</v>
      </c>
    </row>
    <row r="2536" spans="1:55" ht="15" hidden="1">
      <c r="A2536" t="s">
        <v>3914</v>
      </c>
      <c r="G2536" s="56" t="s">
        <v>4787</v>
      </c>
      <c r="P2536" t="s">
        <v>4596</v>
      </c>
      <c r="R2536" t="s">
        <v>4035</v>
      </c>
      <c r="S2536" s="56" t="s">
        <v>4789</v>
      </c>
      <c r="V2536" t="s">
        <v>4598</v>
      </c>
      <c r="Z2536">
        <v>10</v>
      </c>
      <c r="AA2536">
        <v>10</v>
      </c>
      <c r="AC2536">
        <v>330</v>
      </c>
      <c r="AD2536">
        <v>27</v>
      </c>
      <c r="AE2536">
        <v>420</v>
      </c>
      <c r="AF2536">
        <v>30</v>
      </c>
      <c r="AJ2536" t="s">
        <v>4795</v>
      </c>
      <c r="AK2536" t="s">
        <v>4681</v>
      </c>
      <c r="AN2536">
        <v>1.08</v>
      </c>
      <c r="AO2536">
        <v>0.23546892043425138</v>
      </c>
      <c r="AP2536">
        <v>0.66</v>
      </c>
      <c r="AQ2536">
        <v>0.18557748580758157</v>
      </c>
      <c r="AW2536" s="28">
        <f t="shared" si="273"/>
        <v>-1.9811693712002254</v>
      </c>
      <c r="AX2536">
        <f t="shared" si="274"/>
        <v>0.95774647887323949</v>
      </c>
      <c r="AY2536" s="62">
        <f t="shared" si="275"/>
        <v>-1.8974579893185259</v>
      </c>
      <c r="AZ2536" s="68" t="str">
        <f t="shared" si="276"/>
        <v>No</v>
      </c>
      <c r="BA2536" s="68" t="str">
        <f t="shared" si="277"/>
        <v>No</v>
      </c>
    </row>
    <row r="2537" spans="1:55" hidden="1">
      <c r="A2537" t="s">
        <v>3914</v>
      </c>
      <c r="G2537" t="s">
        <v>4788</v>
      </c>
      <c r="P2537" t="s">
        <v>4596</v>
      </c>
      <c r="R2537" t="s">
        <v>4035</v>
      </c>
      <c r="S2537" t="s">
        <v>4790</v>
      </c>
      <c r="V2537" t="s">
        <v>4600</v>
      </c>
      <c r="Z2537">
        <v>10</v>
      </c>
      <c r="AA2537">
        <v>10</v>
      </c>
      <c r="AC2537">
        <v>330</v>
      </c>
      <c r="AD2537">
        <v>27</v>
      </c>
      <c r="AE2537">
        <v>991</v>
      </c>
      <c r="AF2537">
        <v>30</v>
      </c>
      <c r="AJ2537" t="s">
        <v>665</v>
      </c>
      <c r="AK2537" t="s">
        <v>4681</v>
      </c>
      <c r="AN2537">
        <v>1.08</v>
      </c>
      <c r="AO2537">
        <v>0.23546892043425138</v>
      </c>
      <c r="AP2537">
        <v>0.35</v>
      </c>
      <c r="AQ2537">
        <v>0.19210533706714203</v>
      </c>
      <c r="AW2537" s="28">
        <f t="shared" si="273"/>
        <v>-3.3971853015042517</v>
      </c>
      <c r="AX2537">
        <f t="shared" si="274"/>
        <v>0.95774647887323949</v>
      </c>
      <c r="AY2537" s="62">
        <f t="shared" si="275"/>
        <v>-3.2536422605956217</v>
      </c>
      <c r="AZ2537" s="68" t="str">
        <f t="shared" si="276"/>
        <v>No</v>
      </c>
      <c r="BA2537" s="68" t="str">
        <f t="shared" si="277"/>
        <v>No</v>
      </c>
    </row>
    <row r="2538" spans="1:55" ht="15" hidden="1">
      <c r="A2538" s="56" t="s">
        <v>3914</v>
      </c>
      <c r="G2538" s="56" t="s">
        <v>4076</v>
      </c>
      <c r="P2538" s="56" t="s">
        <v>60</v>
      </c>
      <c r="Q2538" s="56"/>
      <c r="R2538" s="56" t="s">
        <v>4035</v>
      </c>
      <c r="S2538" s="56" t="s">
        <v>1749</v>
      </c>
      <c r="T2538" s="56"/>
      <c r="U2538" s="56"/>
      <c r="V2538" s="56" t="s">
        <v>3956</v>
      </c>
      <c r="W2538" s="56"/>
      <c r="X2538" s="56"/>
      <c r="Y2538" s="56"/>
      <c r="Z2538" s="56">
        <v>4</v>
      </c>
      <c r="AA2538" s="56">
        <v>4</v>
      </c>
      <c r="AB2538" s="56"/>
      <c r="AC2538" s="80">
        <v>486.6</v>
      </c>
      <c r="AD2538" s="56">
        <v>23.99</v>
      </c>
      <c r="AE2538" s="80">
        <v>860.6</v>
      </c>
      <c r="AF2538" s="56">
        <v>24.01</v>
      </c>
      <c r="AG2538" s="56"/>
      <c r="AH2538" s="56"/>
      <c r="AI2538" s="56"/>
      <c r="AJ2538" s="56" t="s">
        <v>4078</v>
      </c>
      <c r="AK2538" s="56" t="s">
        <v>4081</v>
      </c>
      <c r="AN2538" s="56">
        <v>1.9</v>
      </c>
      <c r="AO2538" s="56">
        <v>0.1</v>
      </c>
      <c r="AP2538" s="56">
        <v>1.97</v>
      </c>
      <c r="AQ2538" s="56">
        <v>0.06</v>
      </c>
      <c r="AW2538" s="28">
        <f t="shared" si="273"/>
        <v>0.84887468762716611</v>
      </c>
      <c r="AX2538">
        <f t="shared" si="274"/>
        <v>0.86956521739130432</v>
      </c>
      <c r="AY2538" s="62">
        <f t="shared" si="275"/>
        <v>0.73815190228449223</v>
      </c>
      <c r="AZ2538" s="68" t="str">
        <f t="shared" si="276"/>
        <v>No</v>
      </c>
      <c r="BA2538" s="68" t="str">
        <f t="shared" si="277"/>
        <v>No</v>
      </c>
    </row>
    <row r="2539" spans="1:55" ht="15" hidden="1">
      <c r="A2539" s="56" t="s">
        <v>3914</v>
      </c>
      <c r="G2539" s="56" t="s">
        <v>4076</v>
      </c>
      <c r="P2539" s="56" t="s">
        <v>60</v>
      </c>
      <c r="Q2539" s="56"/>
      <c r="R2539" s="56" t="s">
        <v>4035</v>
      </c>
      <c r="S2539" s="56" t="s">
        <v>1749</v>
      </c>
      <c r="T2539" s="56"/>
      <c r="U2539" s="56"/>
      <c r="V2539" s="56" t="s">
        <v>3956</v>
      </c>
      <c r="W2539" s="56"/>
      <c r="X2539" s="56"/>
      <c r="Y2539" s="56"/>
      <c r="Z2539" s="56">
        <v>4</v>
      </c>
      <c r="AA2539" s="56">
        <v>4</v>
      </c>
      <c r="AB2539" s="56"/>
      <c r="AC2539" s="80">
        <v>486.6</v>
      </c>
      <c r="AD2539" s="56">
        <v>23.99</v>
      </c>
      <c r="AE2539" s="80">
        <v>860.6</v>
      </c>
      <c r="AF2539" s="56">
        <v>24.01</v>
      </c>
      <c r="AG2539" s="56"/>
      <c r="AH2539" s="56"/>
      <c r="AI2539" s="56"/>
      <c r="AJ2539" s="56" t="s">
        <v>4082</v>
      </c>
      <c r="AK2539" s="56" t="s">
        <v>4081</v>
      </c>
      <c r="AN2539" s="56">
        <v>2.04</v>
      </c>
      <c r="AO2539" s="56">
        <v>0.57999999999999996</v>
      </c>
      <c r="AP2539" s="56">
        <v>1.87</v>
      </c>
      <c r="AQ2539" s="56">
        <v>0.34</v>
      </c>
      <c r="AW2539" s="28">
        <f t="shared" si="273"/>
        <v>-0.35759768762492045</v>
      </c>
      <c r="AX2539">
        <f t="shared" si="274"/>
        <v>0.86956521739130432</v>
      </c>
      <c r="AY2539" s="62">
        <f t="shared" si="275"/>
        <v>-0.31095451097819166</v>
      </c>
      <c r="AZ2539" s="68" t="str">
        <f t="shared" si="276"/>
        <v>No</v>
      </c>
      <c r="BA2539" s="68" t="str">
        <f t="shared" si="277"/>
        <v>No</v>
      </c>
    </row>
    <row r="2540" spans="1:55" hidden="1">
      <c r="A2540" t="s">
        <v>3914</v>
      </c>
      <c r="G2540" t="s">
        <v>4076</v>
      </c>
      <c r="P2540" t="s">
        <v>4596</v>
      </c>
      <c r="R2540" t="s">
        <v>4035</v>
      </c>
      <c r="S2540" t="s">
        <v>1749</v>
      </c>
      <c r="V2540" t="s">
        <v>4598</v>
      </c>
      <c r="Z2540">
        <v>4</v>
      </c>
      <c r="AA2540">
        <v>4</v>
      </c>
      <c r="AC2540">
        <v>467.5</v>
      </c>
      <c r="AD2540">
        <v>24</v>
      </c>
      <c r="AE2540">
        <v>474.8</v>
      </c>
      <c r="AF2540">
        <v>30.5</v>
      </c>
      <c r="AJ2540" t="s">
        <v>4686</v>
      </c>
      <c r="AK2540" t="s">
        <v>4650</v>
      </c>
      <c r="AN2540">
        <v>2.04</v>
      </c>
      <c r="AO2540">
        <v>0.6</v>
      </c>
      <c r="AP2540">
        <v>1.89</v>
      </c>
      <c r="AQ2540">
        <v>0.35</v>
      </c>
      <c r="AW2540" s="28">
        <f t="shared" si="273"/>
        <v>-0.30539195913557282</v>
      </c>
      <c r="AX2540">
        <f t="shared" si="274"/>
        <v>0.86956521739130432</v>
      </c>
      <c r="AY2540" s="62">
        <f t="shared" si="275"/>
        <v>-0.26555822533528073</v>
      </c>
      <c r="AZ2540" s="68" t="str">
        <f t="shared" si="276"/>
        <v>No</v>
      </c>
      <c r="BA2540" s="68" t="str">
        <f t="shared" si="277"/>
        <v>No</v>
      </c>
    </row>
    <row r="2541" spans="1:55" s="77" customFormat="1" ht="15" hidden="1">
      <c r="A2541" t="s">
        <v>3914</v>
      </c>
      <c r="B2541"/>
      <c r="C2541"/>
      <c r="D2541" s="25"/>
      <c r="E2541" s="25"/>
      <c r="F2541"/>
      <c r="G2541" t="s">
        <v>4076</v>
      </c>
      <c r="H2541"/>
      <c r="I2541"/>
      <c r="J2541"/>
      <c r="K2541"/>
      <c r="L2541"/>
      <c r="M2541" s="25"/>
      <c r="N2541"/>
      <c r="O2541"/>
      <c r="P2541" t="s">
        <v>4596</v>
      </c>
      <c r="Q2541"/>
      <c r="R2541" t="s">
        <v>4035</v>
      </c>
      <c r="S2541" t="s">
        <v>1749</v>
      </c>
      <c r="T2541"/>
      <c r="U2541"/>
      <c r="V2541" t="s">
        <v>4600</v>
      </c>
      <c r="W2541" s="25"/>
      <c r="X2541"/>
      <c r="Y2541"/>
      <c r="Z2541">
        <v>4</v>
      </c>
      <c r="AA2541">
        <v>4</v>
      </c>
      <c r="AB2541"/>
      <c r="AC2541">
        <v>467.5</v>
      </c>
      <c r="AD2541">
        <v>24</v>
      </c>
      <c r="AE2541">
        <v>824.6</v>
      </c>
      <c r="AF2541">
        <v>30.5</v>
      </c>
      <c r="AG2541"/>
      <c r="AH2541"/>
      <c r="AI2541"/>
      <c r="AJ2541" s="56" t="s">
        <v>4683</v>
      </c>
      <c r="AK2541" t="s">
        <v>904</v>
      </c>
      <c r="AL2541" s="25"/>
      <c r="AM2541" s="35"/>
      <c r="AN2541">
        <v>1.85</v>
      </c>
      <c r="AO2541">
        <v>0.17792676637442001</v>
      </c>
      <c r="AP2541">
        <v>3</v>
      </c>
      <c r="AQ2541">
        <v>0.46415678184631926</v>
      </c>
      <c r="AR2541"/>
      <c r="AS2541"/>
      <c r="AT2541"/>
      <c r="AU2541"/>
      <c r="AV2541"/>
      <c r="AW2541" s="28">
        <f t="shared" si="273"/>
        <v>3.2717261617861007</v>
      </c>
      <c r="AX2541">
        <f t="shared" si="274"/>
        <v>0.86956521739130432</v>
      </c>
      <c r="AY2541" s="62">
        <f t="shared" si="275"/>
        <v>2.8449792711183481</v>
      </c>
      <c r="AZ2541" s="68" t="str">
        <f t="shared" si="276"/>
        <v>No</v>
      </c>
      <c r="BA2541" s="68" t="str">
        <f t="shared" si="277"/>
        <v>No</v>
      </c>
      <c r="BB2541"/>
      <c r="BC2541"/>
    </row>
    <row r="2542" spans="1:55" ht="15" hidden="1">
      <c r="A2542" t="s">
        <v>3914</v>
      </c>
      <c r="G2542" t="s">
        <v>4076</v>
      </c>
      <c r="P2542" t="s">
        <v>4596</v>
      </c>
      <c r="R2542" t="s">
        <v>4035</v>
      </c>
      <c r="S2542" t="s">
        <v>1749</v>
      </c>
      <c r="V2542" t="s">
        <v>4598</v>
      </c>
      <c r="Z2542">
        <v>4</v>
      </c>
      <c r="AA2542">
        <v>4</v>
      </c>
      <c r="AC2542">
        <v>467.5</v>
      </c>
      <c r="AD2542">
        <v>24</v>
      </c>
      <c r="AE2542">
        <v>474.8</v>
      </c>
      <c r="AF2542">
        <v>30.5</v>
      </c>
      <c r="AJ2542" t="s">
        <v>4685</v>
      </c>
      <c r="AK2542" t="s">
        <v>904</v>
      </c>
      <c r="AN2542">
        <v>1.85</v>
      </c>
      <c r="AO2542">
        <v>0.17792676637442001</v>
      </c>
      <c r="AP2542">
        <v>3.6</v>
      </c>
      <c r="AQ2542">
        <v>0.51315110881898018</v>
      </c>
      <c r="AW2542" s="28">
        <f t="shared" si="273"/>
        <v>4.5567509471008609</v>
      </c>
      <c r="AX2542">
        <f t="shared" si="274"/>
        <v>0.86956521739130432</v>
      </c>
      <c r="AY2542" s="73">
        <f t="shared" si="275"/>
        <v>3.9623921279137919</v>
      </c>
      <c r="AZ2542" s="74" t="str">
        <f t="shared" si="276"/>
        <v>No</v>
      </c>
      <c r="BA2542" s="74" t="str">
        <f t="shared" si="277"/>
        <v>No</v>
      </c>
    </row>
    <row r="2543" spans="1:55" hidden="1">
      <c r="A2543" t="s">
        <v>3914</v>
      </c>
      <c r="G2543" t="s">
        <v>4076</v>
      </c>
      <c r="P2543" t="s">
        <v>4596</v>
      </c>
      <c r="R2543" t="s">
        <v>4035</v>
      </c>
      <c r="S2543" t="s">
        <v>1749</v>
      </c>
      <c r="V2543" t="s">
        <v>4600</v>
      </c>
      <c r="Z2543">
        <v>4</v>
      </c>
      <c r="AA2543">
        <v>4</v>
      </c>
      <c r="AC2543">
        <v>467.5</v>
      </c>
      <c r="AD2543">
        <v>24</v>
      </c>
      <c r="AE2543">
        <v>824.6</v>
      </c>
      <c r="AF2543">
        <v>30.5</v>
      </c>
      <c r="AJ2543" t="s">
        <v>4082</v>
      </c>
      <c r="AK2543" t="s">
        <v>4650</v>
      </c>
      <c r="AN2543">
        <v>2.04</v>
      </c>
      <c r="AO2543">
        <v>0.6</v>
      </c>
      <c r="AP2543">
        <v>1.76</v>
      </c>
      <c r="AQ2543">
        <v>0.87</v>
      </c>
      <c r="AW2543" s="28">
        <f t="shared" si="273"/>
        <v>-0.37468463475506014</v>
      </c>
      <c r="AX2543">
        <f t="shared" si="274"/>
        <v>0.86956521739130432</v>
      </c>
      <c r="AY2543" s="62">
        <f t="shared" si="275"/>
        <v>-0.32581272587396531</v>
      </c>
      <c r="AZ2543" s="68" t="str">
        <f t="shared" si="276"/>
        <v>No</v>
      </c>
      <c r="BA2543" s="68" t="str">
        <f t="shared" si="277"/>
        <v>No</v>
      </c>
    </row>
    <row r="2544" spans="1:55" ht="15" hidden="1">
      <c r="A2544" t="s">
        <v>3914</v>
      </c>
      <c r="G2544" t="s">
        <v>4961</v>
      </c>
      <c r="P2544" t="s">
        <v>4596</v>
      </c>
      <c r="R2544" t="s">
        <v>4035</v>
      </c>
      <c r="S2544" t="s">
        <v>1749</v>
      </c>
      <c r="V2544" t="s">
        <v>4598</v>
      </c>
      <c r="Z2544">
        <v>4</v>
      </c>
      <c r="AA2544">
        <v>4</v>
      </c>
      <c r="AC2544">
        <v>467.5</v>
      </c>
      <c r="AD2544">
        <v>24</v>
      </c>
      <c r="AE2544">
        <v>474.8</v>
      </c>
      <c r="AF2544">
        <v>30.5</v>
      </c>
      <c r="AJ2544" s="56" t="s">
        <v>4682</v>
      </c>
      <c r="AK2544" t="s">
        <v>4650</v>
      </c>
      <c r="AN2544">
        <v>56.428571428571402</v>
      </c>
      <c r="AO2544">
        <v>11.909937888198799</v>
      </c>
      <c r="AP2544">
        <v>45.954968944099299</v>
      </c>
      <c r="AQ2544">
        <v>8.0900621118013998</v>
      </c>
      <c r="AW2544" s="28">
        <f t="shared" si="273"/>
        <v>-1.0287643616506821</v>
      </c>
      <c r="AX2544">
        <f t="shared" si="274"/>
        <v>0.86956521739130432</v>
      </c>
      <c r="AY2544" s="73">
        <f t="shared" si="275"/>
        <v>-0.89457770578320184</v>
      </c>
      <c r="AZ2544" s="74" t="str">
        <f t="shared" si="276"/>
        <v>No</v>
      </c>
      <c r="BA2544" s="74" t="str">
        <f t="shared" si="277"/>
        <v>No</v>
      </c>
    </row>
    <row r="2545" spans="1:53" ht="15" hidden="1">
      <c r="A2545" t="s">
        <v>3914</v>
      </c>
      <c r="G2545" t="s">
        <v>4076</v>
      </c>
      <c r="P2545" t="s">
        <v>4596</v>
      </c>
      <c r="R2545" t="s">
        <v>4035</v>
      </c>
      <c r="S2545" t="s">
        <v>1749</v>
      </c>
      <c r="V2545" t="s">
        <v>4600</v>
      </c>
      <c r="Z2545">
        <v>4</v>
      </c>
      <c r="AA2545">
        <v>4</v>
      </c>
      <c r="AC2545">
        <v>467.5</v>
      </c>
      <c r="AD2545">
        <v>24</v>
      </c>
      <c r="AE2545">
        <v>824.6</v>
      </c>
      <c r="AF2545">
        <v>30.5</v>
      </c>
      <c r="AJ2545" s="56" t="s">
        <v>4682</v>
      </c>
      <c r="AK2545" t="s">
        <v>4650</v>
      </c>
      <c r="AN2545">
        <v>56.428571428571402</v>
      </c>
      <c r="AO2545">
        <v>11.909937888198797</v>
      </c>
      <c r="AP2545">
        <v>50.535714285714199</v>
      </c>
      <c r="AQ2545">
        <v>13.571428571428598</v>
      </c>
      <c r="AW2545" s="28">
        <f t="shared" si="273"/>
        <v>-0.46154274951366731</v>
      </c>
      <c r="AX2545">
        <f t="shared" si="274"/>
        <v>0.86956521739130432</v>
      </c>
      <c r="AY2545" s="73">
        <f t="shared" si="275"/>
        <v>-0.40134152131623241</v>
      </c>
      <c r="AZ2545" s="74" t="str">
        <f t="shared" si="276"/>
        <v>No</v>
      </c>
      <c r="BA2545" s="74" t="str">
        <f t="shared" si="277"/>
        <v>No</v>
      </c>
    </row>
    <row r="2546" spans="1:53" ht="15" hidden="1">
      <c r="A2546" t="s">
        <v>3914</v>
      </c>
      <c r="G2546" t="s">
        <v>4076</v>
      </c>
      <c r="P2546" t="s">
        <v>4596</v>
      </c>
      <c r="R2546" t="s">
        <v>4035</v>
      </c>
      <c r="S2546" t="s">
        <v>1749</v>
      </c>
      <c r="V2546" t="s">
        <v>4598</v>
      </c>
      <c r="Z2546">
        <v>80</v>
      </c>
      <c r="AA2546">
        <v>80</v>
      </c>
      <c r="AC2546">
        <v>467.5</v>
      </c>
      <c r="AD2546">
        <v>24</v>
      </c>
      <c r="AE2546">
        <v>474.8</v>
      </c>
      <c r="AF2546">
        <v>30.5</v>
      </c>
      <c r="AJ2546" t="s">
        <v>4687</v>
      </c>
      <c r="AK2546" t="s">
        <v>4672</v>
      </c>
      <c r="AN2546">
        <v>0.76</v>
      </c>
      <c r="AO2546" s="63" t="s">
        <v>4973</v>
      </c>
      <c r="AP2546">
        <v>0.57999999999999996</v>
      </c>
      <c r="AQ2546" s="63" t="s">
        <v>4973</v>
      </c>
      <c r="AU2546" s="58" t="s">
        <v>4688</v>
      </c>
      <c r="AW2546" s="28" t="e">
        <f t="shared" si="273"/>
        <v>#VALUE!</v>
      </c>
      <c r="AX2546">
        <f t="shared" si="274"/>
        <v>0.99524564183835185</v>
      </c>
      <c r="AY2546" s="62" t="e">
        <f t="shared" si="275"/>
        <v>#VALUE!</v>
      </c>
      <c r="AZ2546" s="68" t="e">
        <f t="shared" si="276"/>
        <v>#VALUE!</v>
      </c>
      <c r="BA2546" s="68" t="e">
        <f t="shared" si="277"/>
        <v>#VALUE!</v>
      </c>
    </row>
    <row r="2547" spans="1:53" ht="15" hidden="1">
      <c r="A2547" t="s">
        <v>3914</v>
      </c>
      <c r="G2547" t="s">
        <v>4076</v>
      </c>
      <c r="P2547" t="s">
        <v>4596</v>
      </c>
      <c r="R2547" t="s">
        <v>4035</v>
      </c>
      <c r="S2547" t="s">
        <v>1749</v>
      </c>
      <c r="V2547" t="s">
        <v>4600</v>
      </c>
      <c r="Z2547">
        <v>80</v>
      </c>
      <c r="AA2547">
        <v>80</v>
      </c>
      <c r="AC2547">
        <v>467.5</v>
      </c>
      <c r="AD2547">
        <v>24</v>
      </c>
      <c r="AE2547">
        <v>824.6</v>
      </c>
      <c r="AF2547">
        <v>30.5</v>
      </c>
      <c r="AJ2547" t="s">
        <v>4684</v>
      </c>
      <c r="AK2547" t="s">
        <v>4672</v>
      </c>
      <c r="AN2547">
        <v>0.76</v>
      </c>
      <c r="AO2547" s="63" t="s">
        <v>4973</v>
      </c>
      <c r="AP2547">
        <v>0.54500000000000004</v>
      </c>
      <c r="AQ2547" s="63" t="s">
        <v>4973</v>
      </c>
      <c r="AU2547" s="58" t="s">
        <v>4688</v>
      </c>
      <c r="AW2547" s="28" t="e">
        <f t="shared" si="273"/>
        <v>#VALUE!</v>
      </c>
      <c r="AX2547">
        <f t="shared" si="274"/>
        <v>0.99524564183835185</v>
      </c>
      <c r="AY2547" s="62" t="e">
        <f t="shared" si="275"/>
        <v>#VALUE!</v>
      </c>
      <c r="AZ2547" s="68" t="e">
        <f t="shared" si="276"/>
        <v>#VALUE!</v>
      </c>
      <c r="BA2547" s="68" t="e">
        <f t="shared" si="277"/>
        <v>#VALUE!</v>
      </c>
    </row>
    <row r="2548" spans="1:53" ht="15" hidden="1">
      <c r="A2548" s="56" t="s">
        <v>3914</v>
      </c>
      <c r="G2548" s="56" t="s">
        <v>5116</v>
      </c>
      <c r="P2548" s="56" t="s">
        <v>60</v>
      </c>
      <c r="Q2548" s="56"/>
      <c r="R2548" s="56" t="s">
        <v>4357</v>
      </c>
      <c r="S2548" s="56" t="s">
        <v>4384</v>
      </c>
      <c r="T2548" s="56"/>
      <c r="U2548" s="56"/>
      <c r="V2548" s="56" t="s">
        <v>3956</v>
      </c>
      <c r="W2548" s="56"/>
      <c r="X2548" s="56"/>
      <c r="Y2548" s="56"/>
      <c r="Z2548" s="56">
        <v>4</v>
      </c>
      <c r="AA2548" s="56">
        <v>4</v>
      </c>
      <c r="AB2548" s="56"/>
      <c r="AC2548" s="56">
        <v>525</v>
      </c>
      <c r="AD2548" s="56">
        <v>25</v>
      </c>
      <c r="AE2548" s="56">
        <v>2020.8</v>
      </c>
      <c r="AF2548" s="56">
        <v>25</v>
      </c>
      <c r="AG2548" s="56"/>
      <c r="AH2548" s="56"/>
      <c r="AI2548" s="56"/>
      <c r="AJ2548" s="56" t="s">
        <v>4484</v>
      </c>
      <c r="AK2548" s="56" t="s">
        <v>4151</v>
      </c>
      <c r="AN2548" s="56">
        <v>93</v>
      </c>
      <c r="AO2548" s="56">
        <v>2</v>
      </c>
      <c r="AP2548" s="56">
        <v>92</v>
      </c>
      <c r="AQ2548" s="56">
        <v>2</v>
      </c>
      <c r="AW2548" s="28">
        <f t="shared" si="273"/>
        <v>-0.5</v>
      </c>
      <c r="AX2548">
        <f t="shared" si="274"/>
        <v>0.86956521739130432</v>
      </c>
      <c r="AY2548" s="62">
        <f t="shared" si="275"/>
        <v>-0.43478260869565216</v>
      </c>
      <c r="AZ2548" s="68" t="str">
        <f t="shared" si="276"/>
        <v>No</v>
      </c>
      <c r="BA2548" s="68" t="str">
        <f t="shared" si="277"/>
        <v>No</v>
      </c>
    </row>
    <row r="2549" spans="1:53" ht="15" hidden="1">
      <c r="A2549" s="56" t="s">
        <v>3914</v>
      </c>
      <c r="G2549" s="56" t="s">
        <v>5025</v>
      </c>
      <c r="P2549" s="56" t="s">
        <v>60</v>
      </c>
      <c r="Q2549" s="56"/>
      <c r="R2549" s="56" t="s">
        <v>4357</v>
      </c>
      <c r="S2549" s="56" t="s">
        <v>4384</v>
      </c>
      <c r="T2549" s="56"/>
      <c r="U2549" s="56"/>
      <c r="V2549" s="56" t="s">
        <v>3956</v>
      </c>
      <c r="W2549" s="56"/>
      <c r="X2549" s="56"/>
      <c r="Y2549" s="56"/>
      <c r="Z2549" s="56">
        <v>4</v>
      </c>
      <c r="AA2549" s="56">
        <v>4</v>
      </c>
      <c r="AB2549" s="56"/>
      <c r="AC2549" s="56">
        <v>525</v>
      </c>
      <c r="AD2549" s="56">
        <v>25</v>
      </c>
      <c r="AE2549" s="56">
        <v>2020.8</v>
      </c>
      <c r="AF2549" s="56">
        <v>25</v>
      </c>
      <c r="AG2549" s="56"/>
      <c r="AH2549" s="56"/>
      <c r="AI2549" s="56"/>
      <c r="AJ2549" s="56" t="s">
        <v>2020</v>
      </c>
      <c r="AK2549" s="56" t="s">
        <v>4093</v>
      </c>
      <c r="AN2549" s="56">
        <v>88</v>
      </c>
      <c r="AO2549" s="56">
        <v>12</v>
      </c>
      <c r="AP2549" s="56">
        <v>93</v>
      </c>
      <c r="AQ2549" s="56">
        <v>8</v>
      </c>
      <c r="AW2549" s="28">
        <f t="shared" si="273"/>
        <v>0.49029033784546011</v>
      </c>
      <c r="AX2549">
        <f t="shared" si="274"/>
        <v>0.86956521739130432</v>
      </c>
      <c r="AY2549" s="62">
        <f t="shared" si="275"/>
        <v>0.42633942421344356</v>
      </c>
      <c r="AZ2549" s="68" t="str">
        <f t="shared" si="276"/>
        <v>No</v>
      </c>
      <c r="BA2549" s="68" t="str">
        <f t="shared" si="277"/>
        <v>No</v>
      </c>
    </row>
    <row r="2550" spans="1:53" ht="15">
      <c r="A2550" s="56" t="s">
        <v>3914</v>
      </c>
      <c r="G2550" s="56" t="s">
        <v>4376</v>
      </c>
      <c r="P2550" s="56" t="s">
        <v>60</v>
      </c>
      <c r="Q2550" s="56"/>
      <c r="R2550" s="56" t="s">
        <v>4357</v>
      </c>
      <c r="S2550" s="56" t="s">
        <v>4384</v>
      </c>
      <c r="T2550" s="56"/>
      <c r="U2550" s="56"/>
      <c r="V2550" s="56" t="s">
        <v>3956</v>
      </c>
      <c r="W2550" s="56"/>
      <c r="X2550" s="56"/>
      <c r="Y2550" s="56"/>
      <c r="Z2550" s="56">
        <v>4</v>
      </c>
      <c r="AA2550" s="56">
        <v>4</v>
      </c>
      <c r="AB2550" s="56"/>
      <c r="AC2550" s="56">
        <v>525</v>
      </c>
      <c r="AD2550" s="56">
        <v>25</v>
      </c>
      <c r="AE2550" s="56">
        <v>6945.3</v>
      </c>
      <c r="AF2550" s="56">
        <v>25</v>
      </c>
      <c r="AG2550" s="56"/>
      <c r="AH2550" s="56"/>
      <c r="AI2550" s="56"/>
      <c r="AJ2550" s="56" t="s">
        <v>2020</v>
      </c>
      <c r="AK2550" s="56" t="s">
        <v>4093</v>
      </c>
      <c r="AN2550" s="56">
        <v>88</v>
      </c>
      <c r="AO2550" s="56">
        <v>12</v>
      </c>
      <c r="AP2550" s="56">
        <v>10</v>
      </c>
      <c r="AQ2550" s="56">
        <v>13</v>
      </c>
      <c r="AW2550" s="28">
        <f t="shared" si="273"/>
        <v>-6.2350139824239657</v>
      </c>
      <c r="AX2550">
        <f t="shared" si="274"/>
        <v>0.86956521739130432</v>
      </c>
      <c r="AY2550" s="62">
        <f t="shared" si="275"/>
        <v>-5.4217512890643178</v>
      </c>
      <c r="AZ2550" s="68" t="str">
        <f t="shared" si="276"/>
        <v>No</v>
      </c>
      <c r="BA2550" s="68" t="str">
        <f t="shared" si="277"/>
        <v>No</v>
      </c>
    </row>
    <row r="2551" spans="1:53" ht="15" hidden="1">
      <c r="A2551" s="56" t="s">
        <v>3914</v>
      </c>
      <c r="G2551" s="56" t="s">
        <v>4731</v>
      </c>
      <c r="P2551" s="56" t="s">
        <v>4596</v>
      </c>
      <c r="Q2551" s="56"/>
      <c r="R2551" s="56" t="s">
        <v>4286</v>
      </c>
      <c r="S2551" s="56" t="s">
        <v>1009</v>
      </c>
      <c r="T2551" s="56"/>
      <c r="U2551" s="56"/>
      <c r="V2551" s="56" t="s">
        <v>4598</v>
      </c>
      <c r="W2551" s="56"/>
      <c r="X2551" s="56"/>
      <c r="Y2551" s="56"/>
      <c r="Z2551" s="56">
        <v>8</v>
      </c>
      <c r="AA2551" s="56">
        <v>8</v>
      </c>
      <c r="AB2551" s="56"/>
      <c r="AC2551" s="56">
        <v>381.4</v>
      </c>
      <c r="AD2551" s="56">
        <v>22</v>
      </c>
      <c r="AE2551" s="56">
        <v>387.9</v>
      </c>
      <c r="AF2551" s="56">
        <v>26</v>
      </c>
      <c r="AG2551" s="56"/>
      <c r="AH2551" s="56"/>
      <c r="AI2551" s="56"/>
      <c r="AJ2551" s="56" t="s">
        <v>4736</v>
      </c>
      <c r="AK2551" s="56" t="s">
        <v>4737</v>
      </c>
      <c r="AN2551" s="56">
        <v>1.25</v>
      </c>
      <c r="AO2551" s="56">
        <v>0.87726616703355864</v>
      </c>
      <c r="AP2551" s="56">
        <v>2.6</v>
      </c>
      <c r="AQ2551" s="56">
        <v>0.69576282213009544</v>
      </c>
      <c r="AW2551" s="28">
        <f t="shared" si="273"/>
        <v>1.7051205955702902</v>
      </c>
      <c r="AX2551">
        <f t="shared" si="274"/>
        <v>0.94545454545454544</v>
      </c>
      <c r="AY2551" s="62">
        <f t="shared" si="275"/>
        <v>1.6121140176300925</v>
      </c>
      <c r="AZ2551" s="68" t="str">
        <f t="shared" si="276"/>
        <v>No</v>
      </c>
      <c r="BA2551" s="68" t="str">
        <f t="shared" si="277"/>
        <v>No</v>
      </c>
    </row>
    <row r="2552" spans="1:53" ht="15" hidden="1">
      <c r="A2552" s="56" t="s">
        <v>3914</v>
      </c>
      <c r="G2552" s="56" t="s">
        <v>4731</v>
      </c>
      <c r="P2552" s="56" t="s">
        <v>4596</v>
      </c>
      <c r="Q2552" s="56"/>
      <c r="R2552" s="56" t="s">
        <v>4286</v>
      </c>
      <c r="S2552" s="56" t="s">
        <v>1009</v>
      </c>
      <c r="T2552" s="56"/>
      <c r="U2552" s="56"/>
      <c r="V2552" s="56" t="s">
        <v>4600</v>
      </c>
      <c r="W2552" s="56"/>
      <c r="X2552" s="56"/>
      <c r="Y2552" s="56"/>
      <c r="Z2552" s="56">
        <v>8</v>
      </c>
      <c r="AA2552" s="56">
        <v>8</v>
      </c>
      <c r="AB2552" s="56"/>
      <c r="AC2552" s="56">
        <v>381.4</v>
      </c>
      <c r="AD2552" s="56">
        <v>22</v>
      </c>
      <c r="AE2552" s="56">
        <v>1883.4</v>
      </c>
      <c r="AF2552" s="56">
        <v>26</v>
      </c>
      <c r="AG2552" s="56"/>
      <c r="AH2552" s="56"/>
      <c r="AI2552" s="56"/>
      <c r="AJ2552" s="56" t="s">
        <v>4733</v>
      </c>
      <c r="AK2552" s="56" t="s">
        <v>4737</v>
      </c>
      <c r="AN2552" s="56">
        <v>1.25</v>
      </c>
      <c r="AO2552" s="56">
        <v>0.87726616703355864</v>
      </c>
      <c r="AP2552" s="56">
        <v>3</v>
      </c>
      <c r="AQ2552" s="56">
        <v>0.71680668820586624</v>
      </c>
      <c r="AW2552" s="28">
        <f t="shared" si="273"/>
        <v>2.1845939004705688</v>
      </c>
      <c r="AX2552">
        <f t="shared" si="274"/>
        <v>0.94545454545454544</v>
      </c>
      <c r="AY2552" s="62">
        <f t="shared" si="275"/>
        <v>2.0654342331721742</v>
      </c>
      <c r="AZ2552" s="68" t="str">
        <f t="shared" si="276"/>
        <v>No</v>
      </c>
      <c r="BA2552" s="68" t="str">
        <f t="shared" si="277"/>
        <v>No</v>
      </c>
    </row>
    <row r="2553" spans="1:53" ht="15" hidden="1">
      <c r="A2553" s="56" t="s">
        <v>3914</v>
      </c>
      <c r="G2553" s="56" t="s">
        <v>4937</v>
      </c>
      <c r="P2553" s="56" t="s">
        <v>4596</v>
      </c>
      <c r="Q2553" s="56"/>
      <c r="R2553" s="56" t="s">
        <v>4286</v>
      </c>
      <c r="S2553" s="56" t="s">
        <v>1009</v>
      </c>
      <c r="T2553" s="56"/>
      <c r="U2553" s="56"/>
      <c r="V2553" s="56" t="s">
        <v>4598</v>
      </c>
      <c r="W2553" s="56"/>
      <c r="X2553" s="56"/>
      <c r="Y2553" s="56"/>
      <c r="Z2553" s="56">
        <v>8</v>
      </c>
      <c r="AA2553" s="56">
        <v>8</v>
      </c>
      <c r="AB2553" s="56"/>
      <c r="AC2553" s="56">
        <v>381.4</v>
      </c>
      <c r="AD2553" s="56">
        <v>22</v>
      </c>
      <c r="AE2553" s="56">
        <v>387.9</v>
      </c>
      <c r="AF2553" s="56">
        <v>26</v>
      </c>
      <c r="AG2553" s="56"/>
      <c r="AH2553" s="56"/>
      <c r="AI2553" s="56"/>
      <c r="AJ2553" s="56" t="s">
        <v>4734</v>
      </c>
      <c r="AK2553" s="56" t="s">
        <v>4672</v>
      </c>
      <c r="AN2553" s="56">
        <v>47</v>
      </c>
      <c r="AO2553" s="56">
        <v>43.92007790686116</v>
      </c>
      <c r="AP2553" s="56">
        <v>12</v>
      </c>
      <c r="AQ2553" s="56">
        <v>10.939562514752422</v>
      </c>
      <c r="AW2553" s="28">
        <f t="shared" si="273"/>
        <v>-1.0935772008590463</v>
      </c>
      <c r="AX2553">
        <f t="shared" si="274"/>
        <v>0.94545454545454544</v>
      </c>
      <c r="AY2553" s="62">
        <f t="shared" si="275"/>
        <v>-1.0339275353576438</v>
      </c>
      <c r="AZ2553" s="68" t="str">
        <f t="shared" si="276"/>
        <v>No</v>
      </c>
      <c r="BA2553" s="68" t="str">
        <f t="shared" si="277"/>
        <v>No</v>
      </c>
    </row>
    <row r="2554" spans="1:53" ht="15" hidden="1">
      <c r="A2554" s="56" t="s">
        <v>3914</v>
      </c>
      <c r="G2554" s="56" t="s">
        <v>4731</v>
      </c>
      <c r="P2554" s="56" t="s">
        <v>4596</v>
      </c>
      <c r="Q2554" s="56"/>
      <c r="R2554" s="56" t="s">
        <v>4286</v>
      </c>
      <c r="S2554" s="56" t="s">
        <v>1009</v>
      </c>
      <c r="T2554" s="56"/>
      <c r="U2554" s="56"/>
      <c r="V2554" s="56" t="s">
        <v>4600</v>
      </c>
      <c r="W2554" s="56"/>
      <c r="X2554" s="56"/>
      <c r="Y2554" s="56"/>
      <c r="Z2554" s="56">
        <v>8</v>
      </c>
      <c r="AA2554" s="56">
        <v>8</v>
      </c>
      <c r="AB2554" s="56"/>
      <c r="AC2554" s="56">
        <v>381.4</v>
      </c>
      <c r="AD2554" s="56">
        <v>22</v>
      </c>
      <c r="AE2554" s="56">
        <v>1883.4</v>
      </c>
      <c r="AF2554" s="56">
        <v>26</v>
      </c>
      <c r="AG2554" s="56"/>
      <c r="AH2554" s="56"/>
      <c r="AI2554" s="56"/>
      <c r="AJ2554" s="56" t="s">
        <v>4732</v>
      </c>
      <c r="AK2554" s="56" t="s">
        <v>4672</v>
      </c>
      <c r="AN2554" s="56">
        <v>47</v>
      </c>
      <c r="AO2554" s="56">
        <v>43.92007790686116</v>
      </c>
      <c r="AP2554" s="56">
        <v>33.5</v>
      </c>
      <c r="AQ2554" s="56">
        <v>40.942445506395856</v>
      </c>
      <c r="AW2554" s="28">
        <f t="shared" si="273"/>
        <v>-0.31796597304767893</v>
      </c>
      <c r="AX2554">
        <f t="shared" si="274"/>
        <v>0.94545454545454544</v>
      </c>
      <c r="AY2554" s="62">
        <f t="shared" si="275"/>
        <v>-0.30062237451780555</v>
      </c>
      <c r="AZ2554" s="68" t="str">
        <f t="shared" si="276"/>
        <v>No</v>
      </c>
      <c r="BA2554" s="68" t="str">
        <f t="shared" si="277"/>
        <v>No</v>
      </c>
    </row>
    <row r="2555" spans="1:53" ht="15" hidden="1">
      <c r="A2555" s="56" t="s">
        <v>3914</v>
      </c>
      <c r="G2555" s="56" t="s">
        <v>3924</v>
      </c>
      <c r="P2555" s="56" t="s">
        <v>60</v>
      </c>
      <c r="Q2555" s="56"/>
      <c r="R2555" s="56" t="s">
        <v>3942</v>
      </c>
      <c r="S2555" s="56" t="s">
        <v>3948</v>
      </c>
      <c r="T2555" s="56"/>
      <c r="U2555" s="56"/>
      <c r="V2555" s="56" t="s">
        <v>3956</v>
      </c>
      <c r="W2555" s="56"/>
      <c r="X2555" s="56"/>
      <c r="Y2555" s="56"/>
      <c r="Z2555" s="56">
        <v>11</v>
      </c>
      <c r="AA2555" s="56">
        <v>11</v>
      </c>
      <c r="AB2555" s="56"/>
      <c r="AC2555" s="56">
        <v>344.4</v>
      </c>
      <c r="AD2555" s="56">
        <v>16</v>
      </c>
      <c r="AE2555" s="56">
        <v>1370.3</v>
      </c>
      <c r="AF2555" s="56">
        <v>16</v>
      </c>
      <c r="AG2555" s="56"/>
      <c r="AH2555" s="56"/>
      <c r="AI2555" s="56"/>
      <c r="AJ2555" s="56" t="s">
        <v>1792</v>
      </c>
      <c r="AK2555" s="56" t="s">
        <v>904</v>
      </c>
      <c r="AN2555" s="56">
        <v>4.2</v>
      </c>
      <c r="AO2555" s="56">
        <v>1.3</v>
      </c>
      <c r="AP2555" s="56">
        <v>0.3</v>
      </c>
      <c r="AQ2555" s="56">
        <v>1.3</v>
      </c>
      <c r="AW2555" s="28">
        <f t="shared" si="273"/>
        <v>-3</v>
      </c>
      <c r="AX2555">
        <f t="shared" si="274"/>
        <v>0.96202531645569622</v>
      </c>
      <c r="AY2555" s="62">
        <f t="shared" si="275"/>
        <v>-2.8860759493670889</v>
      </c>
      <c r="AZ2555" s="68" t="str">
        <f t="shared" si="276"/>
        <v>No</v>
      </c>
      <c r="BA2555" s="68" t="str">
        <f t="shared" si="277"/>
        <v>No</v>
      </c>
    </row>
    <row r="2556" spans="1:53" ht="15" hidden="1">
      <c r="A2556" s="56" t="s">
        <v>3914</v>
      </c>
      <c r="G2556" s="56" t="s">
        <v>3924</v>
      </c>
      <c r="P2556" s="56" t="s">
        <v>60</v>
      </c>
      <c r="Q2556" s="56"/>
      <c r="R2556" s="56" t="s">
        <v>3942</v>
      </c>
      <c r="S2556" s="56" t="s">
        <v>3948</v>
      </c>
      <c r="T2556" s="56"/>
      <c r="U2556" s="56"/>
      <c r="V2556" s="56" t="s">
        <v>3956</v>
      </c>
      <c r="W2556" s="56"/>
      <c r="X2556" s="56"/>
      <c r="Y2556" s="56"/>
      <c r="Z2556" s="56">
        <v>11</v>
      </c>
      <c r="AA2556" s="56">
        <v>11</v>
      </c>
      <c r="AB2556" s="56"/>
      <c r="AC2556" s="56">
        <v>344.4</v>
      </c>
      <c r="AD2556" s="56">
        <v>16</v>
      </c>
      <c r="AE2556" s="56">
        <v>1370.3</v>
      </c>
      <c r="AF2556" s="56">
        <v>16</v>
      </c>
      <c r="AG2556" s="56"/>
      <c r="AH2556" s="56"/>
      <c r="AI2556" s="56"/>
      <c r="AJ2556" s="56" t="s">
        <v>1792</v>
      </c>
      <c r="AK2556" s="56" t="s">
        <v>904</v>
      </c>
      <c r="AN2556" s="56">
        <v>4.2</v>
      </c>
      <c r="AO2556" s="56">
        <v>1.3</v>
      </c>
      <c r="AP2556" s="56">
        <v>2</v>
      </c>
      <c r="AQ2556" s="56">
        <v>1.5</v>
      </c>
      <c r="AW2556" s="28">
        <f t="shared" si="273"/>
        <v>-1.5674350997340121</v>
      </c>
      <c r="AX2556">
        <f t="shared" si="274"/>
        <v>0.96202531645569622</v>
      </c>
      <c r="AY2556" s="62">
        <f t="shared" si="275"/>
        <v>-1.5079122478453788</v>
      </c>
      <c r="AZ2556" s="68" t="str">
        <f t="shared" si="276"/>
        <v>No</v>
      </c>
      <c r="BA2556" s="68" t="str">
        <f t="shared" si="277"/>
        <v>No</v>
      </c>
    </row>
    <row r="2557" spans="1:53" ht="15" hidden="1">
      <c r="A2557" s="56" t="s">
        <v>3914</v>
      </c>
      <c r="G2557" s="56" t="s">
        <v>3924</v>
      </c>
      <c r="P2557" s="56" t="s">
        <v>60</v>
      </c>
      <c r="Q2557" s="56"/>
      <c r="R2557" s="56" t="s">
        <v>3942</v>
      </c>
      <c r="S2557" s="56" t="s">
        <v>3948</v>
      </c>
      <c r="T2557" s="56"/>
      <c r="U2557" s="56"/>
      <c r="V2557" s="56" t="s">
        <v>3956</v>
      </c>
      <c r="W2557" s="56"/>
      <c r="X2557" s="56"/>
      <c r="Y2557" s="56"/>
      <c r="Z2557" s="56">
        <v>11</v>
      </c>
      <c r="AA2557" s="56">
        <v>11</v>
      </c>
      <c r="AB2557" s="56"/>
      <c r="AC2557" s="56">
        <v>344.4</v>
      </c>
      <c r="AD2557" s="56">
        <v>16</v>
      </c>
      <c r="AE2557" s="56">
        <v>1370.3</v>
      </c>
      <c r="AF2557" s="56">
        <v>16</v>
      </c>
      <c r="AG2557" s="56"/>
      <c r="AH2557" s="56"/>
      <c r="AI2557" s="56"/>
      <c r="AJ2557" s="56" t="s">
        <v>665</v>
      </c>
      <c r="AK2557" s="56" t="s">
        <v>904</v>
      </c>
      <c r="AN2557" s="56">
        <v>125</v>
      </c>
      <c r="AO2557" s="56">
        <v>20</v>
      </c>
      <c r="AP2557" s="56">
        <v>95</v>
      </c>
      <c r="AQ2557" s="56">
        <v>25</v>
      </c>
      <c r="AW2557" s="28">
        <f t="shared" si="273"/>
        <v>-1.3251783128981585</v>
      </c>
      <c r="AX2557">
        <f t="shared" si="274"/>
        <v>0.96202531645569622</v>
      </c>
      <c r="AY2557" s="62">
        <f t="shared" si="275"/>
        <v>-1.2748550858260765</v>
      </c>
      <c r="AZ2557" s="68" t="str">
        <f t="shared" si="276"/>
        <v>No</v>
      </c>
      <c r="BA2557" s="68" t="str">
        <f t="shared" si="277"/>
        <v>No</v>
      </c>
    </row>
    <row r="2558" spans="1:53" ht="15" hidden="1">
      <c r="A2558" s="56" t="s">
        <v>3914</v>
      </c>
      <c r="G2558" s="56" t="s">
        <v>3924</v>
      </c>
      <c r="P2558" s="56" t="s">
        <v>60</v>
      </c>
      <c r="Q2558" s="56"/>
      <c r="R2558" s="56" t="s">
        <v>3942</v>
      </c>
      <c r="S2558" s="56" t="s">
        <v>3948</v>
      </c>
      <c r="T2558" s="56"/>
      <c r="U2558" s="56"/>
      <c r="V2558" s="56" t="s">
        <v>3956</v>
      </c>
      <c r="W2558" s="56"/>
      <c r="X2558" s="56"/>
      <c r="Y2558" s="56"/>
      <c r="Z2558" s="56">
        <v>11</v>
      </c>
      <c r="AA2558" s="56">
        <v>11</v>
      </c>
      <c r="AB2558" s="56"/>
      <c r="AC2558" s="56">
        <v>344.4</v>
      </c>
      <c r="AD2558" s="56">
        <v>16</v>
      </c>
      <c r="AE2558" s="56">
        <v>1370.3</v>
      </c>
      <c r="AF2558" s="56">
        <v>16</v>
      </c>
      <c r="AG2558" s="56"/>
      <c r="AH2558" s="56"/>
      <c r="AI2558" s="56"/>
      <c r="AJ2558" s="56" t="s">
        <v>665</v>
      </c>
      <c r="AK2558" s="56" t="s">
        <v>904</v>
      </c>
      <c r="AN2558" s="56">
        <v>125</v>
      </c>
      <c r="AO2558" s="56">
        <v>20</v>
      </c>
      <c r="AP2558" s="56">
        <v>73</v>
      </c>
      <c r="AQ2558" s="56">
        <v>25</v>
      </c>
      <c r="AW2558" s="28">
        <f t="shared" si="273"/>
        <v>-2.2969757423568078</v>
      </c>
      <c r="AX2558">
        <f t="shared" si="274"/>
        <v>0.96202531645569622</v>
      </c>
      <c r="AY2558" s="62">
        <f t="shared" si="275"/>
        <v>-2.2097488154318659</v>
      </c>
      <c r="AZ2558" s="68" t="str">
        <f t="shared" si="276"/>
        <v>No</v>
      </c>
      <c r="BA2558" s="68" t="str">
        <f t="shared" si="277"/>
        <v>No</v>
      </c>
    </row>
    <row r="2559" spans="1:53" hidden="1">
      <c r="A2559" t="s">
        <v>3914</v>
      </c>
      <c r="G2559" t="s">
        <v>4331</v>
      </c>
      <c r="P2559" t="s">
        <v>60</v>
      </c>
      <c r="R2559" t="s">
        <v>4286</v>
      </c>
      <c r="S2559" t="s">
        <v>4296</v>
      </c>
      <c r="V2559" t="s">
        <v>3956</v>
      </c>
      <c r="Z2559">
        <v>130</v>
      </c>
      <c r="AA2559">
        <v>130</v>
      </c>
      <c r="AC2559">
        <v>368.18</v>
      </c>
      <c r="AD2559">
        <v>28.63</v>
      </c>
      <c r="AE2559">
        <v>1449.04</v>
      </c>
      <c r="AF2559">
        <v>28.67</v>
      </c>
      <c r="AJ2559" t="s">
        <v>4218</v>
      </c>
      <c r="AK2559" t="s">
        <v>4244</v>
      </c>
      <c r="AN2559">
        <v>150.99</v>
      </c>
      <c r="AO2559">
        <v>53.588244979659486</v>
      </c>
      <c r="AP2559">
        <v>16.03</v>
      </c>
      <c r="AQ2559">
        <v>38.879981995880605</v>
      </c>
      <c r="AW2559" s="28">
        <f t="shared" si="273"/>
        <v>-2.8828154709903289</v>
      </c>
      <c r="AX2559">
        <f t="shared" si="274"/>
        <v>0.99709020368574197</v>
      </c>
      <c r="AY2559" s="62">
        <f t="shared" si="275"/>
        <v>-2.8744270651581552</v>
      </c>
      <c r="AZ2559" s="68" t="str">
        <f t="shared" si="276"/>
        <v>No</v>
      </c>
      <c r="BA2559" s="68" t="str">
        <f t="shared" si="277"/>
        <v>No</v>
      </c>
    </row>
    <row r="2560" spans="1:53" hidden="1">
      <c r="A2560" t="s">
        <v>3914</v>
      </c>
      <c r="G2560" t="s">
        <v>4331</v>
      </c>
      <c r="P2560" t="s">
        <v>60</v>
      </c>
      <c r="R2560" t="s">
        <v>4286</v>
      </c>
      <c r="S2560" t="s">
        <v>4296</v>
      </c>
      <c r="V2560" t="s">
        <v>3956</v>
      </c>
      <c r="Z2560">
        <v>130</v>
      </c>
      <c r="AA2560">
        <v>130</v>
      </c>
      <c r="AC2560">
        <v>368.18</v>
      </c>
      <c r="AD2560">
        <v>28.63</v>
      </c>
      <c r="AE2560">
        <v>902.98</v>
      </c>
      <c r="AF2560">
        <v>28.6</v>
      </c>
      <c r="AJ2560" t="s">
        <v>4218</v>
      </c>
      <c r="AK2560" t="s">
        <v>4244</v>
      </c>
      <c r="AN2560">
        <v>150.99</v>
      </c>
      <c r="AO2560">
        <v>53.588244979659486</v>
      </c>
      <c r="AP2560">
        <v>117.16</v>
      </c>
      <c r="AQ2560">
        <v>75.251578056543096</v>
      </c>
      <c r="AW2560" s="28">
        <f t="shared" si="273"/>
        <v>-0.51787858684313759</v>
      </c>
      <c r="AX2560">
        <f t="shared" si="274"/>
        <v>0.99709020368574197</v>
      </c>
      <c r="AY2560" s="62">
        <f t="shared" si="275"/>
        <v>-0.51637166563990822</v>
      </c>
      <c r="AZ2560" s="68" t="str">
        <f t="shared" si="276"/>
        <v>No</v>
      </c>
      <c r="BA2560" s="68" t="str">
        <f t="shared" si="277"/>
        <v>No</v>
      </c>
    </row>
    <row r="2561" spans="1:55" hidden="1">
      <c r="A2561" t="s">
        <v>3914</v>
      </c>
      <c r="G2561" t="s">
        <v>4260</v>
      </c>
      <c r="P2561" t="s">
        <v>60</v>
      </c>
      <c r="R2561" t="s">
        <v>4116</v>
      </c>
      <c r="S2561" t="s">
        <v>1759</v>
      </c>
      <c r="V2561" t="s">
        <v>3956</v>
      </c>
      <c r="Z2561">
        <v>2</v>
      </c>
      <c r="AA2561">
        <v>2</v>
      </c>
      <c r="AC2561">
        <v>565</v>
      </c>
      <c r="AD2561">
        <v>25.8</v>
      </c>
      <c r="AE2561">
        <v>1515</v>
      </c>
      <c r="AF2561">
        <v>25.9</v>
      </c>
      <c r="AJ2561" t="s">
        <v>4265</v>
      </c>
      <c r="AK2561" t="s">
        <v>4266</v>
      </c>
      <c r="AN2561">
        <v>0.755</v>
      </c>
      <c r="AO2561">
        <v>0.22173557826083448</v>
      </c>
      <c r="AP2561">
        <v>0.67749999999999999</v>
      </c>
      <c r="AQ2561">
        <v>0.20287516687197921</v>
      </c>
      <c r="AW2561" s="28">
        <f t="shared" si="273"/>
        <v>-0.36468064581121257</v>
      </c>
      <c r="AX2561">
        <f t="shared" si="274"/>
        <v>0.5714285714285714</v>
      </c>
      <c r="AY2561" s="62">
        <f t="shared" si="275"/>
        <v>-0.20838894046355003</v>
      </c>
      <c r="AZ2561" s="68" t="str">
        <f t="shared" si="276"/>
        <v>No</v>
      </c>
      <c r="BA2561" s="68" t="str">
        <f t="shared" si="277"/>
        <v>No</v>
      </c>
    </row>
    <row r="2562" spans="1:55" hidden="1">
      <c r="A2562" t="s">
        <v>3914</v>
      </c>
      <c r="G2562" t="s">
        <v>4203</v>
      </c>
      <c r="P2562" t="s">
        <v>60</v>
      </c>
      <c r="R2562" t="s">
        <v>4116</v>
      </c>
      <c r="S2562" t="s">
        <v>4213</v>
      </c>
      <c r="V2562" t="s">
        <v>3956</v>
      </c>
      <c r="Z2562">
        <v>2</v>
      </c>
      <c r="AA2562">
        <v>2</v>
      </c>
      <c r="AC2562">
        <v>493.81</v>
      </c>
      <c r="AD2562">
        <v>15</v>
      </c>
      <c r="AE2562">
        <v>1114.8399999999999</v>
      </c>
      <c r="AF2562">
        <v>15</v>
      </c>
      <c r="AJ2562" t="s">
        <v>4274</v>
      </c>
      <c r="AK2562" t="s">
        <v>4266</v>
      </c>
      <c r="AN2562">
        <v>0.7</v>
      </c>
      <c r="AO2562">
        <v>0.13</v>
      </c>
      <c r="AP2562">
        <v>0.67</v>
      </c>
      <c r="AQ2562">
        <v>0.28999999999999998</v>
      </c>
      <c r="AW2562" s="28">
        <f t="shared" si="273"/>
        <v>-0.13349824784699507</v>
      </c>
      <c r="AX2562">
        <f t="shared" si="274"/>
        <v>0.5714285714285714</v>
      </c>
      <c r="AY2562" s="62">
        <f t="shared" si="275"/>
        <v>-7.6284713055425751E-2</v>
      </c>
      <c r="AZ2562" s="68" t="str">
        <f t="shared" si="276"/>
        <v>No</v>
      </c>
      <c r="BA2562" s="68" t="str">
        <f t="shared" si="277"/>
        <v>No</v>
      </c>
    </row>
    <row r="2563" spans="1:55" hidden="1">
      <c r="A2563" t="s">
        <v>3914</v>
      </c>
      <c r="G2563" t="s">
        <v>4203</v>
      </c>
      <c r="P2563" t="s">
        <v>60</v>
      </c>
      <c r="R2563" t="s">
        <v>4116</v>
      </c>
      <c r="S2563" t="s">
        <v>4213</v>
      </c>
      <c r="V2563" t="s">
        <v>3956</v>
      </c>
      <c r="Z2563">
        <v>3</v>
      </c>
      <c r="AA2563">
        <v>3</v>
      </c>
      <c r="AC2563">
        <v>493.81</v>
      </c>
      <c r="AD2563">
        <v>15</v>
      </c>
      <c r="AE2563">
        <v>1114.8399999999999</v>
      </c>
      <c r="AF2563">
        <v>15</v>
      </c>
      <c r="AJ2563" t="s">
        <v>4273</v>
      </c>
      <c r="AK2563" t="s">
        <v>4266</v>
      </c>
      <c r="AN2563">
        <v>1.93</v>
      </c>
      <c r="AO2563">
        <v>0.47</v>
      </c>
      <c r="AP2563">
        <v>1.9</v>
      </c>
      <c r="AQ2563">
        <v>0.7</v>
      </c>
      <c r="AW2563" s="28">
        <f t="shared" si="273"/>
        <v>-5.0318999274639099E-2</v>
      </c>
      <c r="AX2563">
        <f t="shared" si="274"/>
        <v>0.8</v>
      </c>
      <c r="AY2563" s="62">
        <f t="shared" si="275"/>
        <v>-4.0255199419711285E-2</v>
      </c>
      <c r="AZ2563" s="68" t="str">
        <f t="shared" si="276"/>
        <v>No</v>
      </c>
      <c r="BA2563" s="68" t="str">
        <f t="shared" si="277"/>
        <v>No</v>
      </c>
    </row>
    <row r="2564" spans="1:55" hidden="1">
      <c r="A2564" t="s">
        <v>3914</v>
      </c>
      <c r="G2564" t="s">
        <v>4203</v>
      </c>
      <c r="P2564" t="s">
        <v>60</v>
      </c>
      <c r="R2564" t="s">
        <v>4116</v>
      </c>
      <c r="S2564" t="s">
        <v>4213</v>
      </c>
      <c r="V2564" t="s">
        <v>3956</v>
      </c>
      <c r="Z2564">
        <v>2</v>
      </c>
      <c r="AA2564">
        <v>2</v>
      </c>
      <c r="AC2564">
        <v>493.81</v>
      </c>
      <c r="AD2564">
        <v>15</v>
      </c>
      <c r="AE2564">
        <v>1114.8399999999999</v>
      </c>
      <c r="AF2564">
        <v>15</v>
      </c>
      <c r="AJ2564" t="s">
        <v>4239</v>
      </c>
      <c r="AK2564" t="s">
        <v>4244</v>
      </c>
      <c r="AN2564">
        <v>120</v>
      </c>
      <c r="AO2564">
        <v>10.5</v>
      </c>
      <c r="AP2564">
        <v>127</v>
      </c>
      <c r="AQ2564">
        <v>12</v>
      </c>
      <c r="AW2564" s="28">
        <f t="shared" si="273"/>
        <v>0.62084409822189002</v>
      </c>
      <c r="AX2564">
        <f t="shared" si="274"/>
        <v>0.5714285714285714</v>
      </c>
      <c r="AY2564" s="62">
        <f t="shared" si="275"/>
        <v>0.3547680561267943</v>
      </c>
      <c r="AZ2564" s="68" t="str">
        <f t="shared" si="276"/>
        <v>No</v>
      </c>
      <c r="BA2564" s="68" t="str">
        <f t="shared" si="277"/>
        <v>No</v>
      </c>
    </row>
    <row r="2565" spans="1:55" hidden="1">
      <c r="A2565" t="s">
        <v>3914</v>
      </c>
      <c r="G2565" t="s">
        <v>4279</v>
      </c>
      <c r="P2565" t="s">
        <v>60</v>
      </c>
      <c r="R2565" t="s">
        <v>4285</v>
      </c>
      <c r="S2565" t="s">
        <v>4282</v>
      </c>
      <c r="V2565" t="s">
        <v>3956</v>
      </c>
      <c r="Z2565">
        <v>6</v>
      </c>
      <c r="AA2565">
        <v>6</v>
      </c>
      <c r="AC2565">
        <v>367</v>
      </c>
      <c r="AD2565">
        <v>16.2</v>
      </c>
      <c r="AE2565">
        <v>1011</v>
      </c>
      <c r="AF2565">
        <v>16.2</v>
      </c>
      <c r="AJ2565" t="s">
        <v>4059</v>
      </c>
      <c r="AK2565" t="s">
        <v>4093</v>
      </c>
      <c r="AN2565">
        <v>91</v>
      </c>
      <c r="AO2565">
        <v>24.494897427831781</v>
      </c>
      <c r="AP2565">
        <v>93</v>
      </c>
      <c r="AQ2565">
        <v>12.24744871391589</v>
      </c>
      <c r="AW2565" s="28">
        <f t="shared" si="273"/>
        <v>0.10327955589886445</v>
      </c>
      <c r="AX2565">
        <f t="shared" si="274"/>
        <v>0.92307692307692313</v>
      </c>
      <c r="AY2565" s="62">
        <f t="shared" si="275"/>
        <v>9.5334974675874887E-2</v>
      </c>
      <c r="AZ2565" s="68" t="str">
        <f t="shared" si="276"/>
        <v>No</v>
      </c>
      <c r="BA2565" s="68" t="str">
        <f t="shared" si="277"/>
        <v>No</v>
      </c>
    </row>
    <row r="2566" spans="1:55" hidden="1">
      <c r="A2566" t="s">
        <v>3914</v>
      </c>
      <c r="G2566" t="s">
        <v>4279</v>
      </c>
      <c r="P2566" t="s">
        <v>60</v>
      </c>
      <c r="R2566" t="s">
        <v>4285</v>
      </c>
      <c r="S2566" t="s">
        <v>4282</v>
      </c>
      <c r="V2566" t="s">
        <v>3956</v>
      </c>
      <c r="Z2566">
        <v>6</v>
      </c>
      <c r="AA2566">
        <v>6</v>
      </c>
      <c r="AC2566">
        <v>367</v>
      </c>
      <c r="AD2566">
        <v>16.2</v>
      </c>
      <c r="AE2566">
        <v>2268</v>
      </c>
      <c r="AF2566">
        <v>16.2</v>
      </c>
      <c r="AJ2566" t="s">
        <v>4059</v>
      </c>
      <c r="AK2566" t="s">
        <v>4093</v>
      </c>
      <c r="AN2566">
        <v>91</v>
      </c>
      <c r="AO2566">
        <v>24.494897427831781</v>
      </c>
      <c r="AP2566">
        <v>87</v>
      </c>
      <c r="AQ2566">
        <v>12.24744871391589</v>
      </c>
      <c r="AW2566" s="28">
        <f t="shared" si="273"/>
        <v>-0.2065591117977289</v>
      </c>
      <c r="AX2566">
        <f t="shared" si="274"/>
        <v>0.92307692307692313</v>
      </c>
      <c r="AY2566" s="62">
        <f t="shared" si="275"/>
        <v>-0.19066994935174977</v>
      </c>
      <c r="AZ2566" s="68" t="str">
        <f t="shared" si="276"/>
        <v>No</v>
      </c>
      <c r="BA2566" s="68" t="str">
        <f t="shared" si="277"/>
        <v>No</v>
      </c>
    </row>
    <row r="2567" spans="1:55" hidden="1">
      <c r="A2567" t="s">
        <v>3914</v>
      </c>
      <c r="G2567" t="s">
        <v>4173</v>
      </c>
      <c r="P2567" t="s">
        <v>60</v>
      </c>
      <c r="R2567" t="s">
        <v>4116</v>
      </c>
      <c r="S2567" t="s">
        <v>1759</v>
      </c>
      <c r="V2567" t="s">
        <v>3956</v>
      </c>
      <c r="Z2567">
        <v>3</v>
      </c>
      <c r="AA2567">
        <v>3</v>
      </c>
      <c r="AC2567">
        <v>432.6</v>
      </c>
      <c r="AD2567">
        <v>28</v>
      </c>
      <c r="AE2567">
        <v>2275</v>
      </c>
      <c r="AF2567">
        <v>28</v>
      </c>
      <c r="AJ2567" t="s">
        <v>4218</v>
      </c>
      <c r="AK2567" t="s">
        <v>4244</v>
      </c>
      <c r="AN2567">
        <v>98</v>
      </c>
      <c r="AO2567">
        <v>4.3301270189221928</v>
      </c>
      <c r="AP2567">
        <v>88</v>
      </c>
      <c r="AQ2567">
        <v>6.9282032302755088</v>
      </c>
      <c r="AW2567" s="28">
        <f t="shared" si="273"/>
        <v>-1.730969289631662</v>
      </c>
      <c r="AX2567">
        <f t="shared" si="274"/>
        <v>0.8</v>
      </c>
      <c r="AY2567" s="62">
        <f t="shared" si="275"/>
        <v>-1.3847754317053296</v>
      </c>
      <c r="AZ2567" s="68" t="str">
        <f t="shared" si="276"/>
        <v>No</v>
      </c>
      <c r="BA2567" s="68" t="str">
        <f t="shared" si="277"/>
        <v>No</v>
      </c>
    </row>
    <row r="2568" spans="1:55" hidden="1">
      <c r="A2568" t="s">
        <v>3914</v>
      </c>
      <c r="G2568" t="s">
        <v>4177</v>
      </c>
      <c r="P2568" t="s">
        <v>60</v>
      </c>
      <c r="R2568" t="s">
        <v>4116</v>
      </c>
      <c r="S2568" t="s">
        <v>4210</v>
      </c>
      <c r="V2568" t="s">
        <v>3956</v>
      </c>
      <c r="Z2568">
        <v>5</v>
      </c>
      <c r="AA2568">
        <v>5</v>
      </c>
      <c r="AC2568">
        <v>657</v>
      </c>
      <c r="AD2568">
        <v>29</v>
      </c>
      <c r="AE2568">
        <v>3581</v>
      </c>
      <c r="AF2568">
        <v>29</v>
      </c>
      <c r="AJ2568" t="s">
        <v>4226</v>
      </c>
      <c r="AK2568" t="s">
        <v>4244</v>
      </c>
      <c r="AN2568">
        <v>7.67</v>
      </c>
      <c r="AO2568">
        <v>0.27</v>
      </c>
      <c r="AP2568">
        <v>6.55</v>
      </c>
      <c r="AQ2568">
        <v>0.27</v>
      </c>
      <c r="AW2568" s="28">
        <f t="shared" si="273"/>
        <v>-4.1481481481481479</v>
      </c>
      <c r="AX2568">
        <f t="shared" si="274"/>
        <v>0.90322580645161288</v>
      </c>
      <c r="AY2568" s="62">
        <f t="shared" si="275"/>
        <v>-3.7467144563918753</v>
      </c>
      <c r="AZ2568" s="68" t="str">
        <f t="shared" si="276"/>
        <v>No</v>
      </c>
      <c r="BA2568" s="68" t="str">
        <f t="shared" si="277"/>
        <v>No</v>
      </c>
    </row>
    <row r="2569" spans="1:55" hidden="1">
      <c r="A2569" t="s">
        <v>3914</v>
      </c>
      <c r="G2569" t="s">
        <v>4177</v>
      </c>
      <c r="P2569" t="s">
        <v>60</v>
      </c>
      <c r="R2569" t="s">
        <v>4116</v>
      </c>
      <c r="S2569" t="s">
        <v>4210</v>
      </c>
      <c r="V2569" t="s">
        <v>3956</v>
      </c>
      <c r="Z2569">
        <v>5</v>
      </c>
      <c r="AA2569">
        <v>5</v>
      </c>
      <c r="AC2569">
        <v>657</v>
      </c>
      <c r="AD2569">
        <v>29</v>
      </c>
      <c r="AE2569">
        <v>1697</v>
      </c>
      <c r="AF2569">
        <v>29</v>
      </c>
      <c r="AJ2569" t="s">
        <v>4226</v>
      </c>
      <c r="AK2569" t="s">
        <v>4244</v>
      </c>
      <c r="AN2569">
        <v>7.67</v>
      </c>
      <c r="AO2569">
        <v>0.27</v>
      </c>
      <c r="AP2569">
        <v>7.55</v>
      </c>
      <c r="AQ2569">
        <v>0.4</v>
      </c>
      <c r="AW2569" s="28">
        <f t="shared" si="273"/>
        <v>-0.35165071080982191</v>
      </c>
      <c r="AX2569">
        <f t="shared" si="274"/>
        <v>0.90322580645161288</v>
      </c>
      <c r="AY2569" s="62">
        <f t="shared" si="275"/>
        <v>-0.31761999686048431</v>
      </c>
      <c r="AZ2569" s="68" t="str">
        <f t="shared" si="276"/>
        <v>No</v>
      </c>
      <c r="BA2569" s="68" t="str">
        <f t="shared" si="277"/>
        <v>No</v>
      </c>
    </row>
    <row r="2570" spans="1:55" hidden="1">
      <c r="A2570" s="77" t="s">
        <v>3914</v>
      </c>
      <c r="G2570" s="77" t="s">
        <v>4246</v>
      </c>
      <c r="P2570" s="77" t="s">
        <v>60</v>
      </c>
      <c r="Q2570" s="77"/>
      <c r="R2570" s="77" t="s">
        <v>4116</v>
      </c>
      <c r="S2570" s="77" t="s">
        <v>4210</v>
      </c>
      <c r="T2570" s="77"/>
      <c r="U2570" s="77"/>
      <c r="V2570" s="77" t="s">
        <v>3956</v>
      </c>
      <c r="W2570" s="77"/>
      <c r="X2570" s="77"/>
      <c r="Y2570" s="77"/>
      <c r="Z2570" s="77">
        <v>3</v>
      </c>
      <c r="AA2570" s="77">
        <v>3</v>
      </c>
      <c r="AB2570" s="77"/>
      <c r="AC2570" s="77">
        <v>720</v>
      </c>
      <c r="AD2570" s="77">
        <v>21</v>
      </c>
      <c r="AE2570" s="77">
        <v>2419</v>
      </c>
      <c r="AF2570" s="77">
        <v>21</v>
      </c>
      <c r="AG2570" s="77"/>
      <c r="AH2570" s="77"/>
      <c r="AI2570" s="77"/>
      <c r="AJ2570" s="77" t="s">
        <v>1202</v>
      </c>
      <c r="AK2570" s="77" t="s">
        <v>4093</v>
      </c>
      <c r="AN2570" s="77">
        <v>53</v>
      </c>
      <c r="AO2570" s="77">
        <v>15</v>
      </c>
      <c r="AP2570" s="77">
        <v>29</v>
      </c>
      <c r="AQ2570" s="77">
        <v>12</v>
      </c>
      <c r="AW2570" s="28">
        <f t="shared" si="273"/>
        <v>-1.7669044171975448</v>
      </c>
      <c r="AX2570">
        <f t="shared" si="274"/>
        <v>0.8</v>
      </c>
      <c r="AY2570" s="62">
        <f t="shared" si="275"/>
        <v>-1.4135235337580359</v>
      </c>
      <c r="AZ2570" s="68" t="str">
        <f t="shared" si="276"/>
        <v>No</v>
      </c>
      <c r="BA2570" s="68" t="str">
        <f t="shared" si="277"/>
        <v>No</v>
      </c>
    </row>
    <row r="2571" spans="1:55" ht="15" hidden="1">
      <c r="A2571" s="56" t="s">
        <v>3914</v>
      </c>
      <c r="G2571" s="56" t="s">
        <v>4947</v>
      </c>
      <c r="P2571" s="56" t="s">
        <v>4596</v>
      </c>
      <c r="Q2571" s="56"/>
      <c r="R2571" s="56" t="s">
        <v>4664</v>
      </c>
      <c r="S2571" s="56" t="s">
        <v>1759</v>
      </c>
      <c r="T2571" s="56"/>
      <c r="U2571" s="56"/>
      <c r="V2571" s="56" t="s">
        <v>4598</v>
      </c>
      <c r="W2571" s="56"/>
      <c r="X2571" s="56"/>
      <c r="Y2571" s="56"/>
      <c r="Z2571" s="56">
        <v>3</v>
      </c>
      <c r="AA2571" s="56">
        <v>3</v>
      </c>
      <c r="AB2571" s="56"/>
      <c r="AC2571" s="56">
        <v>514.20000000000005</v>
      </c>
      <c r="AD2571" s="56">
        <v>24</v>
      </c>
      <c r="AE2571" s="56">
        <v>529.6</v>
      </c>
      <c r="AF2571" s="56">
        <v>30</v>
      </c>
      <c r="AG2571" s="56"/>
      <c r="AH2571" s="56"/>
      <c r="AI2571" s="56"/>
      <c r="AJ2571" s="56" t="s">
        <v>4979</v>
      </c>
      <c r="AK2571" s="56" t="s">
        <v>4672</v>
      </c>
      <c r="AN2571" s="56">
        <v>100</v>
      </c>
      <c r="AO2571" s="56">
        <v>0</v>
      </c>
      <c r="AP2571" s="56">
        <v>97</v>
      </c>
      <c r="AQ2571" s="56">
        <v>2.253468824899409</v>
      </c>
      <c r="AW2571" s="28">
        <f t="shared" si="273"/>
        <v>-1.8827155007607745</v>
      </c>
      <c r="AX2571">
        <f t="shared" si="274"/>
        <v>0.8</v>
      </c>
      <c r="AY2571" s="62">
        <f t="shared" si="275"/>
        <v>-1.5061724006086197</v>
      </c>
      <c r="AZ2571" s="68" t="str">
        <f t="shared" si="276"/>
        <v>No</v>
      </c>
      <c r="BA2571" s="68" t="str">
        <f t="shared" si="277"/>
        <v>No</v>
      </c>
    </row>
    <row r="2572" spans="1:55" hidden="1">
      <c r="A2572" t="s">
        <v>3914</v>
      </c>
      <c r="G2572" t="s">
        <v>4251</v>
      </c>
      <c r="P2572" t="s">
        <v>60</v>
      </c>
      <c r="R2572" t="s">
        <v>4116</v>
      </c>
      <c r="S2572" t="s">
        <v>1759</v>
      </c>
      <c r="V2572" t="s">
        <v>3956</v>
      </c>
      <c r="Z2572">
        <v>4</v>
      </c>
      <c r="AA2572">
        <v>4</v>
      </c>
      <c r="AC2572">
        <v>400</v>
      </c>
      <c r="AD2572">
        <v>24</v>
      </c>
      <c r="AE2572">
        <v>1800</v>
      </c>
      <c r="AF2572">
        <v>24</v>
      </c>
      <c r="AJ2572" t="s">
        <v>4065</v>
      </c>
      <c r="AK2572" t="s">
        <v>4258</v>
      </c>
      <c r="AN2572">
        <v>100</v>
      </c>
      <c r="AO2572">
        <v>0</v>
      </c>
      <c r="AP2572">
        <v>97</v>
      </c>
      <c r="AQ2572">
        <v>3</v>
      </c>
      <c r="AW2572" s="28">
        <f t="shared" si="273"/>
        <v>-1.4142135623730951</v>
      </c>
      <c r="AX2572">
        <f t="shared" si="274"/>
        <v>0.86956521739130432</v>
      </c>
      <c r="AY2572" s="62">
        <f t="shared" si="275"/>
        <v>-1.2297509238026914</v>
      </c>
      <c r="AZ2572" s="68" t="str">
        <f t="shared" si="276"/>
        <v>No</v>
      </c>
      <c r="BA2572" s="68" t="str">
        <f t="shared" si="277"/>
        <v>No</v>
      </c>
    </row>
    <row r="2573" spans="1:55" ht="15" hidden="1">
      <c r="A2573" s="56" t="s">
        <v>3914</v>
      </c>
      <c r="G2573" s="56" t="s">
        <v>4251</v>
      </c>
      <c r="P2573" s="56" t="s">
        <v>4596</v>
      </c>
      <c r="Q2573" s="56"/>
      <c r="R2573" s="56" t="s">
        <v>4664</v>
      </c>
      <c r="S2573" s="56" t="s">
        <v>1759</v>
      </c>
      <c r="T2573" s="56"/>
      <c r="U2573" s="56"/>
      <c r="V2573" s="56" t="s">
        <v>4600</v>
      </c>
      <c r="W2573" s="56"/>
      <c r="X2573" s="56"/>
      <c r="Y2573" s="56"/>
      <c r="Z2573" s="56">
        <v>3</v>
      </c>
      <c r="AA2573" s="56">
        <v>3</v>
      </c>
      <c r="AB2573" s="56"/>
      <c r="AC2573" s="56">
        <v>514.20000000000005</v>
      </c>
      <c r="AD2573" s="56">
        <v>24</v>
      </c>
      <c r="AE2573" s="56">
        <v>3208</v>
      </c>
      <c r="AF2573" s="56">
        <v>30</v>
      </c>
      <c r="AG2573" s="56"/>
      <c r="AH2573" s="56"/>
      <c r="AI2573" s="56"/>
      <c r="AJ2573" s="56" t="s">
        <v>4065</v>
      </c>
      <c r="AK2573" s="56" t="s">
        <v>4672</v>
      </c>
      <c r="AN2573" s="56">
        <v>100</v>
      </c>
      <c r="AO2573" s="56">
        <v>0</v>
      </c>
      <c r="AP2573" s="56">
        <v>95</v>
      </c>
      <c r="AQ2573" s="56">
        <v>10.52196597472194</v>
      </c>
      <c r="AW2573" s="28">
        <f t="shared" si="273"/>
        <v>-0.67202914634518562</v>
      </c>
      <c r="AX2573">
        <f t="shared" si="274"/>
        <v>0.8</v>
      </c>
      <c r="AY2573" s="62">
        <f t="shared" si="275"/>
        <v>-0.53762331707614852</v>
      </c>
      <c r="AZ2573" s="68" t="str">
        <f t="shared" si="276"/>
        <v>No</v>
      </c>
      <c r="BA2573" s="68" t="str">
        <f t="shared" si="277"/>
        <v>No</v>
      </c>
    </row>
    <row r="2574" spans="1:55" s="77" customFormat="1" ht="15" hidden="1">
      <c r="A2574" s="56" t="s">
        <v>3914</v>
      </c>
      <c r="B2574"/>
      <c r="C2574"/>
      <c r="D2574" s="25"/>
      <c r="E2574" s="25"/>
      <c r="F2574"/>
      <c r="G2574" s="56" t="s">
        <v>3959</v>
      </c>
      <c r="H2574"/>
      <c r="I2574"/>
      <c r="J2574"/>
      <c r="K2574"/>
      <c r="L2574"/>
      <c r="M2574" s="25"/>
      <c r="N2574"/>
      <c r="O2574"/>
      <c r="P2574" s="56" t="s">
        <v>60</v>
      </c>
      <c r="Q2574" s="56"/>
      <c r="R2574" s="56" t="s">
        <v>3942</v>
      </c>
      <c r="S2574" s="56" t="s">
        <v>3965</v>
      </c>
      <c r="T2574" s="56"/>
      <c r="U2574" s="56"/>
      <c r="V2574" s="56" t="s">
        <v>3956</v>
      </c>
      <c r="W2574" s="56"/>
      <c r="X2574" s="56"/>
      <c r="Y2574" s="56"/>
      <c r="Z2574" s="56">
        <v>3</v>
      </c>
      <c r="AA2574" s="56">
        <v>3</v>
      </c>
      <c r="AB2574" s="56"/>
      <c r="AC2574" s="56">
        <v>517.9</v>
      </c>
      <c r="AD2574" s="56">
        <v>24.5</v>
      </c>
      <c r="AE2574" s="56">
        <v>1996.7</v>
      </c>
      <c r="AF2574" s="56">
        <v>24.5</v>
      </c>
      <c r="AG2574" s="56"/>
      <c r="AH2574" s="56"/>
      <c r="AI2574" s="56"/>
      <c r="AJ2574" s="56" t="s">
        <v>3979</v>
      </c>
      <c r="AK2574" s="56" t="s">
        <v>40</v>
      </c>
      <c r="AL2574" s="25"/>
      <c r="AM2574" s="35"/>
      <c r="AN2574" s="56">
        <v>321</v>
      </c>
      <c r="AO2574" s="56">
        <v>11.25</v>
      </c>
      <c r="AP2574" s="56">
        <v>318</v>
      </c>
      <c r="AQ2574" s="56">
        <v>7.5</v>
      </c>
      <c r="AR2574"/>
      <c r="AS2574"/>
      <c r="AT2574"/>
      <c r="AU2574"/>
      <c r="AV2574"/>
      <c r="AW2574" s="28">
        <f t="shared" ref="AW2574:AW2637" si="278">(AP2574-$AN2574)/SQRT(((AA2574-1)*AQ2574*AQ2574+($Z2574-1)*$AO2574*$AO2574)/(AA2574+$Z2574-2))</f>
        <v>-0.31378581622109447</v>
      </c>
      <c r="AX2574">
        <f t="shared" ref="AX2574:AX2637" si="279">1-(3/(4*(AA2574+$Z2574-2)-1))</f>
        <v>0.8</v>
      </c>
      <c r="AY2574" s="62">
        <f t="shared" ref="AY2574:AY2637" si="280">AX2574*AW2574</f>
        <v>-0.2510286529768756</v>
      </c>
      <c r="AZ2574" s="68" t="str">
        <f t="shared" ref="AZ2574:AZ2637" si="281">IF(AY2574&gt;10,"Yes","No")</f>
        <v>No</v>
      </c>
      <c r="BA2574" s="68" t="str">
        <f t="shared" ref="BA2574:BA2637" si="282">IF(AY2574&lt;-10,"Yes","No")</f>
        <v>No</v>
      </c>
      <c r="BB2574"/>
      <c r="BC2574"/>
    </row>
    <row r="2575" spans="1:55" s="77" customFormat="1" ht="15" hidden="1">
      <c r="A2575" s="56" t="s">
        <v>3914</v>
      </c>
      <c r="B2575"/>
      <c r="C2575"/>
      <c r="D2575" s="25"/>
      <c r="E2575" s="25"/>
      <c r="F2575"/>
      <c r="G2575" s="56" t="s">
        <v>3959</v>
      </c>
      <c r="H2575"/>
      <c r="I2575"/>
      <c r="J2575"/>
      <c r="K2575"/>
      <c r="L2575"/>
      <c r="M2575" s="25"/>
      <c r="N2575"/>
      <c r="O2575"/>
      <c r="P2575" s="56" t="s">
        <v>60</v>
      </c>
      <c r="Q2575" s="56"/>
      <c r="R2575" s="56" t="s">
        <v>3942</v>
      </c>
      <c r="S2575" s="56" t="s">
        <v>3968</v>
      </c>
      <c r="T2575" s="56"/>
      <c r="U2575" s="56"/>
      <c r="V2575" s="56" t="s">
        <v>3956</v>
      </c>
      <c r="W2575" s="56"/>
      <c r="X2575" s="56"/>
      <c r="Y2575" s="56"/>
      <c r="Z2575" s="56">
        <v>3</v>
      </c>
      <c r="AA2575" s="56">
        <v>3</v>
      </c>
      <c r="AB2575" s="56"/>
      <c r="AC2575" s="56">
        <v>517.9</v>
      </c>
      <c r="AD2575" s="56">
        <v>24.5</v>
      </c>
      <c r="AE2575" s="56">
        <v>1996.7</v>
      </c>
      <c r="AF2575" s="56">
        <v>24.5</v>
      </c>
      <c r="AG2575" s="56"/>
      <c r="AH2575" s="56"/>
      <c r="AI2575" s="56"/>
      <c r="AJ2575" s="56" t="s">
        <v>3979</v>
      </c>
      <c r="AK2575" s="56" t="s">
        <v>40</v>
      </c>
      <c r="AL2575" s="25"/>
      <c r="AM2575" s="35"/>
      <c r="AN2575" s="56">
        <v>345</v>
      </c>
      <c r="AO2575" s="56">
        <v>11.25</v>
      </c>
      <c r="AP2575" s="56">
        <v>335</v>
      </c>
      <c r="AQ2575" s="56">
        <v>9.75</v>
      </c>
      <c r="AR2575"/>
      <c r="AS2575"/>
      <c r="AT2575"/>
      <c r="AU2575"/>
      <c r="AV2575"/>
      <c r="AW2575" s="28">
        <f t="shared" si="278"/>
        <v>-0.94996066650546196</v>
      </c>
      <c r="AX2575">
        <f t="shared" si="279"/>
        <v>0.8</v>
      </c>
      <c r="AY2575" s="62">
        <f t="shared" si="280"/>
        <v>-0.75996853320436963</v>
      </c>
      <c r="AZ2575" s="68" t="str">
        <f t="shared" si="281"/>
        <v>No</v>
      </c>
      <c r="BA2575" s="68" t="str">
        <f t="shared" si="282"/>
        <v>No</v>
      </c>
      <c r="BB2575"/>
      <c r="BC2575"/>
    </row>
    <row r="2576" spans="1:55" s="77" customFormat="1" ht="15" hidden="1">
      <c r="A2576" s="56" t="s">
        <v>3914</v>
      </c>
      <c r="B2576"/>
      <c r="C2576"/>
      <c r="D2576" s="25"/>
      <c r="E2576" s="25"/>
      <c r="F2576"/>
      <c r="G2576" s="56" t="s">
        <v>3959</v>
      </c>
      <c r="H2576"/>
      <c r="I2576"/>
      <c r="J2576"/>
      <c r="K2576"/>
      <c r="L2576"/>
      <c r="M2576" s="25"/>
      <c r="N2576"/>
      <c r="O2576"/>
      <c r="P2576" s="56" t="s">
        <v>60</v>
      </c>
      <c r="Q2576" s="56"/>
      <c r="R2576" s="56" t="s">
        <v>3942</v>
      </c>
      <c r="S2576" s="56" t="s">
        <v>3968</v>
      </c>
      <c r="T2576" s="56"/>
      <c r="U2576" s="56"/>
      <c r="V2576" s="56" t="s">
        <v>3956</v>
      </c>
      <c r="W2576" s="56"/>
      <c r="X2576" s="56"/>
      <c r="Y2576" s="56"/>
      <c r="Z2576" s="56">
        <v>3</v>
      </c>
      <c r="AA2576" s="56">
        <v>3</v>
      </c>
      <c r="AB2576" s="56"/>
      <c r="AC2576" s="56">
        <v>517.9</v>
      </c>
      <c r="AD2576" s="56">
        <v>24.5</v>
      </c>
      <c r="AE2576" s="56">
        <v>3820.1</v>
      </c>
      <c r="AF2576" s="56">
        <v>24.5</v>
      </c>
      <c r="AG2576" s="56"/>
      <c r="AH2576" s="56"/>
      <c r="AI2576" s="56"/>
      <c r="AJ2576" s="56" t="s">
        <v>3979</v>
      </c>
      <c r="AK2576" s="56" t="s">
        <v>40</v>
      </c>
      <c r="AL2576" s="25"/>
      <c r="AM2576" s="35"/>
      <c r="AN2576" s="56">
        <v>345</v>
      </c>
      <c r="AO2576" s="56">
        <v>11.25</v>
      </c>
      <c r="AP2576" s="56">
        <v>350</v>
      </c>
      <c r="AQ2576" s="56">
        <v>11.25</v>
      </c>
      <c r="AR2576"/>
      <c r="AS2576"/>
      <c r="AT2576"/>
      <c r="AU2576"/>
      <c r="AV2576"/>
      <c r="AW2576" s="28">
        <f t="shared" si="278"/>
        <v>0.44444444444444442</v>
      </c>
      <c r="AX2576">
        <f t="shared" si="279"/>
        <v>0.8</v>
      </c>
      <c r="AY2576" s="62">
        <f t="shared" si="280"/>
        <v>0.35555555555555557</v>
      </c>
      <c r="AZ2576" s="68" t="str">
        <f t="shared" si="281"/>
        <v>No</v>
      </c>
      <c r="BA2576" s="68" t="str">
        <f t="shared" si="282"/>
        <v>No</v>
      </c>
      <c r="BB2576"/>
      <c r="BC2576"/>
    </row>
    <row r="2577" spans="1:55" s="77" customFormat="1" ht="15" hidden="1">
      <c r="A2577" s="56" t="s">
        <v>3914</v>
      </c>
      <c r="B2577"/>
      <c r="C2577"/>
      <c r="D2577" s="25"/>
      <c r="E2577" s="25"/>
      <c r="F2577"/>
      <c r="G2577" s="56" t="s">
        <v>3959</v>
      </c>
      <c r="H2577"/>
      <c r="I2577"/>
      <c r="J2577"/>
      <c r="K2577"/>
      <c r="L2577"/>
      <c r="M2577" s="25"/>
      <c r="N2577"/>
      <c r="O2577"/>
      <c r="P2577" s="56" t="s">
        <v>60</v>
      </c>
      <c r="Q2577" s="56"/>
      <c r="R2577" s="56" t="s">
        <v>3942</v>
      </c>
      <c r="S2577" s="56" t="s">
        <v>3965</v>
      </c>
      <c r="T2577" s="56"/>
      <c r="U2577" s="56"/>
      <c r="V2577" s="56" t="s">
        <v>3956</v>
      </c>
      <c r="W2577" s="56"/>
      <c r="X2577" s="56"/>
      <c r="Y2577" s="56"/>
      <c r="Z2577" s="56">
        <v>3</v>
      </c>
      <c r="AA2577" s="56">
        <v>3</v>
      </c>
      <c r="AB2577" s="56"/>
      <c r="AC2577" s="56">
        <v>517.9</v>
      </c>
      <c r="AD2577" s="56">
        <v>24.5</v>
      </c>
      <c r="AE2577" s="56">
        <v>3820.1</v>
      </c>
      <c r="AF2577" s="56">
        <v>24.5</v>
      </c>
      <c r="AG2577" s="56"/>
      <c r="AH2577" s="56"/>
      <c r="AI2577" s="56"/>
      <c r="AJ2577" s="56" t="s">
        <v>3979</v>
      </c>
      <c r="AK2577" s="56" t="s">
        <v>40</v>
      </c>
      <c r="AL2577" s="25"/>
      <c r="AM2577" s="35"/>
      <c r="AN2577" s="56">
        <v>321</v>
      </c>
      <c r="AO2577" s="56">
        <v>11.25</v>
      </c>
      <c r="AP2577" s="56">
        <v>305</v>
      </c>
      <c r="AQ2577" s="56">
        <v>15</v>
      </c>
      <c r="AR2577"/>
      <c r="AS2577"/>
      <c r="AT2577"/>
      <c r="AU2577"/>
      <c r="AV2577"/>
      <c r="AW2577" s="28">
        <f t="shared" si="278"/>
        <v>-1.2067955732250411</v>
      </c>
      <c r="AX2577">
        <f t="shared" si="279"/>
        <v>0.8</v>
      </c>
      <c r="AY2577" s="62">
        <f t="shared" si="280"/>
        <v>-0.96543645858003291</v>
      </c>
      <c r="AZ2577" s="68" t="str">
        <f t="shared" si="281"/>
        <v>No</v>
      </c>
      <c r="BA2577" s="68" t="str">
        <f t="shared" si="282"/>
        <v>No</v>
      </c>
      <c r="BB2577"/>
      <c r="BC2577"/>
    </row>
    <row r="2578" spans="1:55" s="77" customFormat="1" ht="15" hidden="1">
      <c r="A2578" s="56" t="s">
        <v>3914</v>
      </c>
      <c r="B2578"/>
      <c r="C2578"/>
      <c r="D2578" s="25"/>
      <c r="E2578" s="25"/>
      <c r="F2578"/>
      <c r="G2578" s="56" t="s">
        <v>3959</v>
      </c>
      <c r="H2578"/>
      <c r="I2578"/>
      <c r="J2578"/>
      <c r="K2578"/>
      <c r="L2578"/>
      <c r="M2578" s="25"/>
      <c r="N2578"/>
      <c r="O2578"/>
      <c r="P2578" s="56" t="s">
        <v>60</v>
      </c>
      <c r="Q2578" s="56"/>
      <c r="R2578" s="56" t="s">
        <v>3942</v>
      </c>
      <c r="S2578" s="56" t="s">
        <v>3966</v>
      </c>
      <c r="T2578" s="56"/>
      <c r="U2578" s="56"/>
      <c r="V2578" s="56" t="s">
        <v>3956</v>
      </c>
      <c r="W2578" s="56"/>
      <c r="X2578" s="56"/>
      <c r="Y2578" s="56"/>
      <c r="Z2578" s="56">
        <v>3</v>
      </c>
      <c r="AA2578" s="56">
        <v>3</v>
      </c>
      <c r="AB2578" s="56"/>
      <c r="AC2578" s="56">
        <v>517.9</v>
      </c>
      <c r="AD2578" s="56">
        <v>24.5</v>
      </c>
      <c r="AE2578" s="56">
        <v>3820.1</v>
      </c>
      <c r="AF2578" s="56">
        <v>24.5</v>
      </c>
      <c r="AG2578" s="56"/>
      <c r="AH2578" s="56"/>
      <c r="AI2578" s="56"/>
      <c r="AJ2578" s="56" t="s">
        <v>3979</v>
      </c>
      <c r="AK2578" s="56" t="s">
        <v>40</v>
      </c>
      <c r="AL2578" s="25"/>
      <c r="AM2578" s="35"/>
      <c r="AN2578" s="56">
        <v>337</v>
      </c>
      <c r="AO2578" s="56">
        <v>15.75</v>
      </c>
      <c r="AP2578" s="56">
        <v>335</v>
      </c>
      <c r="AQ2578" s="56">
        <v>17.25</v>
      </c>
      <c r="AR2578"/>
      <c r="AS2578"/>
      <c r="AT2578"/>
      <c r="AU2578"/>
      <c r="AV2578"/>
      <c r="AW2578" s="28">
        <f t="shared" si="278"/>
        <v>-0.12108709578306662</v>
      </c>
      <c r="AX2578">
        <f t="shared" si="279"/>
        <v>0.8</v>
      </c>
      <c r="AY2578" s="62">
        <f t="shared" si="280"/>
        <v>-9.6869676626453294E-2</v>
      </c>
      <c r="AZ2578" s="68" t="str">
        <f t="shared" si="281"/>
        <v>No</v>
      </c>
      <c r="BA2578" s="68" t="str">
        <f t="shared" si="282"/>
        <v>No</v>
      </c>
      <c r="BB2578"/>
      <c r="BC2578"/>
    </row>
    <row r="2579" spans="1:55" s="77" customFormat="1" ht="15" hidden="1">
      <c r="A2579" s="56" t="s">
        <v>3914</v>
      </c>
      <c r="B2579"/>
      <c r="C2579"/>
      <c r="D2579" s="25"/>
      <c r="E2579" s="25"/>
      <c r="F2579"/>
      <c r="G2579" s="56" t="s">
        <v>3959</v>
      </c>
      <c r="H2579"/>
      <c r="I2579"/>
      <c r="J2579"/>
      <c r="K2579"/>
      <c r="L2579"/>
      <c r="M2579" s="25"/>
      <c r="N2579"/>
      <c r="O2579"/>
      <c r="P2579" s="56" t="s">
        <v>60</v>
      </c>
      <c r="Q2579" s="56"/>
      <c r="R2579" s="56" t="s">
        <v>3942</v>
      </c>
      <c r="S2579" s="56" t="s">
        <v>3966</v>
      </c>
      <c r="T2579" s="56"/>
      <c r="U2579" s="56"/>
      <c r="V2579" s="56" t="s">
        <v>3956</v>
      </c>
      <c r="W2579" s="56"/>
      <c r="X2579" s="56"/>
      <c r="Y2579" s="56"/>
      <c r="Z2579" s="56">
        <v>3</v>
      </c>
      <c r="AA2579" s="56">
        <v>3</v>
      </c>
      <c r="AB2579" s="56"/>
      <c r="AC2579" s="56">
        <v>517.9</v>
      </c>
      <c r="AD2579" s="56">
        <v>24.5</v>
      </c>
      <c r="AE2579" s="56">
        <v>1996.7</v>
      </c>
      <c r="AF2579" s="56">
        <v>24.5</v>
      </c>
      <c r="AG2579" s="56"/>
      <c r="AH2579" s="56"/>
      <c r="AI2579" s="56"/>
      <c r="AJ2579" s="56" t="s">
        <v>3979</v>
      </c>
      <c r="AK2579" s="56" t="s">
        <v>40</v>
      </c>
      <c r="AL2579" s="25"/>
      <c r="AM2579" s="35"/>
      <c r="AN2579" s="56">
        <v>337</v>
      </c>
      <c r="AO2579" s="56">
        <v>15.75</v>
      </c>
      <c r="AP2579" s="56">
        <v>337</v>
      </c>
      <c r="AQ2579" s="56">
        <v>20</v>
      </c>
      <c r="AR2579"/>
      <c r="AS2579"/>
      <c r="AT2579"/>
      <c r="AU2579"/>
      <c r="AV2579"/>
      <c r="AW2579" s="28">
        <f t="shared" si="278"/>
        <v>0</v>
      </c>
      <c r="AX2579">
        <f t="shared" si="279"/>
        <v>0.8</v>
      </c>
      <c r="AY2579" s="62">
        <f t="shared" si="280"/>
        <v>0</v>
      </c>
      <c r="AZ2579" s="68" t="str">
        <f t="shared" si="281"/>
        <v>No</v>
      </c>
      <c r="BA2579" s="68" t="str">
        <f t="shared" si="282"/>
        <v>No</v>
      </c>
      <c r="BB2579"/>
      <c r="BC2579"/>
    </row>
    <row r="2580" spans="1:55" s="77" customFormat="1" ht="15" hidden="1">
      <c r="A2580" s="56" t="s">
        <v>3914</v>
      </c>
      <c r="B2580"/>
      <c r="C2580"/>
      <c r="D2580" s="25"/>
      <c r="E2580" s="25"/>
      <c r="F2580"/>
      <c r="G2580" s="56" t="s">
        <v>3959</v>
      </c>
      <c r="H2580"/>
      <c r="I2580"/>
      <c r="J2580"/>
      <c r="K2580"/>
      <c r="L2580"/>
      <c r="M2580" s="25"/>
      <c r="N2580"/>
      <c r="O2580"/>
      <c r="P2580" s="56" t="s">
        <v>60</v>
      </c>
      <c r="Q2580" s="56"/>
      <c r="R2580" s="56" t="s">
        <v>3942</v>
      </c>
      <c r="S2580" s="56" t="s">
        <v>3969</v>
      </c>
      <c r="T2580" s="56"/>
      <c r="U2580" s="56"/>
      <c r="V2580" s="56" t="s">
        <v>3956</v>
      </c>
      <c r="W2580" s="56"/>
      <c r="X2580" s="56"/>
      <c r="Y2580" s="56"/>
      <c r="Z2580" s="56">
        <v>3</v>
      </c>
      <c r="AA2580" s="56">
        <v>3</v>
      </c>
      <c r="AB2580" s="56"/>
      <c r="AC2580" s="56">
        <v>517.9</v>
      </c>
      <c r="AD2580" s="56">
        <v>24.5</v>
      </c>
      <c r="AE2580" s="56">
        <v>1996.7</v>
      </c>
      <c r="AF2580" s="56">
        <v>24.5</v>
      </c>
      <c r="AG2580" s="56"/>
      <c r="AH2580" s="56"/>
      <c r="AI2580" s="56"/>
      <c r="AJ2580" s="56" t="s">
        <v>3979</v>
      </c>
      <c r="AK2580" s="56" t="s">
        <v>40</v>
      </c>
      <c r="AL2580" s="25"/>
      <c r="AM2580" s="35"/>
      <c r="AN2580" s="56">
        <v>499</v>
      </c>
      <c r="AO2580" s="56">
        <v>63.75</v>
      </c>
      <c r="AP2580" s="56">
        <v>503</v>
      </c>
      <c r="AQ2580" s="56">
        <v>37.5</v>
      </c>
      <c r="AR2580"/>
      <c r="AS2580"/>
      <c r="AT2580"/>
      <c r="AU2580"/>
      <c r="AV2580"/>
      <c r="AW2580" s="28">
        <f t="shared" si="278"/>
        <v>7.6483705534087967E-2</v>
      </c>
      <c r="AX2580">
        <f t="shared" si="279"/>
        <v>0.8</v>
      </c>
      <c r="AY2580" s="62">
        <f t="shared" si="280"/>
        <v>6.1186964427270375E-2</v>
      </c>
      <c r="AZ2580" s="68" t="str">
        <f t="shared" si="281"/>
        <v>No</v>
      </c>
      <c r="BA2580" s="68" t="str">
        <f t="shared" si="282"/>
        <v>No</v>
      </c>
      <c r="BB2580"/>
      <c r="BC2580"/>
    </row>
    <row r="2581" spans="1:55" s="77" customFormat="1" ht="15" hidden="1">
      <c r="A2581" s="56" t="s">
        <v>3914</v>
      </c>
      <c r="B2581"/>
      <c r="C2581"/>
      <c r="D2581" s="25"/>
      <c r="E2581" s="25"/>
      <c r="F2581"/>
      <c r="G2581" s="56" t="s">
        <v>3959</v>
      </c>
      <c r="H2581"/>
      <c r="I2581"/>
      <c r="J2581"/>
      <c r="K2581"/>
      <c r="L2581"/>
      <c r="M2581" s="25"/>
      <c r="N2581"/>
      <c r="O2581"/>
      <c r="P2581" s="56" t="s">
        <v>60</v>
      </c>
      <c r="Q2581" s="56"/>
      <c r="R2581" s="56" t="s">
        <v>3942</v>
      </c>
      <c r="S2581" s="56" t="s">
        <v>3969</v>
      </c>
      <c r="T2581" s="56"/>
      <c r="U2581" s="56"/>
      <c r="V2581" s="56" t="s">
        <v>3956</v>
      </c>
      <c r="W2581" s="56"/>
      <c r="X2581" s="56"/>
      <c r="Y2581" s="56"/>
      <c r="Z2581" s="56">
        <v>3</v>
      </c>
      <c r="AA2581" s="56">
        <v>3</v>
      </c>
      <c r="AB2581" s="56"/>
      <c r="AC2581" s="56">
        <v>517.9</v>
      </c>
      <c r="AD2581" s="56">
        <v>24.5</v>
      </c>
      <c r="AE2581" s="56">
        <v>3820.1</v>
      </c>
      <c r="AF2581" s="56">
        <v>24.5</v>
      </c>
      <c r="AG2581" s="56"/>
      <c r="AH2581" s="56"/>
      <c r="AI2581" s="56"/>
      <c r="AJ2581" s="56" t="s">
        <v>3979</v>
      </c>
      <c r="AK2581" s="56" t="s">
        <v>40</v>
      </c>
      <c r="AL2581" s="25"/>
      <c r="AM2581" s="35"/>
      <c r="AN2581" s="56">
        <v>499</v>
      </c>
      <c r="AO2581" s="56">
        <v>63.75</v>
      </c>
      <c r="AP2581" s="56">
        <v>520</v>
      </c>
      <c r="AQ2581" s="56">
        <v>56.25</v>
      </c>
      <c r="AR2581"/>
      <c r="AS2581"/>
      <c r="AT2581"/>
      <c r="AU2581"/>
      <c r="AV2581"/>
      <c r="AW2581" s="28">
        <f t="shared" si="278"/>
        <v>0.34931840246901102</v>
      </c>
      <c r="AX2581">
        <f t="shared" si="279"/>
        <v>0.8</v>
      </c>
      <c r="AY2581" s="62">
        <f t="shared" si="280"/>
        <v>0.27945472197520882</v>
      </c>
      <c r="AZ2581" s="68" t="str">
        <f t="shared" si="281"/>
        <v>No</v>
      </c>
      <c r="BA2581" s="68" t="str">
        <f t="shared" si="282"/>
        <v>No</v>
      </c>
      <c r="BB2581"/>
      <c r="BC2581"/>
    </row>
    <row r="2582" spans="1:55" ht="15" hidden="1">
      <c r="A2582" s="56" t="s">
        <v>3914</v>
      </c>
      <c r="G2582" s="56" t="s">
        <v>3959</v>
      </c>
      <c r="P2582" s="56" t="s">
        <v>60</v>
      </c>
      <c r="Q2582" s="56"/>
      <c r="R2582" s="56" t="s">
        <v>3942</v>
      </c>
      <c r="S2582" s="56" t="s">
        <v>3967</v>
      </c>
      <c r="T2582" s="56"/>
      <c r="U2582" s="56"/>
      <c r="V2582" s="56" t="s">
        <v>3956</v>
      </c>
      <c r="W2582" s="56"/>
      <c r="X2582" s="56"/>
      <c r="Y2582" s="56"/>
      <c r="Z2582" s="56">
        <v>3</v>
      </c>
      <c r="AA2582" s="56">
        <v>3</v>
      </c>
      <c r="AB2582" s="56"/>
      <c r="AC2582" s="56">
        <v>517.9</v>
      </c>
      <c r="AD2582" s="56">
        <v>24.5</v>
      </c>
      <c r="AE2582" s="56">
        <v>1996.7</v>
      </c>
      <c r="AF2582" s="56">
        <v>24.5</v>
      </c>
      <c r="AG2582" s="56"/>
      <c r="AH2582" s="56"/>
      <c r="AI2582" s="56"/>
      <c r="AJ2582" s="56" t="s">
        <v>3979</v>
      </c>
      <c r="AK2582" s="56" t="s">
        <v>40</v>
      </c>
      <c r="AN2582" s="56">
        <v>500</v>
      </c>
      <c r="AO2582" s="56">
        <v>75</v>
      </c>
      <c r="AP2582" s="56">
        <v>515</v>
      </c>
      <c r="AQ2582" s="56">
        <v>67.5</v>
      </c>
      <c r="AW2582" s="28">
        <f t="shared" si="278"/>
        <v>0.21023533249105469</v>
      </c>
      <c r="AX2582">
        <f t="shared" si="279"/>
        <v>0.8</v>
      </c>
      <c r="AY2582" s="73">
        <f t="shared" si="280"/>
        <v>0.16818826599284376</v>
      </c>
      <c r="AZ2582" s="74" t="str">
        <f t="shared" si="281"/>
        <v>No</v>
      </c>
      <c r="BA2582" s="74" t="str">
        <f t="shared" si="282"/>
        <v>No</v>
      </c>
      <c r="BB2582" s="56"/>
      <c r="BC2582" s="56"/>
    </row>
    <row r="2583" spans="1:55" ht="15" hidden="1">
      <c r="A2583" s="56" t="s">
        <v>3914</v>
      </c>
      <c r="G2583" s="56" t="s">
        <v>3959</v>
      </c>
      <c r="P2583" s="56" t="s">
        <v>60</v>
      </c>
      <c r="Q2583" s="56"/>
      <c r="R2583" s="56" t="s">
        <v>3942</v>
      </c>
      <c r="S2583" s="56" t="s">
        <v>3967</v>
      </c>
      <c r="T2583" s="56"/>
      <c r="U2583" s="56"/>
      <c r="V2583" s="56" t="s">
        <v>3956</v>
      </c>
      <c r="W2583" s="56"/>
      <c r="X2583" s="56"/>
      <c r="Y2583" s="56"/>
      <c r="Z2583" s="56">
        <v>3</v>
      </c>
      <c r="AA2583" s="56">
        <v>3</v>
      </c>
      <c r="AB2583" s="56"/>
      <c r="AC2583" s="56">
        <v>517.9</v>
      </c>
      <c r="AD2583" s="56">
        <v>24.5</v>
      </c>
      <c r="AE2583" s="56">
        <v>3820.1</v>
      </c>
      <c r="AF2583" s="56">
        <v>24.5</v>
      </c>
      <c r="AG2583" s="56"/>
      <c r="AH2583" s="56"/>
      <c r="AI2583" s="56"/>
      <c r="AJ2583" s="56" t="s">
        <v>3979</v>
      </c>
      <c r="AK2583" s="56" t="s">
        <v>40</v>
      </c>
      <c r="AN2583" s="56">
        <v>500</v>
      </c>
      <c r="AO2583" s="56">
        <v>75</v>
      </c>
      <c r="AP2583" s="56">
        <v>505</v>
      </c>
      <c r="AQ2583" s="56">
        <v>75</v>
      </c>
      <c r="AW2583" s="28">
        <f t="shared" si="278"/>
        <v>6.6666666666666666E-2</v>
      </c>
      <c r="AX2583">
        <f t="shared" si="279"/>
        <v>0.8</v>
      </c>
      <c r="AY2583" s="62">
        <f t="shared" si="280"/>
        <v>5.3333333333333337E-2</v>
      </c>
      <c r="AZ2583" s="68" t="str">
        <f t="shared" si="281"/>
        <v>No</v>
      </c>
      <c r="BA2583" s="68" t="str">
        <f t="shared" si="282"/>
        <v>No</v>
      </c>
    </row>
    <row r="2584" spans="1:55" ht="15" hidden="1">
      <c r="A2584" t="s">
        <v>3914</v>
      </c>
      <c r="G2584" t="s">
        <v>4439</v>
      </c>
      <c r="P2584" t="s">
        <v>60</v>
      </c>
      <c r="R2584" t="s">
        <v>4357</v>
      </c>
      <c r="S2584" t="s">
        <v>952</v>
      </c>
      <c r="V2584" t="s">
        <v>3956</v>
      </c>
      <c r="Z2584">
        <v>25</v>
      </c>
      <c r="AA2584">
        <v>25</v>
      </c>
      <c r="AC2584">
        <v>481.5</v>
      </c>
      <c r="AD2584">
        <v>21</v>
      </c>
      <c r="AE2584">
        <v>1606.4</v>
      </c>
      <c r="AF2584">
        <v>21</v>
      </c>
      <c r="AJ2584" t="s">
        <v>4492</v>
      </c>
      <c r="AK2584" t="s">
        <v>4123</v>
      </c>
      <c r="AN2584">
        <v>0.185</v>
      </c>
      <c r="AO2584">
        <v>7.4999999999999997E-2</v>
      </c>
      <c r="AP2584">
        <v>0.19500000000000001</v>
      </c>
      <c r="AQ2584">
        <v>7.4999999999999997E-2</v>
      </c>
      <c r="AW2584" s="28">
        <f t="shared" si="278"/>
        <v>0.13333333333333347</v>
      </c>
      <c r="AX2584">
        <f t="shared" si="279"/>
        <v>0.98429319371727753</v>
      </c>
      <c r="AY2584" s="73">
        <f t="shared" si="280"/>
        <v>0.13123909249563714</v>
      </c>
      <c r="AZ2584" s="74" t="str">
        <f t="shared" si="281"/>
        <v>No</v>
      </c>
      <c r="BA2584" s="74" t="str">
        <f t="shared" si="282"/>
        <v>No</v>
      </c>
      <c r="BB2584" s="56"/>
      <c r="BC2584" s="56"/>
    </row>
    <row r="2585" spans="1:55" hidden="1">
      <c r="A2585" t="s">
        <v>3914</v>
      </c>
      <c r="G2585" t="s">
        <v>4439</v>
      </c>
      <c r="P2585" t="s">
        <v>60</v>
      </c>
      <c r="R2585" t="s">
        <v>4357</v>
      </c>
      <c r="S2585" t="s">
        <v>952</v>
      </c>
      <c r="V2585" t="s">
        <v>3956</v>
      </c>
      <c r="Z2585">
        <v>25</v>
      </c>
      <c r="AA2585">
        <v>25</v>
      </c>
      <c r="AC2585">
        <v>481.5</v>
      </c>
      <c r="AD2585">
        <v>21</v>
      </c>
      <c r="AE2585">
        <v>924.3</v>
      </c>
      <c r="AF2585">
        <v>21</v>
      </c>
      <c r="AJ2585" t="s">
        <v>4492</v>
      </c>
      <c r="AK2585" t="s">
        <v>4123</v>
      </c>
      <c r="AN2585">
        <v>0.185</v>
      </c>
      <c r="AO2585">
        <v>7.4999999999999997E-2</v>
      </c>
      <c r="AP2585">
        <v>0.22</v>
      </c>
      <c r="AQ2585">
        <v>0.17500000000000002</v>
      </c>
      <c r="AW2585" s="28">
        <f t="shared" si="278"/>
        <v>0.25997347344787258</v>
      </c>
      <c r="AX2585">
        <f t="shared" si="279"/>
        <v>0.98429319371727753</v>
      </c>
      <c r="AY2585" s="62">
        <f t="shared" si="280"/>
        <v>0.25589012046178033</v>
      </c>
      <c r="AZ2585" s="68" t="str">
        <f t="shared" si="281"/>
        <v>No</v>
      </c>
      <c r="BA2585" s="68" t="str">
        <f t="shared" si="282"/>
        <v>No</v>
      </c>
    </row>
    <row r="2586" spans="1:55" hidden="1">
      <c r="A2586" t="s">
        <v>3914</v>
      </c>
      <c r="G2586" t="s">
        <v>4439</v>
      </c>
      <c r="P2586" t="s">
        <v>60</v>
      </c>
      <c r="R2586" t="s">
        <v>4357</v>
      </c>
      <c r="S2586" t="s">
        <v>952</v>
      </c>
      <c r="V2586" t="s">
        <v>3956</v>
      </c>
      <c r="Z2586">
        <v>25</v>
      </c>
      <c r="AA2586">
        <v>25</v>
      </c>
      <c r="AC2586">
        <v>481.5</v>
      </c>
      <c r="AD2586">
        <v>21</v>
      </c>
      <c r="AE2586">
        <v>924.3</v>
      </c>
      <c r="AF2586">
        <v>21</v>
      </c>
      <c r="AJ2586" t="s">
        <v>4476</v>
      </c>
      <c r="AK2586" t="s">
        <v>4151</v>
      </c>
      <c r="AN2586">
        <v>92</v>
      </c>
      <c r="AO2586">
        <v>5</v>
      </c>
      <c r="AP2586">
        <v>80</v>
      </c>
      <c r="AQ2586">
        <v>30</v>
      </c>
      <c r="AW2586" s="28">
        <f t="shared" si="278"/>
        <v>-0.55798866597033248</v>
      </c>
      <c r="AX2586">
        <f t="shared" si="279"/>
        <v>0.98429319371727753</v>
      </c>
      <c r="AY2586" s="62">
        <f t="shared" si="280"/>
        <v>-0.54922444608598175</v>
      </c>
      <c r="AZ2586" s="68" t="str">
        <f t="shared" si="281"/>
        <v>No</v>
      </c>
      <c r="BA2586" s="68" t="str">
        <f t="shared" si="282"/>
        <v>No</v>
      </c>
    </row>
    <row r="2587" spans="1:55" hidden="1">
      <c r="A2587" t="s">
        <v>3914</v>
      </c>
      <c r="G2587" t="s">
        <v>4439</v>
      </c>
      <c r="P2587" t="s">
        <v>60</v>
      </c>
      <c r="R2587" t="s">
        <v>4357</v>
      </c>
      <c r="S2587" t="s">
        <v>952</v>
      </c>
      <c r="V2587" t="s">
        <v>3956</v>
      </c>
      <c r="Z2587">
        <v>25</v>
      </c>
      <c r="AA2587">
        <v>25</v>
      </c>
      <c r="AC2587">
        <v>481.5</v>
      </c>
      <c r="AD2587">
        <v>21</v>
      </c>
      <c r="AE2587">
        <v>1606.4</v>
      </c>
      <c r="AF2587">
        <v>21</v>
      </c>
      <c r="AJ2587" t="s">
        <v>4476</v>
      </c>
      <c r="AK2587" t="s">
        <v>4151</v>
      </c>
      <c r="AN2587">
        <v>92</v>
      </c>
      <c r="AO2587">
        <v>5</v>
      </c>
      <c r="AP2587">
        <v>79</v>
      </c>
      <c r="AQ2587">
        <v>35</v>
      </c>
      <c r="AW2587" s="28">
        <f t="shared" si="278"/>
        <v>-0.52</v>
      </c>
      <c r="AX2587">
        <f t="shared" si="279"/>
        <v>0.98429319371727753</v>
      </c>
      <c r="AY2587" s="62">
        <f t="shared" si="280"/>
        <v>-0.51183246073298438</v>
      </c>
      <c r="AZ2587" s="68" t="str">
        <f t="shared" si="281"/>
        <v>No</v>
      </c>
      <c r="BA2587" s="68" t="str">
        <f t="shared" si="282"/>
        <v>No</v>
      </c>
    </row>
    <row r="2588" spans="1:55" hidden="1">
      <c r="A2588" t="s">
        <v>3914</v>
      </c>
      <c r="G2588" s="50" t="s">
        <v>5063</v>
      </c>
      <c r="P2588" t="s">
        <v>60</v>
      </c>
      <c r="R2588" t="s">
        <v>4357</v>
      </c>
      <c r="S2588" s="50" t="s">
        <v>952</v>
      </c>
      <c r="V2588" t="s">
        <v>3956</v>
      </c>
      <c r="Z2588" s="50">
        <v>25</v>
      </c>
      <c r="AA2588" s="50">
        <v>25</v>
      </c>
      <c r="AC2588">
        <v>481.5</v>
      </c>
      <c r="AD2588">
        <v>21</v>
      </c>
      <c r="AE2588">
        <v>924.3</v>
      </c>
      <c r="AF2588">
        <v>21</v>
      </c>
      <c r="AJ2588" s="50" t="s">
        <v>4449</v>
      </c>
      <c r="AK2588" t="s">
        <v>4244</v>
      </c>
      <c r="AN2588">
        <v>510</v>
      </c>
      <c r="AO2588">
        <v>100</v>
      </c>
      <c r="AP2588">
        <v>480</v>
      </c>
      <c r="AQ2588">
        <v>100</v>
      </c>
      <c r="AW2588" s="28">
        <f t="shared" si="278"/>
        <v>-0.3</v>
      </c>
      <c r="AX2588">
        <f t="shared" si="279"/>
        <v>0.98429319371727753</v>
      </c>
      <c r="AY2588" s="62">
        <f t="shared" si="280"/>
        <v>-0.29528795811518327</v>
      </c>
      <c r="AZ2588" s="68" t="str">
        <f t="shared" si="281"/>
        <v>No</v>
      </c>
      <c r="BA2588" s="68" t="str">
        <f t="shared" si="282"/>
        <v>No</v>
      </c>
    </row>
    <row r="2589" spans="1:55" hidden="1">
      <c r="A2589" t="s">
        <v>3914</v>
      </c>
      <c r="G2589" s="50" t="s">
        <v>4439</v>
      </c>
      <c r="P2589" t="s">
        <v>60</v>
      </c>
      <c r="R2589" t="s">
        <v>4357</v>
      </c>
      <c r="S2589" s="50" t="s">
        <v>952</v>
      </c>
      <c r="V2589" t="s">
        <v>3956</v>
      </c>
      <c r="Z2589">
        <v>25</v>
      </c>
      <c r="AA2589">
        <v>25</v>
      </c>
      <c r="AC2589">
        <v>481.5</v>
      </c>
      <c r="AD2589">
        <v>21</v>
      </c>
      <c r="AE2589">
        <v>1606.4</v>
      </c>
      <c r="AF2589">
        <v>21</v>
      </c>
      <c r="AJ2589" s="50" t="s">
        <v>4449</v>
      </c>
      <c r="AK2589" t="s">
        <v>4244</v>
      </c>
      <c r="AN2589">
        <v>510</v>
      </c>
      <c r="AO2589">
        <v>100</v>
      </c>
      <c r="AP2589">
        <v>420</v>
      </c>
      <c r="AQ2589">
        <v>100</v>
      </c>
      <c r="AW2589" s="28">
        <f t="shared" si="278"/>
        <v>-0.9</v>
      </c>
      <c r="AX2589">
        <f t="shared" si="279"/>
        <v>0.98429319371727753</v>
      </c>
      <c r="AY2589" s="62">
        <f t="shared" si="280"/>
        <v>-0.88586387434554981</v>
      </c>
      <c r="AZ2589" s="68" t="str">
        <f t="shared" si="281"/>
        <v>No</v>
      </c>
      <c r="BA2589" s="68" t="str">
        <f t="shared" si="282"/>
        <v>No</v>
      </c>
    </row>
    <row r="2590" spans="1:55" ht="15" hidden="1">
      <c r="A2590" s="56" t="s">
        <v>3914</v>
      </c>
      <c r="G2590" s="56" t="s">
        <v>3926</v>
      </c>
      <c r="P2590" s="56" t="s">
        <v>60</v>
      </c>
      <c r="Q2590" s="56"/>
      <c r="R2590" s="56" t="s">
        <v>3942</v>
      </c>
      <c r="S2590" s="56" t="s">
        <v>1012</v>
      </c>
      <c r="T2590" s="56"/>
      <c r="U2590" s="56"/>
      <c r="V2590" s="56" t="s">
        <v>3956</v>
      </c>
      <c r="W2590" s="56"/>
      <c r="X2590" s="56"/>
      <c r="Y2590" s="56"/>
      <c r="Z2590" s="56">
        <v>10</v>
      </c>
      <c r="AA2590" s="56">
        <v>10</v>
      </c>
      <c r="AB2590" s="56"/>
      <c r="AC2590" s="56">
        <v>528.6</v>
      </c>
      <c r="AD2590" s="56">
        <v>25.6</v>
      </c>
      <c r="AE2590" s="56">
        <v>951.7</v>
      </c>
      <c r="AF2590" s="56">
        <v>25.2</v>
      </c>
      <c r="AG2590" s="56"/>
      <c r="AH2590" s="56"/>
      <c r="AI2590" s="56"/>
      <c r="AJ2590" s="56" t="s">
        <v>3994</v>
      </c>
      <c r="AK2590" s="56" t="s">
        <v>904</v>
      </c>
      <c r="AN2590" s="56">
        <v>0.71699999999999997</v>
      </c>
      <c r="AO2590" s="56">
        <f>0.002*SQRT(1)</f>
        <v>2E-3</v>
      </c>
      <c r="AP2590" s="56">
        <v>0.72</v>
      </c>
      <c r="AQ2590" s="56">
        <f>0.002*SQRT(1)</f>
        <v>2E-3</v>
      </c>
      <c r="AW2590" s="28">
        <f t="shared" si="278"/>
        <v>1.5000000000000013</v>
      </c>
      <c r="AX2590">
        <f t="shared" si="279"/>
        <v>0.95774647887323949</v>
      </c>
      <c r="AY2590" s="73">
        <f t="shared" si="280"/>
        <v>1.4366197183098606</v>
      </c>
      <c r="AZ2590" s="74" t="str">
        <f t="shared" si="281"/>
        <v>No</v>
      </c>
      <c r="BA2590" s="74" t="str">
        <f t="shared" si="282"/>
        <v>No</v>
      </c>
      <c r="BB2590" s="56"/>
      <c r="BC2590" s="56"/>
    </row>
    <row r="2591" spans="1:55" ht="15" hidden="1">
      <c r="A2591" s="56" t="s">
        <v>3914</v>
      </c>
      <c r="G2591" s="56" t="s">
        <v>3926</v>
      </c>
      <c r="P2591" s="56" t="s">
        <v>4596</v>
      </c>
      <c r="Q2591" s="56"/>
      <c r="R2591" s="56" t="s">
        <v>4908</v>
      </c>
      <c r="S2591" s="56" t="s">
        <v>1012</v>
      </c>
      <c r="T2591" s="56"/>
      <c r="U2591" s="56"/>
      <c r="V2591" s="56" t="s">
        <v>4598</v>
      </c>
      <c r="W2591" s="56"/>
      <c r="X2591" s="56"/>
      <c r="Y2591" s="56"/>
      <c r="Z2591" s="56">
        <v>10</v>
      </c>
      <c r="AA2591" s="56">
        <v>10</v>
      </c>
      <c r="AB2591" s="56"/>
      <c r="AC2591" s="56">
        <v>528.6</v>
      </c>
      <c r="AD2591" s="76">
        <v>26</v>
      </c>
      <c r="AE2591" s="56">
        <v>526.9</v>
      </c>
      <c r="AF2591" s="76">
        <v>29</v>
      </c>
      <c r="AG2591" s="56"/>
      <c r="AH2591" s="56"/>
      <c r="AI2591" s="56"/>
      <c r="AJ2591" s="56" t="s">
        <v>4922</v>
      </c>
      <c r="AK2591" s="56" t="s">
        <v>904</v>
      </c>
      <c r="AN2591" s="56">
        <v>0.71</v>
      </c>
      <c r="AO2591" s="56">
        <f>SQRT(10)*0.002</f>
        <v>6.3245553203367588E-3</v>
      </c>
      <c r="AP2591" s="56">
        <v>0.71</v>
      </c>
      <c r="AQ2591" s="56">
        <f>SQRT(10)*0.001</f>
        <v>3.1622776601683794E-3</v>
      </c>
      <c r="AW2591" s="28">
        <f t="shared" si="278"/>
        <v>0</v>
      </c>
      <c r="AX2591">
        <f t="shared" si="279"/>
        <v>0.95774647887323949</v>
      </c>
      <c r="AY2591" s="73">
        <f t="shared" si="280"/>
        <v>0</v>
      </c>
      <c r="AZ2591" s="74" t="str">
        <f t="shared" si="281"/>
        <v>No</v>
      </c>
      <c r="BA2591" s="74" t="str">
        <f t="shared" si="282"/>
        <v>No</v>
      </c>
    </row>
    <row r="2592" spans="1:55" ht="15" hidden="1">
      <c r="A2592" s="56" t="s">
        <v>3914</v>
      </c>
      <c r="G2592" s="56" t="s">
        <v>3926</v>
      </c>
      <c r="P2592" s="56" t="s">
        <v>4596</v>
      </c>
      <c r="Q2592" s="56"/>
      <c r="R2592" s="56" t="s">
        <v>4908</v>
      </c>
      <c r="S2592" s="56" t="s">
        <v>1012</v>
      </c>
      <c r="T2592" s="56"/>
      <c r="U2592" s="56"/>
      <c r="V2592" s="56" t="s">
        <v>4600</v>
      </c>
      <c r="W2592" s="56"/>
      <c r="X2592" s="56"/>
      <c r="Y2592" s="56"/>
      <c r="Z2592" s="56">
        <v>10</v>
      </c>
      <c r="AA2592" s="56">
        <v>10</v>
      </c>
      <c r="AB2592" s="56"/>
      <c r="AC2592" s="56">
        <v>528.6</v>
      </c>
      <c r="AD2592" s="76">
        <v>26</v>
      </c>
      <c r="AE2592" s="56">
        <v>1005.3</v>
      </c>
      <c r="AF2592" s="76">
        <v>29</v>
      </c>
      <c r="AG2592" s="56"/>
      <c r="AH2592" s="56"/>
      <c r="AI2592" s="56"/>
      <c r="AJ2592" s="56" t="s">
        <v>3994</v>
      </c>
      <c r="AK2592" s="56" t="s">
        <v>904</v>
      </c>
      <c r="AN2592" s="56">
        <v>0.71</v>
      </c>
      <c r="AO2592" s="56">
        <f>SQRT(10)*0.002</f>
        <v>6.3245553203367588E-3</v>
      </c>
      <c r="AP2592" s="56">
        <v>0.73</v>
      </c>
      <c r="AQ2592" s="56">
        <f>SQRT(10)*0.001</f>
        <v>3.1622776601683794E-3</v>
      </c>
      <c r="AW2592" s="28">
        <f t="shared" si="278"/>
        <v>4.0000000000000036</v>
      </c>
      <c r="AX2592">
        <f t="shared" si="279"/>
        <v>0.95774647887323949</v>
      </c>
      <c r="AY2592" s="62">
        <f t="shared" si="280"/>
        <v>3.8309859154929615</v>
      </c>
      <c r="AZ2592" s="68" t="str">
        <f t="shared" si="281"/>
        <v>No</v>
      </c>
      <c r="BA2592" s="68" t="str">
        <f t="shared" si="282"/>
        <v>No</v>
      </c>
    </row>
    <row r="2593" spans="1:55" ht="15" hidden="1">
      <c r="A2593" s="56" t="s">
        <v>3914</v>
      </c>
      <c r="G2593" s="56" t="s">
        <v>3926</v>
      </c>
      <c r="P2593" s="56" t="s">
        <v>60</v>
      </c>
      <c r="Q2593" s="56"/>
      <c r="R2593" s="56" t="s">
        <v>3942</v>
      </c>
      <c r="S2593" s="56" t="s">
        <v>1012</v>
      </c>
      <c r="T2593" s="56"/>
      <c r="U2593" s="56"/>
      <c r="V2593" s="56" t="s">
        <v>3956</v>
      </c>
      <c r="W2593" s="56"/>
      <c r="X2593" s="56"/>
      <c r="Y2593" s="56"/>
      <c r="Z2593" s="56">
        <v>10</v>
      </c>
      <c r="AA2593" s="56">
        <v>10</v>
      </c>
      <c r="AB2593" s="56"/>
      <c r="AC2593" s="56">
        <v>528.6</v>
      </c>
      <c r="AD2593" s="56">
        <v>25.6</v>
      </c>
      <c r="AE2593" s="56">
        <v>951.7</v>
      </c>
      <c r="AF2593" s="56">
        <v>25.2</v>
      </c>
      <c r="AG2593" s="56"/>
      <c r="AH2593" s="56"/>
      <c r="AI2593" s="56"/>
      <c r="AJ2593" s="56" t="s">
        <v>108</v>
      </c>
      <c r="AK2593" s="56" t="s">
        <v>904</v>
      </c>
      <c r="AN2593" s="56">
        <v>0.10299999999999999</v>
      </c>
      <c r="AO2593" s="56">
        <v>3.7947331922020558E-2</v>
      </c>
      <c r="AP2593" s="56">
        <v>5.5E-2</v>
      </c>
      <c r="AQ2593" s="56">
        <v>1.5811388300841899E-2</v>
      </c>
      <c r="AW2593" s="28">
        <f t="shared" si="278"/>
        <v>-1.6512501987690751</v>
      </c>
      <c r="AX2593">
        <f t="shared" si="279"/>
        <v>0.95774647887323949</v>
      </c>
      <c r="AY2593" s="62">
        <f t="shared" si="280"/>
        <v>-1.5814790636098184</v>
      </c>
      <c r="AZ2593" s="68" t="str">
        <f t="shared" si="281"/>
        <v>No</v>
      </c>
      <c r="BA2593" s="68" t="str">
        <f t="shared" si="282"/>
        <v>No</v>
      </c>
    </row>
    <row r="2594" spans="1:55" ht="15" hidden="1">
      <c r="A2594" s="56" t="s">
        <v>3914</v>
      </c>
      <c r="G2594" s="56" t="s">
        <v>3926</v>
      </c>
      <c r="P2594" s="56" t="s">
        <v>60</v>
      </c>
      <c r="Q2594" s="56"/>
      <c r="R2594" s="56" t="s">
        <v>3942</v>
      </c>
      <c r="S2594" s="56" t="s">
        <v>1012</v>
      </c>
      <c r="T2594" s="56"/>
      <c r="U2594" s="56"/>
      <c r="V2594" s="56" t="s">
        <v>3956</v>
      </c>
      <c r="W2594" s="56"/>
      <c r="X2594" s="56"/>
      <c r="Y2594" s="56"/>
      <c r="Z2594" s="56">
        <v>10</v>
      </c>
      <c r="AA2594" s="56">
        <v>10</v>
      </c>
      <c r="AB2594" s="56"/>
      <c r="AC2594" s="56">
        <v>528.6</v>
      </c>
      <c r="AD2594" s="56">
        <v>25.6</v>
      </c>
      <c r="AE2594" s="56">
        <v>951.7</v>
      </c>
      <c r="AF2594" s="56">
        <v>25.2</v>
      </c>
      <c r="AG2594" s="56"/>
      <c r="AH2594" s="56"/>
      <c r="AI2594" s="56"/>
      <c r="AJ2594" s="56" t="s">
        <v>3995</v>
      </c>
      <c r="AK2594" s="56" t="s">
        <v>904</v>
      </c>
      <c r="AN2594" s="56">
        <v>0.19500000000000001</v>
      </c>
      <c r="AO2594" s="56">
        <v>2.5298221281347035E-2</v>
      </c>
      <c r="AP2594" s="56">
        <v>0.155</v>
      </c>
      <c r="AQ2594" s="56">
        <v>3.1622776601683798E-2</v>
      </c>
      <c r="AW2594" s="28">
        <f t="shared" si="278"/>
        <v>-1.3968605915391565</v>
      </c>
      <c r="AX2594">
        <f t="shared" si="279"/>
        <v>0.95774647887323949</v>
      </c>
      <c r="AY2594" s="62">
        <f t="shared" si="280"/>
        <v>-1.3378383130234177</v>
      </c>
      <c r="AZ2594" s="68" t="str">
        <f t="shared" si="281"/>
        <v>No</v>
      </c>
      <c r="BA2594" s="68" t="str">
        <f t="shared" si="282"/>
        <v>No</v>
      </c>
    </row>
    <row r="2595" spans="1:55" ht="15" hidden="1">
      <c r="A2595" s="56" t="s">
        <v>3914</v>
      </c>
      <c r="G2595" s="56" t="s">
        <v>3926</v>
      </c>
      <c r="P2595" s="56" t="s">
        <v>4596</v>
      </c>
      <c r="Q2595" s="56"/>
      <c r="R2595" s="56" t="s">
        <v>4908</v>
      </c>
      <c r="S2595" s="56" t="s">
        <v>1012</v>
      </c>
      <c r="T2595" s="56"/>
      <c r="U2595" s="56"/>
      <c r="V2595" s="56" t="s">
        <v>4598</v>
      </c>
      <c r="W2595" s="56"/>
      <c r="X2595" s="56"/>
      <c r="Y2595" s="56"/>
      <c r="Z2595" s="56">
        <v>10</v>
      </c>
      <c r="AA2595" s="56">
        <v>10</v>
      </c>
      <c r="AB2595" s="56"/>
      <c r="AC2595" s="56">
        <v>528.6</v>
      </c>
      <c r="AD2595" s="76">
        <v>26</v>
      </c>
      <c r="AE2595" s="56">
        <v>526.9</v>
      </c>
      <c r="AF2595" s="76">
        <v>29</v>
      </c>
      <c r="AG2595" s="56"/>
      <c r="AH2595" s="56"/>
      <c r="AI2595" s="56"/>
      <c r="AJ2595" s="56" t="s">
        <v>4859</v>
      </c>
      <c r="AK2595" s="56" t="s">
        <v>904</v>
      </c>
      <c r="AN2595" s="56">
        <v>9.5000000000000001E-2</v>
      </c>
      <c r="AO2595" s="56">
        <f>SQRT(10)*(0.12-0.1)</f>
        <v>6.3245553203367555E-2</v>
      </c>
      <c r="AP2595" s="56">
        <v>0.05</v>
      </c>
      <c r="AQ2595" s="56">
        <f>SQRT(10)*0.01</f>
        <v>3.1622776601683798E-2</v>
      </c>
      <c r="AW2595" s="28">
        <f t="shared" si="278"/>
        <v>-0.90000000000000024</v>
      </c>
      <c r="AX2595">
        <f t="shared" si="279"/>
        <v>0.95774647887323949</v>
      </c>
      <c r="AY2595" s="62">
        <f t="shared" si="280"/>
        <v>-0.86197183098591579</v>
      </c>
      <c r="AZ2595" s="68" t="str">
        <f t="shared" si="281"/>
        <v>No</v>
      </c>
      <c r="BA2595" s="68" t="str">
        <f t="shared" si="282"/>
        <v>No</v>
      </c>
    </row>
    <row r="2596" spans="1:55" ht="15" hidden="1">
      <c r="A2596" s="56" t="s">
        <v>3914</v>
      </c>
      <c r="G2596" s="56" t="s">
        <v>3926</v>
      </c>
      <c r="P2596" s="56" t="s">
        <v>60</v>
      </c>
      <c r="Q2596" s="56"/>
      <c r="R2596" s="56" t="s">
        <v>3942</v>
      </c>
      <c r="S2596" s="56" t="s">
        <v>1012</v>
      </c>
      <c r="T2596" s="56"/>
      <c r="U2596" s="56"/>
      <c r="V2596" s="56" t="s">
        <v>3956</v>
      </c>
      <c r="W2596" s="56"/>
      <c r="X2596" s="56"/>
      <c r="Y2596" s="56"/>
      <c r="Z2596" s="56">
        <v>10</v>
      </c>
      <c r="AA2596" s="56">
        <v>10</v>
      </c>
      <c r="AB2596" s="56"/>
      <c r="AC2596" s="56">
        <v>528.6</v>
      </c>
      <c r="AD2596" s="56">
        <v>25.6</v>
      </c>
      <c r="AE2596" s="56">
        <v>951.7</v>
      </c>
      <c r="AF2596" s="56">
        <v>25.2</v>
      </c>
      <c r="AG2596" s="56"/>
      <c r="AH2596" s="56"/>
      <c r="AI2596" s="56"/>
      <c r="AJ2596" s="56" t="s">
        <v>3941</v>
      </c>
      <c r="AK2596" s="56" t="s">
        <v>904</v>
      </c>
      <c r="AN2596" s="56">
        <v>2.4E-2</v>
      </c>
      <c r="AO2596" s="56">
        <v>0.11384199576606166</v>
      </c>
      <c r="AP2596" s="56">
        <v>-0.22500000000000001</v>
      </c>
      <c r="AQ2596" s="56">
        <v>4.1109609582188934E-2</v>
      </c>
      <c r="AW2596" s="28">
        <f t="shared" si="278"/>
        <v>-2.9093470644281898</v>
      </c>
      <c r="AX2596">
        <f t="shared" si="279"/>
        <v>0.95774647887323949</v>
      </c>
      <c r="AY2596" s="62">
        <f t="shared" si="280"/>
        <v>-2.7864169067762945</v>
      </c>
      <c r="AZ2596" s="68" t="str">
        <f t="shared" si="281"/>
        <v>No</v>
      </c>
      <c r="BA2596" s="68" t="str">
        <f t="shared" si="282"/>
        <v>No</v>
      </c>
    </row>
    <row r="2597" spans="1:55" ht="15" hidden="1">
      <c r="A2597" s="56" t="s">
        <v>3914</v>
      </c>
      <c r="G2597" s="56" t="s">
        <v>3926</v>
      </c>
      <c r="P2597" s="56" t="s">
        <v>4596</v>
      </c>
      <c r="Q2597" s="56"/>
      <c r="R2597" s="56" t="s">
        <v>4908</v>
      </c>
      <c r="S2597" s="56" t="s">
        <v>1012</v>
      </c>
      <c r="T2597" s="56"/>
      <c r="U2597" s="56"/>
      <c r="V2597" s="56" t="s">
        <v>4600</v>
      </c>
      <c r="W2597" s="56"/>
      <c r="X2597" s="56"/>
      <c r="Y2597" s="56"/>
      <c r="Z2597" s="56">
        <v>10</v>
      </c>
      <c r="AA2597" s="56">
        <v>10</v>
      </c>
      <c r="AB2597" s="56"/>
      <c r="AC2597" s="56">
        <v>528.6</v>
      </c>
      <c r="AD2597" s="76">
        <v>26</v>
      </c>
      <c r="AE2597" s="56">
        <v>1005.3</v>
      </c>
      <c r="AF2597" s="76">
        <v>29</v>
      </c>
      <c r="AG2597" s="56"/>
      <c r="AH2597" s="56"/>
      <c r="AI2597" s="56"/>
      <c r="AJ2597" s="56" t="s">
        <v>108</v>
      </c>
      <c r="AK2597" s="56" t="s">
        <v>904</v>
      </c>
      <c r="AN2597" s="56">
        <v>9.5000000000000001E-2</v>
      </c>
      <c r="AO2597" s="56">
        <f>SQRT(10)*(0.12-0.1)</f>
        <v>6.3245553203367555E-2</v>
      </c>
      <c r="AP2597" s="56">
        <v>5.5E-2</v>
      </c>
      <c r="AQ2597" s="56">
        <f>SQRT(10)*0.015</f>
        <v>4.7434164902525694E-2</v>
      </c>
      <c r="AW2597" s="28">
        <f t="shared" si="278"/>
        <v>-0.71554175279993293</v>
      </c>
      <c r="AX2597">
        <f t="shared" si="279"/>
        <v>0.95774647887323949</v>
      </c>
      <c r="AY2597" s="62">
        <f t="shared" si="280"/>
        <v>-0.68530759423092169</v>
      </c>
      <c r="AZ2597" s="68" t="str">
        <f t="shared" si="281"/>
        <v>No</v>
      </c>
      <c r="BA2597" s="68" t="str">
        <f t="shared" si="282"/>
        <v>No</v>
      </c>
    </row>
    <row r="2598" spans="1:55" ht="15" hidden="1">
      <c r="A2598" s="56" t="s">
        <v>3914</v>
      </c>
      <c r="G2598" s="56" t="s">
        <v>5120</v>
      </c>
      <c r="P2598" s="56" t="s">
        <v>60</v>
      </c>
      <c r="Q2598" s="56"/>
      <c r="R2598" s="56" t="s">
        <v>3942</v>
      </c>
      <c r="S2598" s="56" t="s">
        <v>1012</v>
      </c>
      <c r="T2598" s="56"/>
      <c r="U2598" s="56"/>
      <c r="V2598" s="56" t="s">
        <v>3956</v>
      </c>
      <c r="W2598" s="56"/>
      <c r="X2598" s="56"/>
      <c r="Y2598" s="56"/>
      <c r="Z2598" s="56">
        <v>10</v>
      </c>
      <c r="AA2598" s="56">
        <v>10</v>
      </c>
      <c r="AB2598" s="56"/>
      <c r="AC2598" s="56">
        <v>528.6</v>
      </c>
      <c r="AD2598" s="56">
        <v>25.6</v>
      </c>
      <c r="AE2598" s="56">
        <v>951.7</v>
      </c>
      <c r="AF2598" s="56">
        <v>25.2</v>
      </c>
      <c r="AG2598" s="56"/>
      <c r="AH2598" s="56"/>
      <c r="AI2598" s="56"/>
      <c r="AJ2598" s="56" t="s">
        <v>3990</v>
      </c>
      <c r="AK2598" s="56" t="s">
        <v>904</v>
      </c>
      <c r="AN2598" s="56">
        <v>0.11799999999999999</v>
      </c>
      <c r="AO2598" s="56">
        <f>0.029*SQRT(10)</f>
        <v>9.1706052144883005E-2</v>
      </c>
      <c r="AP2598" s="56">
        <v>8.6999999999999994E-2</v>
      </c>
      <c r="AQ2598" s="56">
        <f>0.019*SQRT(10)</f>
        <v>6.0083275543199206E-2</v>
      </c>
      <c r="AW2598" s="28">
        <f t="shared" si="278"/>
        <v>-0.39987518851430515</v>
      </c>
      <c r="AX2598">
        <f t="shared" si="279"/>
        <v>0.95774647887323949</v>
      </c>
      <c r="AY2598" s="62">
        <f t="shared" si="280"/>
        <v>-0.38297905378834862</v>
      </c>
      <c r="AZ2598" s="68" t="str">
        <f t="shared" si="281"/>
        <v>No</v>
      </c>
      <c r="BA2598" s="68" t="str">
        <f t="shared" si="282"/>
        <v>No</v>
      </c>
    </row>
    <row r="2599" spans="1:55" ht="15" hidden="1">
      <c r="A2599" s="56" t="s">
        <v>3914</v>
      </c>
      <c r="G2599" s="56" t="s">
        <v>5120</v>
      </c>
      <c r="P2599" s="56" t="s">
        <v>4596</v>
      </c>
      <c r="Q2599" s="56"/>
      <c r="R2599" s="56" t="s">
        <v>4908</v>
      </c>
      <c r="S2599" s="56" t="s">
        <v>1012</v>
      </c>
      <c r="T2599" s="56"/>
      <c r="U2599" s="56"/>
      <c r="V2599" s="56" t="s">
        <v>4600</v>
      </c>
      <c r="W2599" s="56"/>
      <c r="X2599" s="56"/>
      <c r="Y2599" s="56"/>
      <c r="Z2599" s="56">
        <v>10</v>
      </c>
      <c r="AA2599" s="56">
        <v>10</v>
      </c>
      <c r="AB2599" s="56"/>
      <c r="AC2599" s="56">
        <v>528.6</v>
      </c>
      <c r="AD2599" s="76">
        <v>26</v>
      </c>
      <c r="AE2599" s="56">
        <v>1005.3</v>
      </c>
      <c r="AF2599" s="76">
        <v>29</v>
      </c>
      <c r="AG2599" s="56"/>
      <c r="AH2599" s="56"/>
      <c r="AI2599" s="56"/>
      <c r="AJ2599" s="56" t="s">
        <v>3995</v>
      </c>
      <c r="AK2599" s="56" t="s">
        <v>904</v>
      </c>
      <c r="AN2599" s="56">
        <v>0.19500000000000001</v>
      </c>
      <c r="AO2599" s="56">
        <f>SQRT(10)*(0.21-0.19)</f>
        <v>6.3245553203367555E-2</v>
      </c>
      <c r="AP2599" s="56">
        <v>0.19500000000000001</v>
      </c>
      <c r="AQ2599" s="56">
        <f>SQRT(10)*0.02</f>
        <v>6.3245553203367597E-2</v>
      </c>
      <c r="AW2599" s="28">
        <f t="shared" si="278"/>
        <v>0</v>
      </c>
      <c r="AX2599">
        <f t="shared" si="279"/>
        <v>0.95774647887323949</v>
      </c>
      <c r="AY2599" s="62">
        <f t="shared" si="280"/>
        <v>0</v>
      </c>
      <c r="AZ2599" s="68" t="str">
        <f t="shared" si="281"/>
        <v>No</v>
      </c>
      <c r="BA2599" s="68" t="str">
        <f t="shared" si="282"/>
        <v>No</v>
      </c>
    </row>
    <row r="2600" spans="1:55" ht="15" hidden="1">
      <c r="A2600" s="56" t="s">
        <v>3914</v>
      </c>
      <c r="G2600" s="56" t="s">
        <v>3926</v>
      </c>
      <c r="P2600" s="56" t="s">
        <v>4596</v>
      </c>
      <c r="Q2600" s="56"/>
      <c r="R2600" s="56" t="s">
        <v>4908</v>
      </c>
      <c r="S2600" s="56" t="s">
        <v>1012</v>
      </c>
      <c r="T2600" s="56"/>
      <c r="U2600" s="56"/>
      <c r="V2600" s="56" t="s">
        <v>4598</v>
      </c>
      <c r="W2600" s="56"/>
      <c r="X2600" s="56"/>
      <c r="Y2600" s="56"/>
      <c r="Z2600" s="56">
        <v>10</v>
      </c>
      <c r="AA2600" s="56">
        <v>10</v>
      </c>
      <c r="AB2600" s="56"/>
      <c r="AC2600" s="56">
        <v>528.6</v>
      </c>
      <c r="AD2600" s="76">
        <v>26</v>
      </c>
      <c r="AE2600" s="56">
        <v>526.9</v>
      </c>
      <c r="AF2600" s="76">
        <v>29</v>
      </c>
      <c r="AG2600" s="56"/>
      <c r="AH2600" s="56"/>
      <c r="AI2600" s="56"/>
      <c r="AJ2600" s="56" t="s">
        <v>3990</v>
      </c>
      <c r="AK2600" s="56" t="s">
        <v>904</v>
      </c>
      <c r="AN2600" s="56">
        <v>0.12</v>
      </c>
      <c r="AO2600" s="56">
        <f>SQRT(10)*0.05</f>
        <v>0.158113883008419</v>
      </c>
      <c r="AP2600" s="56">
        <v>0.04</v>
      </c>
      <c r="AQ2600" s="56">
        <f>SQRT(10)*0.02</f>
        <v>6.3245553203367597E-2</v>
      </c>
      <c r="AW2600" s="28">
        <f t="shared" si="278"/>
        <v>-0.66436383882991956</v>
      </c>
      <c r="AX2600">
        <f t="shared" si="279"/>
        <v>0.95774647887323949</v>
      </c>
      <c r="AY2600" s="62">
        <f t="shared" si="280"/>
        <v>-0.63629212733006379</v>
      </c>
      <c r="AZ2600" s="68" t="str">
        <f t="shared" si="281"/>
        <v>No</v>
      </c>
      <c r="BA2600" s="68" t="str">
        <f t="shared" si="282"/>
        <v>No</v>
      </c>
    </row>
    <row r="2601" spans="1:55" ht="15" hidden="1">
      <c r="A2601" s="56" t="s">
        <v>3914</v>
      </c>
      <c r="G2601" s="56" t="s">
        <v>3926</v>
      </c>
      <c r="P2601" s="56" t="s">
        <v>4596</v>
      </c>
      <c r="Q2601" s="56"/>
      <c r="R2601" s="56" t="s">
        <v>4908</v>
      </c>
      <c r="S2601" s="56" t="s">
        <v>1012</v>
      </c>
      <c r="T2601" s="56"/>
      <c r="U2601" s="56"/>
      <c r="V2601" s="56" t="s">
        <v>4598</v>
      </c>
      <c r="W2601" s="56"/>
      <c r="X2601" s="56"/>
      <c r="Y2601" s="56"/>
      <c r="Z2601" s="56">
        <v>10</v>
      </c>
      <c r="AA2601" s="56">
        <v>10</v>
      </c>
      <c r="AB2601" s="56"/>
      <c r="AC2601" s="56">
        <v>528.6</v>
      </c>
      <c r="AD2601" s="76">
        <v>26</v>
      </c>
      <c r="AE2601" s="56">
        <v>526.9</v>
      </c>
      <c r="AF2601" s="76">
        <v>29</v>
      </c>
      <c r="AG2601" s="56"/>
      <c r="AH2601" s="56"/>
      <c r="AI2601" s="56"/>
      <c r="AJ2601" s="56" t="s">
        <v>3995</v>
      </c>
      <c r="AK2601" s="56" t="s">
        <v>904</v>
      </c>
      <c r="AN2601" s="56">
        <v>0.19500000000000001</v>
      </c>
      <c r="AO2601" s="56">
        <f>SQRT(10)*(0.21-0.19)</f>
        <v>6.3245553203367555E-2</v>
      </c>
      <c r="AP2601" s="56">
        <v>0.21</v>
      </c>
      <c r="AQ2601" s="56">
        <f>SQRT(10)*(0.25-0.22)</f>
        <v>9.4868329805051388E-2</v>
      </c>
      <c r="AW2601" s="28">
        <f t="shared" si="278"/>
        <v>0.18605210188381252</v>
      </c>
      <c r="AX2601">
        <f t="shared" si="279"/>
        <v>0.95774647887323949</v>
      </c>
      <c r="AY2601" s="62">
        <f t="shared" si="280"/>
        <v>0.17819074546618666</v>
      </c>
      <c r="AZ2601" s="68" t="str">
        <f t="shared" si="281"/>
        <v>No</v>
      </c>
      <c r="BA2601" s="68" t="str">
        <f t="shared" si="282"/>
        <v>No</v>
      </c>
    </row>
    <row r="2602" spans="1:55" ht="15" hidden="1">
      <c r="A2602" s="56" t="s">
        <v>3914</v>
      </c>
      <c r="G2602" s="56" t="s">
        <v>3926</v>
      </c>
      <c r="P2602" s="56" t="s">
        <v>4596</v>
      </c>
      <c r="Q2602" s="56"/>
      <c r="R2602" s="56" t="s">
        <v>4908</v>
      </c>
      <c r="S2602" s="56" t="s">
        <v>1012</v>
      </c>
      <c r="T2602" s="56"/>
      <c r="U2602" s="56"/>
      <c r="V2602" s="56" t="s">
        <v>4600</v>
      </c>
      <c r="W2602" s="56"/>
      <c r="X2602" s="56"/>
      <c r="Y2602" s="56"/>
      <c r="Z2602" s="56">
        <v>10</v>
      </c>
      <c r="AA2602" s="56">
        <v>10</v>
      </c>
      <c r="AB2602" s="56"/>
      <c r="AC2602" s="56">
        <v>528.6</v>
      </c>
      <c r="AD2602" s="76">
        <v>26</v>
      </c>
      <c r="AE2602" s="56">
        <v>1005.3</v>
      </c>
      <c r="AF2602" s="76">
        <v>29</v>
      </c>
      <c r="AG2602" s="56"/>
      <c r="AH2602" s="56"/>
      <c r="AI2602" s="56"/>
      <c r="AJ2602" s="56" t="s">
        <v>3990</v>
      </c>
      <c r="AK2602" s="56" t="s">
        <v>904</v>
      </c>
      <c r="AN2602" s="56">
        <v>0.12</v>
      </c>
      <c r="AO2602" s="56">
        <f>SQRT(10)*0.05</f>
        <v>0.158113883008419</v>
      </c>
      <c r="AP2602" s="56">
        <v>2.5000000000000001E-2</v>
      </c>
      <c r="AQ2602" s="56">
        <f>SQRT(10)*0.03</f>
        <v>9.4868329805051388E-2</v>
      </c>
      <c r="AW2602" s="28">
        <f t="shared" si="278"/>
        <v>-0.72861673940500182</v>
      </c>
      <c r="AX2602">
        <f t="shared" si="279"/>
        <v>0.95774647887323949</v>
      </c>
      <c r="AY2602" s="62">
        <f t="shared" si="280"/>
        <v>-0.69783011661324124</v>
      </c>
      <c r="AZ2602" s="68" t="str">
        <f t="shared" si="281"/>
        <v>No</v>
      </c>
      <c r="BA2602" s="68" t="str">
        <f t="shared" si="282"/>
        <v>No</v>
      </c>
    </row>
    <row r="2603" spans="1:55" ht="15" hidden="1">
      <c r="A2603" s="56" t="s">
        <v>3914</v>
      </c>
      <c r="G2603" s="56" t="s">
        <v>3926</v>
      </c>
      <c r="P2603" s="56" t="s">
        <v>60</v>
      </c>
      <c r="Q2603" s="56"/>
      <c r="R2603" s="56" t="s">
        <v>3942</v>
      </c>
      <c r="S2603" s="56" t="s">
        <v>1012</v>
      </c>
      <c r="T2603" s="56"/>
      <c r="U2603" s="56"/>
      <c r="V2603" s="56" t="s">
        <v>3956</v>
      </c>
      <c r="W2603" s="56"/>
      <c r="X2603" s="56"/>
      <c r="Y2603" s="56"/>
      <c r="Z2603" s="56">
        <v>10</v>
      </c>
      <c r="AA2603" s="56">
        <v>10</v>
      </c>
      <c r="AB2603" s="56"/>
      <c r="AC2603" s="56">
        <v>528.6</v>
      </c>
      <c r="AD2603" s="56">
        <v>25.6</v>
      </c>
      <c r="AE2603" s="56">
        <v>951.7</v>
      </c>
      <c r="AF2603" s="56">
        <v>25.2</v>
      </c>
      <c r="AG2603" s="56"/>
      <c r="AH2603" s="56"/>
      <c r="AI2603" s="56"/>
      <c r="AJ2603" s="56" t="s">
        <v>665</v>
      </c>
      <c r="AK2603" s="56" t="s">
        <v>904</v>
      </c>
      <c r="AN2603" s="56">
        <v>0.36</v>
      </c>
      <c r="AO2603" s="56">
        <v>0.44271887242357316</v>
      </c>
      <c r="AP2603" s="56">
        <v>0.26</v>
      </c>
      <c r="AQ2603" s="56">
        <v>0.12649110640673519</v>
      </c>
      <c r="AW2603" s="28">
        <f t="shared" si="278"/>
        <v>-0.30714755841697544</v>
      </c>
      <c r="AX2603">
        <f t="shared" si="279"/>
        <v>0.95774647887323949</v>
      </c>
      <c r="AY2603" s="78">
        <f t="shared" si="280"/>
        <v>-0.29416949256837088</v>
      </c>
      <c r="AZ2603" s="79" t="str">
        <f t="shared" si="281"/>
        <v>No</v>
      </c>
      <c r="BA2603" s="79" t="str">
        <f t="shared" si="282"/>
        <v>No</v>
      </c>
      <c r="BB2603" s="77"/>
      <c r="BC2603" s="77"/>
    </row>
    <row r="2604" spans="1:55" s="56" customFormat="1" ht="15" hidden="1">
      <c r="A2604" s="56" t="s">
        <v>3914</v>
      </c>
      <c r="B2604"/>
      <c r="C2604"/>
      <c r="D2604" s="25"/>
      <c r="E2604" s="25"/>
      <c r="F2604"/>
      <c r="G2604" s="56" t="s">
        <v>5118</v>
      </c>
      <c r="H2604"/>
      <c r="I2604"/>
      <c r="J2604"/>
      <c r="K2604"/>
      <c r="L2604"/>
      <c r="M2604" s="25"/>
      <c r="N2604"/>
      <c r="O2604"/>
      <c r="P2604" s="56" t="s">
        <v>4596</v>
      </c>
      <c r="R2604" s="56" t="s">
        <v>4908</v>
      </c>
      <c r="S2604" s="56" t="s">
        <v>1012</v>
      </c>
      <c r="V2604" s="56" t="s">
        <v>4598</v>
      </c>
      <c r="Z2604" s="56">
        <v>10</v>
      </c>
      <c r="AA2604" s="56">
        <v>10</v>
      </c>
      <c r="AC2604" s="56">
        <v>528.6</v>
      </c>
      <c r="AD2604" s="76">
        <v>26</v>
      </c>
      <c r="AE2604" s="56">
        <v>526.9</v>
      </c>
      <c r="AF2604" s="76">
        <v>29</v>
      </c>
      <c r="AJ2604" s="56" t="s">
        <v>40</v>
      </c>
      <c r="AK2604" s="56" t="s">
        <v>4849</v>
      </c>
      <c r="AL2604" s="25"/>
      <c r="AM2604" s="35"/>
      <c r="AN2604" s="56">
        <v>2.4E-2</v>
      </c>
      <c r="AO2604" s="56">
        <f>SQRT(10)*0.07</f>
        <v>0.22135943621178658</v>
      </c>
      <c r="AP2604" s="56">
        <v>5.5E-2</v>
      </c>
      <c r="AQ2604" s="56">
        <f>SQRT(10)*(0.095-0.015)</f>
        <v>0.25298221281347039</v>
      </c>
      <c r="AR2604"/>
      <c r="AS2604"/>
      <c r="AT2604"/>
      <c r="AU2604"/>
      <c r="AV2604"/>
      <c r="AW2604" s="28">
        <f t="shared" si="278"/>
        <v>0.13041798019261805</v>
      </c>
      <c r="AX2604">
        <f t="shared" si="279"/>
        <v>0.95774647887323949</v>
      </c>
      <c r="AY2604" s="62">
        <f t="shared" si="280"/>
        <v>0.12490736131123983</v>
      </c>
      <c r="AZ2604" s="68" t="str">
        <f t="shared" si="281"/>
        <v>No</v>
      </c>
      <c r="BA2604" s="68" t="str">
        <f t="shared" si="282"/>
        <v>No</v>
      </c>
      <c r="BB2604"/>
      <c r="BC2604"/>
    </row>
    <row r="2605" spans="1:55" ht="15" hidden="1">
      <c r="A2605" s="56" t="s">
        <v>3914</v>
      </c>
      <c r="G2605" s="56" t="s">
        <v>3926</v>
      </c>
      <c r="P2605" s="56" t="s">
        <v>4596</v>
      </c>
      <c r="Q2605" s="56"/>
      <c r="R2605" s="56" t="s">
        <v>4908</v>
      </c>
      <c r="S2605" s="56" t="s">
        <v>1012</v>
      </c>
      <c r="T2605" s="56"/>
      <c r="U2605" s="56"/>
      <c r="V2605" s="56" t="s">
        <v>4600</v>
      </c>
      <c r="W2605" s="56"/>
      <c r="X2605" s="56"/>
      <c r="Y2605" s="56"/>
      <c r="Z2605" s="56">
        <v>10</v>
      </c>
      <c r="AA2605" s="56">
        <v>10</v>
      </c>
      <c r="AB2605" s="56"/>
      <c r="AC2605" s="56">
        <v>528.6</v>
      </c>
      <c r="AD2605" s="76">
        <v>26</v>
      </c>
      <c r="AE2605" s="56">
        <v>1005.3</v>
      </c>
      <c r="AF2605" s="76">
        <v>29</v>
      </c>
      <c r="AG2605" s="56"/>
      <c r="AH2605" s="56"/>
      <c r="AI2605" s="56"/>
      <c r="AJ2605" s="56" t="s">
        <v>40</v>
      </c>
      <c r="AK2605" s="56" t="s">
        <v>4849</v>
      </c>
      <c r="AN2605" s="56">
        <v>2.4E-2</v>
      </c>
      <c r="AO2605" s="56">
        <f>SQRT(10)*0.07</f>
        <v>0.22135943621178658</v>
      </c>
      <c r="AP2605" s="56">
        <v>-0.2</v>
      </c>
      <c r="AQ2605" s="56">
        <f>SQRT(10)*(-0.12+0.28)</f>
        <v>0.50596442562694077</v>
      </c>
      <c r="AW2605" s="28">
        <f t="shared" si="278"/>
        <v>-0.57360522209937392</v>
      </c>
      <c r="AX2605">
        <f t="shared" si="279"/>
        <v>0.95774647887323949</v>
      </c>
      <c r="AY2605" s="62">
        <f t="shared" si="280"/>
        <v>-0.54936838172897784</v>
      </c>
      <c r="AZ2605" s="68" t="str">
        <f t="shared" si="281"/>
        <v>No</v>
      </c>
      <c r="BA2605" s="68" t="str">
        <f t="shared" si="282"/>
        <v>No</v>
      </c>
    </row>
    <row r="2606" spans="1:55" ht="15" hidden="1">
      <c r="A2606" s="56" t="s">
        <v>3914</v>
      </c>
      <c r="G2606" s="56" t="s">
        <v>3926</v>
      </c>
      <c r="P2606" s="56" t="s">
        <v>4596</v>
      </c>
      <c r="Q2606" s="56"/>
      <c r="R2606" s="56" t="s">
        <v>4908</v>
      </c>
      <c r="S2606" s="56" t="s">
        <v>1012</v>
      </c>
      <c r="T2606" s="56"/>
      <c r="U2606" s="56"/>
      <c r="V2606" s="56" t="s">
        <v>4598</v>
      </c>
      <c r="W2606" s="56"/>
      <c r="X2606" s="56"/>
      <c r="Y2606" s="56"/>
      <c r="Z2606" s="56">
        <v>10</v>
      </c>
      <c r="AA2606" s="56">
        <v>10</v>
      </c>
      <c r="AB2606" s="56"/>
      <c r="AC2606" s="56">
        <v>528.6</v>
      </c>
      <c r="AD2606" s="76">
        <v>26</v>
      </c>
      <c r="AE2606" s="56">
        <v>526.9</v>
      </c>
      <c r="AF2606" s="76">
        <v>29</v>
      </c>
      <c r="AG2606" s="56"/>
      <c r="AH2606" s="56"/>
      <c r="AI2606" s="56"/>
      <c r="AJ2606" s="56" t="s">
        <v>4920</v>
      </c>
      <c r="AK2606" s="56" t="s">
        <v>4921</v>
      </c>
      <c r="AN2606" s="56">
        <v>0.36</v>
      </c>
      <c r="AO2606" s="56">
        <f>SQRT(10)*(0.5-0.24)</f>
        <v>0.82219219164377866</v>
      </c>
      <c r="AP2606" s="56">
        <v>-0.23</v>
      </c>
      <c r="AQ2606" s="56">
        <f>SQRT(10)*(-0.11+0.3)</f>
        <v>0.6008327554319921</v>
      </c>
      <c r="AW2606" s="28">
        <f t="shared" si="278"/>
        <v>-0.81936541995470513</v>
      </c>
      <c r="AX2606">
        <f t="shared" si="279"/>
        <v>0.95774647887323949</v>
      </c>
      <c r="AY2606" s="73">
        <f t="shared" si="280"/>
        <v>-0.78474434587211195</v>
      </c>
      <c r="AZ2606" s="74" t="str">
        <f t="shared" si="281"/>
        <v>No</v>
      </c>
      <c r="BA2606" s="74" t="str">
        <f t="shared" si="282"/>
        <v>No</v>
      </c>
    </row>
    <row r="2607" spans="1:55" ht="15" hidden="1">
      <c r="A2607" s="56" t="s">
        <v>3914</v>
      </c>
      <c r="G2607" s="56" t="s">
        <v>3926</v>
      </c>
      <c r="P2607" s="56" t="s">
        <v>4596</v>
      </c>
      <c r="Q2607" s="56"/>
      <c r="R2607" s="56" t="s">
        <v>4908</v>
      </c>
      <c r="S2607" s="56" t="s">
        <v>1012</v>
      </c>
      <c r="T2607" s="56"/>
      <c r="U2607" s="56"/>
      <c r="V2607" s="56" t="s">
        <v>4600</v>
      </c>
      <c r="W2607" s="56"/>
      <c r="X2607" s="56"/>
      <c r="Y2607" s="56"/>
      <c r="Z2607" s="56">
        <v>10</v>
      </c>
      <c r="AA2607" s="56">
        <v>10</v>
      </c>
      <c r="AB2607" s="56"/>
      <c r="AC2607" s="56">
        <v>528.6</v>
      </c>
      <c r="AD2607" s="76">
        <v>26</v>
      </c>
      <c r="AE2607" s="56">
        <v>1005.3</v>
      </c>
      <c r="AF2607" s="76">
        <v>29</v>
      </c>
      <c r="AG2607" s="56"/>
      <c r="AH2607" s="56"/>
      <c r="AI2607" s="56"/>
      <c r="AJ2607" s="56" t="s">
        <v>665</v>
      </c>
      <c r="AK2607" s="56" t="s">
        <v>4921</v>
      </c>
      <c r="AN2607" s="56">
        <v>0.36</v>
      </c>
      <c r="AO2607" s="56">
        <f>SQRT(10)*(0.5-0.24)</f>
        <v>0.82219219164377866</v>
      </c>
      <c r="AP2607" s="56">
        <v>-0.27</v>
      </c>
      <c r="AQ2607" s="56">
        <f>SQRT(10)*(-0.225+0.45)</f>
        <v>0.71151247353788538</v>
      </c>
      <c r="AW2607" s="28">
        <f t="shared" si="278"/>
        <v>-0.81940929473786928</v>
      </c>
      <c r="AX2607">
        <f t="shared" si="279"/>
        <v>0.95774647887323949</v>
      </c>
      <c r="AY2607" s="73">
        <f t="shared" si="280"/>
        <v>-0.78478636679119884</v>
      </c>
      <c r="AZ2607" s="74" t="str">
        <f t="shared" si="281"/>
        <v>No</v>
      </c>
      <c r="BA2607" s="74" t="str">
        <f t="shared" si="282"/>
        <v>No</v>
      </c>
    </row>
    <row r="2608" spans="1:55" hidden="1">
      <c r="A2608" t="s">
        <v>3914</v>
      </c>
      <c r="G2608" t="s">
        <v>4412</v>
      </c>
      <c r="P2608" t="s">
        <v>60</v>
      </c>
      <c r="R2608" t="s">
        <v>4357</v>
      </c>
      <c r="S2608" t="s">
        <v>4398</v>
      </c>
      <c r="V2608" t="s">
        <v>3956</v>
      </c>
      <c r="Z2608">
        <v>6</v>
      </c>
      <c r="AA2608">
        <v>6</v>
      </c>
      <c r="AC2608">
        <v>491</v>
      </c>
      <c r="AD2608">
        <v>9.32</v>
      </c>
      <c r="AE2608">
        <v>1053</v>
      </c>
      <c r="AF2608">
        <v>9.32</v>
      </c>
      <c r="AJ2608" t="s">
        <v>4492</v>
      </c>
      <c r="AK2608" t="s">
        <v>4123</v>
      </c>
      <c r="AN2608">
        <v>4.6666666666666662E-2</v>
      </c>
      <c r="AO2608">
        <v>1.0327955589886481E-2</v>
      </c>
      <c r="AP2608">
        <v>5.6666666666666671E-2</v>
      </c>
      <c r="AQ2608">
        <v>8.1649658092771936E-3</v>
      </c>
      <c r="AW2608" s="28">
        <f t="shared" si="278"/>
        <v>1.0741723110591515</v>
      </c>
      <c r="AX2608">
        <f t="shared" si="279"/>
        <v>0.92307692307692313</v>
      </c>
      <c r="AY2608" s="62">
        <f t="shared" si="280"/>
        <v>0.99154367174690905</v>
      </c>
      <c r="AZ2608" s="68" t="str">
        <f t="shared" si="281"/>
        <v>No</v>
      </c>
      <c r="BA2608" s="68" t="str">
        <f t="shared" si="282"/>
        <v>No</v>
      </c>
    </row>
    <row r="2609" spans="1:55" hidden="1">
      <c r="A2609" t="s">
        <v>3914</v>
      </c>
      <c r="G2609" t="s">
        <v>4412</v>
      </c>
      <c r="P2609" t="s">
        <v>60</v>
      </c>
      <c r="R2609" t="s">
        <v>4357</v>
      </c>
      <c r="S2609" t="s">
        <v>4398</v>
      </c>
      <c r="V2609" t="s">
        <v>3956</v>
      </c>
      <c r="Z2609">
        <v>6</v>
      </c>
      <c r="AA2609">
        <v>6</v>
      </c>
      <c r="AC2609">
        <v>491</v>
      </c>
      <c r="AD2609">
        <v>9.32</v>
      </c>
      <c r="AE2609">
        <v>1867</v>
      </c>
      <c r="AF2609">
        <v>9.32</v>
      </c>
      <c r="AJ2609" t="s">
        <v>4492</v>
      </c>
      <c r="AK2609" t="s">
        <v>4123</v>
      </c>
      <c r="AN2609">
        <v>4.6666666666666662E-2</v>
      </c>
      <c r="AO2609">
        <v>1.0327955589886481E-2</v>
      </c>
      <c r="AP2609">
        <v>7.6666666666666675E-2</v>
      </c>
      <c r="AQ2609">
        <v>8.164965809277256E-3</v>
      </c>
      <c r="AW2609" s="28">
        <f t="shared" si="278"/>
        <v>3.222516933177443</v>
      </c>
      <c r="AX2609">
        <f t="shared" si="279"/>
        <v>0.92307692307692313</v>
      </c>
      <c r="AY2609" s="62">
        <f t="shared" si="280"/>
        <v>2.9746310152407167</v>
      </c>
      <c r="AZ2609" s="68" t="str">
        <f t="shared" si="281"/>
        <v>No</v>
      </c>
      <c r="BA2609" s="68" t="str">
        <f t="shared" si="282"/>
        <v>No</v>
      </c>
    </row>
    <row r="2610" spans="1:55" hidden="1">
      <c r="A2610" t="s">
        <v>3914</v>
      </c>
      <c r="G2610" t="s">
        <v>4412</v>
      </c>
      <c r="P2610" t="s">
        <v>60</v>
      </c>
      <c r="R2610" t="s">
        <v>4357</v>
      </c>
      <c r="S2610" t="s">
        <v>4398</v>
      </c>
      <c r="V2610" t="s">
        <v>3956</v>
      </c>
      <c r="Z2610">
        <v>6</v>
      </c>
      <c r="AA2610">
        <v>6</v>
      </c>
      <c r="AC2610">
        <v>491</v>
      </c>
      <c r="AD2610">
        <v>9.32</v>
      </c>
      <c r="AE2610">
        <v>1053</v>
      </c>
      <c r="AF2610">
        <v>9.32</v>
      </c>
      <c r="AJ2610" t="s">
        <v>4065</v>
      </c>
      <c r="AK2610" t="s">
        <v>4491</v>
      </c>
      <c r="AN2610">
        <v>0.64666666666666661</v>
      </c>
      <c r="AO2610">
        <v>4.2739521132865631E-2</v>
      </c>
      <c r="AP2610">
        <v>0.71</v>
      </c>
      <c r="AQ2610">
        <v>0.108074048688851</v>
      </c>
      <c r="AW2610" s="28">
        <f t="shared" si="278"/>
        <v>0.77067851713192859</v>
      </c>
      <c r="AX2610">
        <f t="shared" si="279"/>
        <v>0.92307692307692313</v>
      </c>
      <c r="AY2610" s="62">
        <f t="shared" si="280"/>
        <v>0.7113955542756264</v>
      </c>
      <c r="AZ2610" s="68" t="str">
        <f t="shared" si="281"/>
        <v>No</v>
      </c>
      <c r="BA2610" s="68" t="str">
        <f t="shared" si="282"/>
        <v>No</v>
      </c>
    </row>
    <row r="2611" spans="1:55" s="56" customFormat="1" ht="15" hidden="1">
      <c r="A2611" t="s">
        <v>3914</v>
      </c>
      <c r="B2611"/>
      <c r="C2611"/>
      <c r="D2611" s="25"/>
      <c r="E2611" s="25"/>
      <c r="F2611"/>
      <c r="G2611" t="s">
        <v>4412</v>
      </c>
      <c r="H2611"/>
      <c r="I2611"/>
      <c r="J2611"/>
      <c r="K2611"/>
      <c r="L2611"/>
      <c r="M2611" s="25"/>
      <c r="N2611"/>
      <c r="O2611"/>
      <c r="P2611" t="s">
        <v>60</v>
      </c>
      <c r="Q2611"/>
      <c r="R2611" t="s">
        <v>4357</v>
      </c>
      <c r="S2611" t="s">
        <v>4398</v>
      </c>
      <c r="T2611"/>
      <c r="U2611"/>
      <c r="V2611" t="s">
        <v>3956</v>
      </c>
      <c r="W2611" s="25"/>
      <c r="X2611"/>
      <c r="Y2611"/>
      <c r="Z2611">
        <v>6</v>
      </c>
      <c r="AA2611">
        <v>6</v>
      </c>
      <c r="AB2611"/>
      <c r="AC2611">
        <v>491</v>
      </c>
      <c r="AD2611">
        <v>9.32</v>
      </c>
      <c r="AE2611">
        <v>1867</v>
      </c>
      <c r="AF2611">
        <v>9.32</v>
      </c>
      <c r="AG2611"/>
      <c r="AH2611"/>
      <c r="AI2611"/>
      <c r="AJ2611" t="s">
        <v>4065</v>
      </c>
      <c r="AK2611" t="s">
        <v>4491</v>
      </c>
      <c r="AL2611" s="25"/>
      <c r="AM2611" s="35"/>
      <c r="AN2611">
        <v>0.64666666666666661</v>
      </c>
      <c r="AO2611">
        <v>4.2739521132865631E-2</v>
      </c>
      <c r="AP2611">
        <v>0.66333333333333344</v>
      </c>
      <c r="AQ2611">
        <v>0.14038043548396134</v>
      </c>
      <c r="AR2611"/>
      <c r="AS2611"/>
      <c r="AT2611"/>
      <c r="AU2611"/>
      <c r="AV2611"/>
      <c r="AW2611" s="28">
        <f t="shared" si="278"/>
        <v>0.16062314155081056</v>
      </c>
      <c r="AX2611">
        <f t="shared" si="279"/>
        <v>0.92307692307692313</v>
      </c>
      <c r="AY2611" s="62">
        <f t="shared" si="280"/>
        <v>0.14826751527767129</v>
      </c>
      <c r="AZ2611" s="68" t="str">
        <f t="shared" si="281"/>
        <v>No</v>
      </c>
      <c r="BA2611" s="68" t="str">
        <f t="shared" si="282"/>
        <v>No</v>
      </c>
      <c r="BB2611"/>
      <c r="BC2611"/>
    </row>
    <row r="2612" spans="1:55" hidden="1">
      <c r="A2612" t="s">
        <v>3914</v>
      </c>
      <c r="G2612" t="s">
        <v>4412</v>
      </c>
      <c r="P2612" t="s">
        <v>60</v>
      </c>
      <c r="R2612" t="s">
        <v>4357</v>
      </c>
      <c r="S2612" t="s">
        <v>4398</v>
      </c>
      <c r="V2612" t="s">
        <v>3956</v>
      </c>
      <c r="Z2612">
        <v>3</v>
      </c>
      <c r="AA2612">
        <v>3</v>
      </c>
      <c r="AC2612">
        <v>491</v>
      </c>
      <c r="AD2612">
        <v>9.32</v>
      </c>
      <c r="AE2612">
        <v>1053</v>
      </c>
      <c r="AF2612">
        <v>9.32</v>
      </c>
      <c r="AJ2612" t="s">
        <v>4079</v>
      </c>
      <c r="AK2612" t="s">
        <v>4502</v>
      </c>
      <c r="AN2612">
        <v>0.33333333333333331</v>
      </c>
      <c r="AO2612">
        <v>0.1446835627614047</v>
      </c>
      <c r="AP2612">
        <v>0.61</v>
      </c>
      <c r="AQ2612">
        <v>0.19287301521985914</v>
      </c>
      <c r="AW2612" s="28">
        <f t="shared" si="278"/>
        <v>1.6227784155369829</v>
      </c>
      <c r="AX2612">
        <f t="shared" si="279"/>
        <v>0.8</v>
      </c>
      <c r="AY2612" s="62">
        <f t="shared" si="280"/>
        <v>1.2982227324295863</v>
      </c>
      <c r="AZ2612" s="68" t="str">
        <f t="shared" si="281"/>
        <v>No</v>
      </c>
      <c r="BA2612" s="68" t="str">
        <f t="shared" si="282"/>
        <v>No</v>
      </c>
    </row>
    <row r="2613" spans="1:55" s="56" customFormat="1" ht="15" hidden="1">
      <c r="A2613" t="s">
        <v>3914</v>
      </c>
      <c r="B2613"/>
      <c r="C2613"/>
      <c r="D2613" s="25"/>
      <c r="E2613" s="25"/>
      <c r="F2613"/>
      <c r="G2613" t="s">
        <v>4412</v>
      </c>
      <c r="H2613"/>
      <c r="I2613"/>
      <c r="J2613"/>
      <c r="K2613"/>
      <c r="L2613"/>
      <c r="M2613" s="25"/>
      <c r="N2613"/>
      <c r="O2613"/>
      <c r="P2613" t="s">
        <v>60</v>
      </c>
      <c r="Q2613"/>
      <c r="R2613" t="s">
        <v>4357</v>
      </c>
      <c r="S2613" t="s">
        <v>4398</v>
      </c>
      <c r="T2613"/>
      <c r="U2613"/>
      <c r="V2613" t="s">
        <v>3956</v>
      </c>
      <c r="W2613" s="25"/>
      <c r="X2613"/>
      <c r="Y2613"/>
      <c r="Z2613">
        <v>3</v>
      </c>
      <c r="AA2613">
        <v>6</v>
      </c>
      <c r="AB2613"/>
      <c r="AC2613">
        <v>491</v>
      </c>
      <c r="AD2613">
        <v>9.32</v>
      </c>
      <c r="AE2613">
        <v>1867</v>
      </c>
      <c r="AF2613">
        <v>9.32</v>
      </c>
      <c r="AG2613"/>
      <c r="AH2613"/>
      <c r="AI2613"/>
      <c r="AJ2613" t="s">
        <v>4079</v>
      </c>
      <c r="AK2613" t="s">
        <v>4502</v>
      </c>
      <c r="AL2613" s="25"/>
      <c r="AM2613" s="35"/>
      <c r="AN2613">
        <v>0.33333333333333331</v>
      </c>
      <c r="AO2613">
        <v>0.1446835627614047</v>
      </c>
      <c r="AP2613">
        <v>0.54833333333333345</v>
      </c>
      <c r="AQ2613">
        <v>0.2205825620185479</v>
      </c>
      <c r="AR2613"/>
      <c r="AS2613"/>
      <c r="AT2613"/>
      <c r="AU2613"/>
      <c r="AV2613"/>
      <c r="AW2613" s="28">
        <f t="shared" si="278"/>
        <v>1.0652481581471593</v>
      </c>
      <c r="AX2613">
        <f t="shared" si="279"/>
        <v>0.88888888888888884</v>
      </c>
      <c r="AY2613" s="62">
        <f t="shared" si="280"/>
        <v>0.94688725168636378</v>
      </c>
      <c r="AZ2613" s="68" t="str">
        <f t="shared" si="281"/>
        <v>No</v>
      </c>
      <c r="BA2613" s="68" t="str">
        <f t="shared" si="282"/>
        <v>No</v>
      </c>
      <c r="BB2613"/>
      <c r="BC2613"/>
    </row>
    <row r="2614" spans="1:55" hidden="1">
      <c r="A2614" t="s">
        <v>3914</v>
      </c>
      <c r="G2614" t="s">
        <v>4412</v>
      </c>
      <c r="P2614" t="s">
        <v>60</v>
      </c>
      <c r="R2614" t="s">
        <v>4357</v>
      </c>
      <c r="S2614" t="s">
        <v>4398</v>
      </c>
      <c r="V2614" t="s">
        <v>3956</v>
      </c>
      <c r="Z2614">
        <v>6</v>
      </c>
      <c r="AA2614">
        <v>3</v>
      </c>
      <c r="AC2614">
        <v>491</v>
      </c>
      <c r="AD2614">
        <v>9.32</v>
      </c>
      <c r="AE2614">
        <v>3018</v>
      </c>
      <c r="AF2614">
        <v>9.32</v>
      </c>
      <c r="AJ2614" t="s">
        <v>4065</v>
      </c>
      <c r="AK2614" t="s">
        <v>4491</v>
      </c>
      <c r="AN2614">
        <v>0.64666666666666661</v>
      </c>
      <c r="AO2614">
        <v>4.2739521132865631E-2</v>
      </c>
      <c r="AP2614">
        <v>0.77666666666666673</v>
      </c>
      <c r="AQ2614">
        <v>0.25794056162870782</v>
      </c>
      <c r="AW2614" s="28">
        <f t="shared" si="278"/>
        <v>0.9121002486418015</v>
      </c>
      <c r="AX2614">
        <f t="shared" si="279"/>
        <v>0.88888888888888884</v>
      </c>
      <c r="AY2614" s="62">
        <f t="shared" si="280"/>
        <v>0.81075577657049014</v>
      </c>
      <c r="AZ2614" s="68" t="str">
        <f t="shared" si="281"/>
        <v>No</v>
      </c>
      <c r="BA2614" s="68" t="str">
        <f t="shared" si="282"/>
        <v>No</v>
      </c>
    </row>
    <row r="2615" spans="1:55" hidden="1">
      <c r="A2615" t="s">
        <v>3914</v>
      </c>
      <c r="G2615" s="50" t="s">
        <v>4412</v>
      </c>
      <c r="P2615" t="s">
        <v>60</v>
      </c>
      <c r="R2615" t="s">
        <v>4357</v>
      </c>
      <c r="S2615" s="50" t="s">
        <v>4398</v>
      </c>
      <c r="V2615" t="s">
        <v>3956</v>
      </c>
      <c r="Z2615">
        <v>6</v>
      </c>
      <c r="AA2615">
        <v>6</v>
      </c>
      <c r="AC2615">
        <v>491</v>
      </c>
      <c r="AD2615">
        <v>9.32</v>
      </c>
      <c r="AE2615">
        <v>1867</v>
      </c>
      <c r="AF2615">
        <v>9.32</v>
      </c>
      <c r="AJ2615" s="50" t="s">
        <v>4444</v>
      </c>
      <c r="AK2615" t="s">
        <v>4244</v>
      </c>
      <c r="AN2615">
        <v>2.9166666666666665</v>
      </c>
      <c r="AO2615">
        <v>0.31885210782848317</v>
      </c>
      <c r="AP2615">
        <v>1.75</v>
      </c>
      <c r="AQ2615">
        <v>0.30822070014844927</v>
      </c>
      <c r="AW2615" s="28">
        <f t="shared" si="278"/>
        <v>-3.7204580241691345</v>
      </c>
      <c r="AX2615">
        <f t="shared" si="279"/>
        <v>0.92307692307692313</v>
      </c>
      <c r="AY2615" s="62">
        <f t="shared" si="280"/>
        <v>-3.4342689453868935</v>
      </c>
      <c r="AZ2615" s="68" t="str">
        <f t="shared" si="281"/>
        <v>No</v>
      </c>
      <c r="BA2615" s="68" t="str">
        <f t="shared" si="282"/>
        <v>No</v>
      </c>
    </row>
    <row r="2616" spans="1:55" s="56" customFormat="1" ht="15" hidden="1">
      <c r="A2616" t="s">
        <v>3914</v>
      </c>
      <c r="B2616"/>
      <c r="C2616"/>
      <c r="D2616" s="25"/>
      <c r="E2616" s="25"/>
      <c r="F2616"/>
      <c r="G2616" s="50" t="s">
        <v>4412</v>
      </c>
      <c r="H2616"/>
      <c r="I2616"/>
      <c r="J2616"/>
      <c r="K2616"/>
      <c r="L2616"/>
      <c r="M2616" s="25"/>
      <c r="N2616"/>
      <c r="O2616"/>
      <c r="P2616" t="s">
        <v>60</v>
      </c>
      <c r="Q2616"/>
      <c r="R2616" t="s">
        <v>4357</v>
      </c>
      <c r="S2616" s="50" t="s">
        <v>4398</v>
      </c>
      <c r="T2616"/>
      <c r="U2616"/>
      <c r="V2616" t="s">
        <v>3956</v>
      </c>
      <c r="W2616" s="25"/>
      <c r="X2616"/>
      <c r="Y2616"/>
      <c r="Z2616">
        <v>6</v>
      </c>
      <c r="AA2616">
        <v>3</v>
      </c>
      <c r="AB2616"/>
      <c r="AC2616">
        <v>491</v>
      </c>
      <c r="AD2616">
        <v>9.32</v>
      </c>
      <c r="AE2616">
        <v>3018</v>
      </c>
      <c r="AF2616">
        <v>9.32</v>
      </c>
      <c r="AG2616"/>
      <c r="AH2616"/>
      <c r="AI2616"/>
      <c r="AJ2616" s="50" t="s">
        <v>4444</v>
      </c>
      <c r="AK2616" t="s">
        <v>4244</v>
      </c>
      <c r="AL2616" s="25"/>
      <c r="AM2616" s="35"/>
      <c r="AN2616">
        <v>2.9166666666666665</v>
      </c>
      <c r="AO2616">
        <v>0.31885210782848317</v>
      </c>
      <c r="AP2616">
        <v>1.3</v>
      </c>
      <c r="AQ2616">
        <v>0.39999999999999908</v>
      </c>
      <c r="AR2616"/>
      <c r="AS2616"/>
      <c r="AT2616"/>
      <c r="AU2616"/>
      <c r="AV2616"/>
      <c r="AW2616" s="28">
        <f t="shared" si="278"/>
        <v>-4.6996653561816437</v>
      </c>
      <c r="AX2616">
        <f t="shared" si="279"/>
        <v>0.88888888888888884</v>
      </c>
      <c r="AY2616" s="62">
        <f t="shared" si="280"/>
        <v>-4.1774803166059051</v>
      </c>
      <c r="AZ2616" s="68" t="str">
        <f t="shared" si="281"/>
        <v>No</v>
      </c>
      <c r="BA2616" s="68" t="str">
        <f t="shared" si="282"/>
        <v>No</v>
      </c>
      <c r="BB2616"/>
      <c r="BC2616"/>
    </row>
    <row r="2617" spans="1:55" hidden="1">
      <c r="A2617" t="s">
        <v>3914</v>
      </c>
      <c r="G2617" s="50" t="s">
        <v>4412</v>
      </c>
      <c r="P2617" t="s">
        <v>60</v>
      </c>
      <c r="R2617" t="s">
        <v>4357</v>
      </c>
      <c r="S2617" s="50" t="s">
        <v>4398</v>
      </c>
      <c r="V2617" t="s">
        <v>3956</v>
      </c>
      <c r="Z2617" s="50">
        <v>6</v>
      </c>
      <c r="AA2617" s="50">
        <v>6</v>
      </c>
      <c r="AC2617">
        <v>491</v>
      </c>
      <c r="AD2617">
        <v>9.32</v>
      </c>
      <c r="AE2617">
        <v>1053</v>
      </c>
      <c r="AF2617">
        <v>9.32</v>
      </c>
      <c r="AJ2617" s="50" t="s">
        <v>4444</v>
      </c>
      <c r="AK2617" t="s">
        <v>4244</v>
      </c>
      <c r="AN2617">
        <v>2.9166666666666665</v>
      </c>
      <c r="AO2617">
        <v>0.31885210782848317</v>
      </c>
      <c r="AP2617">
        <v>2.25</v>
      </c>
      <c r="AQ2617">
        <v>0.53197744313081596</v>
      </c>
      <c r="AW2617" s="28">
        <f t="shared" si="278"/>
        <v>-1.5201325613392738</v>
      </c>
      <c r="AX2617">
        <f t="shared" si="279"/>
        <v>0.92307692307692313</v>
      </c>
      <c r="AY2617" s="62">
        <f t="shared" si="280"/>
        <v>-1.4031992873900989</v>
      </c>
      <c r="AZ2617" s="68" t="str">
        <f t="shared" si="281"/>
        <v>No</v>
      </c>
      <c r="BA2617" s="68" t="str">
        <f t="shared" si="282"/>
        <v>No</v>
      </c>
    </row>
    <row r="2618" spans="1:55" hidden="1">
      <c r="A2618" t="s">
        <v>3914</v>
      </c>
      <c r="G2618" t="s">
        <v>5050</v>
      </c>
      <c r="P2618" t="s">
        <v>60</v>
      </c>
      <c r="R2618" t="s">
        <v>4357</v>
      </c>
      <c r="S2618" t="s">
        <v>4398</v>
      </c>
      <c r="V2618" t="s">
        <v>3956</v>
      </c>
      <c r="Z2618">
        <v>6</v>
      </c>
      <c r="AA2618">
        <v>6</v>
      </c>
      <c r="AC2618">
        <v>491</v>
      </c>
      <c r="AD2618">
        <v>9.32</v>
      </c>
      <c r="AE2618">
        <v>1053</v>
      </c>
      <c r="AF2618">
        <v>9.32</v>
      </c>
      <c r="AJ2618" t="s">
        <v>4433</v>
      </c>
      <c r="AK2618" t="s">
        <v>4244</v>
      </c>
      <c r="AN2618">
        <v>97</v>
      </c>
      <c r="AO2618">
        <v>4.9396356140913875</v>
      </c>
      <c r="AP2618">
        <v>89.833333333333329</v>
      </c>
      <c r="AQ2618">
        <v>3.868677637987775</v>
      </c>
      <c r="AW2618" s="28">
        <f t="shared" si="278"/>
        <v>-1.6153546328579282</v>
      </c>
      <c r="AX2618">
        <f t="shared" si="279"/>
        <v>0.92307692307692313</v>
      </c>
      <c r="AY2618" s="62">
        <f t="shared" si="280"/>
        <v>-1.4910965841765493</v>
      </c>
      <c r="AZ2618" s="68" t="str">
        <f t="shared" si="281"/>
        <v>No</v>
      </c>
      <c r="BA2618" s="68" t="str">
        <f t="shared" si="282"/>
        <v>No</v>
      </c>
    </row>
    <row r="2619" spans="1:55" hidden="1">
      <c r="A2619" t="s">
        <v>3914</v>
      </c>
      <c r="G2619" t="s">
        <v>4412</v>
      </c>
      <c r="P2619" t="s">
        <v>60</v>
      </c>
      <c r="R2619" t="s">
        <v>4357</v>
      </c>
      <c r="S2619" t="s">
        <v>4398</v>
      </c>
      <c r="V2619" t="s">
        <v>3956</v>
      </c>
      <c r="Z2619">
        <v>6</v>
      </c>
      <c r="AA2619">
        <v>6</v>
      </c>
      <c r="AC2619">
        <v>491</v>
      </c>
      <c r="AD2619">
        <v>9.32</v>
      </c>
      <c r="AE2619">
        <v>1867</v>
      </c>
      <c r="AF2619">
        <v>9.32</v>
      </c>
      <c r="AJ2619" t="s">
        <v>4433</v>
      </c>
      <c r="AK2619" t="s">
        <v>4244</v>
      </c>
      <c r="AN2619">
        <v>97</v>
      </c>
      <c r="AO2619">
        <v>4.9396356140913875</v>
      </c>
      <c r="AP2619">
        <v>78.166666666666671</v>
      </c>
      <c r="AQ2619">
        <v>11.05290308772619</v>
      </c>
      <c r="AW2619" s="28">
        <f t="shared" si="278"/>
        <v>-2.2000096484306062</v>
      </c>
      <c r="AX2619">
        <f t="shared" si="279"/>
        <v>0.92307692307692313</v>
      </c>
      <c r="AY2619" s="62">
        <f t="shared" si="280"/>
        <v>-2.0307781370128675</v>
      </c>
      <c r="AZ2619" s="68" t="str">
        <f t="shared" si="281"/>
        <v>No</v>
      </c>
      <c r="BA2619" s="68" t="str">
        <f t="shared" si="282"/>
        <v>No</v>
      </c>
    </row>
    <row r="2620" spans="1:55" hidden="1">
      <c r="A2620" t="s">
        <v>3914</v>
      </c>
      <c r="G2620" t="s">
        <v>4412</v>
      </c>
      <c r="P2620" t="s">
        <v>60</v>
      </c>
      <c r="R2620" t="s">
        <v>4357</v>
      </c>
      <c r="S2620" t="s">
        <v>4398</v>
      </c>
      <c r="V2620" t="s">
        <v>3956</v>
      </c>
      <c r="Z2620">
        <v>6</v>
      </c>
      <c r="AA2620">
        <v>3</v>
      </c>
      <c r="AC2620">
        <v>491</v>
      </c>
      <c r="AD2620">
        <v>9.32</v>
      </c>
      <c r="AE2620">
        <v>3018</v>
      </c>
      <c r="AF2620">
        <v>9.32</v>
      </c>
      <c r="AJ2620" t="s">
        <v>4433</v>
      </c>
      <c r="AK2620" t="s">
        <v>4244</v>
      </c>
      <c r="AN2620">
        <v>97</v>
      </c>
      <c r="AO2620">
        <v>4.9396356140913875</v>
      </c>
      <c r="AP2620">
        <v>50</v>
      </c>
      <c r="AQ2620">
        <v>19.924858845171276</v>
      </c>
      <c r="AW2620" s="28">
        <f t="shared" si="278"/>
        <v>-4.1086499445453155</v>
      </c>
      <c r="AX2620">
        <f t="shared" si="279"/>
        <v>0.88888888888888884</v>
      </c>
      <c r="AY2620" s="62">
        <f t="shared" si="280"/>
        <v>-3.6521332840402803</v>
      </c>
      <c r="AZ2620" s="68" t="str">
        <f t="shared" si="281"/>
        <v>No</v>
      </c>
      <c r="BA2620" s="68" t="str">
        <f t="shared" si="282"/>
        <v>No</v>
      </c>
    </row>
    <row r="2621" spans="1:55" ht="15" hidden="1">
      <c r="A2621" t="s">
        <v>3914</v>
      </c>
      <c r="G2621" s="56" t="s">
        <v>4700</v>
      </c>
      <c r="P2621" t="s">
        <v>4596</v>
      </c>
      <c r="R2621" t="s">
        <v>4701</v>
      </c>
      <c r="S2621" t="s">
        <v>4572</v>
      </c>
      <c r="V2621" t="s">
        <v>4626</v>
      </c>
      <c r="Z2621">
        <v>10</v>
      </c>
      <c r="AA2621">
        <v>10</v>
      </c>
      <c r="AC2621">
        <v>376</v>
      </c>
      <c r="AD2621">
        <v>16</v>
      </c>
      <c r="AE2621">
        <v>741</v>
      </c>
      <c r="AF2621">
        <v>19</v>
      </c>
      <c r="AJ2621" t="s">
        <v>4593</v>
      </c>
      <c r="AK2621" t="s">
        <v>4081</v>
      </c>
      <c r="AL2621" s="59"/>
      <c r="AM2621" s="60"/>
      <c r="AN2621">
        <v>7.35</v>
      </c>
      <c r="AO2621">
        <v>2.3837000000000001E-2</v>
      </c>
      <c r="AP2621">
        <v>7.22</v>
      </c>
      <c r="AQ2621">
        <v>1.5599999999999999E-2</v>
      </c>
      <c r="AR2621" s="37"/>
      <c r="AS2621" s="37"/>
      <c r="AT2621" s="37"/>
      <c r="AU2621" s="37"/>
      <c r="AV2621" s="37"/>
      <c r="AW2621" s="28">
        <f t="shared" si="278"/>
        <v>-6.4535301895650887</v>
      </c>
      <c r="AX2621">
        <f t="shared" si="279"/>
        <v>0.95774647887323949</v>
      </c>
      <c r="AY2621" s="62">
        <f t="shared" si="280"/>
        <v>-6.1808458153581132</v>
      </c>
      <c r="AZ2621" s="68" t="str">
        <f t="shared" si="281"/>
        <v>No</v>
      </c>
      <c r="BA2621" s="68" t="str">
        <f t="shared" si="282"/>
        <v>No</v>
      </c>
    </row>
    <row r="2622" spans="1:55" ht="15" hidden="1">
      <c r="A2622" t="s">
        <v>3914</v>
      </c>
      <c r="G2622" s="56" t="s">
        <v>4700</v>
      </c>
      <c r="P2622" t="s">
        <v>4596</v>
      </c>
      <c r="R2622" t="s">
        <v>4701</v>
      </c>
      <c r="S2622" t="s">
        <v>4572</v>
      </c>
      <c r="V2622" t="s">
        <v>4627</v>
      </c>
      <c r="Z2622">
        <v>10</v>
      </c>
      <c r="AA2622">
        <v>10</v>
      </c>
      <c r="AC2622">
        <v>376</v>
      </c>
      <c r="AD2622">
        <v>16</v>
      </c>
      <c r="AE2622">
        <v>1395</v>
      </c>
      <c r="AF2622">
        <v>19</v>
      </c>
      <c r="AJ2622" t="s">
        <v>4593</v>
      </c>
      <c r="AK2622" t="s">
        <v>4081</v>
      </c>
      <c r="AL2622" s="59"/>
      <c r="AM2622" s="60"/>
      <c r="AN2622">
        <v>7.35</v>
      </c>
      <c r="AO2622">
        <v>2.3837000000000001E-2</v>
      </c>
      <c r="AP2622">
        <v>7.1</v>
      </c>
      <c r="AQ2622">
        <v>2.5999999999999999E-2</v>
      </c>
      <c r="AR2622" s="37"/>
      <c r="AS2622" s="37"/>
      <c r="AT2622" s="37"/>
      <c r="AU2622" s="37"/>
      <c r="AV2622" s="37"/>
      <c r="AW2622" s="28">
        <f t="shared" si="278"/>
        <v>-10.023270701529949</v>
      </c>
      <c r="AX2622">
        <f t="shared" si="279"/>
        <v>0.95774647887323949</v>
      </c>
      <c r="AY2622" s="62">
        <f t="shared" si="280"/>
        <v>-9.5997522211836142</v>
      </c>
      <c r="AZ2622" s="68" t="str">
        <f t="shared" si="281"/>
        <v>No</v>
      </c>
      <c r="BA2622" s="68" t="str">
        <f t="shared" si="282"/>
        <v>No</v>
      </c>
    </row>
    <row r="2623" spans="1:55" ht="15" hidden="1">
      <c r="A2623" t="s">
        <v>3914</v>
      </c>
      <c r="G2623" s="56" t="s">
        <v>4700</v>
      </c>
      <c r="P2623" t="s">
        <v>4596</v>
      </c>
      <c r="R2623" t="s">
        <v>4701</v>
      </c>
      <c r="S2623" t="s">
        <v>4572</v>
      </c>
      <c r="V2623" t="s">
        <v>4626</v>
      </c>
      <c r="Z2623">
        <v>10</v>
      </c>
      <c r="AA2623">
        <v>10</v>
      </c>
      <c r="AC2623">
        <v>376</v>
      </c>
      <c r="AD2623">
        <v>16</v>
      </c>
      <c r="AE2623">
        <v>741</v>
      </c>
      <c r="AF2623">
        <v>19</v>
      </c>
      <c r="AJ2623" t="s">
        <v>4702</v>
      </c>
      <c r="AK2623" t="s">
        <v>4642</v>
      </c>
      <c r="AL2623" s="59"/>
      <c r="AM2623" s="60"/>
      <c r="AN2623">
        <v>1.52</v>
      </c>
      <c r="AO2623">
        <v>2.4496E-2</v>
      </c>
      <c r="AP2623">
        <v>2.2200000000000002</v>
      </c>
      <c r="AQ2623">
        <v>2.6723E-2</v>
      </c>
      <c r="AR2623" s="37"/>
      <c r="AS2623" s="37"/>
      <c r="AT2623" s="37"/>
      <c r="AU2623" s="37"/>
      <c r="AV2623" s="37"/>
      <c r="AW2623" s="28">
        <f t="shared" si="278"/>
        <v>27.307806061163841</v>
      </c>
      <c r="AX2623">
        <f t="shared" si="279"/>
        <v>0.95774647887323949</v>
      </c>
      <c r="AY2623" s="62">
        <f t="shared" si="280"/>
        <v>26.153955100832977</v>
      </c>
      <c r="AZ2623" s="68" t="str">
        <f t="shared" si="281"/>
        <v>Yes</v>
      </c>
      <c r="BA2623" s="68" t="str">
        <f t="shared" si="282"/>
        <v>No</v>
      </c>
    </row>
    <row r="2624" spans="1:55" ht="15" hidden="1">
      <c r="A2624" t="s">
        <v>3914</v>
      </c>
      <c r="G2624" s="56" t="s">
        <v>4700</v>
      </c>
      <c r="P2624" t="s">
        <v>4596</v>
      </c>
      <c r="R2624" t="s">
        <v>4701</v>
      </c>
      <c r="S2624" t="s">
        <v>4572</v>
      </c>
      <c r="V2624" t="s">
        <v>4598</v>
      </c>
      <c r="Z2624">
        <v>10</v>
      </c>
      <c r="AA2624">
        <v>10</v>
      </c>
      <c r="AC2624">
        <v>376</v>
      </c>
      <c r="AD2624">
        <v>16</v>
      </c>
      <c r="AE2624">
        <v>370</v>
      </c>
      <c r="AF2624">
        <v>19</v>
      </c>
      <c r="AJ2624" t="s">
        <v>4705</v>
      </c>
      <c r="AK2624" t="s">
        <v>4081</v>
      </c>
      <c r="AL2624" s="59"/>
      <c r="AM2624" s="60"/>
      <c r="AN2624">
        <v>7.35</v>
      </c>
      <c r="AO2624">
        <v>2.3837000000000001E-2</v>
      </c>
      <c r="AP2624">
        <v>7.45</v>
      </c>
      <c r="AQ2624">
        <v>2.8000000000000001E-2</v>
      </c>
      <c r="AR2624" s="37"/>
      <c r="AS2624" s="37"/>
      <c r="AT2624" s="37"/>
      <c r="AU2624" s="37"/>
      <c r="AV2624" s="37"/>
      <c r="AW2624" s="28">
        <f t="shared" si="278"/>
        <v>3.8458657455624539</v>
      </c>
      <c r="AX2624">
        <f t="shared" si="279"/>
        <v>0.95774647887323949</v>
      </c>
      <c r="AY2624" s="62">
        <f t="shared" si="280"/>
        <v>3.6833643760316463</v>
      </c>
      <c r="AZ2624" s="68" t="str">
        <f t="shared" si="281"/>
        <v>No</v>
      </c>
      <c r="BA2624" s="68" t="str">
        <f t="shared" si="282"/>
        <v>No</v>
      </c>
    </row>
    <row r="2625" spans="1:55" hidden="1">
      <c r="A2625" t="s">
        <v>3914</v>
      </c>
      <c r="G2625" t="s">
        <v>5106</v>
      </c>
      <c r="P2625" t="s">
        <v>60</v>
      </c>
      <c r="R2625" t="s">
        <v>4570</v>
      </c>
      <c r="S2625" t="s">
        <v>4572</v>
      </c>
      <c r="V2625" t="s">
        <v>3956</v>
      </c>
      <c r="Z2625">
        <v>10</v>
      </c>
      <c r="AA2625">
        <v>10</v>
      </c>
      <c r="AC2625">
        <v>378</v>
      </c>
      <c r="AD2625">
        <v>16</v>
      </c>
      <c r="AE2625">
        <v>1433</v>
      </c>
      <c r="AF2625">
        <v>16</v>
      </c>
      <c r="AJ2625" t="s">
        <v>4593</v>
      </c>
      <c r="AK2625" t="s">
        <v>4502</v>
      </c>
      <c r="AN2625">
        <v>7.34</v>
      </c>
      <c r="AO2625">
        <v>1.875</v>
      </c>
      <c r="AP2625">
        <v>7.05</v>
      </c>
      <c r="AQ2625">
        <v>0.09</v>
      </c>
      <c r="AW2625" s="28">
        <f t="shared" si="278"/>
        <v>-0.21848015331659199</v>
      </c>
      <c r="AX2625">
        <f t="shared" si="279"/>
        <v>0.95774647887323949</v>
      </c>
      <c r="AY2625" s="62">
        <f t="shared" si="280"/>
        <v>-0.20924859754265149</v>
      </c>
      <c r="AZ2625" s="68" t="str">
        <f t="shared" si="281"/>
        <v>No</v>
      </c>
      <c r="BA2625" s="68" t="str">
        <f t="shared" si="282"/>
        <v>No</v>
      </c>
    </row>
    <row r="2626" spans="1:55" ht="15" hidden="1">
      <c r="A2626" t="s">
        <v>3914</v>
      </c>
      <c r="G2626" s="56" t="s">
        <v>4700</v>
      </c>
      <c r="P2626" t="s">
        <v>4596</v>
      </c>
      <c r="R2626" t="s">
        <v>4701</v>
      </c>
      <c r="S2626" t="s">
        <v>4572</v>
      </c>
      <c r="V2626" t="s">
        <v>4598</v>
      </c>
      <c r="Z2626">
        <v>10</v>
      </c>
      <c r="AA2626">
        <v>10</v>
      </c>
      <c r="AC2626">
        <v>376</v>
      </c>
      <c r="AD2626">
        <v>16</v>
      </c>
      <c r="AE2626">
        <v>370</v>
      </c>
      <c r="AF2626">
        <v>19</v>
      </c>
      <c r="AJ2626" t="s">
        <v>4706</v>
      </c>
      <c r="AK2626" t="s">
        <v>3983</v>
      </c>
      <c r="AL2626" s="59"/>
      <c r="AM2626" s="60"/>
      <c r="AN2626">
        <v>1.52</v>
      </c>
      <c r="AO2626">
        <v>2.4496E-2</v>
      </c>
      <c r="AP2626">
        <v>2.3199999999999998</v>
      </c>
      <c r="AQ2626">
        <v>9.7011E-2</v>
      </c>
      <c r="AR2626" s="37"/>
      <c r="AS2626" s="37"/>
      <c r="AT2626" s="37"/>
      <c r="AU2626" s="37"/>
      <c r="AV2626" s="37"/>
      <c r="AW2626" s="28">
        <f t="shared" si="278"/>
        <v>11.307384838705389</v>
      </c>
      <c r="AX2626">
        <f t="shared" si="279"/>
        <v>0.95774647887323949</v>
      </c>
      <c r="AY2626" s="73">
        <f t="shared" si="280"/>
        <v>10.829608014534738</v>
      </c>
      <c r="AZ2626" s="74" t="str">
        <f t="shared" si="281"/>
        <v>Yes</v>
      </c>
      <c r="BA2626" s="74" t="str">
        <f t="shared" si="282"/>
        <v>No</v>
      </c>
      <c r="BB2626" s="56"/>
      <c r="BC2626" s="56"/>
    </row>
    <row r="2627" spans="1:55" ht="15" hidden="1">
      <c r="A2627" t="s">
        <v>3914</v>
      </c>
      <c r="G2627" s="56" t="s">
        <v>4700</v>
      </c>
      <c r="P2627" t="s">
        <v>4596</v>
      </c>
      <c r="R2627" t="s">
        <v>4701</v>
      </c>
      <c r="S2627" t="s">
        <v>4572</v>
      </c>
      <c r="V2627" t="s">
        <v>4627</v>
      </c>
      <c r="Z2627">
        <v>10</v>
      </c>
      <c r="AA2627">
        <v>10</v>
      </c>
      <c r="AC2627">
        <v>376</v>
      </c>
      <c r="AD2627">
        <v>16</v>
      </c>
      <c r="AE2627">
        <v>1395</v>
      </c>
      <c r="AF2627">
        <v>19</v>
      </c>
      <c r="AJ2627" t="s">
        <v>4702</v>
      </c>
      <c r="AK2627" t="s">
        <v>4642</v>
      </c>
      <c r="AL2627" s="59"/>
      <c r="AM2627" s="60"/>
      <c r="AN2627">
        <v>1.52</v>
      </c>
      <c r="AO2627">
        <v>2.4496E-2</v>
      </c>
      <c r="AP2627">
        <v>2.3199999999999998</v>
      </c>
      <c r="AQ2627">
        <v>0.100212</v>
      </c>
      <c r="AR2627" s="37"/>
      <c r="AS2627" s="37"/>
      <c r="AT2627" s="37"/>
      <c r="AU2627" s="37"/>
      <c r="AV2627" s="37"/>
      <c r="AW2627" s="28">
        <f t="shared" si="278"/>
        <v>10.966882151218414</v>
      </c>
      <c r="AX2627">
        <f t="shared" si="279"/>
        <v>0.95774647887323949</v>
      </c>
      <c r="AY2627" s="62">
        <f t="shared" si="280"/>
        <v>10.503492764547214</v>
      </c>
      <c r="AZ2627" s="68" t="str">
        <f t="shared" si="281"/>
        <v>Yes</v>
      </c>
      <c r="BA2627" s="68" t="str">
        <f t="shared" si="282"/>
        <v>No</v>
      </c>
    </row>
    <row r="2628" spans="1:55" ht="15" hidden="1">
      <c r="A2628" t="s">
        <v>3914</v>
      </c>
      <c r="G2628" s="56" t="s">
        <v>4700</v>
      </c>
      <c r="P2628" t="s">
        <v>4596</v>
      </c>
      <c r="R2628" t="s">
        <v>4701</v>
      </c>
      <c r="S2628" t="s">
        <v>4572</v>
      </c>
      <c r="V2628" t="s">
        <v>4626</v>
      </c>
      <c r="Z2628">
        <v>9</v>
      </c>
      <c r="AA2628">
        <v>9</v>
      </c>
      <c r="AC2628">
        <v>376</v>
      </c>
      <c r="AD2628">
        <v>16</v>
      </c>
      <c r="AE2628">
        <v>741</v>
      </c>
      <c r="AF2628">
        <v>19</v>
      </c>
      <c r="AJ2628" t="s">
        <v>4704</v>
      </c>
      <c r="AK2628" t="s">
        <v>4630</v>
      </c>
      <c r="AL2628" s="59"/>
      <c r="AM2628" s="60"/>
      <c r="AN2628">
        <v>17.2</v>
      </c>
      <c r="AO2628">
        <v>1.8</v>
      </c>
      <c r="AP2628">
        <v>13</v>
      </c>
      <c r="AQ2628">
        <v>0.31369999999999998</v>
      </c>
      <c r="AR2628" s="37"/>
      <c r="AS2628" s="37"/>
      <c r="AT2628" s="37"/>
      <c r="AU2628" s="37"/>
      <c r="AV2628" s="37"/>
      <c r="AW2628" s="28">
        <f t="shared" si="278"/>
        <v>-3.2508325692026596</v>
      </c>
      <c r="AX2628">
        <f t="shared" si="279"/>
        <v>0.95238095238095233</v>
      </c>
      <c r="AY2628" s="62">
        <f t="shared" si="280"/>
        <v>-3.0960310182882469</v>
      </c>
      <c r="AZ2628" s="68" t="str">
        <f t="shared" si="281"/>
        <v>No</v>
      </c>
      <c r="BA2628" s="68" t="str">
        <f t="shared" si="282"/>
        <v>No</v>
      </c>
    </row>
    <row r="2629" spans="1:55" ht="15" hidden="1">
      <c r="A2629" t="s">
        <v>3914</v>
      </c>
      <c r="G2629" s="56" t="s">
        <v>4700</v>
      </c>
      <c r="P2629" t="s">
        <v>4596</v>
      </c>
      <c r="R2629" t="s">
        <v>4701</v>
      </c>
      <c r="S2629" t="s">
        <v>4572</v>
      </c>
      <c r="V2629" t="s">
        <v>4598</v>
      </c>
      <c r="Z2629">
        <v>5</v>
      </c>
      <c r="AA2629">
        <v>5</v>
      </c>
      <c r="AC2629">
        <v>376</v>
      </c>
      <c r="AD2629">
        <v>16</v>
      </c>
      <c r="AE2629">
        <v>370</v>
      </c>
      <c r="AF2629">
        <v>19</v>
      </c>
      <c r="AJ2629" t="s">
        <v>4707</v>
      </c>
      <c r="AK2629" t="s">
        <v>4642</v>
      </c>
      <c r="AL2629" s="59"/>
      <c r="AM2629" s="60"/>
      <c r="AN2629">
        <v>1.2</v>
      </c>
      <c r="AO2629">
        <v>7.7075000000000005E-2</v>
      </c>
      <c r="AP2629">
        <v>3</v>
      </c>
      <c r="AQ2629">
        <v>0.62727299999999997</v>
      </c>
      <c r="AR2629" s="37"/>
      <c r="AS2629" s="37"/>
      <c r="AT2629" s="37"/>
      <c r="AU2629" s="37"/>
      <c r="AV2629" s="37"/>
      <c r="AW2629" s="28">
        <f t="shared" si="278"/>
        <v>4.0278840833868914</v>
      </c>
      <c r="AX2629">
        <f t="shared" si="279"/>
        <v>0.90322580645161288</v>
      </c>
      <c r="AY2629" s="62">
        <f t="shared" si="280"/>
        <v>3.6380888495107406</v>
      </c>
      <c r="AZ2629" s="68" t="str">
        <f t="shared" si="281"/>
        <v>No</v>
      </c>
      <c r="BA2629" s="68" t="str">
        <f t="shared" si="282"/>
        <v>No</v>
      </c>
    </row>
    <row r="2630" spans="1:55" ht="15" hidden="1">
      <c r="A2630" t="s">
        <v>3914</v>
      </c>
      <c r="G2630" s="56" t="s">
        <v>4700</v>
      </c>
      <c r="P2630" t="s">
        <v>4596</v>
      </c>
      <c r="R2630" t="s">
        <v>4701</v>
      </c>
      <c r="S2630" t="s">
        <v>4572</v>
      </c>
      <c r="V2630" t="s">
        <v>4598</v>
      </c>
      <c r="Z2630">
        <v>9</v>
      </c>
      <c r="AA2630">
        <v>9</v>
      </c>
      <c r="AC2630">
        <v>376</v>
      </c>
      <c r="AD2630">
        <v>16</v>
      </c>
      <c r="AE2630">
        <v>370</v>
      </c>
      <c r="AF2630">
        <v>19</v>
      </c>
      <c r="AJ2630" t="s">
        <v>4954</v>
      </c>
      <c r="AK2630" t="s">
        <v>4630</v>
      </c>
      <c r="AL2630" s="59"/>
      <c r="AM2630" s="60"/>
      <c r="AN2630">
        <v>17.2</v>
      </c>
      <c r="AO2630">
        <v>1.8</v>
      </c>
      <c r="AP2630">
        <v>12</v>
      </c>
      <c r="AQ2630">
        <v>0.73929999999999996</v>
      </c>
      <c r="AR2630" s="37"/>
      <c r="AS2630" s="37"/>
      <c r="AT2630" s="37"/>
      <c r="AU2630" s="37"/>
      <c r="AV2630" s="37"/>
      <c r="AW2630" s="28">
        <f t="shared" si="278"/>
        <v>-3.7791633357148391</v>
      </c>
      <c r="AX2630">
        <f t="shared" si="279"/>
        <v>0.95238095238095233</v>
      </c>
      <c r="AY2630" s="62">
        <f t="shared" si="280"/>
        <v>-3.5992031768712751</v>
      </c>
      <c r="AZ2630" s="68" t="str">
        <f t="shared" si="281"/>
        <v>No</v>
      </c>
      <c r="BA2630" s="68" t="str">
        <f t="shared" si="282"/>
        <v>No</v>
      </c>
    </row>
    <row r="2631" spans="1:55" hidden="1">
      <c r="A2631" t="s">
        <v>3914</v>
      </c>
      <c r="G2631" s="50" t="s">
        <v>5106</v>
      </c>
      <c r="P2631" t="s">
        <v>60</v>
      </c>
      <c r="R2631" t="s">
        <v>4570</v>
      </c>
      <c r="S2631" s="50" t="s">
        <v>4572</v>
      </c>
      <c r="V2631" t="s">
        <v>3956</v>
      </c>
      <c r="Z2631" s="50">
        <v>5</v>
      </c>
      <c r="AA2631" s="50">
        <v>5</v>
      </c>
      <c r="AC2631">
        <v>378</v>
      </c>
      <c r="AD2631">
        <v>16</v>
      </c>
      <c r="AE2631">
        <v>775</v>
      </c>
      <c r="AF2631">
        <v>16</v>
      </c>
      <c r="AJ2631" s="50" t="s">
        <v>4581</v>
      </c>
      <c r="AK2631" t="s">
        <v>4537</v>
      </c>
      <c r="AN2631">
        <v>33</v>
      </c>
      <c r="AO2631">
        <v>0.75</v>
      </c>
      <c r="AP2631">
        <v>31.5</v>
      </c>
      <c r="AQ2631">
        <v>0.75</v>
      </c>
      <c r="AW2631" s="28">
        <f t="shared" si="278"/>
        <v>-2</v>
      </c>
      <c r="AX2631">
        <f t="shared" si="279"/>
        <v>0.90322580645161288</v>
      </c>
      <c r="AY2631" s="62">
        <f t="shared" si="280"/>
        <v>-1.8064516129032258</v>
      </c>
      <c r="AZ2631" s="68" t="str">
        <f t="shared" si="281"/>
        <v>No</v>
      </c>
      <c r="BA2631" s="68" t="str">
        <f t="shared" si="282"/>
        <v>No</v>
      </c>
    </row>
    <row r="2632" spans="1:55" hidden="1">
      <c r="A2632" t="s">
        <v>3914</v>
      </c>
      <c r="G2632" s="50" t="s">
        <v>4576</v>
      </c>
      <c r="P2632" t="s">
        <v>60</v>
      </c>
      <c r="R2632" t="s">
        <v>4570</v>
      </c>
      <c r="S2632" s="50" t="s">
        <v>4572</v>
      </c>
      <c r="V2632" t="s">
        <v>3956</v>
      </c>
      <c r="Z2632">
        <v>5</v>
      </c>
      <c r="AA2632">
        <v>5</v>
      </c>
      <c r="AC2632">
        <v>378</v>
      </c>
      <c r="AD2632">
        <v>16</v>
      </c>
      <c r="AE2632">
        <v>1433</v>
      </c>
      <c r="AF2632">
        <v>16</v>
      </c>
      <c r="AJ2632" s="50" t="s">
        <v>4581</v>
      </c>
      <c r="AK2632" t="s">
        <v>4537</v>
      </c>
      <c r="AN2632">
        <v>33</v>
      </c>
      <c r="AO2632">
        <v>0.75</v>
      </c>
      <c r="AP2632">
        <v>32.5</v>
      </c>
      <c r="AQ2632">
        <v>0.75</v>
      </c>
      <c r="AW2632" s="28">
        <f t="shared" si="278"/>
        <v>-0.66666666666666663</v>
      </c>
      <c r="AX2632">
        <f t="shared" si="279"/>
        <v>0.90322580645161288</v>
      </c>
      <c r="AY2632" s="62">
        <f t="shared" si="280"/>
        <v>-0.60215053763440851</v>
      </c>
      <c r="AZ2632" s="68" t="str">
        <f t="shared" si="281"/>
        <v>No</v>
      </c>
      <c r="BA2632" s="68" t="str">
        <f t="shared" si="282"/>
        <v>No</v>
      </c>
    </row>
    <row r="2633" spans="1:55" ht="15" hidden="1">
      <c r="A2633" t="s">
        <v>3914</v>
      </c>
      <c r="G2633" s="56" t="s">
        <v>4700</v>
      </c>
      <c r="P2633" t="s">
        <v>4596</v>
      </c>
      <c r="R2633" t="s">
        <v>4701</v>
      </c>
      <c r="S2633" t="s">
        <v>4572</v>
      </c>
      <c r="V2633" t="s">
        <v>4627</v>
      </c>
      <c r="Z2633">
        <v>5</v>
      </c>
      <c r="AA2633">
        <v>5</v>
      </c>
      <c r="AC2633">
        <v>376</v>
      </c>
      <c r="AD2633">
        <v>16</v>
      </c>
      <c r="AE2633">
        <v>1395</v>
      </c>
      <c r="AF2633">
        <v>19</v>
      </c>
      <c r="AJ2633" t="s">
        <v>4703</v>
      </c>
      <c r="AK2633" t="s">
        <v>4642</v>
      </c>
      <c r="AL2633" s="59"/>
      <c r="AM2633" s="60"/>
      <c r="AN2633">
        <v>1.2</v>
      </c>
      <c r="AO2633">
        <v>7.7075000000000005E-2</v>
      </c>
      <c r="AP2633">
        <v>2.8</v>
      </c>
      <c r="AQ2633">
        <v>0.75414999999999999</v>
      </c>
      <c r="AR2633" s="37"/>
      <c r="AS2633" s="37"/>
      <c r="AT2633" s="37"/>
      <c r="AU2633" s="37"/>
      <c r="AV2633" s="37"/>
      <c r="AW2633" s="28">
        <f t="shared" si="278"/>
        <v>2.9848388531572039</v>
      </c>
      <c r="AX2633">
        <f t="shared" si="279"/>
        <v>0.90322580645161288</v>
      </c>
      <c r="AY2633" s="62">
        <f t="shared" si="280"/>
        <v>2.695983480271023</v>
      </c>
      <c r="AZ2633" s="68" t="str">
        <f t="shared" si="281"/>
        <v>No</v>
      </c>
      <c r="BA2633" s="68" t="str">
        <f t="shared" si="282"/>
        <v>No</v>
      </c>
    </row>
    <row r="2634" spans="1:55" ht="15" hidden="1">
      <c r="A2634" t="s">
        <v>3914</v>
      </c>
      <c r="G2634" s="56" t="s">
        <v>4700</v>
      </c>
      <c r="P2634" t="s">
        <v>4596</v>
      </c>
      <c r="R2634" t="s">
        <v>4701</v>
      </c>
      <c r="S2634" t="s">
        <v>4572</v>
      </c>
      <c r="V2634" t="s">
        <v>4627</v>
      </c>
      <c r="Z2634">
        <v>9</v>
      </c>
      <c r="AA2634">
        <v>9</v>
      </c>
      <c r="AC2634">
        <v>376</v>
      </c>
      <c r="AD2634">
        <v>16</v>
      </c>
      <c r="AE2634">
        <v>1395</v>
      </c>
      <c r="AF2634">
        <v>19</v>
      </c>
      <c r="AJ2634" t="s">
        <v>4704</v>
      </c>
      <c r="AK2634" t="s">
        <v>4630</v>
      </c>
      <c r="AL2634" s="59"/>
      <c r="AM2634" s="60"/>
      <c r="AN2634">
        <v>17.2</v>
      </c>
      <c r="AO2634">
        <v>1.8</v>
      </c>
      <c r="AP2634">
        <v>13.3</v>
      </c>
      <c r="AQ2634">
        <v>0.97499999999999998</v>
      </c>
      <c r="AR2634" s="37"/>
      <c r="AS2634" s="37"/>
      <c r="AT2634" s="37"/>
      <c r="AU2634" s="37"/>
      <c r="AV2634" s="37"/>
      <c r="AW2634" s="28">
        <f t="shared" si="278"/>
        <v>-2.6942643527843662</v>
      </c>
      <c r="AX2634">
        <f t="shared" si="279"/>
        <v>0.95238095238095233</v>
      </c>
      <c r="AY2634" s="62">
        <f t="shared" si="280"/>
        <v>-2.5659660502708248</v>
      </c>
      <c r="AZ2634" s="68" t="str">
        <f t="shared" si="281"/>
        <v>No</v>
      </c>
      <c r="BA2634" s="68" t="str">
        <f t="shared" si="282"/>
        <v>No</v>
      </c>
    </row>
    <row r="2635" spans="1:55" ht="15" hidden="1">
      <c r="A2635" t="s">
        <v>3914</v>
      </c>
      <c r="G2635" s="56" t="s">
        <v>4700</v>
      </c>
      <c r="P2635" t="s">
        <v>4596</v>
      </c>
      <c r="R2635" t="s">
        <v>4701</v>
      </c>
      <c r="S2635" t="s">
        <v>4572</v>
      </c>
      <c r="V2635" t="s">
        <v>4626</v>
      </c>
      <c r="Z2635">
        <v>5</v>
      </c>
      <c r="AA2635">
        <v>5</v>
      </c>
      <c r="AC2635">
        <v>376</v>
      </c>
      <c r="AD2635">
        <v>16</v>
      </c>
      <c r="AE2635">
        <v>741</v>
      </c>
      <c r="AF2635">
        <v>19</v>
      </c>
      <c r="AJ2635" t="s">
        <v>4581</v>
      </c>
      <c r="AK2635" t="s">
        <v>4642</v>
      </c>
      <c r="AL2635" s="59"/>
      <c r="AM2635" s="60"/>
      <c r="AN2635">
        <v>33</v>
      </c>
      <c r="AO2635">
        <v>0.71428599999999998</v>
      </c>
      <c r="AP2635">
        <v>26</v>
      </c>
      <c r="AQ2635">
        <v>1.2337659999999999</v>
      </c>
      <c r="AR2635" s="37"/>
      <c r="AS2635" s="37"/>
      <c r="AT2635" s="37"/>
      <c r="AU2635" s="37"/>
      <c r="AV2635" s="37"/>
      <c r="AW2635" s="28">
        <f t="shared" si="278"/>
        <v>-6.9440087207338719</v>
      </c>
      <c r="AX2635">
        <f t="shared" si="279"/>
        <v>0.90322580645161288</v>
      </c>
      <c r="AY2635" s="62">
        <f t="shared" si="280"/>
        <v>-6.2720078767918839</v>
      </c>
      <c r="AZ2635" s="68" t="str">
        <f t="shared" si="281"/>
        <v>No</v>
      </c>
      <c r="BA2635" s="68" t="str">
        <f t="shared" si="282"/>
        <v>No</v>
      </c>
    </row>
    <row r="2636" spans="1:55" ht="15" hidden="1">
      <c r="A2636" t="s">
        <v>3914</v>
      </c>
      <c r="G2636" s="56" t="s">
        <v>4700</v>
      </c>
      <c r="P2636" t="s">
        <v>4596</v>
      </c>
      <c r="R2636" t="s">
        <v>4701</v>
      </c>
      <c r="S2636" t="s">
        <v>4572</v>
      </c>
      <c r="V2636" t="s">
        <v>4627</v>
      </c>
      <c r="Z2636">
        <v>5</v>
      </c>
      <c r="AA2636">
        <v>5</v>
      </c>
      <c r="AC2636">
        <v>376</v>
      </c>
      <c r="AD2636">
        <v>16</v>
      </c>
      <c r="AE2636">
        <v>1395</v>
      </c>
      <c r="AF2636">
        <v>19</v>
      </c>
      <c r="AJ2636" t="s">
        <v>4581</v>
      </c>
      <c r="AK2636" t="s">
        <v>4642</v>
      </c>
      <c r="AL2636" s="59"/>
      <c r="AM2636" s="60"/>
      <c r="AN2636">
        <v>33</v>
      </c>
      <c r="AO2636">
        <v>0.71428599999999998</v>
      </c>
      <c r="AP2636">
        <v>24</v>
      </c>
      <c r="AQ2636">
        <v>1.2987010000000001</v>
      </c>
      <c r="AR2636" s="37"/>
      <c r="AS2636" s="37"/>
      <c r="AT2636" s="37"/>
      <c r="AU2636" s="37"/>
      <c r="AV2636" s="37"/>
      <c r="AW2636" s="28">
        <f t="shared" si="278"/>
        <v>-8.587354720444198</v>
      </c>
      <c r="AX2636">
        <f t="shared" si="279"/>
        <v>0.90322580645161288</v>
      </c>
      <c r="AY2636" s="62">
        <f t="shared" si="280"/>
        <v>-7.7563203926592754</v>
      </c>
      <c r="AZ2636" s="68" t="str">
        <f t="shared" si="281"/>
        <v>No</v>
      </c>
      <c r="BA2636" s="68" t="str">
        <f t="shared" si="282"/>
        <v>No</v>
      </c>
    </row>
    <row r="2637" spans="1:55" ht="15" hidden="1">
      <c r="A2637" t="s">
        <v>3914</v>
      </c>
      <c r="G2637" s="56" t="s">
        <v>4700</v>
      </c>
      <c r="P2637" t="s">
        <v>4596</v>
      </c>
      <c r="R2637" t="s">
        <v>4701</v>
      </c>
      <c r="S2637" t="s">
        <v>4572</v>
      </c>
      <c r="V2637" t="s">
        <v>4598</v>
      </c>
      <c r="Z2637">
        <v>5</v>
      </c>
      <c r="AA2637">
        <v>5</v>
      </c>
      <c r="AC2637">
        <v>376</v>
      </c>
      <c r="AD2637">
        <v>16</v>
      </c>
      <c r="AE2637">
        <v>370</v>
      </c>
      <c r="AF2637">
        <v>19</v>
      </c>
      <c r="AJ2637" t="s">
        <v>4953</v>
      </c>
      <c r="AK2637" t="s">
        <v>4642</v>
      </c>
      <c r="AL2637" s="59"/>
      <c r="AM2637" s="60"/>
      <c r="AN2637">
        <v>33</v>
      </c>
      <c r="AO2637">
        <v>0.71428599999999998</v>
      </c>
      <c r="AP2637">
        <v>27</v>
      </c>
      <c r="AQ2637">
        <v>1.688312</v>
      </c>
      <c r="AR2637" s="37"/>
      <c r="AS2637" s="37"/>
      <c r="AT2637" s="37"/>
      <c r="AU2637" s="37"/>
      <c r="AV2637" s="37"/>
      <c r="AW2637" s="28">
        <f t="shared" si="278"/>
        <v>-4.62868593378459</v>
      </c>
      <c r="AX2637">
        <f t="shared" si="279"/>
        <v>0.90322580645161288</v>
      </c>
      <c r="AY2637" s="62">
        <f t="shared" si="280"/>
        <v>-4.1807485853538235</v>
      </c>
      <c r="AZ2637" s="68" t="str">
        <f t="shared" si="281"/>
        <v>No</v>
      </c>
      <c r="BA2637" s="68" t="str">
        <f t="shared" si="282"/>
        <v>No</v>
      </c>
    </row>
    <row r="2638" spans="1:55" ht="15" hidden="1">
      <c r="A2638" t="s">
        <v>3914</v>
      </c>
      <c r="G2638" s="56" t="s">
        <v>4700</v>
      </c>
      <c r="P2638" t="s">
        <v>4596</v>
      </c>
      <c r="R2638" t="s">
        <v>4701</v>
      </c>
      <c r="S2638" t="s">
        <v>4572</v>
      </c>
      <c r="V2638" t="s">
        <v>4626</v>
      </c>
      <c r="Z2638">
        <v>5</v>
      </c>
      <c r="AA2638">
        <v>5</v>
      </c>
      <c r="AC2638">
        <v>376</v>
      </c>
      <c r="AD2638">
        <v>16</v>
      </c>
      <c r="AE2638">
        <v>741</v>
      </c>
      <c r="AF2638">
        <v>19</v>
      </c>
      <c r="AJ2638" t="s">
        <v>4703</v>
      </c>
      <c r="AK2638" t="s">
        <v>4642</v>
      </c>
      <c r="AL2638" s="59"/>
      <c r="AM2638" s="60"/>
      <c r="AN2638">
        <v>1.2</v>
      </c>
      <c r="AO2638">
        <v>7.7075000000000005E-2</v>
      </c>
      <c r="AP2638">
        <v>3.25</v>
      </c>
      <c r="AQ2638">
        <v>2.4818180000000001</v>
      </c>
      <c r="AR2638" s="37"/>
      <c r="AS2638" s="37"/>
      <c r="AT2638" s="37"/>
      <c r="AU2638" s="37"/>
      <c r="AV2638" s="37"/>
      <c r="AW2638" s="28">
        <f t="shared" ref="AW2638:AW2701" si="283">(AP2638-$AN2638)/SQRT(((AA2638-1)*AQ2638*AQ2638+($Z2638-1)*$AO2638*$AO2638)/(AA2638+$Z2638-2))</f>
        <v>1.1675879345319493</v>
      </c>
      <c r="AX2638">
        <f t="shared" ref="AX2638:AX2701" si="284">1-(3/(4*(AA2638+$Z2638-2)-1))</f>
        <v>0.90322580645161288</v>
      </c>
      <c r="AY2638" s="62">
        <f t="shared" ref="AY2638:AY2701" si="285">AX2638*AW2638</f>
        <v>1.0545955537707929</v>
      </c>
      <c r="AZ2638" s="68" t="str">
        <f t="shared" ref="AZ2638:AZ2701" si="286">IF(AY2638&gt;10,"Yes","No")</f>
        <v>No</v>
      </c>
      <c r="BA2638" s="68" t="str">
        <f t="shared" ref="BA2638:BA2701" si="287">IF(AY2638&lt;-10,"Yes","No")</f>
        <v>No</v>
      </c>
    </row>
    <row r="2639" spans="1:55" hidden="1">
      <c r="A2639" t="s">
        <v>3914</v>
      </c>
      <c r="G2639" t="s">
        <v>4418</v>
      </c>
      <c r="P2639" t="s">
        <v>60</v>
      </c>
      <c r="R2639" t="s">
        <v>4357</v>
      </c>
      <c r="S2639" t="s">
        <v>4425</v>
      </c>
      <c r="V2639" t="s">
        <v>3956</v>
      </c>
      <c r="Z2639">
        <v>3</v>
      </c>
      <c r="AA2639">
        <v>2</v>
      </c>
      <c r="AC2639">
        <v>487</v>
      </c>
      <c r="AD2639">
        <v>26.28</v>
      </c>
      <c r="AE2639">
        <v>2743</v>
      </c>
      <c r="AF2639">
        <v>26.24</v>
      </c>
      <c r="AJ2639" t="s">
        <v>4065</v>
      </c>
      <c r="AK2639" t="s">
        <v>4491</v>
      </c>
      <c r="AN2639">
        <v>0.71666666666666667</v>
      </c>
      <c r="AO2639">
        <v>5.1316014394468826E-2</v>
      </c>
      <c r="AP2639">
        <v>0.55000000000000004</v>
      </c>
      <c r="AQ2639">
        <v>2.8284271247461849E-2</v>
      </c>
      <c r="AW2639" s="28">
        <f t="shared" si="283"/>
        <v>-3.7062465833055072</v>
      </c>
      <c r="AX2639">
        <f t="shared" si="284"/>
        <v>0.72727272727272729</v>
      </c>
      <c r="AY2639" s="62">
        <f t="shared" si="285"/>
        <v>-2.6954520605858234</v>
      </c>
      <c r="AZ2639" s="68" t="str">
        <f t="shared" si="286"/>
        <v>No</v>
      </c>
      <c r="BA2639" s="68" t="str">
        <f t="shared" si="287"/>
        <v>No</v>
      </c>
    </row>
    <row r="2640" spans="1:55" ht="15" hidden="1">
      <c r="A2640" t="s">
        <v>3914</v>
      </c>
      <c r="G2640" t="s">
        <v>4418</v>
      </c>
      <c r="P2640" t="s">
        <v>60</v>
      </c>
      <c r="R2640" t="s">
        <v>4357</v>
      </c>
      <c r="S2640" t="s">
        <v>4425</v>
      </c>
      <c r="V2640" t="s">
        <v>3956</v>
      </c>
      <c r="Z2640">
        <v>3</v>
      </c>
      <c r="AA2640">
        <v>3</v>
      </c>
      <c r="AC2640">
        <v>487</v>
      </c>
      <c r="AD2640">
        <v>26.28</v>
      </c>
      <c r="AE2640">
        <v>1190</v>
      </c>
      <c r="AF2640">
        <v>26.23</v>
      </c>
      <c r="AJ2640" t="s">
        <v>4065</v>
      </c>
      <c r="AK2640" t="s">
        <v>4491</v>
      </c>
      <c r="AN2640">
        <v>0.71666666666666667</v>
      </c>
      <c r="AO2640">
        <v>5.1316014394468826E-2</v>
      </c>
      <c r="AP2640">
        <v>0.68333333333333324</v>
      </c>
      <c r="AQ2640">
        <v>5.507570547286101E-2</v>
      </c>
      <c r="AW2640" s="28">
        <f t="shared" si="283"/>
        <v>-0.62622429108515154</v>
      </c>
      <c r="AX2640">
        <f t="shared" si="284"/>
        <v>0.8</v>
      </c>
      <c r="AY2640" s="73">
        <f t="shared" si="285"/>
        <v>-0.5009794328681213</v>
      </c>
      <c r="AZ2640" s="74" t="str">
        <f t="shared" si="286"/>
        <v>No</v>
      </c>
      <c r="BA2640" s="74" t="str">
        <f t="shared" si="287"/>
        <v>No</v>
      </c>
      <c r="BB2640" s="56"/>
      <c r="BC2640" s="56"/>
    </row>
    <row r="2641" spans="1:55" hidden="1">
      <c r="A2641" t="s">
        <v>3914</v>
      </c>
      <c r="G2641" s="50" t="s">
        <v>4418</v>
      </c>
      <c r="P2641" t="s">
        <v>60</v>
      </c>
      <c r="R2641" t="s">
        <v>4357</v>
      </c>
      <c r="S2641" s="50" t="s">
        <v>4425</v>
      </c>
      <c r="V2641" t="s">
        <v>3956</v>
      </c>
      <c r="Z2641" s="50">
        <v>3</v>
      </c>
      <c r="AA2641" s="50">
        <v>3</v>
      </c>
      <c r="AC2641">
        <v>487</v>
      </c>
      <c r="AD2641">
        <v>26.28</v>
      </c>
      <c r="AE2641">
        <v>1190</v>
      </c>
      <c r="AF2641">
        <v>26.23</v>
      </c>
      <c r="AJ2641" s="50" t="s">
        <v>4453</v>
      </c>
      <c r="AK2641" t="s">
        <v>4244</v>
      </c>
      <c r="AN2641">
        <v>2</v>
      </c>
      <c r="AO2641">
        <v>0.09</v>
      </c>
      <c r="AP2641">
        <v>1.62</v>
      </c>
      <c r="AQ2641">
        <v>0.23</v>
      </c>
      <c r="AW2641" s="28">
        <f t="shared" si="283"/>
        <v>-2.1758736703926984</v>
      </c>
      <c r="AX2641">
        <f t="shared" si="284"/>
        <v>0.8</v>
      </c>
      <c r="AY2641" s="62">
        <f t="shared" si="285"/>
        <v>-1.7406989363141587</v>
      </c>
      <c r="AZ2641" s="68" t="str">
        <f t="shared" si="286"/>
        <v>No</v>
      </c>
      <c r="BA2641" s="68" t="str">
        <f t="shared" si="287"/>
        <v>No</v>
      </c>
    </row>
    <row r="2642" spans="1:55" hidden="1">
      <c r="A2642" t="s">
        <v>3914</v>
      </c>
      <c r="G2642" s="50" t="s">
        <v>4418</v>
      </c>
      <c r="P2642" t="s">
        <v>60</v>
      </c>
      <c r="R2642" t="s">
        <v>4357</v>
      </c>
      <c r="S2642" s="50" t="s">
        <v>4425</v>
      </c>
      <c r="V2642" t="s">
        <v>3956</v>
      </c>
      <c r="Z2642">
        <v>3</v>
      </c>
      <c r="AA2642">
        <v>3</v>
      </c>
      <c r="AC2642">
        <v>487</v>
      </c>
      <c r="AD2642">
        <v>26.28</v>
      </c>
      <c r="AE2642">
        <v>2743</v>
      </c>
      <c r="AF2642">
        <v>26.24</v>
      </c>
      <c r="AJ2642" s="50" t="s">
        <v>4453</v>
      </c>
      <c r="AK2642" t="s">
        <v>4244</v>
      </c>
      <c r="AN2642">
        <v>2</v>
      </c>
      <c r="AO2642">
        <v>0.09</v>
      </c>
      <c r="AP2642">
        <v>1.52</v>
      </c>
      <c r="AQ2642">
        <v>0.38</v>
      </c>
      <c r="AW2642" s="28">
        <f t="shared" si="283"/>
        <v>-1.7382863240163557</v>
      </c>
      <c r="AX2642">
        <f t="shared" si="284"/>
        <v>0.8</v>
      </c>
      <c r="AY2642" s="62">
        <f t="shared" si="285"/>
        <v>-1.3906290592130848</v>
      </c>
      <c r="AZ2642" s="68" t="str">
        <f t="shared" si="286"/>
        <v>No</v>
      </c>
      <c r="BA2642" s="68" t="str">
        <f t="shared" si="287"/>
        <v>No</v>
      </c>
    </row>
    <row r="2643" spans="1:55" hidden="1">
      <c r="A2643" t="s">
        <v>3914</v>
      </c>
      <c r="G2643" t="s">
        <v>4418</v>
      </c>
      <c r="P2643" t="s">
        <v>60</v>
      </c>
      <c r="R2643" t="s">
        <v>4357</v>
      </c>
      <c r="S2643" t="s">
        <v>4425</v>
      </c>
      <c r="V2643" t="s">
        <v>3956</v>
      </c>
      <c r="Z2643">
        <v>5</v>
      </c>
      <c r="AA2643">
        <v>5</v>
      </c>
      <c r="AC2643">
        <v>487</v>
      </c>
      <c r="AD2643">
        <v>26.28</v>
      </c>
      <c r="AE2643">
        <v>1190</v>
      </c>
      <c r="AF2643">
        <v>26.23</v>
      </c>
      <c r="AJ2643" t="s">
        <v>108</v>
      </c>
      <c r="AK2643" t="s">
        <v>4502</v>
      </c>
      <c r="AN2643">
        <v>0.3</v>
      </c>
      <c r="AO2643">
        <v>0.3801315561749643</v>
      </c>
      <c r="AP2643">
        <v>0.5</v>
      </c>
      <c r="AQ2643">
        <v>0.49193495504995377</v>
      </c>
      <c r="AW2643" s="28">
        <f t="shared" si="283"/>
        <v>0.4549568877688645</v>
      </c>
      <c r="AX2643">
        <f t="shared" si="284"/>
        <v>0.90322580645161288</v>
      </c>
      <c r="AY2643" s="62">
        <f t="shared" si="285"/>
        <v>0.41092880185574859</v>
      </c>
      <c r="AZ2643" s="68" t="str">
        <f t="shared" si="286"/>
        <v>No</v>
      </c>
      <c r="BA2643" s="68" t="str">
        <f t="shared" si="287"/>
        <v>No</v>
      </c>
    </row>
    <row r="2644" spans="1:55" hidden="1">
      <c r="A2644" t="s">
        <v>3914</v>
      </c>
      <c r="G2644" t="s">
        <v>4418</v>
      </c>
      <c r="P2644" t="s">
        <v>60</v>
      </c>
      <c r="R2644" t="s">
        <v>4357</v>
      </c>
      <c r="S2644" t="s">
        <v>4425</v>
      </c>
      <c r="V2644" t="s">
        <v>3956</v>
      </c>
      <c r="Z2644">
        <v>5</v>
      </c>
      <c r="AA2644">
        <v>5</v>
      </c>
      <c r="AC2644">
        <v>487</v>
      </c>
      <c r="AD2644">
        <v>26.28</v>
      </c>
      <c r="AE2644">
        <v>2743</v>
      </c>
      <c r="AF2644">
        <v>26.24</v>
      </c>
      <c r="AJ2644" t="s">
        <v>108</v>
      </c>
      <c r="AK2644" t="s">
        <v>4502</v>
      </c>
      <c r="AN2644">
        <v>0.3</v>
      </c>
      <c r="AO2644">
        <v>0.3801315561749643</v>
      </c>
      <c r="AP2644">
        <v>0.57999999999999996</v>
      </c>
      <c r="AQ2644">
        <v>0.64845971347493903</v>
      </c>
      <c r="AW2644" s="28">
        <f t="shared" si="283"/>
        <v>0.52680368629481433</v>
      </c>
      <c r="AX2644">
        <f t="shared" si="284"/>
        <v>0.90322580645161288</v>
      </c>
      <c r="AY2644" s="62">
        <f t="shared" si="285"/>
        <v>0.47582268439531616</v>
      </c>
      <c r="AZ2644" s="68" t="str">
        <f t="shared" si="286"/>
        <v>No</v>
      </c>
      <c r="BA2644" s="68" t="str">
        <f t="shared" si="287"/>
        <v>No</v>
      </c>
    </row>
    <row r="2645" spans="1:55" hidden="1">
      <c r="A2645" t="s">
        <v>3914</v>
      </c>
      <c r="G2645" t="s">
        <v>4418</v>
      </c>
      <c r="P2645" t="s">
        <v>60</v>
      </c>
      <c r="R2645" t="s">
        <v>4357</v>
      </c>
      <c r="S2645" t="s">
        <v>4425</v>
      </c>
      <c r="V2645" t="s">
        <v>3956</v>
      </c>
      <c r="Z2645">
        <v>3</v>
      </c>
      <c r="AA2645">
        <v>3</v>
      </c>
      <c r="AC2645">
        <v>487</v>
      </c>
      <c r="AD2645">
        <v>26.28</v>
      </c>
      <c r="AE2645">
        <v>1190</v>
      </c>
      <c r="AF2645">
        <v>26.23</v>
      </c>
      <c r="AJ2645" t="s">
        <v>4500</v>
      </c>
      <c r="AK2645" t="s">
        <v>4123</v>
      </c>
      <c r="AN2645">
        <v>4.5423070040952496</v>
      </c>
      <c r="AO2645">
        <v>3.8671834779536463</v>
      </c>
      <c r="AP2645">
        <v>5.8384821490933474</v>
      </c>
      <c r="AQ2645">
        <v>4.5861328508270534</v>
      </c>
      <c r="AW2645" s="28">
        <f t="shared" si="283"/>
        <v>0.30556352060459918</v>
      </c>
      <c r="AX2645">
        <f t="shared" si="284"/>
        <v>0.8</v>
      </c>
      <c r="AY2645" s="62">
        <f t="shared" si="285"/>
        <v>0.24445081648367936</v>
      </c>
      <c r="AZ2645" s="68" t="str">
        <f t="shared" si="286"/>
        <v>No</v>
      </c>
      <c r="BA2645" s="68" t="str">
        <f t="shared" si="287"/>
        <v>No</v>
      </c>
    </row>
    <row r="2646" spans="1:55" hidden="1">
      <c r="A2646" t="s">
        <v>3914</v>
      </c>
      <c r="G2646" t="s">
        <v>5058</v>
      </c>
      <c r="P2646" t="s">
        <v>60</v>
      </c>
      <c r="R2646" t="s">
        <v>4357</v>
      </c>
      <c r="S2646" t="s">
        <v>4425</v>
      </c>
      <c r="V2646" t="s">
        <v>3956</v>
      </c>
      <c r="Z2646">
        <v>3</v>
      </c>
      <c r="AA2646">
        <v>3</v>
      </c>
      <c r="AC2646">
        <v>487</v>
      </c>
      <c r="AD2646">
        <v>26.28</v>
      </c>
      <c r="AE2646">
        <v>1190</v>
      </c>
      <c r="AF2646">
        <v>26.23</v>
      </c>
      <c r="AJ2646" t="s">
        <v>4438</v>
      </c>
      <c r="AK2646" t="s">
        <v>4244</v>
      </c>
      <c r="AN2646">
        <v>93.2</v>
      </c>
      <c r="AO2646">
        <v>4.5</v>
      </c>
      <c r="AP2646">
        <v>83.2</v>
      </c>
      <c r="AQ2646">
        <v>5.0999999999999996</v>
      </c>
      <c r="AW2646" s="28">
        <f t="shared" si="283"/>
        <v>-2.0792762051726847</v>
      </c>
      <c r="AX2646">
        <f t="shared" si="284"/>
        <v>0.8</v>
      </c>
      <c r="AY2646" s="62">
        <f t="shared" si="285"/>
        <v>-1.6634209641381479</v>
      </c>
      <c r="AZ2646" s="68" t="str">
        <f t="shared" si="286"/>
        <v>No</v>
      </c>
      <c r="BA2646" s="68" t="str">
        <f t="shared" si="287"/>
        <v>No</v>
      </c>
    </row>
    <row r="2647" spans="1:55" hidden="1">
      <c r="A2647" t="s">
        <v>3914</v>
      </c>
      <c r="G2647" t="s">
        <v>5058</v>
      </c>
      <c r="P2647" t="s">
        <v>60</v>
      </c>
      <c r="R2647" t="s">
        <v>4357</v>
      </c>
      <c r="S2647" t="s">
        <v>4425</v>
      </c>
      <c r="V2647" t="s">
        <v>3956</v>
      </c>
      <c r="Z2647">
        <v>3</v>
      </c>
      <c r="AA2647">
        <v>3</v>
      </c>
      <c r="AC2647">
        <v>487</v>
      </c>
      <c r="AD2647">
        <v>26.28</v>
      </c>
      <c r="AE2647">
        <v>2743</v>
      </c>
      <c r="AF2647">
        <v>26.24</v>
      </c>
      <c r="AJ2647" t="s">
        <v>4500</v>
      </c>
      <c r="AK2647" t="s">
        <v>4123</v>
      </c>
      <c r="AN2647">
        <v>4.5423070040952496</v>
      </c>
      <c r="AO2647">
        <v>3.8671834779536463</v>
      </c>
      <c r="AP2647">
        <v>6.7648424740304405</v>
      </c>
      <c r="AQ2647">
        <v>5.3370000619339271</v>
      </c>
      <c r="AW2647" s="28">
        <f t="shared" si="283"/>
        <v>0.47689788916051262</v>
      </c>
      <c r="AX2647">
        <f t="shared" si="284"/>
        <v>0.8</v>
      </c>
      <c r="AY2647" s="62">
        <f t="shared" si="285"/>
        <v>0.38151831132841013</v>
      </c>
      <c r="AZ2647" s="68" t="str">
        <f t="shared" si="286"/>
        <v>No</v>
      </c>
      <c r="BA2647" s="68" t="str">
        <f t="shared" si="287"/>
        <v>No</v>
      </c>
    </row>
    <row r="2648" spans="1:55" hidden="1">
      <c r="A2648" t="s">
        <v>3914</v>
      </c>
      <c r="G2648" t="s">
        <v>4418</v>
      </c>
      <c r="P2648" t="s">
        <v>60</v>
      </c>
      <c r="R2648" t="s">
        <v>4357</v>
      </c>
      <c r="S2648" t="s">
        <v>4425</v>
      </c>
      <c r="V2648" t="s">
        <v>3956</v>
      </c>
      <c r="Z2648">
        <v>3</v>
      </c>
      <c r="AA2648">
        <v>3</v>
      </c>
      <c r="AC2648">
        <v>487</v>
      </c>
      <c r="AD2648">
        <v>26.28</v>
      </c>
      <c r="AE2648">
        <v>2743</v>
      </c>
      <c r="AF2648">
        <v>26.24</v>
      </c>
      <c r="AJ2648" t="s">
        <v>4438</v>
      </c>
      <c r="AK2648" t="s">
        <v>4244</v>
      </c>
      <c r="AN2648">
        <v>93.2</v>
      </c>
      <c r="AO2648">
        <v>4.5</v>
      </c>
      <c r="AP2648">
        <v>86.1</v>
      </c>
      <c r="AQ2648">
        <v>12.9</v>
      </c>
      <c r="AW2648" s="28">
        <f t="shared" si="283"/>
        <v>-0.73493294461936953</v>
      </c>
      <c r="AX2648">
        <f t="shared" si="284"/>
        <v>0.8</v>
      </c>
      <c r="AY2648" s="62">
        <f t="shared" si="285"/>
        <v>-0.58794635569549569</v>
      </c>
      <c r="AZ2648" s="68" t="str">
        <f t="shared" si="286"/>
        <v>No</v>
      </c>
      <c r="BA2648" s="68" t="str">
        <f t="shared" si="287"/>
        <v>No</v>
      </c>
    </row>
    <row r="2649" spans="1:55" hidden="1">
      <c r="A2649" t="s">
        <v>3914</v>
      </c>
      <c r="G2649" s="50" t="s">
        <v>4418</v>
      </c>
      <c r="P2649" t="s">
        <v>60</v>
      </c>
      <c r="R2649" t="s">
        <v>4357</v>
      </c>
      <c r="S2649" s="50" t="s">
        <v>4425</v>
      </c>
      <c r="V2649" t="s">
        <v>3956</v>
      </c>
      <c r="Z2649">
        <v>3</v>
      </c>
      <c r="AA2649">
        <v>3</v>
      </c>
      <c r="AC2649">
        <v>487</v>
      </c>
      <c r="AD2649">
        <v>26.28</v>
      </c>
      <c r="AE2649">
        <v>1190</v>
      </c>
      <c r="AF2649">
        <v>26.23</v>
      </c>
      <c r="AJ2649" s="50" t="s">
        <v>2031</v>
      </c>
      <c r="AK2649" t="s">
        <v>4151</v>
      </c>
      <c r="AN2649">
        <v>13.6</v>
      </c>
      <c r="AO2649">
        <v>14.9</v>
      </c>
      <c r="AP2649">
        <v>20.3</v>
      </c>
      <c r="AQ2649">
        <v>22.3</v>
      </c>
      <c r="AW2649" s="28">
        <f t="shared" si="283"/>
        <v>0.35329278669711317</v>
      </c>
      <c r="AX2649">
        <f t="shared" si="284"/>
        <v>0.8</v>
      </c>
      <c r="AY2649" s="62">
        <f t="shared" si="285"/>
        <v>0.28263422935769056</v>
      </c>
      <c r="AZ2649" s="68" t="str">
        <f t="shared" si="286"/>
        <v>No</v>
      </c>
      <c r="BA2649" s="68" t="str">
        <f t="shared" si="287"/>
        <v>No</v>
      </c>
    </row>
    <row r="2650" spans="1:55" hidden="1">
      <c r="A2650" t="s">
        <v>3914</v>
      </c>
      <c r="G2650" s="50" t="s">
        <v>4418</v>
      </c>
      <c r="P2650" t="s">
        <v>60</v>
      </c>
      <c r="R2650" t="s">
        <v>4357</v>
      </c>
      <c r="S2650" s="50" t="s">
        <v>4425</v>
      </c>
      <c r="V2650" t="s">
        <v>3956</v>
      </c>
      <c r="Z2650">
        <v>3</v>
      </c>
      <c r="AA2650">
        <v>3</v>
      </c>
      <c r="AC2650">
        <v>487</v>
      </c>
      <c r="AD2650">
        <v>26.28</v>
      </c>
      <c r="AE2650">
        <v>2743</v>
      </c>
      <c r="AF2650">
        <v>26.24</v>
      </c>
      <c r="AJ2650" s="50" t="s">
        <v>2031</v>
      </c>
      <c r="AK2650" t="s">
        <v>4151</v>
      </c>
      <c r="AN2650">
        <v>13.6</v>
      </c>
      <c r="AO2650">
        <v>14.9</v>
      </c>
      <c r="AP2650">
        <v>32.6</v>
      </c>
      <c r="AQ2650">
        <v>29.8</v>
      </c>
      <c r="AW2650" s="28">
        <f t="shared" si="283"/>
        <v>0.80648692004294231</v>
      </c>
      <c r="AX2650">
        <f t="shared" si="284"/>
        <v>0.8</v>
      </c>
      <c r="AY2650" s="62">
        <f t="shared" si="285"/>
        <v>0.64518953603435392</v>
      </c>
      <c r="AZ2650" s="68" t="str">
        <f t="shared" si="286"/>
        <v>No</v>
      </c>
      <c r="BA2650" s="68" t="str">
        <f t="shared" si="287"/>
        <v>No</v>
      </c>
    </row>
    <row r="2651" spans="1:55" hidden="1">
      <c r="A2651" t="s">
        <v>3914</v>
      </c>
      <c r="G2651" t="s">
        <v>4485</v>
      </c>
      <c r="P2651" t="s">
        <v>60</v>
      </c>
      <c r="R2651" t="s">
        <v>4357</v>
      </c>
      <c r="S2651" t="s">
        <v>1148</v>
      </c>
      <c r="V2651" t="s">
        <v>3956</v>
      </c>
      <c r="Z2651">
        <v>6</v>
      </c>
      <c r="AA2651">
        <v>6</v>
      </c>
      <c r="AC2651">
        <v>335</v>
      </c>
      <c r="AD2651">
        <v>20.13</v>
      </c>
      <c r="AE2651">
        <v>2840</v>
      </c>
      <c r="AF2651">
        <v>20.13</v>
      </c>
      <c r="AJ2651" t="s">
        <v>4488</v>
      </c>
      <c r="AK2651" t="s">
        <v>4491</v>
      </c>
      <c r="AN2651">
        <v>24.7</v>
      </c>
      <c r="AO2651">
        <v>4.0999999999999996</v>
      </c>
      <c r="AP2651">
        <v>10.3</v>
      </c>
      <c r="AQ2651">
        <v>1.3</v>
      </c>
      <c r="AW2651" s="28">
        <f t="shared" si="283"/>
        <v>-4.7346908343942893</v>
      </c>
      <c r="AX2651">
        <f t="shared" si="284"/>
        <v>0.92307692307692313</v>
      </c>
      <c r="AY2651" s="62">
        <f t="shared" si="285"/>
        <v>-4.3704838471331904</v>
      </c>
      <c r="AZ2651" s="68" t="str">
        <f t="shared" si="286"/>
        <v>No</v>
      </c>
      <c r="BA2651" s="68" t="str">
        <f t="shared" si="287"/>
        <v>No</v>
      </c>
    </row>
    <row r="2652" spans="1:55" ht="15" hidden="1">
      <c r="A2652" t="s">
        <v>3914</v>
      </c>
      <c r="G2652" t="s">
        <v>4485</v>
      </c>
      <c r="P2652" t="s">
        <v>60</v>
      </c>
      <c r="R2652" t="s">
        <v>4357</v>
      </c>
      <c r="S2652" t="s">
        <v>1148</v>
      </c>
      <c r="V2652" t="s">
        <v>3956</v>
      </c>
      <c r="Z2652">
        <v>6</v>
      </c>
      <c r="AA2652">
        <v>6</v>
      </c>
      <c r="AC2652">
        <v>335</v>
      </c>
      <c r="AD2652">
        <v>20.13</v>
      </c>
      <c r="AE2652">
        <v>1697</v>
      </c>
      <c r="AF2652">
        <v>20.13</v>
      </c>
      <c r="AJ2652" t="s">
        <v>4488</v>
      </c>
      <c r="AK2652" t="s">
        <v>4491</v>
      </c>
      <c r="AN2652">
        <v>24.7</v>
      </c>
      <c r="AO2652">
        <v>4.0999999999999996</v>
      </c>
      <c r="AP2652">
        <v>23.6</v>
      </c>
      <c r="AQ2652">
        <v>1.7</v>
      </c>
      <c r="AW2652" s="28">
        <f t="shared" si="283"/>
        <v>-0.35048914333244074</v>
      </c>
      <c r="AX2652">
        <f t="shared" si="284"/>
        <v>0.92307692307692313</v>
      </c>
      <c r="AY2652" s="73">
        <f t="shared" si="285"/>
        <v>-0.32352843999917608</v>
      </c>
      <c r="AZ2652" s="74" t="str">
        <f t="shared" si="286"/>
        <v>No</v>
      </c>
      <c r="BA2652" s="74" t="str">
        <f t="shared" si="287"/>
        <v>No</v>
      </c>
      <c r="BB2652" s="56"/>
      <c r="BC2652" s="56"/>
    </row>
    <row r="2653" spans="1:55" hidden="1">
      <c r="A2653" t="s">
        <v>3914</v>
      </c>
      <c r="G2653" t="s">
        <v>5072</v>
      </c>
      <c r="P2653" t="s">
        <v>60</v>
      </c>
      <c r="R2653" t="s">
        <v>4357</v>
      </c>
      <c r="S2653" t="s">
        <v>1148</v>
      </c>
      <c r="V2653" t="s">
        <v>3956</v>
      </c>
      <c r="Z2653">
        <v>6</v>
      </c>
      <c r="AA2653">
        <v>6</v>
      </c>
      <c r="AC2653">
        <v>335</v>
      </c>
      <c r="AD2653">
        <v>20.13</v>
      </c>
      <c r="AE2653">
        <v>1017</v>
      </c>
      <c r="AF2653">
        <v>20.13</v>
      </c>
      <c r="AJ2653" t="s">
        <v>4488</v>
      </c>
      <c r="AK2653" t="s">
        <v>4491</v>
      </c>
      <c r="AN2653">
        <v>24.7</v>
      </c>
      <c r="AO2653">
        <v>4.0999999999999996</v>
      </c>
      <c r="AP2653">
        <v>25.2</v>
      </c>
      <c r="AQ2653">
        <v>5.4</v>
      </c>
      <c r="AW2653" s="28">
        <f t="shared" si="283"/>
        <v>0.10429122058184137</v>
      </c>
      <c r="AX2653">
        <f t="shared" si="284"/>
        <v>0.92307692307692313</v>
      </c>
      <c r="AY2653" s="62">
        <f t="shared" si="285"/>
        <v>9.6268818998622815E-2</v>
      </c>
      <c r="AZ2653" s="68" t="str">
        <f t="shared" si="286"/>
        <v>No</v>
      </c>
      <c r="BA2653" s="68" t="str">
        <f t="shared" si="287"/>
        <v>No</v>
      </c>
    </row>
    <row r="2654" spans="1:55" hidden="1">
      <c r="A2654" t="s">
        <v>3914</v>
      </c>
      <c r="G2654" t="s">
        <v>4051</v>
      </c>
      <c r="P2654" t="s">
        <v>60</v>
      </c>
      <c r="R2654" t="s">
        <v>4035</v>
      </c>
      <c r="S2654" t="s">
        <v>807</v>
      </c>
      <c r="V2654" t="s">
        <v>3956</v>
      </c>
      <c r="Z2654">
        <v>6</v>
      </c>
      <c r="AA2654">
        <v>6</v>
      </c>
      <c r="AC2654">
        <v>447</v>
      </c>
      <c r="AD2654">
        <v>26.6</v>
      </c>
      <c r="AE2654">
        <v>1214</v>
      </c>
      <c r="AF2654">
        <v>26.6</v>
      </c>
      <c r="AJ2654" t="s">
        <v>4065</v>
      </c>
      <c r="AK2654" t="s">
        <v>4066</v>
      </c>
      <c r="AN2654">
        <v>14.608736368268657</v>
      </c>
      <c r="AO2654">
        <v>23.30747987055835</v>
      </c>
      <c r="AP2654">
        <v>22.342279121307506</v>
      </c>
      <c r="AQ2654">
        <v>2.7025540220753483</v>
      </c>
      <c r="AW2654" s="28">
        <f t="shared" si="283"/>
        <v>0.46612038483356899</v>
      </c>
      <c r="AX2654">
        <f t="shared" si="284"/>
        <v>0.92307692307692313</v>
      </c>
      <c r="AY2654" s="62">
        <f t="shared" si="285"/>
        <v>0.43026497061560215</v>
      </c>
      <c r="AZ2654" s="68" t="str">
        <f t="shared" si="286"/>
        <v>No</v>
      </c>
      <c r="BA2654" s="68" t="str">
        <f t="shared" si="287"/>
        <v>No</v>
      </c>
    </row>
    <row r="2655" spans="1:55" hidden="1">
      <c r="A2655" t="s">
        <v>3914</v>
      </c>
      <c r="G2655" t="s">
        <v>4051</v>
      </c>
      <c r="P2655" t="s">
        <v>60</v>
      </c>
      <c r="R2655" t="s">
        <v>4035</v>
      </c>
      <c r="S2655" t="s">
        <v>807</v>
      </c>
      <c r="V2655" t="s">
        <v>3956</v>
      </c>
      <c r="Z2655">
        <v>6</v>
      </c>
      <c r="AA2655">
        <v>6</v>
      </c>
      <c r="AC2655">
        <v>447</v>
      </c>
      <c r="AD2655">
        <v>26.6</v>
      </c>
      <c r="AE2655">
        <v>1214</v>
      </c>
      <c r="AF2655">
        <v>26.6</v>
      </c>
      <c r="AJ2655" t="s">
        <v>4060</v>
      </c>
      <c r="AK2655" t="s">
        <v>4041</v>
      </c>
      <c r="AN2655">
        <v>19</v>
      </c>
      <c r="AO2655">
        <v>13.472193585307478</v>
      </c>
      <c r="AP2655">
        <v>2.4</v>
      </c>
      <c r="AQ2655">
        <v>4.8989794855663558</v>
      </c>
      <c r="AW2655" s="28">
        <f t="shared" si="283"/>
        <v>-1.6376352305744077</v>
      </c>
      <c r="AX2655">
        <f t="shared" si="284"/>
        <v>0.92307692307692313</v>
      </c>
      <c r="AY2655" s="62">
        <f t="shared" si="285"/>
        <v>-1.5116632897609918</v>
      </c>
      <c r="AZ2655" s="68" t="str">
        <f t="shared" si="286"/>
        <v>No</v>
      </c>
      <c r="BA2655" s="68" t="str">
        <f t="shared" si="287"/>
        <v>No</v>
      </c>
    </row>
    <row r="2656" spans="1:55" hidden="1">
      <c r="A2656" t="s">
        <v>3914</v>
      </c>
      <c r="G2656" t="s">
        <v>4051</v>
      </c>
      <c r="P2656" t="s">
        <v>60</v>
      </c>
      <c r="R2656" t="s">
        <v>4035</v>
      </c>
      <c r="S2656" t="s">
        <v>807</v>
      </c>
      <c r="V2656" t="s">
        <v>3956</v>
      </c>
      <c r="Z2656">
        <v>6</v>
      </c>
      <c r="AA2656">
        <v>6</v>
      </c>
      <c r="AC2656">
        <v>447</v>
      </c>
      <c r="AD2656">
        <v>26.6</v>
      </c>
      <c r="AE2656">
        <v>1214</v>
      </c>
      <c r="AF2656">
        <v>26.6</v>
      </c>
      <c r="AJ2656" t="s">
        <v>4065</v>
      </c>
      <c r="AK2656" t="s">
        <v>4066</v>
      </c>
      <c r="AN2656">
        <v>17.462789424693018</v>
      </c>
      <c r="AO2656">
        <v>8.4035785212892335</v>
      </c>
      <c r="AP2656">
        <v>11.27129517347046</v>
      </c>
      <c r="AQ2656">
        <v>6.7313540846546358</v>
      </c>
      <c r="AW2656" s="28">
        <f t="shared" si="283"/>
        <v>-0.81322401335688155</v>
      </c>
      <c r="AX2656">
        <f t="shared" si="284"/>
        <v>0.92307692307692313</v>
      </c>
      <c r="AY2656" s="62">
        <f t="shared" si="285"/>
        <v>-0.75066832002173689</v>
      </c>
      <c r="AZ2656" s="68" t="str">
        <f t="shared" si="286"/>
        <v>No</v>
      </c>
      <c r="BA2656" s="68" t="str">
        <f t="shared" si="287"/>
        <v>No</v>
      </c>
    </row>
    <row r="2657" spans="1:55" s="56" customFormat="1" ht="15" hidden="1">
      <c r="A2657" t="s">
        <v>3914</v>
      </c>
      <c r="B2657"/>
      <c r="C2657"/>
      <c r="D2657" s="25"/>
      <c r="E2657" s="25"/>
      <c r="F2657"/>
      <c r="G2657" t="s">
        <v>4051</v>
      </c>
      <c r="H2657"/>
      <c r="I2657"/>
      <c r="J2657"/>
      <c r="K2657"/>
      <c r="L2657"/>
      <c r="M2657" s="25"/>
      <c r="N2657"/>
      <c r="O2657"/>
      <c r="P2657" t="s">
        <v>60</v>
      </c>
      <c r="Q2657"/>
      <c r="R2657" t="s">
        <v>4035</v>
      </c>
      <c r="S2657" t="s">
        <v>807</v>
      </c>
      <c r="T2657"/>
      <c r="U2657"/>
      <c r="V2657" t="s">
        <v>3956</v>
      </c>
      <c r="W2657" s="25"/>
      <c r="X2657"/>
      <c r="Y2657"/>
      <c r="Z2657">
        <v>6</v>
      </c>
      <c r="AA2657">
        <v>6</v>
      </c>
      <c r="AB2657"/>
      <c r="AC2657">
        <v>447</v>
      </c>
      <c r="AD2657">
        <v>26.6</v>
      </c>
      <c r="AE2657">
        <v>1214</v>
      </c>
      <c r="AF2657">
        <v>26.6</v>
      </c>
      <c r="AG2657"/>
      <c r="AH2657"/>
      <c r="AI2657"/>
      <c r="AJ2657" t="s">
        <v>4060</v>
      </c>
      <c r="AK2657" t="s">
        <v>4041</v>
      </c>
      <c r="AL2657" s="25"/>
      <c r="AM2657" s="35"/>
      <c r="AN2657">
        <v>12.5</v>
      </c>
      <c r="AO2657">
        <v>9.7979589711327115</v>
      </c>
      <c r="AP2657">
        <v>5.3</v>
      </c>
      <c r="AQ2657">
        <v>8.0833161511844871</v>
      </c>
      <c r="AR2657"/>
      <c r="AS2657"/>
      <c r="AT2657"/>
      <c r="AU2657"/>
      <c r="AV2657"/>
      <c r="AW2657" s="28">
        <f t="shared" si="283"/>
        <v>-0.80163462601943603</v>
      </c>
      <c r="AX2657">
        <f t="shared" si="284"/>
        <v>0.92307692307692313</v>
      </c>
      <c r="AY2657" s="62">
        <f t="shared" si="285"/>
        <v>-0.739970424017941</v>
      </c>
      <c r="AZ2657" s="68" t="str">
        <f t="shared" si="286"/>
        <v>No</v>
      </c>
      <c r="BA2657" s="68" t="str">
        <f t="shared" si="287"/>
        <v>No</v>
      </c>
      <c r="BB2657"/>
      <c r="BC2657"/>
    </row>
    <row r="2658" spans="1:55" hidden="1">
      <c r="A2658" t="s">
        <v>3914</v>
      </c>
      <c r="G2658" t="s">
        <v>4051</v>
      </c>
      <c r="P2658" t="s">
        <v>60</v>
      </c>
      <c r="R2658" t="s">
        <v>4035</v>
      </c>
      <c r="S2658" t="s">
        <v>807</v>
      </c>
      <c r="V2658" t="s">
        <v>3956</v>
      </c>
      <c r="Z2658">
        <v>6</v>
      </c>
      <c r="AA2658">
        <v>6</v>
      </c>
      <c r="AC2658">
        <v>447</v>
      </c>
      <c r="AD2658">
        <v>26.6</v>
      </c>
      <c r="AE2658">
        <v>1214</v>
      </c>
      <c r="AF2658">
        <v>26.6</v>
      </c>
      <c r="AJ2658" t="s">
        <v>4060</v>
      </c>
      <c r="AK2658" t="s">
        <v>4041</v>
      </c>
      <c r="AN2658">
        <v>12.5</v>
      </c>
      <c r="AO2658">
        <v>7.3484692283495336</v>
      </c>
      <c r="AP2658">
        <v>6</v>
      </c>
      <c r="AQ2658">
        <v>10.287856919689348</v>
      </c>
      <c r="AW2658" s="28">
        <f t="shared" si="283"/>
        <v>-0.72708572648185965</v>
      </c>
      <c r="AX2658">
        <f t="shared" si="284"/>
        <v>0.92307692307692313</v>
      </c>
      <c r="AY2658" s="62">
        <f t="shared" si="285"/>
        <v>-0.67115605521402433</v>
      </c>
      <c r="AZ2658" s="68" t="str">
        <f t="shared" si="286"/>
        <v>No</v>
      </c>
      <c r="BA2658" s="68" t="str">
        <f t="shared" si="287"/>
        <v>No</v>
      </c>
    </row>
    <row r="2659" spans="1:55" ht="15" hidden="1">
      <c r="A2659" t="s">
        <v>3914</v>
      </c>
      <c r="G2659" t="s">
        <v>4051</v>
      </c>
      <c r="P2659" t="s">
        <v>60</v>
      </c>
      <c r="R2659" t="s">
        <v>4035</v>
      </c>
      <c r="S2659" t="s">
        <v>807</v>
      </c>
      <c r="V2659" t="s">
        <v>3956</v>
      </c>
      <c r="Z2659">
        <v>6</v>
      </c>
      <c r="AA2659">
        <v>6</v>
      </c>
      <c r="AC2659">
        <v>447</v>
      </c>
      <c r="AD2659">
        <v>26.6</v>
      </c>
      <c r="AE2659">
        <v>1214</v>
      </c>
      <c r="AF2659">
        <v>26.6</v>
      </c>
      <c r="AJ2659" t="s">
        <v>4065</v>
      </c>
      <c r="AK2659" t="s">
        <v>4066</v>
      </c>
      <c r="AN2659">
        <v>56.626656031404728</v>
      </c>
      <c r="AO2659">
        <v>38.409647615777793</v>
      </c>
      <c r="AP2659">
        <v>23.847399940396201</v>
      </c>
      <c r="AQ2659">
        <v>13.001855794721122</v>
      </c>
      <c r="AW2659" s="28">
        <f t="shared" si="283"/>
        <v>-1.1431864134230878</v>
      </c>
      <c r="AX2659">
        <f t="shared" si="284"/>
        <v>0.92307692307692313</v>
      </c>
      <c r="AY2659" s="73">
        <f t="shared" si="285"/>
        <v>-1.0552489970059273</v>
      </c>
      <c r="AZ2659" s="74" t="str">
        <f t="shared" si="286"/>
        <v>No</v>
      </c>
      <c r="BA2659" s="74" t="str">
        <f t="shared" si="287"/>
        <v>No</v>
      </c>
      <c r="BB2659" s="56"/>
      <c r="BC2659" s="56"/>
    </row>
    <row r="2660" spans="1:55" ht="15" hidden="1">
      <c r="A2660" t="s">
        <v>3914</v>
      </c>
      <c r="G2660" t="s">
        <v>4048</v>
      </c>
      <c r="P2660" t="s">
        <v>60</v>
      </c>
      <c r="R2660" t="s">
        <v>4035</v>
      </c>
      <c r="S2660" t="s">
        <v>1766</v>
      </c>
      <c r="V2660" t="s">
        <v>3956</v>
      </c>
      <c r="Z2660">
        <v>3</v>
      </c>
      <c r="AA2660">
        <v>3</v>
      </c>
      <c r="AC2660">
        <v>401</v>
      </c>
      <c r="AD2660">
        <v>26</v>
      </c>
      <c r="AE2660">
        <v>807</v>
      </c>
      <c r="AF2660">
        <v>26</v>
      </c>
      <c r="AJ2660" t="s">
        <v>4058</v>
      </c>
      <c r="AK2660" t="s">
        <v>4041</v>
      </c>
      <c r="AN2660">
        <v>9.8000000000000007</v>
      </c>
      <c r="AO2660">
        <v>4.8497422611928558</v>
      </c>
      <c r="AP2660">
        <v>4.2</v>
      </c>
      <c r="AQ2660">
        <v>1.2124355652982139</v>
      </c>
      <c r="AW2660" s="28">
        <f t="shared" si="283"/>
        <v>-1.5842360687626793</v>
      </c>
      <c r="AX2660">
        <f t="shared" si="284"/>
        <v>0.8</v>
      </c>
      <c r="AY2660" s="73">
        <f t="shared" si="285"/>
        <v>-1.2673888550101435</v>
      </c>
      <c r="AZ2660" s="74" t="str">
        <f t="shared" si="286"/>
        <v>No</v>
      </c>
      <c r="BA2660" s="74" t="str">
        <f t="shared" si="287"/>
        <v>No</v>
      </c>
    </row>
    <row r="2661" spans="1:55" hidden="1">
      <c r="A2661" t="s">
        <v>3914</v>
      </c>
      <c r="G2661" s="50" t="s">
        <v>5002</v>
      </c>
      <c r="P2661" t="s">
        <v>60</v>
      </c>
      <c r="R2661" t="s">
        <v>4346</v>
      </c>
      <c r="S2661" t="s">
        <v>4353</v>
      </c>
      <c r="V2661" t="s">
        <v>3956</v>
      </c>
      <c r="Z2661">
        <v>3</v>
      </c>
      <c r="AA2661">
        <v>3</v>
      </c>
      <c r="AC2661">
        <v>325.10000000000002</v>
      </c>
      <c r="AD2661">
        <v>14</v>
      </c>
      <c r="AE2661">
        <v>911.9</v>
      </c>
      <c r="AF2661">
        <v>14</v>
      </c>
      <c r="AJ2661" t="s">
        <v>1827</v>
      </c>
      <c r="AK2661" t="s">
        <v>4244</v>
      </c>
      <c r="AN2661">
        <v>0.23200000000000001</v>
      </c>
      <c r="AO2661">
        <v>1.3856406460551017E-2</v>
      </c>
      <c r="AP2661">
        <v>0.20399999999999999</v>
      </c>
      <c r="AQ2661">
        <v>6.9282032302755087E-3</v>
      </c>
      <c r="AW2661" s="28">
        <f t="shared" si="283"/>
        <v>-2.5560386016907772</v>
      </c>
      <c r="AX2661">
        <f t="shared" si="284"/>
        <v>0.8</v>
      </c>
      <c r="AY2661" s="62">
        <f t="shared" si="285"/>
        <v>-2.0448308813526217</v>
      </c>
      <c r="AZ2661" s="68" t="str">
        <f t="shared" si="286"/>
        <v>No</v>
      </c>
      <c r="BA2661" s="68" t="str">
        <f t="shared" si="287"/>
        <v>No</v>
      </c>
    </row>
    <row r="2662" spans="1:55" hidden="1">
      <c r="A2662" t="s">
        <v>3914</v>
      </c>
      <c r="G2662" s="50" t="s">
        <v>5003</v>
      </c>
      <c r="P2662" t="s">
        <v>60</v>
      </c>
      <c r="R2662" t="s">
        <v>4346</v>
      </c>
      <c r="S2662" t="s">
        <v>4354</v>
      </c>
      <c r="V2662" t="s">
        <v>3956</v>
      </c>
      <c r="Z2662">
        <v>20</v>
      </c>
      <c r="AA2662">
        <v>20</v>
      </c>
      <c r="AC2662">
        <v>372</v>
      </c>
      <c r="AD2662">
        <v>12</v>
      </c>
      <c r="AE2662">
        <v>930</v>
      </c>
      <c r="AF2662">
        <v>12</v>
      </c>
      <c r="AJ2662" t="s">
        <v>4216</v>
      </c>
      <c r="AK2662" t="s">
        <v>4244</v>
      </c>
      <c r="AN2662">
        <v>1.21</v>
      </c>
      <c r="AO2662">
        <v>8.9442719099991588E-2</v>
      </c>
      <c r="AP2662">
        <v>1.32</v>
      </c>
      <c r="AQ2662">
        <v>0.22360679774997899</v>
      </c>
      <c r="AW2662" s="28">
        <f t="shared" si="283"/>
        <v>0.6459422414661744</v>
      </c>
      <c r="AX2662">
        <f t="shared" si="284"/>
        <v>0.98013245033112584</v>
      </c>
      <c r="AY2662" s="62">
        <f t="shared" si="285"/>
        <v>0.63310895190062133</v>
      </c>
      <c r="AZ2662" s="68" t="str">
        <f t="shared" si="286"/>
        <v>No</v>
      </c>
      <c r="BA2662" s="68" t="str">
        <f t="shared" si="287"/>
        <v>No</v>
      </c>
    </row>
    <row r="2663" spans="1:55" hidden="1">
      <c r="A2663" t="s">
        <v>3914</v>
      </c>
      <c r="G2663" t="s">
        <v>4390</v>
      </c>
      <c r="P2663" t="s">
        <v>60</v>
      </c>
      <c r="R2663" t="s">
        <v>4357</v>
      </c>
      <c r="S2663" t="s">
        <v>4398</v>
      </c>
      <c r="V2663" t="s">
        <v>3956</v>
      </c>
      <c r="Z2663">
        <v>4</v>
      </c>
      <c r="AA2663">
        <v>4</v>
      </c>
      <c r="AC2663">
        <v>361</v>
      </c>
      <c r="AD2663">
        <v>12</v>
      </c>
      <c r="AE2663">
        <v>942</v>
      </c>
      <c r="AF2663">
        <v>12</v>
      </c>
      <c r="AJ2663" t="s">
        <v>4487</v>
      </c>
      <c r="AK2663" t="s">
        <v>4491</v>
      </c>
      <c r="AN2663">
        <v>93</v>
      </c>
      <c r="AO2663">
        <v>4</v>
      </c>
      <c r="AP2663">
        <v>89</v>
      </c>
      <c r="AQ2663">
        <v>2.4</v>
      </c>
      <c r="AW2663" s="28">
        <f t="shared" si="283"/>
        <v>-1.2126781251816647</v>
      </c>
      <c r="AX2663">
        <f t="shared" si="284"/>
        <v>0.86956521739130432</v>
      </c>
      <c r="AY2663" s="62">
        <f t="shared" si="285"/>
        <v>-1.0545027175492736</v>
      </c>
      <c r="AZ2663" s="68" t="str">
        <f t="shared" si="286"/>
        <v>No</v>
      </c>
      <c r="BA2663" s="68" t="str">
        <f t="shared" si="287"/>
        <v>No</v>
      </c>
    </row>
    <row r="2664" spans="1:55" hidden="1">
      <c r="A2664" t="s">
        <v>3914</v>
      </c>
      <c r="G2664" t="s">
        <v>5028</v>
      </c>
      <c r="P2664" t="s">
        <v>60</v>
      </c>
      <c r="R2664" t="s">
        <v>4357</v>
      </c>
      <c r="S2664" t="s">
        <v>4398</v>
      </c>
      <c r="V2664" t="s">
        <v>3956</v>
      </c>
      <c r="Z2664">
        <v>4</v>
      </c>
      <c r="AA2664">
        <v>4</v>
      </c>
      <c r="AC2664">
        <v>361</v>
      </c>
      <c r="AD2664">
        <v>12</v>
      </c>
      <c r="AE2664">
        <v>942</v>
      </c>
      <c r="AF2664">
        <v>12</v>
      </c>
      <c r="AJ2664" t="s">
        <v>4249</v>
      </c>
      <c r="AK2664" t="s">
        <v>4093</v>
      </c>
      <c r="AN2664">
        <v>450</v>
      </c>
      <c r="AO2664">
        <v>175</v>
      </c>
      <c r="AP2664">
        <v>500</v>
      </c>
      <c r="AQ2664">
        <v>210</v>
      </c>
      <c r="AW2664" s="28">
        <f t="shared" si="283"/>
        <v>0.25867356012148152</v>
      </c>
      <c r="AX2664">
        <f t="shared" si="284"/>
        <v>0.86956521739130432</v>
      </c>
      <c r="AY2664" s="62">
        <f t="shared" si="285"/>
        <v>0.2249335305404187</v>
      </c>
      <c r="AZ2664" s="68" t="str">
        <f t="shared" si="286"/>
        <v>No</v>
      </c>
      <c r="BA2664" s="68" t="str">
        <f t="shared" si="287"/>
        <v>No</v>
      </c>
    </row>
    <row r="2665" spans="1:55" hidden="1">
      <c r="A2665" t="s">
        <v>3914</v>
      </c>
      <c r="G2665" t="s">
        <v>4133</v>
      </c>
      <c r="P2665" t="s">
        <v>60</v>
      </c>
      <c r="R2665" t="s">
        <v>4116</v>
      </c>
      <c r="S2665" t="s">
        <v>1759</v>
      </c>
      <c r="V2665" t="s">
        <v>3956</v>
      </c>
      <c r="Z2665">
        <v>6</v>
      </c>
      <c r="AA2665">
        <v>6</v>
      </c>
      <c r="AC2665">
        <v>640</v>
      </c>
      <c r="AD2665">
        <v>24.5</v>
      </c>
      <c r="AE2665">
        <v>1790</v>
      </c>
      <c r="AF2665">
        <v>24.3</v>
      </c>
      <c r="AJ2665" t="s">
        <v>4146</v>
      </c>
      <c r="AK2665" t="s">
        <v>4151</v>
      </c>
      <c r="AN2665">
        <v>76</v>
      </c>
      <c r="AO2665">
        <v>3.75</v>
      </c>
      <c r="AP2665">
        <v>71</v>
      </c>
      <c r="AQ2665">
        <v>0.75</v>
      </c>
      <c r="AW2665" s="28">
        <f t="shared" si="283"/>
        <v>-1.8490006540840969</v>
      </c>
      <c r="AX2665">
        <f t="shared" si="284"/>
        <v>0.92307692307692313</v>
      </c>
      <c r="AY2665" s="62">
        <f t="shared" si="285"/>
        <v>-1.7067698345391664</v>
      </c>
      <c r="AZ2665" s="68" t="str">
        <f t="shared" si="286"/>
        <v>No</v>
      </c>
      <c r="BA2665" s="68" t="str">
        <f t="shared" si="287"/>
        <v>No</v>
      </c>
    </row>
    <row r="2666" spans="1:55" s="56" customFormat="1" ht="15" hidden="1">
      <c r="A2666" t="s">
        <v>3914</v>
      </c>
      <c r="B2666"/>
      <c r="C2666"/>
      <c r="D2666" s="25"/>
      <c r="E2666" s="25"/>
      <c r="F2666"/>
      <c r="G2666" t="s">
        <v>4133</v>
      </c>
      <c r="H2666"/>
      <c r="I2666"/>
      <c r="J2666"/>
      <c r="K2666"/>
      <c r="L2666"/>
      <c r="M2666" s="25"/>
      <c r="N2666"/>
      <c r="O2666"/>
      <c r="P2666" t="s">
        <v>60</v>
      </c>
      <c r="Q2666"/>
      <c r="R2666" t="s">
        <v>4116</v>
      </c>
      <c r="S2666" t="s">
        <v>1759</v>
      </c>
      <c r="T2666"/>
      <c r="U2666"/>
      <c r="V2666" t="s">
        <v>3956</v>
      </c>
      <c r="W2666" s="25"/>
      <c r="X2666"/>
      <c r="Y2666"/>
      <c r="Z2666">
        <v>6</v>
      </c>
      <c r="AA2666">
        <v>6</v>
      </c>
      <c r="AB2666"/>
      <c r="AC2666">
        <v>651</v>
      </c>
      <c r="AD2666">
        <v>24.5</v>
      </c>
      <c r="AE2666">
        <v>1791</v>
      </c>
      <c r="AF2666">
        <v>24.4</v>
      </c>
      <c r="AG2666"/>
      <c r="AH2666"/>
      <c r="AI2666"/>
      <c r="AJ2666" t="s">
        <v>4146</v>
      </c>
      <c r="AK2666" t="s">
        <v>4151</v>
      </c>
      <c r="AL2666" s="25"/>
      <c r="AM2666" s="35"/>
      <c r="AN2666">
        <v>75</v>
      </c>
      <c r="AO2666">
        <v>1.5</v>
      </c>
      <c r="AP2666">
        <v>60</v>
      </c>
      <c r="AQ2666">
        <v>1.5</v>
      </c>
      <c r="AR2666"/>
      <c r="AS2666"/>
      <c r="AT2666"/>
      <c r="AU2666"/>
      <c r="AV2666"/>
      <c r="AW2666" s="28">
        <f t="shared" si="283"/>
        <v>-10</v>
      </c>
      <c r="AX2666">
        <f t="shared" si="284"/>
        <v>0.92307692307692313</v>
      </c>
      <c r="AY2666" s="62">
        <f t="shared" si="285"/>
        <v>-9.2307692307692317</v>
      </c>
      <c r="AZ2666" s="68" t="str">
        <f t="shared" si="286"/>
        <v>No</v>
      </c>
      <c r="BA2666" s="68" t="str">
        <f t="shared" si="287"/>
        <v>No</v>
      </c>
      <c r="BB2666"/>
      <c r="BC2666"/>
    </row>
    <row r="2667" spans="1:55" hidden="1">
      <c r="A2667" t="s">
        <v>3914</v>
      </c>
      <c r="G2667" t="s">
        <v>4133</v>
      </c>
      <c r="P2667" t="s">
        <v>60</v>
      </c>
      <c r="R2667" t="s">
        <v>4116</v>
      </c>
      <c r="S2667" t="s">
        <v>1759</v>
      </c>
      <c r="V2667" t="s">
        <v>3956</v>
      </c>
      <c r="Z2667">
        <v>6</v>
      </c>
      <c r="AA2667">
        <v>6</v>
      </c>
      <c r="AC2667">
        <v>651</v>
      </c>
      <c r="AD2667">
        <v>24.5</v>
      </c>
      <c r="AE2667">
        <v>1791</v>
      </c>
      <c r="AF2667">
        <v>24.4</v>
      </c>
      <c r="AJ2667" t="s">
        <v>4249</v>
      </c>
      <c r="AK2667" t="s">
        <v>4093</v>
      </c>
      <c r="AN2667">
        <v>34</v>
      </c>
      <c r="AO2667">
        <v>6.75</v>
      </c>
      <c r="AP2667">
        <v>35</v>
      </c>
      <c r="AQ2667">
        <v>2.25</v>
      </c>
      <c r="AW2667" s="28">
        <f t="shared" si="283"/>
        <v>0.1987615979999813</v>
      </c>
      <c r="AX2667">
        <f t="shared" si="284"/>
        <v>0.92307692307692313</v>
      </c>
      <c r="AY2667" s="62">
        <f t="shared" si="285"/>
        <v>0.18347224430767506</v>
      </c>
      <c r="AZ2667" s="68" t="str">
        <f t="shared" si="286"/>
        <v>No</v>
      </c>
      <c r="BA2667" s="68" t="str">
        <f t="shared" si="287"/>
        <v>No</v>
      </c>
    </row>
    <row r="2668" spans="1:55" hidden="1">
      <c r="A2668" t="s">
        <v>3914</v>
      </c>
      <c r="G2668" t="s">
        <v>4133</v>
      </c>
      <c r="P2668" t="s">
        <v>60</v>
      </c>
      <c r="R2668" t="s">
        <v>4116</v>
      </c>
      <c r="S2668" t="s">
        <v>1759</v>
      </c>
      <c r="V2668" t="s">
        <v>3956</v>
      </c>
      <c r="Z2668">
        <v>6</v>
      </c>
      <c r="AA2668">
        <v>6</v>
      </c>
      <c r="AC2668">
        <v>862</v>
      </c>
      <c r="AD2668">
        <v>24.6</v>
      </c>
      <c r="AE2668">
        <v>2318</v>
      </c>
      <c r="AF2668">
        <v>24.6</v>
      </c>
      <c r="AJ2668" t="s">
        <v>4257</v>
      </c>
      <c r="AK2668" t="s">
        <v>4258</v>
      </c>
      <c r="AN2668">
        <v>18</v>
      </c>
      <c r="AO2668">
        <v>2.6</v>
      </c>
      <c r="AP2668">
        <v>21.6</v>
      </c>
      <c r="AQ2668">
        <v>2.2999999999999998</v>
      </c>
      <c r="AW2668" s="28">
        <f t="shared" si="283"/>
        <v>1.4666415187080795</v>
      </c>
      <c r="AX2668">
        <f t="shared" si="284"/>
        <v>0.92307692307692313</v>
      </c>
      <c r="AY2668" s="62">
        <f t="shared" si="285"/>
        <v>1.3538229403459197</v>
      </c>
      <c r="AZ2668" s="68" t="str">
        <f t="shared" si="286"/>
        <v>No</v>
      </c>
      <c r="BA2668" s="68" t="str">
        <f t="shared" si="287"/>
        <v>No</v>
      </c>
    </row>
    <row r="2669" spans="1:55" hidden="1">
      <c r="A2669" t="s">
        <v>3914</v>
      </c>
      <c r="G2669" t="s">
        <v>4133</v>
      </c>
      <c r="P2669" t="s">
        <v>60</v>
      </c>
      <c r="R2669" t="s">
        <v>4116</v>
      </c>
      <c r="S2669" t="s">
        <v>1759</v>
      </c>
      <c r="V2669" t="s">
        <v>3956</v>
      </c>
      <c r="Z2669">
        <v>6</v>
      </c>
      <c r="AA2669">
        <v>6</v>
      </c>
      <c r="AC2669">
        <v>817</v>
      </c>
      <c r="AD2669">
        <v>24.8</v>
      </c>
      <c r="AE2669">
        <v>2126</v>
      </c>
      <c r="AF2669">
        <v>24.6</v>
      </c>
      <c r="AJ2669" t="s">
        <v>4257</v>
      </c>
      <c r="AK2669" t="s">
        <v>4258</v>
      </c>
      <c r="AN2669">
        <v>16.7</v>
      </c>
      <c r="AO2669">
        <v>3.2</v>
      </c>
      <c r="AP2669">
        <v>17.8</v>
      </c>
      <c r="AQ2669">
        <v>2.7</v>
      </c>
      <c r="AW2669" s="28">
        <f t="shared" si="283"/>
        <v>0.37154953741919516</v>
      </c>
      <c r="AX2669">
        <f t="shared" si="284"/>
        <v>0.92307692307692313</v>
      </c>
      <c r="AY2669" s="62">
        <f t="shared" si="285"/>
        <v>0.3429688037715648</v>
      </c>
      <c r="AZ2669" s="68" t="str">
        <f t="shared" si="286"/>
        <v>No</v>
      </c>
      <c r="BA2669" s="68" t="str">
        <f t="shared" si="287"/>
        <v>No</v>
      </c>
    </row>
    <row r="2670" spans="1:55" hidden="1">
      <c r="A2670" t="s">
        <v>3914</v>
      </c>
      <c r="G2670" t="s">
        <v>4133</v>
      </c>
      <c r="P2670" t="s">
        <v>60</v>
      </c>
      <c r="R2670" t="s">
        <v>4116</v>
      </c>
      <c r="S2670" t="s">
        <v>1759</v>
      </c>
      <c r="V2670" t="s">
        <v>3956</v>
      </c>
      <c r="Z2670">
        <v>6</v>
      </c>
      <c r="AA2670">
        <v>6</v>
      </c>
      <c r="AC2670">
        <v>862</v>
      </c>
      <c r="AD2670">
        <v>24.6</v>
      </c>
      <c r="AE2670">
        <v>2318</v>
      </c>
      <c r="AF2670">
        <v>24.6</v>
      </c>
      <c r="AJ2670" t="s">
        <v>4146</v>
      </c>
      <c r="AK2670" t="s">
        <v>4151</v>
      </c>
      <c r="AN2670">
        <v>75</v>
      </c>
      <c r="AO2670">
        <v>4.5</v>
      </c>
      <c r="AP2670">
        <v>65</v>
      </c>
      <c r="AQ2670">
        <v>3.75</v>
      </c>
      <c r="AW2670" s="28">
        <f t="shared" si="283"/>
        <v>-2.4142865611338276</v>
      </c>
      <c r="AX2670">
        <f t="shared" si="284"/>
        <v>0.92307692307692313</v>
      </c>
      <c r="AY2670" s="62">
        <f t="shared" si="285"/>
        <v>-2.2285722102773793</v>
      </c>
      <c r="AZ2670" s="68" t="str">
        <f t="shared" si="286"/>
        <v>No</v>
      </c>
      <c r="BA2670" s="68" t="str">
        <f t="shared" si="287"/>
        <v>No</v>
      </c>
    </row>
    <row r="2671" spans="1:55" hidden="1">
      <c r="A2671" t="s">
        <v>3914</v>
      </c>
      <c r="G2671" t="s">
        <v>4133</v>
      </c>
      <c r="P2671" t="s">
        <v>60</v>
      </c>
      <c r="R2671" t="s">
        <v>4116</v>
      </c>
      <c r="S2671" t="s">
        <v>1759</v>
      </c>
      <c r="V2671" t="s">
        <v>3956</v>
      </c>
      <c r="Z2671">
        <v>6</v>
      </c>
      <c r="AA2671">
        <v>6</v>
      </c>
      <c r="AC2671">
        <v>817</v>
      </c>
      <c r="AD2671">
        <v>24.8</v>
      </c>
      <c r="AE2671">
        <v>2126</v>
      </c>
      <c r="AF2671">
        <v>24.6</v>
      </c>
      <c r="AJ2671" t="s">
        <v>4249</v>
      </c>
      <c r="AK2671" t="s">
        <v>4093</v>
      </c>
      <c r="AN2671">
        <v>33</v>
      </c>
      <c r="AO2671">
        <v>5.25</v>
      </c>
      <c r="AP2671">
        <v>8</v>
      </c>
      <c r="AQ2671">
        <v>4.5</v>
      </c>
      <c r="AW2671" s="28">
        <f t="shared" si="283"/>
        <v>-5.113099925649137</v>
      </c>
      <c r="AX2671">
        <f t="shared" si="284"/>
        <v>0.92307692307692313</v>
      </c>
      <c r="AY2671" s="78">
        <f t="shared" si="285"/>
        <v>-4.7197845467530497</v>
      </c>
      <c r="AZ2671" s="79" t="str">
        <f t="shared" si="286"/>
        <v>No</v>
      </c>
      <c r="BA2671" s="79" t="str">
        <f t="shared" si="287"/>
        <v>No</v>
      </c>
      <c r="BB2671" s="77"/>
      <c r="BC2671" s="77"/>
    </row>
    <row r="2672" spans="1:55" hidden="1">
      <c r="A2672" t="s">
        <v>3914</v>
      </c>
      <c r="G2672" t="s">
        <v>4133</v>
      </c>
      <c r="P2672" t="s">
        <v>60</v>
      </c>
      <c r="R2672" t="s">
        <v>4116</v>
      </c>
      <c r="S2672" t="s">
        <v>1759</v>
      </c>
      <c r="V2672" t="s">
        <v>3956</v>
      </c>
      <c r="Z2672">
        <v>6</v>
      </c>
      <c r="AA2672">
        <v>6</v>
      </c>
      <c r="AC2672">
        <v>651</v>
      </c>
      <c r="AD2672">
        <v>24.5</v>
      </c>
      <c r="AE2672">
        <v>1791</v>
      </c>
      <c r="AF2672">
        <v>24.4</v>
      </c>
      <c r="AJ2672" t="s">
        <v>4257</v>
      </c>
      <c r="AK2672" t="s">
        <v>4258</v>
      </c>
      <c r="AN2672">
        <v>17.3</v>
      </c>
      <c r="AO2672">
        <v>3</v>
      </c>
      <c r="AP2672">
        <v>16.600000000000001</v>
      </c>
      <c r="AQ2672">
        <v>5</v>
      </c>
      <c r="AW2672" s="28">
        <f t="shared" si="283"/>
        <v>-0.16977493752543291</v>
      </c>
      <c r="AX2672">
        <f t="shared" si="284"/>
        <v>0.92307692307692313</v>
      </c>
      <c r="AY2672" s="62">
        <f t="shared" si="285"/>
        <v>-0.15671532694655346</v>
      </c>
      <c r="AZ2672" s="68" t="str">
        <f t="shared" si="286"/>
        <v>No</v>
      </c>
      <c r="BA2672" s="68" t="str">
        <f t="shared" si="287"/>
        <v>No</v>
      </c>
    </row>
    <row r="2673" spans="1:55" hidden="1">
      <c r="A2673" t="s">
        <v>3914</v>
      </c>
      <c r="G2673" t="s">
        <v>4133</v>
      </c>
      <c r="P2673" t="s">
        <v>60</v>
      </c>
      <c r="R2673" t="s">
        <v>4116</v>
      </c>
      <c r="S2673" t="s">
        <v>1759</v>
      </c>
      <c r="V2673" t="s">
        <v>3956</v>
      </c>
      <c r="Z2673">
        <v>6</v>
      </c>
      <c r="AA2673">
        <v>6</v>
      </c>
      <c r="AC2673">
        <v>817</v>
      </c>
      <c r="AD2673">
        <v>24.8</v>
      </c>
      <c r="AE2673">
        <v>2126</v>
      </c>
      <c r="AF2673">
        <v>24.6</v>
      </c>
      <c r="AJ2673" t="s">
        <v>4146</v>
      </c>
      <c r="AK2673" t="s">
        <v>4151</v>
      </c>
      <c r="AN2673">
        <v>75</v>
      </c>
      <c r="AO2673">
        <v>9.75</v>
      </c>
      <c r="AP2673">
        <v>62</v>
      </c>
      <c r="AQ2673">
        <v>6</v>
      </c>
      <c r="AW2673" s="28">
        <f t="shared" si="283"/>
        <v>-1.6059023226552087</v>
      </c>
      <c r="AX2673">
        <f t="shared" si="284"/>
        <v>0.92307692307692313</v>
      </c>
      <c r="AY2673" s="62">
        <f t="shared" si="285"/>
        <v>-1.4823713747586542</v>
      </c>
      <c r="AZ2673" s="68" t="str">
        <f t="shared" si="286"/>
        <v>No</v>
      </c>
      <c r="BA2673" s="68" t="str">
        <f t="shared" si="287"/>
        <v>No</v>
      </c>
    </row>
    <row r="2674" spans="1:55" hidden="1">
      <c r="A2674" t="s">
        <v>3914</v>
      </c>
      <c r="G2674" t="s">
        <v>4133</v>
      </c>
      <c r="P2674" t="s">
        <v>60</v>
      </c>
      <c r="R2674" t="s">
        <v>4116</v>
      </c>
      <c r="S2674" t="s">
        <v>1759</v>
      </c>
      <c r="V2674" t="s">
        <v>3956</v>
      </c>
      <c r="Z2674">
        <v>6</v>
      </c>
      <c r="AA2674">
        <v>6</v>
      </c>
      <c r="AC2674">
        <v>862</v>
      </c>
      <c r="AD2674">
        <v>24.6</v>
      </c>
      <c r="AE2674">
        <v>2318</v>
      </c>
      <c r="AF2674">
        <v>24.6</v>
      </c>
      <c r="AJ2674" t="s">
        <v>4249</v>
      </c>
      <c r="AK2674" t="s">
        <v>4093</v>
      </c>
      <c r="AN2674">
        <v>54</v>
      </c>
      <c r="AO2674">
        <v>12</v>
      </c>
      <c r="AP2674">
        <v>13</v>
      </c>
      <c r="AQ2674">
        <v>6</v>
      </c>
      <c r="AW2674" s="28">
        <f t="shared" si="283"/>
        <v>-4.3217794688967848</v>
      </c>
      <c r="AX2674">
        <f t="shared" si="284"/>
        <v>0.92307692307692313</v>
      </c>
      <c r="AY2674" s="62">
        <f t="shared" si="285"/>
        <v>-3.9893348943662632</v>
      </c>
      <c r="AZ2674" s="68" t="str">
        <f t="shared" si="286"/>
        <v>No</v>
      </c>
      <c r="BA2674" s="68" t="str">
        <f t="shared" si="287"/>
        <v>No</v>
      </c>
    </row>
    <row r="2675" spans="1:55" hidden="1">
      <c r="A2675" t="s">
        <v>3914</v>
      </c>
      <c r="G2675" t="s">
        <v>4133</v>
      </c>
      <c r="P2675" t="s">
        <v>60</v>
      </c>
      <c r="R2675" t="s">
        <v>4116</v>
      </c>
      <c r="S2675" t="s">
        <v>1759</v>
      </c>
      <c r="V2675" t="s">
        <v>3956</v>
      </c>
      <c r="Z2675">
        <v>6</v>
      </c>
      <c r="AA2675">
        <v>6</v>
      </c>
      <c r="AC2675">
        <v>640</v>
      </c>
      <c r="AD2675">
        <v>24.5</v>
      </c>
      <c r="AE2675">
        <v>1790</v>
      </c>
      <c r="AF2675">
        <v>24.3</v>
      </c>
      <c r="AJ2675" t="s">
        <v>4257</v>
      </c>
      <c r="AK2675" t="s">
        <v>4258</v>
      </c>
      <c r="AN2675">
        <v>19.600000000000001</v>
      </c>
      <c r="AO2675">
        <v>8.6999999999999993</v>
      </c>
      <c r="AP2675">
        <v>19.2</v>
      </c>
      <c r="AQ2675">
        <v>7.7</v>
      </c>
      <c r="AW2675" s="28">
        <f t="shared" si="283"/>
        <v>-4.8690056360446834E-2</v>
      </c>
      <c r="AX2675">
        <f t="shared" si="284"/>
        <v>0.92307692307692313</v>
      </c>
      <c r="AY2675" s="62">
        <f t="shared" si="285"/>
        <v>-4.4944667409643237E-2</v>
      </c>
      <c r="AZ2675" s="68" t="str">
        <f t="shared" si="286"/>
        <v>No</v>
      </c>
      <c r="BA2675" s="68" t="str">
        <f t="shared" si="287"/>
        <v>No</v>
      </c>
    </row>
    <row r="2676" spans="1:55" hidden="1">
      <c r="A2676" t="s">
        <v>3914</v>
      </c>
      <c r="G2676" t="s">
        <v>4133</v>
      </c>
      <c r="P2676" t="s">
        <v>60</v>
      </c>
      <c r="R2676" t="s">
        <v>4116</v>
      </c>
      <c r="S2676" t="s">
        <v>1759</v>
      </c>
      <c r="V2676" t="s">
        <v>3956</v>
      </c>
      <c r="Z2676">
        <v>6</v>
      </c>
      <c r="AA2676">
        <v>6</v>
      </c>
      <c r="AC2676">
        <v>862</v>
      </c>
      <c r="AD2676">
        <v>24.6</v>
      </c>
      <c r="AE2676">
        <v>2318</v>
      </c>
      <c r="AF2676">
        <v>24.6</v>
      </c>
      <c r="AJ2676" t="s">
        <v>4241</v>
      </c>
      <c r="AK2676" t="s">
        <v>4244</v>
      </c>
      <c r="AN2676">
        <v>181.2</v>
      </c>
      <c r="AO2676">
        <v>5.8</v>
      </c>
      <c r="AP2676">
        <v>177.4</v>
      </c>
      <c r="AQ2676">
        <v>8</v>
      </c>
      <c r="AW2676" s="28">
        <f t="shared" si="283"/>
        <v>-0.54385698291143558</v>
      </c>
      <c r="AX2676">
        <f t="shared" si="284"/>
        <v>0.92307692307692313</v>
      </c>
      <c r="AY2676" s="62">
        <f t="shared" si="285"/>
        <v>-0.50202183037978676</v>
      </c>
      <c r="AZ2676" s="68" t="str">
        <f t="shared" si="286"/>
        <v>No</v>
      </c>
      <c r="BA2676" s="68" t="str">
        <f t="shared" si="287"/>
        <v>No</v>
      </c>
    </row>
    <row r="2677" spans="1:55" hidden="1">
      <c r="A2677" t="s">
        <v>3914</v>
      </c>
      <c r="G2677" t="s">
        <v>4133</v>
      </c>
      <c r="P2677" t="s">
        <v>60</v>
      </c>
      <c r="R2677" t="s">
        <v>4116</v>
      </c>
      <c r="S2677" t="s">
        <v>1759</v>
      </c>
      <c r="V2677" t="s">
        <v>3956</v>
      </c>
      <c r="Z2677">
        <v>6</v>
      </c>
      <c r="AA2677">
        <v>6</v>
      </c>
      <c r="AC2677">
        <v>640</v>
      </c>
      <c r="AD2677">
        <v>24.5</v>
      </c>
      <c r="AE2677">
        <v>1790</v>
      </c>
      <c r="AF2677">
        <v>24.3</v>
      </c>
      <c r="AJ2677" t="s">
        <v>4249</v>
      </c>
      <c r="AK2677" t="s">
        <v>4093</v>
      </c>
      <c r="AN2677">
        <v>20</v>
      </c>
      <c r="AO2677">
        <v>5.25</v>
      </c>
      <c r="AP2677">
        <v>22</v>
      </c>
      <c r="AQ2677">
        <v>12</v>
      </c>
      <c r="AW2677" s="28">
        <f t="shared" si="283"/>
        <v>0.21594035471437761</v>
      </c>
      <c r="AX2677">
        <f t="shared" si="284"/>
        <v>0.92307692307692313</v>
      </c>
      <c r="AY2677" s="62">
        <f t="shared" si="285"/>
        <v>0.19932955819788703</v>
      </c>
      <c r="AZ2677" s="68" t="str">
        <f t="shared" si="286"/>
        <v>No</v>
      </c>
      <c r="BA2677" s="68" t="str">
        <f t="shared" si="287"/>
        <v>No</v>
      </c>
    </row>
    <row r="2678" spans="1:55" ht="15" hidden="1">
      <c r="A2678" t="s">
        <v>3914</v>
      </c>
      <c r="G2678" t="s">
        <v>4133</v>
      </c>
      <c r="P2678" t="s">
        <v>60</v>
      </c>
      <c r="R2678" t="s">
        <v>4116</v>
      </c>
      <c r="S2678" t="s">
        <v>1759</v>
      </c>
      <c r="V2678" t="s">
        <v>3956</v>
      </c>
      <c r="Z2678">
        <v>6</v>
      </c>
      <c r="AA2678">
        <v>6</v>
      </c>
      <c r="AC2678">
        <v>817</v>
      </c>
      <c r="AD2678">
        <v>24.8</v>
      </c>
      <c r="AE2678">
        <v>2126</v>
      </c>
      <c r="AF2678">
        <v>24.6</v>
      </c>
      <c r="AJ2678" t="s">
        <v>4241</v>
      </c>
      <c r="AK2678" t="s">
        <v>4244</v>
      </c>
      <c r="AN2678">
        <v>164.5</v>
      </c>
      <c r="AO2678">
        <v>5.2</v>
      </c>
      <c r="AP2678">
        <v>167.5</v>
      </c>
      <c r="AQ2678">
        <v>12.2</v>
      </c>
      <c r="AW2678" s="28">
        <f t="shared" si="283"/>
        <v>0.31991015340914752</v>
      </c>
      <c r="AX2678">
        <f t="shared" si="284"/>
        <v>0.92307692307692313</v>
      </c>
      <c r="AY2678" s="73">
        <f t="shared" si="285"/>
        <v>0.29530168006998236</v>
      </c>
      <c r="AZ2678" s="74" t="str">
        <f t="shared" si="286"/>
        <v>No</v>
      </c>
      <c r="BA2678" s="74" t="str">
        <f t="shared" si="287"/>
        <v>No</v>
      </c>
    </row>
    <row r="2679" spans="1:55" ht="15" hidden="1">
      <c r="A2679" t="s">
        <v>3914</v>
      </c>
      <c r="G2679" t="s">
        <v>4133</v>
      </c>
      <c r="P2679" t="s">
        <v>60</v>
      </c>
      <c r="R2679" t="s">
        <v>4116</v>
      </c>
      <c r="S2679" t="s">
        <v>1759</v>
      </c>
      <c r="V2679" t="s">
        <v>3956</v>
      </c>
      <c r="Z2679">
        <v>6</v>
      </c>
      <c r="AA2679">
        <v>6</v>
      </c>
      <c r="AC2679">
        <v>640</v>
      </c>
      <c r="AD2679">
        <v>24.5</v>
      </c>
      <c r="AE2679">
        <v>1790</v>
      </c>
      <c r="AF2679">
        <v>24.3</v>
      </c>
      <c r="AJ2679" t="s">
        <v>4241</v>
      </c>
      <c r="AK2679" t="s">
        <v>4244</v>
      </c>
      <c r="AN2679">
        <v>216.7</v>
      </c>
      <c r="AO2679">
        <v>49.2</v>
      </c>
      <c r="AP2679">
        <v>208.1</v>
      </c>
      <c r="AQ2679">
        <v>40.6</v>
      </c>
      <c r="AW2679" s="28">
        <f t="shared" si="283"/>
        <v>-0.19066439694776618</v>
      </c>
      <c r="AX2679">
        <f t="shared" si="284"/>
        <v>0.92307692307692313</v>
      </c>
      <c r="AY2679" s="73">
        <f t="shared" si="285"/>
        <v>-0.17599790487486111</v>
      </c>
      <c r="AZ2679" s="74" t="str">
        <f t="shared" si="286"/>
        <v>No</v>
      </c>
      <c r="BA2679" s="74" t="str">
        <f t="shared" si="287"/>
        <v>No</v>
      </c>
      <c r="BB2679" s="56"/>
      <c r="BC2679" s="56"/>
    </row>
    <row r="2680" spans="1:55" hidden="1">
      <c r="A2680" t="s">
        <v>3914</v>
      </c>
      <c r="G2680" t="s">
        <v>4133</v>
      </c>
      <c r="P2680" t="s">
        <v>60</v>
      </c>
      <c r="R2680" t="s">
        <v>4116</v>
      </c>
      <c r="S2680" t="s">
        <v>1759</v>
      </c>
      <c r="V2680" t="s">
        <v>3956</v>
      </c>
      <c r="Z2680">
        <v>6</v>
      </c>
      <c r="AA2680">
        <v>6</v>
      </c>
      <c r="AC2680">
        <v>651</v>
      </c>
      <c r="AD2680">
        <v>24.5</v>
      </c>
      <c r="AE2680">
        <v>1791</v>
      </c>
      <c r="AF2680">
        <v>24.4</v>
      </c>
      <c r="AJ2680" t="s">
        <v>4241</v>
      </c>
      <c r="AK2680" t="s">
        <v>4244</v>
      </c>
      <c r="AN2680">
        <v>220</v>
      </c>
      <c r="AO2680">
        <v>56</v>
      </c>
      <c r="AP2680">
        <v>209.2</v>
      </c>
      <c r="AQ2680">
        <v>47.3</v>
      </c>
      <c r="AW2680" s="28">
        <f t="shared" si="283"/>
        <v>-0.20836204591633761</v>
      </c>
      <c r="AX2680">
        <f t="shared" si="284"/>
        <v>0.92307692307692313</v>
      </c>
      <c r="AY2680" s="62">
        <f t="shared" si="285"/>
        <v>-0.19233419623046549</v>
      </c>
      <c r="AZ2680" s="68" t="str">
        <f t="shared" si="286"/>
        <v>No</v>
      </c>
      <c r="BA2680" s="68" t="str">
        <f t="shared" si="287"/>
        <v>No</v>
      </c>
    </row>
    <row r="2681" spans="1:55" hidden="1">
      <c r="A2681" t="s">
        <v>3914</v>
      </c>
      <c r="G2681" t="s">
        <v>4504</v>
      </c>
      <c r="P2681" t="s">
        <v>60</v>
      </c>
      <c r="R2681" t="s">
        <v>4509</v>
      </c>
      <c r="S2681" t="s">
        <v>4510</v>
      </c>
      <c r="V2681" t="s">
        <v>3956</v>
      </c>
      <c r="Z2681">
        <v>3</v>
      </c>
      <c r="AA2681">
        <v>3</v>
      </c>
      <c r="AC2681">
        <v>380</v>
      </c>
      <c r="AD2681">
        <v>15</v>
      </c>
      <c r="AE2681">
        <v>1900</v>
      </c>
      <c r="AF2681">
        <v>15</v>
      </c>
      <c r="AJ2681" t="s">
        <v>1797</v>
      </c>
      <c r="AK2681" t="s">
        <v>4525</v>
      </c>
      <c r="AN2681">
        <v>18.25</v>
      </c>
      <c r="AO2681">
        <v>0.4330127018922193</v>
      </c>
      <c r="AP2681">
        <v>18.5</v>
      </c>
      <c r="AQ2681">
        <v>0.69282032302755092</v>
      </c>
      <c r="AW2681" s="28">
        <f t="shared" si="283"/>
        <v>0.43274232240791549</v>
      </c>
      <c r="AX2681">
        <f t="shared" si="284"/>
        <v>0.8</v>
      </c>
      <c r="AY2681" s="62">
        <f t="shared" si="285"/>
        <v>0.34619385792633239</v>
      </c>
      <c r="AZ2681" s="68" t="str">
        <f t="shared" si="286"/>
        <v>No</v>
      </c>
      <c r="BA2681" s="68" t="str">
        <f t="shared" si="287"/>
        <v>No</v>
      </c>
    </row>
    <row r="2682" spans="1:55" hidden="1">
      <c r="A2682" t="s">
        <v>3914</v>
      </c>
      <c r="G2682" t="s">
        <v>5078</v>
      </c>
      <c r="P2682" t="s">
        <v>60</v>
      </c>
      <c r="R2682" t="s">
        <v>4509</v>
      </c>
      <c r="S2682" t="s">
        <v>4510</v>
      </c>
      <c r="V2682" t="s">
        <v>3956</v>
      </c>
      <c r="Z2682">
        <v>3</v>
      </c>
      <c r="AA2682">
        <v>3</v>
      </c>
      <c r="AC2682">
        <v>380</v>
      </c>
      <c r="AD2682">
        <v>15</v>
      </c>
      <c r="AE2682">
        <v>1900</v>
      </c>
      <c r="AF2682">
        <v>15</v>
      </c>
      <c r="AJ2682" t="s">
        <v>1796</v>
      </c>
      <c r="AK2682" t="s">
        <v>4502</v>
      </c>
      <c r="AN2682">
        <v>7.3</v>
      </c>
      <c r="AO2682">
        <v>1.5588457268119895</v>
      </c>
      <c r="AP2682">
        <v>6.8</v>
      </c>
      <c r="AQ2682">
        <v>0.8660254037844386</v>
      </c>
      <c r="AW2682" s="28">
        <f t="shared" si="283"/>
        <v>-0.39652579285907208</v>
      </c>
      <c r="AX2682">
        <f t="shared" si="284"/>
        <v>0.8</v>
      </c>
      <c r="AY2682" s="62">
        <f t="shared" si="285"/>
        <v>-0.31722063428725766</v>
      </c>
      <c r="AZ2682" s="68" t="str">
        <f t="shared" si="286"/>
        <v>No</v>
      </c>
      <c r="BA2682" s="68" t="str">
        <f t="shared" si="287"/>
        <v>No</v>
      </c>
    </row>
    <row r="2683" spans="1:55" hidden="1">
      <c r="A2683" t="s">
        <v>3914</v>
      </c>
      <c r="G2683" t="s">
        <v>5078</v>
      </c>
      <c r="P2683" t="s">
        <v>60</v>
      </c>
      <c r="R2683" t="s">
        <v>4509</v>
      </c>
      <c r="S2683" t="s">
        <v>4510</v>
      </c>
      <c r="V2683" t="s">
        <v>3956</v>
      </c>
      <c r="Z2683" s="50">
        <v>3</v>
      </c>
      <c r="AA2683" s="50">
        <v>3</v>
      </c>
      <c r="AC2683">
        <v>380</v>
      </c>
      <c r="AD2683">
        <v>15</v>
      </c>
      <c r="AE2683">
        <v>1900</v>
      </c>
      <c r="AF2683">
        <v>15</v>
      </c>
      <c r="AJ2683" t="s">
        <v>4514</v>
      </c>
      <c r="AK2683" t="s">
        <v>4516</v>
      </c>
      <c r="AN2683">
        <v>17</v>
      </c>
      <c r="AO2683">
        <v>4.676537180435969</v>
      </c>
      <c r="AP2683">
        <v>19</v>
      </c>
      <c r="AQ2683">
        <v>5.7157676649772942</v>
      </c>
      <c r="AW2683" s="28">
        <f t="shared" si="283"/>
        <v>0.38298999308095077</v>
      </c>
      <c r="AX2683">
        <f t="shared" si="284"/>
        <v>0.8</v>
      </c>
      <c r="AY2683" s="62">
        <f t="shared" si="285"/>
        <v>0.30639199446476062</v>
      </c>
      <c r="AZ2683" s="68" t="str">
        <f t="shared" si="286"/>
        <v>No</v>
      </c>
      <c r="BA2683" s="68" t="str">
        <f t="shared" si="287"/>
        <v>No</v>
      </c>
    </row>
    <row r="2684" spans="1:55" ht="15" hidden="1">
      <c r="A2684" t="s">
        <v>3914</v>
      </c>
      <c r="G2684" t="s">
        <v>4994</v>
      </c>
      <c r="P2684" t="s">
        <v>60</v>
      </c>
      <c r="R2684" t="s">
        <v>4286</v>
      </c>
      <c r="S2684" t="s">
        <v>4342</v>
      </c>
      <c r="V2684" t="s">
        <v>3956</v>
      </c>
      <c r="Z2684">
        <v>5</v>
      </c>
      <c r="AA2684">
        <v>5</v>
      </c>
      <c r="AC2684">
        <v>299.60000000000002</v>
      </c>
      <c r="AD2684">
        <v>15</v>
      </c>
      <c r="AE2684">
        <v>1093</v>
      </c>
      <c r="AF2684">
        <v>15</v>
      </c>
      <c r="AJ2684" t="s">
        <v>4343</v>
      </c>
      <c r="AK2684" t="s">
        <v>4266</v>
      </c>
      <c r="AN2684">
        <v>28</v>
      </c>
      <c r="AO2684">
        <v>15.652475842498529</v>
      </c>
      <c r="AP2684">
        <v>18</v>
      </c>
      <c r="AQ2684">
        <v>0</v>
      </c>
      <c r="AW2684" s="28">
        <f t="shared" si="283"/>
        <v>-0.90350790290525118</v>
      </c>
      <c r="AX2684">
        <f t="shared" si="284"/>
        <v>0.90322580645161288</v>
      </c>
      <c r="AY2684" s="73">
        <f t="shared" si="285"/>
        <v>-0.81607165423700101</v>
      </c>
      <c r="AZ2684" s="74" t="str">
        <f t="shared" si="286"/>
        <v>No</v>
      </c>
      <c r="BA2684" s="74" t="str">
        <f t="shared" si="287"/>
        <v>No</v>
      </c>
      <c r="BB2684" s="56"/>
      <c r="BC2684" s="56"/>
    </row>
    <row r="2685" spans="1:55" ht="15" hidden="1">
      <c r="A2685" s="56" t="s">
        <v>3914</v>
      </c>
      <c r="G2685" s="56" t="s">
        <v>5022</v>
      </c>
      <c r="P2685" s="56" t="s">
        <v>60</v>
      </c>
      <c r="Q2685" s="56"/>
      <c r="R2685" s="56" t="s">
        <v>4357</v>
      </c>
      <c r="S2685" s="56" t="s">
        <v>948</v>
      </c>
      <c r="T2685" s="56"/>
      <c r="U2685" s="56"/>
      <c r="V2685" s="56" t="s">
        <v>3956</v>
      </c>
      <c r="W2685" s="56"/>
      <c r="X2685" s="56"/>
      <c r="Y2685" s="56"/>
      <c r="Z2685" s="56">
        <v>4</v>
      </c>
      <c r="AA2685" s="56">
        <v>4</v>
      </c>
      <c r="AB2685" s="56"/>
      <c r="AC2685" s="56">
        <v>527.6</v>
      </c>
      <c r="AD2685" s="56">
        <v>-0.5</v>
      </c>
      <c r="AE2685" s="56">
        <v>2886.3</v>
      </c>
      <c r="AF2685" s="56">
        <v>-0.5</v>
      </c>
      <c r="AG2685" s="56"/>
      <c r="AH2685" s="56"/>
      <c r="AI2685" s="56"/>
      <c r="AJ2685" s="56" t="s">
        <v>1813</v>
      </c>
      <c r="AK2685" s="56" t="s">
        <v>4093</v>
      </c>
      <c r="AN2685" s="56">
        <v>87</v>
      </c>
      <c r="AO2685" s="56">
        <v>10</v>
      </c>
      <c r="AP2685" s="56">
        <v>73</v>
      </c>
      <c r="AQ2685" s="56">
        <v>4</v>
      </c>
      <c r="AW2685" s="28">
        <f t="shared" si="283"/>
        <v>-1.8382900600361156</v>
      </c>
      <c r="AX2685">
        <f t="shared" si="284"/>
        <v>0.86956521739130432</v>
      </c>
      <c r="AY2685" s="62">
        <f t="shared" si="285"/>
        <v>-1.5985130956835787</v>
      </c>
      <c r="AZ2685" s="68" t="str">
        <f t="shared" si="286"/>
        <v>No</v>
      </c>
      <c r="BA2685" s="68" t="str">
        <f t="shared" si="287"/>
        <v>No</v>
      </c>
    </row>
    <row r="2686" spans="1:55" ht="15" hidden="1">
      <c r="A2686" s="56" t="s">
        <v>3914</v>
      </c>
      <c r="G2686" s="56" t="s">
        <v>5022</v>
      </c>
      <c r="P2686" s="56" t="s">
        <v>60</v>
      </c>
      <c r="Q2686" s="56"/>
      <c r="R2686" s="56" t="s">
        <v>4357</v>
      </c>
      <c r="S2686" s="56" t="s">
        <v>948</v>
      </c>
      <c r="T2686" s="56"/>
      <c r="U2686" s="56"/>
      <c r="V2686" s="56" t="s">
        <v>3956</v>
      </c>
      <c r="W2686" s="56"/>
      <c r="X2686" s="56"/>
      <c r="Y2686" s="56"/>
      <c r="Z2686" s="56">
        <v>4</v>
      </c>
      <c r="AA2686" s="56">
        <v>4</v>
      </c>
      <c r="AB2686" s="56"/>
      <c r="AC2686" s="56">
        <v>527.6</v>
      </c>
      <c r="AD2686" s="56">
        <v>-0.5</v>
      </c>
      <c r="AE2686" s="56">
        <v>1121.5999999999999</v>
      </c>
      <c r="AF2686" s="56">
        <v>-0.5</v>
      </c>
      <c r="AG2686" s="56"/>
      <c r="AH2686" s="56"/>
      <c r="AI2686" s="56"/>
      <c r="AJ2686" s="56" t="s">
        <v>1813</v>
      </c>
      <c r="AK2686" s="56" t="s">
        <v>4093</v>
      </c>
      <c r="AN2686" s="56">
        <v>87</v>
      </c>
      <c r="AO2686" s="56">
        <v>10</v>
      </c>
      <c r="AP2686" s="56">
        <v>84</v>
      </c>
      <c r="AQ2686" s="56">
        <v>10</v>
      </c>
      <c r="AW2686" s="28">
        <f t="shared" si="283"/>
        <v>-0.3</v>
      </c>
      <c r="AX2686">
        <f t="shared" si="284"/>
        <v>0.86956521739130432</v>
      </c>
      <c r="AY2686" s="62">
        <f t="shared" si="285"/>
        <v>-0.2608695652173913</v>
      </c>
      <c r="AZ2686" s="68" t="str">
        <f t="shared" si="286"/>
        <v>No</v>
      </c>
      <c r="BA2686" s="68" t="str">
        <f t="shared" si="287"/>
        <v>No</v>
      </c>
    </row>
    <row r="2687" spans="1:55" ht="15">
      <c r="A2687" s="56" t="s">
        <v>3914</v>
      </c>
      <c r="G2687" s="56" t="s">
        <v>4361</v>
      </c>
      <c r="P2687" s="56" t="s">
        <v>60</v>
      </c>
      <c r="Q2687" s="56"/>
      <c r="R2687" s="56" t="s">
        <v>4357</v>
      </c>
      <c r="S2687" s="56" t="s">
        <v>948</v>
      </c>
      <c r="T2687" s="56"/>
      <c r="U2687" s="56"/>
      <c r="V2687" s="56" t="s">
        <v>3956</v>
      </c>
      <c r="W2687" s="56"/>
      <c r="X2687" s="56"/>
      <c r="Y2687" s="56"/>
      <c r="Z2687" s="56">
        <v>4</v>
      </c>
      <c r="AA2687" s="56">
        <v>4</v>
      </c>
      <c r="AB2687" s="56"/>
      <c r="AC2687" s="56">
        <v>527.6</v>
      </c>
      <c r="AD2687" s="56">
        <v>-0.5</v>
      </c>
      <c r="AE2687" s="56">
        <v>5806</v>
      </c>
      <c r="AF2687" s="56">
        <v>-0.5</v>
      </c>
      <c r="AG2687" s="56"/>
      <c r="AH2687" s="56"/>
      <c r="AI2687" s="56"/>
      <c r="AJ2687" s="56" t="s">
        <v>1813</v>
      </c>
      <c r="AK2687" s="56" t="s">
        <v>4093</v>
      </c>
      <c r="AN2687" s="56">
        <v>87</v>
      </c>
      <c r="AO2687" s="56">
        <v>10</v>
      </c>
      <c r="AP2687" s="56">
        <v>75</v>
      </c>
      <c r="AQ2687" s="56">
        <v>12</v>
      </c>
      <c r="AW2687" s="28">
        <f t="shared" si="283"/>
        <v>-1.0864289525102224</v>
      </c>
      <c r="AX2687">
        <f t="shared" si="284"/>
        <v>0.86956521739130432</v>
      </c>
      <c r="AY2687" s="62">
        <f t="shared" si="285"/>
        <v>-0.94472082826975856</v>
      </c>
      <c r="AZ2687" s="68" t="str">
        <f t="shared" si="286"/>
        <v>No</v>
      </c>
      <c r="BA2687" s="68" t="str">
        <f t="shared" si="287"/>
        <v>No</v>
      </c>
    </row>
    <row r="2688" spans="1:55" ht="15" hidden="1">
      <c r="A2688" s="56" t="s">
        <v>3914</v>
      </c>
      <c r="G2688" s="56" t="s">
        <v>4361</v>
      </c>
      <c r="P2688" s="56" t="s">
        <v>60</v>
      </c>
      <c r="Q2688" s="56"/>
      <c r="R2688" s="56" t="s">
        <v>4357</v>
      </c>
      <c r="S2688" s="56" t="s">
        <v>948</v>
      </c>
      <c r="T2688" s="56"/>
      <c r="U2688" s="56"/>
      <c r="V2688" s="56" t="s">
        <v>3956</v>
      </c>
      <c r="W2688" s="56"/>
      <c r="X2688" s="56"/>
      <c r="Y2688" s="56"/>
      <c r="Z2688" s="56">
        <v>12</v>
      </c>
      <c r="AA2688" s="56">
        <v>12</v>
      </c>
      <c r="AB2688" s="56"/>
      <c r="AC2688" s="56">
        <v>527.6</v>
      </c>
      <c r="AD2688" s="56">
        <v>-0.5</v>
      </c>
      <c r="AE2688" s="56">
        <v>2886.3</v>
      </c>
      <c r="AF2688" s="56">
        <v>-0.5</v>
      </c>
      <c r="AG2688" s="56"/>
      <c r="AH2688" s="56"/>
      <c r="AI2688" s="56"/>
      <c r="AJ2688" s="56" t="s">
        <v>4461</v>
      </c>
      <c r="AK2688" s="56" t="s">
        <v>4151</v>
      </c>
      <c r="AN2688" s="56">
        <v>30</v>
      </c>
      <c r="AO2688" s="56">
        <v>22.516660498395403</v>
      </c>
      <c r="AP2688" s="56">
        <v>39</v>
      </c>
      <c r="AQ2688" s="56">
        <v>13.856406460551018</v>
      </c>
      <c r="AW2688" s="28">
        <f t="shared" si="283"/>
        <v>0.48141422564394648</v>
      </c>
      <c r="AX2688">
        <f t="shared" si="284"/>
        <v>0.96551724137931039</v>
      </c>
      <c r="AY2688" s="62">
        <f t="shared" si="285"/>
        <v>0.46481373510450008</v>
      </c>
      <c r="AZ2688" s="68" t="str">
        <f t="shared" si="286"/>
        <v>No</v>
      </c>
      <c r="BA2688" s="68" t="str">
        <f t="shared" si="287"/>
        <v>No</v>
      </c>
    </row>
    <row r="2689" spans="1:53" ht="15" hidden="1">
      <c r="A2689" s="56" t="s">
        <v>3914</v>
      </c>
      <c r="G2689" s="56" t="s">
        <v>4361</v>
      </c>
      <c r="P2689" s="56" t="s">
        <v>60</v>
      </c>
      <c r="Q2689" s="56"/>
      <c r="R2689" s="56" t="s">
        <v>4357</v>
      </c>
      <c r="S2689" s="56" t="s">
        <v>948</v>
      </c>
      <c r="T2689" s="56"/>
      <c r="U2689" s="56"/>
      <c r="V2689" s="56" t="s">
        <v>3956</v>
      </c>
      <c r="W2689" s="56"/>
      <c r="X2689" s="56"/>
      <c r="Y2689" s="56"/>
      <c r="Z2689" s="56">
        <v>12</v>
      </c>
      <c r="AA2689" s="56">
        <v>12</v>
      </c>
      <c r="AB2689" s="56"/>
      <c r="AC2689" s="56">
        <v>527.6</v>
      </c>
      <c r="AD2689" s="56">
        <v>-0.5</v>
      </c>
      <c r="AE2689" s="56">
        <v>1121.5999999999999</v>
      </c>
      <c r="AF2689" s="56">
        <v>-0.5</v>
      </c>
      <c r="AG2689" s="56"/>
      <c r="AH2689" s="56"/>
      <c r="AI2689" s="56"/>
      <c r="AJ2689" s="56" t="s">
        <v>4472</v>
      </c>
      <c r="AK2689" s="56" t="s">
        <v>4151</v>
      </c>
      <c r="AN2689" s="56">
        <v>4</v>
      </c>
      <c r="AO2689" s="56">
        <v>3.4641016151377544</v>
      </c>
      <c r="AP2689" s="56">
        <v>12.5</v>
      </c>
      <c r="AQ2689" s="56">
        <v>13.856406460551018</v>
      </c>
      <c r="AW2689" s="28">
        <f t="shared" si="283"/>
        <v>0.84162541153017323</v>
      </c>
      <c r="AX2689">
        <f t="shared" si="284"/>
        <v>0.96551724137931039</v>
      </c>
      <c r="AY2689" s="62">
        <f t="shared" si="285"/>
        <v>0.81260384561533971</v>
      </c>
      <c r="AZ2689" s="68" t="str">
        <f t="shared" si="286"/>
        <v>No</v>
      </c>
      <c r="BA2689" s="68" t="str">
        <f t="shared" si="287"/>
        <v>No</v>
      </c>
    </row>
    <row r="2690" spans="1:53" ht="15">
      <c r="A2690" s="56" t="s">
        <v>3914</v>
      </c>
      <c r="G2690" s="56" t="s">
        <v>5115</v>
      </c>
      <c r="P2690" s="56" t="s">
        <v>60</v>
      </c>
      <c r="Q2690" s="56"/>
      <c r="R2690" s="56" t="s">
        <v>4357</v>
      </c>
      <c r="S2690" s="56" t="s">
        <v>948</v>
      </c>
      <c r="T2690" s="56"/>
      <c r="U2690" s="56"/>
      <c r="V2690" s="56" t="s">
        <v>3956</v>
      </c>
      <c r="W2690" s="56"/>
      <c r="X2690" s="56"/>
      <c r="Y2690" s="56"/>
      <c r="Z2690" s="56">
        <v>12</v>
      </c>
      <c r="AA2690" s="56">
        <v>12</v>
      </c>
      <c r="AB2690" s="56"/>
      <c r="AC2690" s="56">
        <v>527.6</v>
      </c>
      <c r="AD2690" s="56">
        <v>-0.5</v>
      </c>
      <c r="AE2690" s="56">
        <v>5806</v>
      </c>
      <c r="AF2690" s="56">
        <v>-0.5</v>
      </c>
      <c r="AG2690" s="56"/>
      <c r="AH2690" s="56"/>
      <c r="AI2690" s="56"/>
      <c r="AJ2690" s="56" t="s">
        <v>4472</v>
      </c>
      <c r="AK2690" s="56" t="s">
        <v>4151</v>
      </c>
      <c r="AN2690" s="56">
        <v>4</v>
      </c>
      <c r="AO2690" s="56">
        <v>3.4641016151377544</v>
      </c>
      <c r="AP2690" s="56">
        <v>14</v>
      </c>
      <c r="AQ2690" s="56">
        <v>14.895636945092344</v>
      </c>
      <c r="AW2690" s="28">
        <f t="shared" si="283"/>
        <v>0.9247374696205396</v>
      </c>
      <c r="AX2690">
        <f t="shared" si="284"/>
        <v>0.96551724137931039</v>
      </c>
      <c r="AY2690" s="62">
        <f t="shared" si="285"/>
        <v>0.89284997066810723</v>
      </c>
      <c r="AZ2690" s="68" t="str">
        <f t="shared" si="286"/>
        <v>No</v>
      </c>
      <c r="BA2690" s="68" t="str">
        <f t="shared" si="287"/>
        <v>No</v>
      </c>
    </row>
    <row r="2691" spans="1:53" ht="15" hidden="1">
      <c r="A2691" s="56" t="s">
        <v>3914</v>
      </c>
      <c r="G2691" s="56" t="s">
        <v>4361</v>
      </c>
      <c r="P2691" s="56" t="s">
        <v>60</v>
      </c>
      <c r="Q2691" s="56"/>
      <c r="R2691" s="56" t="s">
        <v>4357</v>
      </c>
      <c r="S2691" s="56" t="s">
        <v>948</v>
      </c>
      <c r="T2691" s="56"/>
      <c r="U2691" s="56"/>
      <c r="V2691" s="56" t="s">
        <v>3956</v>
      </c>
      <c r="W2691" s="56"/>
      <c r="X2691" s="56"/>
      <c r="Y2691" s="56"/>
      <c r="Z2691" s="56">
        <v>12</v>
      </c>
      <c r="AA2691" s="56">
        <v>12</v>
      </c>
      <c r="AB2691" s="56"/>
      <c r="AC2691" s="56">
        <v>527.6</v>
      </c>
      <c r="AD2691" s="56">
        <v>-0.5</v>
      </c>
      <c r="AE2691" s="56">
        <v>1121.5999999999999</v>
      </c>
      <c r="AF2691" s="56">
        <v>-0.5</v>
      </c>
      <c r="AG2691" s="56"/>
      <c r="AH2691" s="56"/>
      <c r="AI2691" s="56"/>
      <c r="AJ2691" s="56" t="s">
        <v>4461</v>
      </c>
      <c r="AK2691" s="56" t="s">
        <v>4151</v>
      </c>
      <c r="AN2691" s="56">
        <v>30</v>
      </c>
      <c r="AO2691" s="56">
        <v>22.516660498395403</v>
      </c>
      <c r="AP2691" s="56">
        <v>43</v>
      </c>
      <c r="AQ2691" s="56">
        <v>17.320508075688771</v>
      </c>
      <c r="AW2691" s="28">
        <f t="shared" si="283"/>
        <v>0.64717477706520121</v>
      </c>
      <c r="AX2691">
        <f t="shared" si="284"/>
        <v>0.96551724137931039</v>
      </c>
      <c r="AY2691" s="62">
        <f t="shared" si="285"/>
        <v>0.62485840544226323</v>
      </c>
      <c r="AZ2691" s="68" t="str">
        <f t="shared" si="286"/>
        <v>No</v>
      </c>
      <c r="BA2691" s="68" t="str">
        <f t="shared" si="287"/>
        <v>No</v>
      </c>
    </row>
    <row r="2692" spans="1:53" ht="15">
      <c r="A2692" s="56" t="s">
        <v>3914</v>
      </c>
      <c r="G2692" s="56" t="s">
        <v>4361</v>
      </c>
      <c r="P2692" s="56" t="s">
        <v>60</v>
      </c>
      <c r="Q2692" s="56"/>
      <c r="R2692" s="56" t="s">
        <v>4357</v>
      </c>
      <c r="S2692" s="56" t="s">
        <v>948</v>
      </c>
      <c r="T2692" s="56"/>
      <c r="U2692" s="56"/>
      <c r="V2692" s="56" t="s">
        <v>3956</v>
      </c>
      <c r="W2692" s="56"/>
      <c r="X2692" s="56"/>
      <c r="Y2692" s="56"/>
      <c r="Z2692" s="56">
        <v>12</v>
      </c>
      <c r="AA2692" s="56">
        <v>12</v>
      </c>
      <c r="AB2692" s="56"/>
      <c r="AC2692" s="56">
        <v>527.6</v>
      </c>
      <c r="AD2692" s="56">
        <v>-0.5</v>
      </c>
      <c r="AE2692" s="56">
        <v>5806</v>
      </c>
      <c r="AF2692" s="56">
        <v>-0.5</v>
      </c>
      <c r="AG2692" s="56"/>
      <c r="AH2692" s="56"/>
      <c r="AI2692" s="56"/>
      <c r="AJ2692" s="56" t="s">
        <v>4461</v>
      </c>
      <c r="AK2692" s="56" t="s">
        <v>4151</v>
      </c>
      <c r="AN2692" s="56">
        <v>30</v>
      </c>
      <c r="AO2692" s="56">
        <v>22.516660498395403</v>
      </c>
      <c r="AP2692" s="56">
        <v>37</v>
      </c>
      <c r="AQ2692" s="56">
        <v>17.320508075688771</v>
      </c>
      <c r="AW2692" s="28">
        <f t="shared" si="283"/>
        <v>0.3484787261120314</v>
      </c>
      <c r="AX2692">
        <f t="shared" si="284"/>
        <v>0.96551724137931039</v>
      </c>
      <c r="AY2692" s="73">
        <f t="shared" si="285"/>
        <v>0.33646221831506484</v>
      </c>
      <c r="AZ2692" s="74" t="str">
        <f t="shared" si="286"/>
        <v>No</v>
      </c>
      <c r="BA2692" s="74" t="str">
        <f t="shared" si="287"/>
        <v>No</v>
      </c>
    </row>
    <row r="2693" spans="1:53" ht="15" hidden="1">
      <c r="A2693" s="56" t="s">
        <v>3914</v>
      </c>
      <c r="G2693" s="56" t="s">
        <v>4361</v>
      </c>
      <c r="P2693" s="56" t="s">
        <v>60</v>
      </c>
      <c r="Q2693" s="56"/>
      <c r="R2693" s="56" t="s">
        <v>4357</v>
      </c>
      <c r="S2693" s="56" t="s">
        <v>948</v>
      </c>
      <c r="T2693" s="56"/>
      <c r="U2693" s="56"/>
      <c r="V2693" s="56" t="s">
        <v>3956</v>
      </c>
      <c r="W2693" s="56"/>
      <c r="X2693" s="56"/>
      <c r="Y2693" s="56"/>
      <c r="Z2693" s="56">
        <v>12</v>
      </c>
      <c r="AA2693" s="56">
        <v>12</v>
      </c>
      <c r="AB2693" s="56"/>
      <c r="AC2693" s="56">
        <v>527.6</v>
      </c>
      <c r="AD2693" s="56">
        <v>-0.5</v>
      </c>
      <c r="AE2693" s="56">
        <v>2886.3</v>
      </c>
      <c r="AF2693" s="56">
        <v>-0.5</v>
      </c>
      <c r="AG2693" s="56"/>
      <c r="AH2693" s="56"/>
      <c r="AI2693" s="56"/>
      <c r="AJ2693" s="56" t="s">
        <v>4472</v>
      </c>
      <c r="AK2693" s="56" t="s">
        <v>4151</v>
      </c>
      <c r="AN2693" s="56">
        <v>4</v>
      </c>
      <c r="AO2693" s="56">
        <v>3.4641016151377544</v>
      </c>
      <c r="AP2693" s="56">
        <v>20</v>
      </c>
      <c r="AQ2693" s="56">
        <v>17.320508075688771</v>
      </c>
      <c r="AW2693" s="28">
        <f t="shared" si="283"/>
        <v>1.2810252304406973</v>
      </c>
      <c r="AX2693">
        <f t="shared" si="284"/>
        <v>0.96551724137931039</v>
      </c>
      <c r="AY2693" s="62">
        <f t="shared" si="285"/>
        <v>1.2368519466323975</v>
      </c>
      <c r="AZ2693" s="68" t="str">
        <f t="shared" si="286"/>
        <v>No</v>
      </c>
      <c r="BA2693" s="68" t="str">
        <f t="shared" si="287"/>
        <v>No</v>
      </c>
    </row>
    <row r="2694" spans="1:53" hidden="1">
      <c r="A2694" t="s">
        <v>3914</v>
      </c>
      <c r="G2694" t="s">
        <v>5009</v>
      </c>
      <c r="P2694" t="s">
        <v>60</v>
      </c>
      <c r="R2694" t="s">
        <v>4357</v>
      </c>
      <c r="S2694" t="s">
        <v>948</v>
      </c>
      <c r="V2694" t="s">
        <v>3956</v>
      </c>
      <c r="Z2694">
        <v>10</v>
      </c>
      <c r="AA2694">
        <v>10</v>
      </c>
      <c r="AC2694">
        <v>450</v>
      </c>
      <c r="AD2694">
        <v>0</v>
      </c>
      <c r="AE2694">
        <v>850</v>
      </c>
      <c r="AF2694">
        <v>0</v>
      </c>
      <c r="AJ2694" t="s">
        <v>2020</v>
      </c>
      <c r="AK2694" t="s">
        <v>4093</v>
      </c>
      <c r="AN2694">
        <v>96</v>
      </c>
      <c r="AO2694">
        <v>0.5</v>
      </c>
      <c r="AP2694">
        <v>96</v>
      </c>
      <c r="AQ2694">
        <v>0.2</v>
      </c>
      <c r="AW2694" s="28">
        <f t="shared" si="283"/>
        <v>0</v>
      </c>
      <c r="AX2694">
        <f t="shared" si="284"/>
        <v>0.95774647887323949</v>
      </c>
      <c r="AY2694" s="62">
        <f t="shared" si="285"/>
        <v>0</v>
      </c>
      <c r="AZ2694" s="68" t="str">
        <f t="shared" si="286"/>
        <v>No</v>
      </c>
      <c r="BA2694" s="68" t="str">
        <f t="shared" si="287"/>
        <v>No</v>
      </c>
    </row>
    <row r="2695" spans="1:53" hidden="1">
      <c r="A2695" t="s">
        <v>3914</v>
      </c>
      <c r="G2695" t="s">
        <v>4364</v>
      </c>
      <c r="P2695" t="s">
        <v>60</v>
      </c>
      <c r="R2695" t="s">
        <v>4357</v>
      </c>
      <c r="S2695" t="s">
        <v>948</v>
      </c>
      <c r="V2695" t="s">
        <v>3956</v>
      </c>
      <c r="Z2695">
        <v>8</v>
      </c>
      <c r="AA2695">
        <v>8</v>
      </c>
      <c r="AC2695">
        <v>450</v>
      </c>
      <c r="AD2695">
        <v>0</v>
      </c>
      <c r="AE2695">
        <v>850</v>
      </c>
      <c r="AF2695">
        <v>0</v>
      </c>
      <c r="AJ2695" t="s">
        <v>4463</v>
      </c>
      <c r="AK2695" t="s">
        <v>4151</v>
      </c>
      <c r="AN2695">
        <v>99</v>
      </c>
      <c r="AO2695">
        <v>0.2</v>
      </c>
      <c r="AP2695">
        <v>98.5</v>
      </c>
      <c r="AQ2695">
        <v>0.2</v>
      </c>
      <c r="AW2695" s="28">
        <f t="shared" si="283"/>
        <v>-2.5</v>
      </c>
      <c r="AX2695">
        <f t="shared" si="284"/>
        <v>0.94545454545454544</v>
      </c>
      <c r="AY2695" s="62">
        <f t="shared" si="285"/>
        <v>-2.3636363636363638</v>
      </c>
      <c r="AZ2695" s="68" t="str">
        <f t="shared" si="286"/>
        <v>No</v>
      </c>
      <c r="BA2695" s="68" t="str">
        <f t="shared" si="287"/>
        <v>No</v>
      </c>
    </row>
    <row r="2696" spans="1:53" hidden="1">
      <c r="A2696" t="s">
        <v>3914</v>
      </c>
      <c r="G2696" t="s">
        <v>4675</v>
      </c>
      <c r="P2696" t="s">
        <v>4596</v>
      </c>
      <c r="R2696" t="s">
        <v>4357</v>
      </c>
      <c r="S2696" t="s">
        <v>948</v>
      </c>
      <c r="V2696" t="s">
        <v>4625</v>
      </c>
      <c r="Z2696">
        <v>10</v>
      </c>
      <c r="AA2696">
        <v>10</v>
      </c>
      <c r="AC2696">
        <v>450</v>
      </c>
      <c r="AD2696">
        <v>0</v>
      </c>
      <c r="AE2696">
        <v>441.1</v>
      </c>
      <c r="AF2696">
        <v>1.5</v>
      </c>
      <c r="AJ2696" t="s">
        <v>2020</v>
      </c>
      <c r="AK2696" t="s">
        <v>4041</v>
      </c>
      <c r="AN2696">
        <v>96</v>
      </c>
      <c r="AO2696">
        <f>1*SQRT(10)</f>
        <v>3.1622776601683795</v>
      </c>
      <c r="AP2696">
        <v>98.5</v>
      </c>
      <c r="AQ2696">
        <f>0.1*SQRT(10)</f>
        <v>0.316227766016838</v>
      </c>
      <c r="AW2696" s="28">
        <f t="shared" si="283"/>
        <v>1.1124853987249619</v>
      </c>
      <c r="AX2696">
        <f t="shared" si="284"/>
        <v>0.95774647887323949</v>
      </c>
      <c r="AY2696" s="62">
        <f t="shared" si="285"/>
        <v>1.065478973426724</v>
      </c>
      <c r="AZ2696" s="68" t="str">
        <f t="shared" si="286"/>
        <v>No</v>
      </c>
      <c r="BA2696" s="68" t="str">
        <f t="shared" si="287"/>
        <v>No</v>
      </c>
    </row>
    <row r="2697" spans="1:53" hidden="1">
      <c r="A2697" t="s">
        <v>3914</v>
      </c>
      <c r="G2697" t="s">
        <v>4364</v>
      </c>
      <c r="P2697" t="s">
        <v>4596</v>
      </c>
      <c r="R2697" t="s">
        <v>4357</v>
      </c>
      <c r="S2697" t="s">
        <v>948</v>
      </c>
      <c r="V2697" t="s">
        <v>4626</v>
      </c>
      <c r="Z2697">
        <v>10</v>
      </c>
      <c r="AA2697">
        <v>10</v>
      </c>
      <c r="AC2697">
        <v>450</v>
      </c>
      <c r="AD2697">
        <v>0</v>
      </c>
      <c r="AE2697">
        <v>925</v>
      </c>
      <c r="AF2697">
        <v>1.5</v>
      </c>
      <c r="AJ2697" t="s">
        <v>2020</v>
      </c>
      <c r="AK2697" t="s">
        <v>4041</v>
      </c>
      <c r="AN2697">
        <v>96</v>
      </c>
      <c r="AO2697">
        <f>1*SQRT(10)</f>
        <v>3.1622776601683795</v>
      </c>
      <c r="AP2697">
        <v>93</v>
      </c>
      <c r="AQ2697">
        <f>0.1*SQRT(10)</f>
        <v>0.316227766016838</v>
      </c>
      <c r="AW2697" s="28">
        <f t="shared" si="283"/>
        <v>-1.3349824784699544</v>
      </c>
      <c r="AX2697">
        <f t="shared" si="284"/>
        <v>0.95774647887323949</v>
      </c>
      <c r="AY2697" s="62">
        <f t="shared" si="285"/>
        <v>-1.2785747681120692</v>
      </c>
      <c r="AZ2697" s="68" t="str">
        <f t="shared" si="286"/>
        <v>No</v>
      </c>
      <c r="BA2697" s="68" t="str">
        <f t="shared" si="287"/>
        <v>No</v>
      </c>
    </row>
    <row r="2698" spans="1:53" hidden="1">
      <c r="A2698" t="s">
        <v>3914</v>
      </c>
      <c r="G2698" t="s">
        <v>4364</v>
      </c>
      <c r="P2698" t="s">
        <v>60</v>
      </c>
      <c r="R2698" t="s">
        <v>4357</v>
      </c>
      <c r="S2698" t="s">
        <v>948</v>
      </c>
      <c r="V2698" t="s">
        <v>3956</v>
      </c>
      <c r="Z2698">
        <v>10</v>
      </c>
      <c r="AA2698">
        <v>10</v>
      </c>
      <c r="AC2698">
        <v>450</v>
      </c>
      <c r="AD2698">
        <v>0</v>
      </c>
      <c r="AE2698">
        <v>1370</v>
      </c>
      <c r="AF2698">
        <v>0</v>
      </c>
      <c r="AJ2698" t="s">
        <v>2020</v>
      </c>
      <c r="AK2698" t="s">
        <v>4093</v>
      </c>
      <c r="AN2698">
        <v>96</v>
      </c>
      <c r="AO2698">
        <v>0.5</v>
      </c>
      <c r="AP2698">
        <v>95</v>
      </c>
      <c r="AQ2698">
        <v>0.8</v>
      </c>
      <c r="AW2698" s="28">
        <f t="shared" si="283"/>
        <v>-1.4990633779917226</v>
      </c>
      <c r="AX2698">
        <f t="shared" si="284"/>
        <v>0.95774647887323949</v>
      </c>
      <c r="AY2698" s="62">
        <f t="shared" si="285"/>
        <v>-1.4357226718793965</v>
      </c>
      <c r="AZ2698" s="68" t="str">
        <f t="shared" si="286"/>
        <v>No</v>
      </c>
      <c r="BA2698" s="68" t="str">
        <f t="shared" si="287"/>
        <v>No</v>
      </c>
    </row>
    <row r="2699" spans="1:53" hidden="1">
      <c r="A2699" t="s">
        <v>3914</v>
      </c>
      <c r="G2699" t="s">
        <v>4364</v>
      </c>
      <c r="P2699" t="s">
        <v>4596</v>
      </c>
      <c r="R2699" t="s">
        <v>4357</v>
      </c>
      <c r="S2699" t="s">
        <v>948</v>
      </c>
      <c r="V2699" t="s">
        <v>4628</v>
      </c>
      <c r="Z2699">
        <v>9</v>
      </c>
      <c r="AA2699">
        <v>9</v>
      </c>
      <c r="AC2699">
        <v>450</v>
      </c>
      <c r="AD2699">
        <v>0</v>
      </c>
      <c r="AE2699">
        <v>444</v>
      </c>
      <c r="AF2699">
        <v>3</v>
      </c>
      <c r="AJ2699" t="s">
        <v>4677</v>
      </c>
      <c r="AK2699" t="s">
        <v>4123</v>
      </c>
      <c r="AN2699">
        <v>97</v>
      </c>
      <c r="AO2699">
        <f>0.1*SQRT(9)</f>
        <v>0.30000000000000004</v>
      </c>
      <c r="AP2699">
        <v>98</v>
      </c>
      <c r="AQ2699">
        <f>0.3*SQRT(9)</f>
        <v>0.89999999999999991</v>
      </c>
      <c r="AW2699" s="28">
        <f t="shared" si="283"/>
        <v>1.4907119849998598</v>
      </c>
      <c r="AX2699">
        <f t="shared" si="284"/>
        <v>0.95238095238095233</v>
      </c>
      <c r="AY2699" s="62">
        <f t="shared" si="285"/>
        <v>1.4197256999998664</v>
      </c>
      <c r="AZ2699" s="68" t="str">
        <f t="shared" si="286"/>
        <v>No</v>
      </c>
      <c r="BA2699" s="68" t="str">
        <f t="shared" si="287"/>
        <v>No</v>
      </c>
    </row>
    <row r="2700" spans="1:53" hidden="1">
      <c r="A2700" t="s">
        <v>3914</v>
      </c>
      <c r="G2700" t="s">
        <v>4364</v>
      </c>
      <c r="P2700" t="s">
        <v>60</v>
      </c>
      <c r="R2700" t="s">
        <v>4357</v>
      </c>
      <c r="S2700" t="s">
        <v>948</v>
      </c>
      <c r="V2700" t="s">
        <v>3956</v>
      </c>
      <c r="Z2700">
        <v>8</v>
      </c>
      <c r="AA2700">
        <v>8</v>
      </c>
      <c r="AC2700">
        <v>450</v>
      </c>
      <c r="AD2700">
        <v>0</v>
      </c>
      <c r="AE2700">
        <v>1370</v>
      </c>
      <c r="AF2700">
        <v>0</v>
      </c>
      <c r="AJ2700" t="s">
        <v>4463</v>
      </c>
      <c r="AK2700" t="s">
        <v>4151</v>
      </c>
      <c r="AN2700">
        <v>99</v>
      </c>
      <c r="AO2700">
        <v>0.2</v>
      </c>
      <c r="AP2700">
        <v>96</v>
      </c>
      <c r="AQ2700">
        <v>1</v>
      </c>
      <c r="AW2700" s="28">
        <f t="shared" si="283"/>
        <v>-4.1602514716892181</v>
      </c>
      <c r="AX2700">
        <f t="shared" si="284"/>
        <v>0.94545454545454544</v>
      </c>
      <c r="AY2700" s="62">
        <f t="shared" si="285"/>
        <v>-3.9333286641425333</v>
      </c>
      <c r="AZ2700" s="68" t="str">
        <f t="shared" si="286"/>
        <v>No</v>
      </c>
      <c r="BA2700" s="68" t="str">
        <f t="shared" si="287"/>
        <v>No</v>
      </c>
    </row>
    <row r="2701" spans="1:53" hidden="1">
      <c r="A2701" t="s">
        <v>3914</v>
      </c>
      <c r="G2701" t="s">
        <v>4364</v>
      </c>
      <c r="P2701" t="s">
        <v>4596</v>
      </c>
      <c r="R2701" t="s">
        <v>4357</v>
      </c>
      <c r="S2701" t="s">
        <v>948</v>
      </c>
      <c r="V2701" t="s">
        <v>4625</v>
      </c>
      <c r="Z2701">
        <v>8</v>
      </c>
      <c r="AA2701">
        <v>8</v>
      </c>
      <c r="AC2701">
        <v>450</v>
      </c>
      <c r="AD2701">
        <v>0</v>
      </c>
      <c r="AE2701">
        <v>441.1</v>
      </c>
      <c r="AF2701">
        <v>1.5</v>
      </c>
      <c r="AJ2701" t="s">
        <v>4679</v>
      </c>
      <c r="AK2701" t="s">
        <v>4123</v>
      </c>
      <c r="AN2701">
        <v>98</v>
      </c>
      <c r="AO2701">
        <f>0.3*SQRT(8)</f>
        <v>0.84852813742385702</v>
      </c>
      <c r="AP2701">
        <v>97</v>
      </c>
      <c r="AQ2701">
        <f>0.5*SQRT(8)</f>
        <v>1.4142135623730951</v>
      </c>
      <c r="AW2701" s="28">
        <f t="shared" si="283"/>
        <v>-0.8574929257125441</v>
      </c>
      <c r="AX2701">
        <f t="shared" si="284"/>
        <v>0.94545454545454544</v>
      </c>
      <c r="AY2701" s="62">
        <f t="shared" si="285"/>
        <v>-0.81072058431004168</v>
      </c>
      <c r="AZ2701" s="68" t="str">
        <f t="shared" si="286"/>
        <v>No</v>
      </c>
      <c r="BA2701" s="68" t="str">
        <f t="shared" si="287"/>
        <v>No</v>
      </c>
    </row>
    <row r="2702" spans="1:53" ht="15" hidden="1">
      <c r="A2702" t="s">
        <v>3914</v>
      </c>
      <c r="G2702" t="s">
        <v>4364</v>
      </c>
      <c r="P2702" t="s">
        <v>4596</v>
      </c>
      <c r="R2702" t="s">
        <v>4357</v>
      </c>
      <c r="S2702" t="s">
        <v>948</v>
      </c>
      <c r="V2702" t="s">
        <v>4626</v>
      </c>
      <c r="Z2702">
        <v>8</v>
      </c>
      <c r="AA2702">
        <v>8</v>
      </c>
      <c r="AC2702">
        <v>450</v>
      </c>
      <c r="AD2702">
        <v>0</v>
      </c>
      <c r="AE2702">
        <v>925</v>
      </c>
      <c r="AF2702">
        <v>1.5</v>
      </c>
      <c r="AJ2702" t="s">
        <v>4463</v>
      </c>
      <c r="AK2702" t="s">
        <v>4123</v>
      </c>
      <c r="AN2702">
        <v>98</v>
      </c>
      <c r="AO2702">
        <f>0.3*SQRT(8)</f>
        <v>0.84852813742385702</v>
      </c>
      <c r="AP2702">
        <v>98</v>
      </c>
      <c r="AQ2702">
        <f>0.5*SQRT(8)</f>
        <v>1.4142135623730951</v>
      </c>
      <c r="AW2702" s="28">
        <f t="shared" ref="AW2702:AW2765" si="288">(AP2702-$AN2702)/SQRT(((AA2702-1)*AQ2702*AQ2702+($Z2702-1)*$AO2702*$AO2702)/(AA2702+$Z2702-2))</f>
        <v>0</v>
      </c>
      <c r="AX2702">
        <f t="shared" ref="AX2702:AX2765" si="289">1-(3/(4*(AA2702+$Z2702-2)-1))</f>
        <v>0.94545454545454544</v>
      </c>
      <c r="AY2702" s="73">
        <f t="shared" ref="AY2702:AY2765" si="290">AX2702*AW2702</f>
        <v>0</v>
      </c>
      <c r="AZ2702" s="74" t="str">
        <f t="shared" ref="AZ2702:AZ2765" si="291">IF(AY2702&gt;10,"Yes","No")</f>
        <v>No</v>
      </c>
      <c r="BA2702" s="74" t="str">
        <f t="shared" ref="BA2702:BA2765" si="292">IF(AY2702&lt;-10,"Yes","No")</f>
        <v>No</v>
      </c>
    </row>
    <row r="2703" spans="1:53" hidden="1">
      <c r="A2703" t="s">
        <v>3914</v>
      </c>
      <c r="G2703" t="s">
        <v>4364</v>
      </c>
      <c r="P2703" t="s">
        <v>4596</v>
      </c>
      <c r="R2703" t="s">
        <v>4357</v>
      </c>
      <c r="S2703" t="s">
        <v>948</v>
      </c>
      <c r="V2703" t="s">
        <v>4625</v>
      </c>
      <c r="Z2703">
        <v>9</v>
      </c>
      <c r="AA2703">
        <v>9</v>
      </c>
      <c r="AC2703">
        <v>450</v>
      </c>
      <c r="AD2703">
        <v>0</v>
      </c>
      <c r="AE2703">
        <v>441.1</v>
      </c>
      <c r="AF2703">
        <v>1.5</v>
      </c>
      <c r="AJ2703" t="s">
        <v>4678</v>
      </c>
      <c r="AK2703" t="s">
        <v>4123</v>
      </c>
      <c r="AN2703">
        <v>97</v>
      </c>
      <c r="AO2703">
        <f>0.1*SQRT(9)</f>
        <v>0.30000000000000004</v>
      </c>
      <c r="AP2703">
        <v>97</v>
      </c>
      <c r="AQ2703">
        <f>0.5*SQRT(9)</f>
        <v>1.5</v>
      </c>
      <c r="AW2703" s="28">
        <f t="shared" si="288"/>
        <v>0</v>
      </c>
      <c r="AX2703">
        <f t="shared" si="289"/>
        <v>0.95238095238095233</v>
      </c>
      <c r="AY2703" s="62">
        <f t="shared" si="290"/>
        <v>0</v>
      </c>
      <c r="AZ2703" s="68" t="str">
        <f t="shared" si="291"/>
        <v>No</v>
      </c>
      <c r="BA2703" s="68" t="str">
        <f t="shared" si="292"/>
        <v>No</v>
      </c>
    </row>
    <row r="2704" spans="1:53" hidden="1">
      <c r="A2704" t="s">
        <v>3914</v>
      </c>
      <c r="G2704" t="s">
        <v>4364</v>
      </c>
      <c r="P2704" t="s">
        <v>4596</v>
      </c>
      <c r="R2704" t="s">
        <v>4357</v>
      </c>
      <c r="S2704" t="s">
        <v>948</v>
      </c>
      <c r="V2704" t="s">
        <v>4628</v>
      </c>
      <c r="Z2704">
        <v>10</v>
      </c>
      <c r="AA2704">
        <v>10</v>
      </c>
      <c r="AC2704">
        <v>450</v>
      </c>
      <c r="AD2704">
        <v>0</v>
      </c>
      <c r="AE2704">
        <v>444</v>
      </c>
      <c r="AF2704">
        <v>3</v>
      </c>
      <c r="AJ2704" t="s">
        <v>2020</v>
      </c>
      <c r="AK2704" t="s">
        <v>4041</v>
      </c>
      <c r="AN2704">
        <v>96</v>
      </c>
      <c r="AO2704">
        <f>1*SQRT(10)</f>
        <v>3.1622776601683795</v>
      </c>
      <c r="AP2704">
        <v>97</v>
      </c>
      <c r="AQ2704">
        <f>0.5*SQRT(10)</f>
        <v>1.5811388300841898</v>
      </c>
      <c r="AW2704" s="28">
        <f t="shared" si="288"/>
        <v>0.4</v>
      </c>
      <c r="AX2704">
        <f t="shared" si="289"/>
        <v>0.95774647887323949</v>
      </c>
      <c r="AY2704" s="62">
        <f t="shared" si="290"/>
        <v>0.38309859154929582</v>
      </c>
      <c r="AZ2704" s="68" t="str">
        <f t="shared" si="291"/>
        <v>No</v>
      </c>
      <c r="BA2704" s="68" t="str">
        <f t="shared" si="292"/>
        <v>No</v>
      </c>
    </row>
    <row r="2705" spans="1:55" hidden="1">
      <c r="A2705" t="s">
        <v>3914</v>
      </c>
      <c r="G2705" t="s">
        <v>4364</v>
      </c>
      <c r="P2705" t="s">
        <v>4596</v>
      </c>
      <c r="R2705" t="s">
        <v>4357</v>
      </c>
      <c r="S2705" t="s">
        <v>948</v>
      </c>
      <c r="V2705" t="s">
        <v>4627</v>
      </c>
      <c r="Z2705">
        <v>8</v>
      </c>
      <c r="AA2705">
        <v>8</v>
      </c>
      <c r="AC2705">
        <v>450</v>
      </c>
      <c r="AD2705">
        <v>0</v>
      </c>
      <c r="AE2705">
        <v>1493.6</v>
      </c>
      <c r="AF2705">
        <v>1.5</v>
      </c>
      <c r="AJ2705" t="s">
        <v>4463</v>
      </c>
      <c r="AK2705" t="s">
        <v>4123</v>
      </c>
      <c r="AN2705">
        <v>98</v>
      </c>
      <c r="AO2705">
        <f>0.3*SQRT(8)</f>
        <v>0.84852813742385702</v>
      </c>
      <c r="AP2705">
        <v>97</v>
      </c>
      <c r="AQ2705">
        <f>1*SQRT(8)</f>
        <v>2.8284271247461903</v>
      </c>
      <c r="AW2705" s="28">
        <f t="shared" si="288"/>
        <v>-0.47891314261057566</v>
      </c>
      <c r="AX2705">
        <f t="shared" si="289"/>
        <v>0.94545454545454544</v>
      </c>
      <c r="AY2705" s="62">
        <f t="shared" si="290"/>
        <v>-0.45279060755908973</v>
      </c>
      <c r="AZ2705" s="68" t="str">
        <f t="shared" si="291"/>
        <v>No</v>
      </c>
      <c r="BA2705" s="68" t="str">
        <f t="shared" si="292"/>
        <v>No</v>
      </c>
    </row>
    <row r="2706" spans="1:55" hidden="1">
      <c r="A2706" t="s">
        <v>3914</v>
      </c>
      <c r="G2706" t="s">
        <v>4364</v>
      </c>
      <c r="P2706" t="s">
        <v>4596</v>
      </c>
      <c r="R2706" t="s">
        <v>4357</v>
      </c>
      <c r="S2706" t="s">
        <v>948</v>
      </c>
      <c r="V2706" t="s">
        <v>4626</v>
      </c>
      <c r="Z2706">
        <v>8</v>
      </c>
      <c r="AA2706">
        <v>8</v>
      </c>
      <c r="AC2706">
        <v>450</v>
      </c>
      <c r="AD2706">
        <v>0</v>
      </c>
      <c r="AE2706">
        <v>933</v>
      </c>
      <c r="AF2706">
        <v>3</v>
      </c>
      <c r="AJ2706" t="s">
        <v>4463</v>
      </c>
      <c r="AK2706" t="s">
        <v>4123</v>
      </c>
      <c r="AN2706">
        <v>98</v>
      </c>
      <c r="AO2706">
        <f>0.3*SQRT(8)</f>
        <v>0.84852813742385702</v>
      </c>
      <c r="AP2706">
        <v>87</v>
      </c>
      <c r="AQ2706">
        <f>1.5*SQRT(8)</f>
        <v>4.2426406871192857</v>
      </c>
      <c r="AW2706" s="28">
        <f t="shared" si="288"/>
        <v>-3.5954624775333732</v>
      </c>
      <c r="AX2706">
        <f t="shared" si="289"/>
        <v>0.94545454545454544</v>
      </c>
      <c r="AY2706" s="62">
        <f t="shared" si="290"/>
        <v>-3.3993463423951891</v>
      </c>
      <c r="AZ2706" s="68" t="str">
        <f t="shared" si="291"/>
        <v>No</v>
      </c>
      <c r="BA2706" s="68" t="str">
        <f t="shared" si="292"/>
        <v>No</v>
      </c>
    </row>
    <row r="2707" spans="1:55" hidden="1">
      <c r="A2707" t="s">
        <v>3914</v>
      </c>
      <c r="G2707" t="s">
        <v>4364</v>
      </c>
      <c r="P2707" t="s">
        <v>4596</v>
      </c>
      <c r="R2707" t="s">
        <v>4357</v>
      </c>
      <c r="S2707" t="s">
        <v>948</v>
      </c>
      <c r="V2707" t="s">
        <v>4627</v>
      </c>
      <c r="Z2707">
        <v>8</v>
      </c>
      <c r="AA2707">
        <v>8</v>
      </c>
      <c r="AC2707">
        <v>450</v>
      </c>
      <c r="AD2707">
        <v>0</v>
      </c>
      <c r="AE2707">
        <v>1509</v>
      </c>
      <c r="AF2707">
        <v>3</v>
      </c>
      <c r="AJ2707" t="s">
        <v>4463</v>
      </c>
      <c r="AK2707" t="s">
        <v>4123</v>
      </c>
      <c r="AN2707">
        <v>98</v>
      </c>
      <c r="AO2707">
        <f>0.3*SQRT(8)</f>
        <v>0.84852813742385702</v>
      </c>
      <c r="AP2707">
        <v>87</v>
      </c>
      <c r="AQ2707">
        <f>1.5*SQRT(8)</f>
        <v>4.2426406871192857</v>
      </c>
      <c r="AW2707" s="28">
        <f t="shared" si="288"/>
        <v>-3.5954624775333732</v>
      </c>
      <c r="AX2707">
        <f t="shared" si="289"/>
        <v>0.94545454545454544</v>
      </c>
      <c r="AY2707" s="62">
        <f t="shared" si="290"/>
        <v>-3.3993463423951891</v>
      </c>
      <c r="AZ2707" s="68" t="str">
        <f t="shared" si="291"/>
        <v>No</v>
      </c>
      <c r="BA2707" s="68" t="str">
        <f t="shared" si="292"/>
        <v>No</v>
      </c>
    </row>
    <row r="2708" spans="1:55" hidden="1">
      <c r="A2708" t="s">
        <v>3914</v>
      </c>
      <c r="G2708" t="s">
        <v>4364</v>
      </c>
      <c r="P2708" t="s">
        <v>4596</v>
      </c>
      <c r="R2708" t="s">
        <v>4357</v>
      </c>
      <c r="S2708" t="s">
        <v>948</v>
      </c>
      <c r="V2708" t="s">
        <v>4626</v>
      </c>
      <c r="Z2708">
        <v>9</v>
      </c>
      <c r="AA2708">
        <v>9</v>
      </c>
      <c r="AC2708">
        <v>450</v>
      </c>
      <c r="AD2708">
        <v>0</v>
      </c>
      <c r="AE2708">
        <v>925</v>
      </c>
      <c r="AF2708">
        <v>1.5</v>
      </c>
      <c r="AJ2708" t="s">
        <v>4677</v>
      </c>
      <c r="AK2708" t="s">
        <v>4123</v>
      </c>
      <c r="AN2708">
        <v>97</v>
      </c>
      <c r="AO2708">
        <f>0.1*SQRT(9)</f>
        <v>0.30000000000000004</v>
      </c>
      <c r="AP2708">
        <v>94</v>
      </c>
      <c r="AQ2708">
        <f>1.5*SQRT(9)</f>
        <v>4.5</v>
      </c>
      <c r="AW2708" s="28">
        <f t="shared" si="288"/>
        <v>-0.94072086838359725</v>
      </c>
      <c r="AX2708">
        <f t="shared" si="289"/>
        <v>0.95238095238095233</v>
      </c>
      <c r="AY2708" s="62">
        <f t="shared" si="290"/>
        <v>-0.8959246365558069</v>
      </c>
      <c r="AZ2708" s="68" t="str">
        <f t="shared" si="291"/>
        <v>No</v>
      </c>
      <c r="BA2708" s="68" t="str">
        <f t="shared" si="292"/>
        <v>No</v>
      </c>
    </row>
    <row r="2709" spans="1:55" hidden="1">
      <c r="A2709" t="s">
        <v>3914</v>
      </c>
      <c r="G2709" t="s">
        <v>4364</v>
      </c>
      <c r="P2709" t="s">
        <v>4596</v>
      </c>
      <c r="R2709" t="s">
        <v>4357</v>
      </c>
      <c r="S2709" t="s">
        <v>948</v>
      </c>
      <c r="V2709" t="s">
        <v>4626</v>
      </c>
      <c r="Z2709">
        <v>9</v>
      </c>
      <c r="AA2709">
        <v>9</v>
      </c>
      <c r="AC2709">
        <v>450</v>
      </c>
      <c r="AD2709">
        <v>0</v>
      </c>
      <c r="AE2709">
        <v>933</v>
      </c>
      <c r="AF2709">
        <v>3</v>
      </c>
      <c r="AJ2709" t="s">
        <v>4677</v>
      </c>
      <c r="AK2709" t="s">
        <v>4123</v>
      </c>
      <c r="AN2709">
        <v>97</v>
      </c>
      <c r="AO2709">
        <f>0.1*SQRT(9)</f>
        <v>0.30000000000000004</v>
      </c>
      <c r="AP2709">
        <v>94.5</v>
      </c>
      <c r="AQ2709">
        <f>1.5*SQRT(9)</f>
        <v>4.5</v>
      </c>
      <c r="AW2709" s="28">
        <f t="shared" si="288"/>
        <v>-0.78393405698633101</v>
      </c>
      <c r="AX2709">
        <f t="shared" si="289"/>
        <v>0.95238095238095233</v>
      </c>
      <c r="AY2709" s="62">
        <f t="shared" si="290"/>
        <v>-0.74660386379650567</v>
      </c>
      <c r="AZ2709" s="68" t="str">
        <f t="shared" si="291"/>
        <v>No</v>
      </c>
      <c r="BA2709" s="68" t="str">
        <f t="shared" si="292"/>
        <v>No</v>
      </c>
    </row>
    <row r="2710" spans="1:55" hidden="1">
      <c r="A2710" t="s">
        <v>3914</v>
      </c>
      <c r="G2710" t="s">
        <v>4364</v>
      </c>
      <c r="P2710" t="s">
        <v>4596</v>
      </c>
      <c r="R2710" t="s">
        <v>4357</v>
      </c>
      <c r="S2710" t="s">
        <v>948</v>
      </c>
      <c r="V2710" t="s">
        <v>4626</v>
      </c>
      <c r="Z2710">
        <v>10</v>
      </c>
      <c r="AA2710">
        <v>10</v>
      </c>
      <c r="AC2710">
        <v>450</v>
      </c>
      <c r="AD2710">
        <v>0</v>
      </c>
      <c r="AE2710">
        <v>933</v>
      </c>
      <c r="AF2710">
        <v>3</v>
      </c>
      <c r="AJ2710" t="s">
        <v>2020</v>
      </c>
      <c r="AK2710" t="s">
        <v>4041</v>
      </c>
      <c r="AN2710">
        <v>96</v>
      </c>
      <c r="AO2710">
        <f>1*SQRT(10)</f>
        <v>3.1622776601683795</v>
      </c>
      <c r="AP2710">
        <v>95</v>
      </c>
      <c r="AQ2710">
        <f>1.5*SQRT(10)</f>
        <v>4.7434164902525691</v>
      </c>
      <c r="AW2710" s="28">
        <f t="shared" si="288"/>
        <v>-0.24806946917841693</v>
      </c>
      <c r="AX2710">
        <f t="shared" si="289"/>
        <v>0.95774647887323949</v>
      </c>
      <c r="AY2710" s="62">
        <f t="shared" si="290"/>
        <v>-0.23758766062158243</v>
      </c>
      <c r="AZ2710" s="68" t="str">
        <f t="shared" si="291"/>
        <v>No</v>
      </c>
      <c r="BA2710" s="68" t="str">
        <f t="shared" si="292"/>
        <v>No</v>
      </c>
    </row>
    <row r="2711" spans="1:55" s="56" customFormat="1" ht="15" hidden="1">
      <c r="A2711" t="s">
        <v>3914</v>
      </c>
      <c r="B2711"/>
      <c r="C2711"/>
      <c r="D2711" s="25"/>
      <c r="E2711" s="25"/>
      <c r="F2711"/>
      <c r="G2711" t="s">
        <v>4364</v>
      </c>
      <c r="H2711"/>
      <c r="I2711"/>
      <c r="J2711"/>
      <c r="K2711"/>
      <c r="L2711"/>
      <c r="M2711" s="25"/>
      <c r="N2711"/>
      <c r="O2711"/>
      <c r="P2711" t="s">
        <v>4596</v>
      </c>
      <c r="Q2711"/>
      <c r="R2711" t="s">
        <v>4357</v>
      </c>
      <c r="S2711" t="s">
        <v>948</v>
      </c>
      <c r="T2711"/>
      <c r="U2711"/>
      <c r="V2711" t="s">
        <v>4628</v>
      </c>
      <c r="W2711" s="25"/>
      <c r="X2711"/>
      <c r="Y2711"/>
      <c r="Z2711">
        <v>8</v>
      </c>
      <c r="AA2711">
        <v>8</v>
      </c>
      <c r="AB2711"/>
      <c r="AC2711">
        <v>450</v>
      </c>
      <c r="AD2711">
        <v>0</v>
      </c>
      <c r="AE2711">
        <v>444</v>
      </c>
      <c r="AF2711">
        <v>3</v>
      </c>
      <c r="AG2711"/>
      <c r="AH2711"/>
      <c r="AI2711"/>
      <c r="AJ2711" t="s">
        <v>4463</v>
      </c>
      <c r="AK2711" t="s">
        <v>4123</v>
      </c>
      <c r="AL2711" s="25"/>
      <c r="AM2711" s="35"/>
      <c r="AN2711">
        <v>98</v>
      </c>
      <c r="AO2711">
        <f>0.3*SQRT(8)</f>
        <v>0.84852813742385702</v>
      </c>
      <c r="AP2711">
        <v>88</v>
      </c>
      <c r="AQ2711">
        <f>2*SQRT(8)</f>
        <v>5.6568542494923806</v>
      </c>
      <c r="AR2711"/>
      <c r="AS2711"/>
      <c r="AT2711"/>
      <c r="AU2711"/>
      <c r="AV2711"/>
      <c r="AW2711" s="28">
        <f t="shared" si="288"/>
        <v>-2.4723408821707435</v>
      </c>
      <c r="AX2711">
        <f t="shared" si="289"/>
        <v>0.94545454545454544</v>
      </c>
      <c r="AY2711" s="62">
        <f t="shared" si="290"/>
        <v>-2.3374859249614302</v>
      </c>
      <c r="AZ2711" s="68" t="str">
        <f t="shared" si="291"/>
        <v>No</v>
      </c>
      <c r="BA2711" s="68" t="str">
        <f t="shared" si="292"/>
        <v>No</v>
      </c>
      <c r="BB2711"/>
      <c r="BC2711"/>
    </row>
    <row r="2712" spans="1:55" ht="15" hidden="1">
      <c r="A2712" t="s">
        <v>3914</v>
      </c>
      <c r="G2712" t="s">
        <v>4364</v>
      </c>
      <c r="P2712" t="s">
        <v>4596</v>
      </c>
      <c r="R2712" t="s">
        <v>4357</v>
      </c>
      <c r="S2712" t="s">
        <v>948</v>
      </c>
      <c r="V2712" t="s">
        <v>4627</v>
      </c>
      <c r="Z2712">
        <v>9</v>
      </c>
      <c r="AA2712">
        <v>9</v>
      </c>
      <c r="AC2712">
        <v>450</v>
      </c>
      <c r="AD2712">
        <v>0</v>
      </c>
      <c r="AE2712">
        <v>1493.6</v>
      </c>
      <c r="AF2712">
        <v>1.5</v>
      </c>
      <c r="AJ2712" t="s">
        <v>4677</v>
      </c>
      <c r="AK2712" t="s">
        <v>4123</v>
      </c>
      <c r="AN2712">
        <v>97</v>
      </c>
      <c r="AO2712">
        <f>0.1*SQRT(9)</f>
        <v>0.30000000000000004</v>
      </c>
      <c r="AP2712">
        <v>90</v>
      </c>
      <c r="AQ2712">
        <f>2*SQRT(9)</f>
        <v>6</v>
      </c>
      <c r="AW2712" s="28">
        <f t="shared" si="288"/>
        <v>-1.6478572869417134</v>
      </c>
      <c r="AX2712">
        <f t="shared" si="289"/>
        <v>0.95238095238095233</v>
      </c>
      <c r="AY2712" s="73">
        <f t="shared" si="290"/>
        <v>-1.5693878923254412</v>
      </c>
      <c r="AZ2712" s="74" t="str">
        <f t="shared" si="291"/>
        <v>No</v>
      </c>
      <c r="BA2712" s="74" t="str">
        <f t="shared" si="292"/>
        <v>No</v>
      </c>
      <c r="BB2712" s="56"/>
      <c r="BC2712" s="56"/>
    </row>
    <row r="2713" spans="1:55" ht="15" hidden="1">
      <c r="A2713" t="s">
        <v>3914</v>
      </c>
      <c r="G2713" t="s">
        <v>4364</v>
      </c>
      <c r="P2713" t="s">
        <v>4596</v>
      </c>
      <c r="R2713" t="s">
        <v>4357</v>
      </c>
      <c r="S2713" t="s">
        <v>948</v>
      </c>
      <c r="V2713" t="s">
        <v>4627</v>
      </c>
      <c r="Z2713">
        <v>9</v>
      </c>
      <c r="AA2713">
        <v>9</v>
      </c>
      <c r="AC2713">
        <v>450</v>
      </c>
      <c r="AD2713">
        <v>0</v>
      </c>
      <c r="AE2713">
        <v>1509</v>
      </c>
      <c r="AF2713">
        <v>3</v>
      </c>
      <c r="AJ2713" t="s">
        <v>4677</v>
      </c>
      <c r="AK2713" t="s">
        <v>4123</v>
      </c>
      <c r="AN2713">
        <v>97</v>
      </c>
      <c r="AO2713">
        <f>0.1*SQRT(9)</f>
        <v>0.30000000000000004</v>
      </c>
      <c r="AP2713">
        <v>90.5</v>
      </c>
      <c r="AQ2713">
        <f>2*SQRT(9)</f>
        <v>6</v>
      </c>
      <c r="AW2713" s="28">
        <f t="shared" si="288"/>
        <v>-1.5301531950173053</v>
      </c>
      <c r="AX2713">
        <f t="shared" si="289"/>
        <v>0.95238095238095233</v>
      </c>
      <c r="AY2713" s="73">
        <f t="shared" si="290"/>
        <v>-1.4572887571593383</v>
      </c>
      <c r="AZ2713" s="74" t="str">
        <f t="shared" si="291"/>
        <v>No</v>
      </c>
      <c r="BA2713" s="74" t="str">
        <f t="shared" si="292"/>
        <v>No</v>
      </c>
      <c r="BB2713" s="56"/>
      <c r="BC2713" s="56"/>
    </row>
    <row r="2714" spans="1:55" hidden="1">
      <c r="A2714" t="s">
        <v>3914</v>
      </c>
      <c r="G2714" t="s">
        <v>4364</v>
      </c>
      <c r="P2714" t="s">
        <v>4596</v>
      </c>
      <c r="R2714" t="s">
        <v>4357</v>
      </c>
      <c r="S2714" t="s">
        <v>948</v>
      </c>
      <c r="V2714" t="s">
        <v>4627</v>
      </c>
      <c r="Z2714">
        <v>10</v>
      </c>
      <c r="AA2714">
        <v>10</v>
      </c>
      <c r="AC2714">
        <v>450</v>
      </c>
      <c r="AD2714">
        <v>0</v>
      </c>
      <c r="AE2714">
        <v>1493.6</v>
      </c>
      <c r="AF2714">
        <v>1.5</v>
      </c>
      <c r="AJ2714" t="s">
        <v>2020</v>
      </c>
      <c r="AK2714" t="s">
        <v>4041</v>
      </c>
      <c r="AN2714">
        <v>96</v>
      </c>
      <c r="AO2714">
        <f>1*SQRT(10)</f>
        <v>3.1622776601683795</v>
      </c>
      <c r="AP2714">
        <v>88</v>
      </c>
      <c r="AQ2714">
        <f>2*SQRT(10)</f>
        <v>6.324555320336759</v>
      </c>
      <c r="AW2714" s="28">
        <f t="shared" si="288"/>
        <v>-1.6</v>
      </c>
      <c r="AX2714">
        <f t="shared" si="289"/>
        <v>0.95774647887323949</v>
      </c>
      <c r="AY2714" s="62">
        <f t="shared" si="290"/>
        <v>-1.5323943661971833</v>
      </c>
      <c r="AZ2714" s="68" t="str">
        <f t="shared" si="291"/>
        <v>No</v>
      </c>
      <c r="BA2714" s="68" t="str">
        <f t="shared" si="292"/>
        <v>No</v>
      </c>
    </row>
    <row r="2715" spans="1:55" hidden="1">
      <c r="A2715" t="s">
        <v>3914</v>
      </c>
      <c r="G2715" t="s">
        <v>4364</v>
      </c>
      <c r="P2715" t="s">
        <v>4596</v>
      </c>
      <c r="R2715" t="s">
        <v>4357</v>
      </c>
      <c r="S2715" t="s">
        <v>948</v>
      </c>
      <c r="V2715" t="s">
        <v>4627</v>
      </c>
      <c r="Z2715">
        <v>10</v>
      </c>
      <c r="AA2715">
        <v>10</v>
      </c>
      <c r="AC2715">
        <v>450</v>
      </c>
      <c r="AD2715">
        <v>0</v>
      </c>
      <c r="AE2715">
        <v>1509</v>
      </c>
      <c r="AF2715">
        <v>3</v>
      </c>
      <c r="AJ2715" t="s">
        <v>2020</v>
      </c>
      <c r="AK2715" t="s">
        <v>4041</v>
      </c>
      <c r="AN2715">
        <v>96</v>
      </c>
      <c r="AO2715">
        <f>1*SQRT(10)</f>
        <v>3.1622776601683795</v>
      </c>
      <c r="AP2715">
        <v>86</v>
      </c>
      <c r="AQ2715">
        <f>4*SQRT(10)</f>
        <v>12.649110640673518</v>
      </c>
      <c r="AW2715" s="28">
        <f t="shared" si="288"/>
        <v>-1.0846522890932808</v>
      </c>
      <c r="AX2715">
        <f t="shared" si="289"/>
        <v>0.95774647887323949</v>
      </c>
      <c r="AY2715" s="62">
        <f t="shared" si="290"/>
        <v>-1.0388219106808887</v>
      </c>
      <c r="AZ2715" s="68" t="str">
        <f t="shared" si="291"/>
        <v>No</v>
      </c>
      <c r="BA2715" s="68" t="str">
        <f t="shared" si="292"/>
        <v>No</v>
      </c>
    </row>
    <row r="2716" spans="1:55" hidden="1">
      <c r="A2716" t="s">
        <v>3914</v>
      </c>
      <c r="G2716" t="s">
        <v>4318</v>
      </c>
      <c r="P2716" t="s">
        <v>60</v>
      </c>
      <c r="R2716" t="s">
        <v>4286</v>
      </c>
      <c r="S2716" t="s">
        <v>4325</v>
      </c>
      <c r="V2716" t="s">
        <v>3956</v>
      </c>
      <c r="Z2716">
        <v>3</v>
      </c>
      <c r="AA2716">
        <v>3</v>
      </c>
      <c r="AC2716">
        <v>404.1</v>
      </c>
      <c r="AD2716">
        <v>12</v>
      </c>
      <c r="AE2716">
        <v>1065.7</v>
      </c>
      <c r="AF2716">
        <v>12</v>
      </c>
      <c r="AJ2716" t="s">
        <v>4059</v>
      </c>
      <c r="AK2716" t="s">
        <v>4093</v>
      </c>
      <c r="AN2716">
        <v>64</v>
      </c>
      <c r="AO2716">
        <v>30.375</v>
      </c>
      <c r="AP2716">
        <v>53</v>
      </c>
      <c r="AQ2716">
        <v>16.875</v>
      </c>
      <c r="AW2716" s="28">
        <f t="shared" si="288"/>
        <v>-0.44769368990683828</v>
      </c>
      <c r="AX2716">
        <f t="shared" si="289"/>
        <v>0.8</v>
      </c>
      <c r="AY2716" s="78">
        <f t="shared" si="290"/>
        <v>-0.35815495192547064</v>
      </c>
      <c r="AZ2716" s="79" t="str">
        <f t="shared" si="291"/>
        <v>No</v>
      </c>
      <c r="BA2716" s="79" t="str">
        <f t="shared" si="292"/>
        <v>No</v>
      </c>
      <c r="BB2716" s="77"/>
      <c r="BC2716" s="77"/>
    </row>
    <row r="2717" spans="1:55" hidden="1">
      <c r="A2717" t="s">
        <v>3914</v>
      </c>
      <c r="G2717" t="s">
        <v>5035</v>
      </c>
      <c r="P2717" t="s">
        <v>60</v>
      </c>
      <c r="R2717" t="s">
        <v>4357</v>
      </c>
      <c r="S2717" t="s">
        <v>4401</v>
      </c>
      <c r="V2717" t="s">
        <v>3956</v>
      </c>
      <c r="Z2717">
        <v>3</v>
      </c>
      <c r="AA2717">
        <v>3</v>
      </c>
      <c r="AC2717">
        <v>484.7</v>
      </c>
      <c r="AD2717">
        <v>14</v>
      </c>
      <c r="AE2717">
        <v>707.1</v>
      </c>
      <c r="AF2717">
        <v>14</v>
      </c>
      <c r="AJ2717" t="s">
        <v>4059</v>
      </c>
      <c r="AK2717" t="s">
        <v>4093</v>
      </c>
      <c r="AN2717">
        <v>57</v>
      </c>
      <c r="AO2717">
        <v>6.9282032302755088</v>
      </c>
      <c r="AP2717">
        <v>60</v>
      </c>
      <c r="AQ2717">
        <v>8.6602540378443855</v>
      </c>
      <c r="AW2717" s="28">
        <f t="shared" si="288"/>
        <v>0.38254602783800301</v>
      </c>
      <c r="AX2717">
        <f t="shared" si="289"/>
        <v>0.8</v>
      </c>
      <c r="AY2717" s="62">
        <f t="shared" si="290"/>
        <v>0.30603682227040241</v>
      </c>
      <c r="AZ2717" s="68" t="str">
        <f t="shared" si="291"/>
        <v>No</v>
      </c>
      <c r="BA2717" s="68" t="str">
        <f t="shared" si="292"/>
        <v>No</v>
      </c>
    </row>
    <row r="2718" spans="1:55" hidden="1">
      <c r="A2718" t="s">
        <v>3914</v>
      </c>
      <c r="G2718" t="s">
        <v>4397</v>
      </c>
      <c r="P2718" t="s">
        <v>60</v>
      </c>
      <c r="R2718" t="s">
        <v>4357</v>
      </c>
      <c r="S2718" t="s">
        <v>4401</v>
      </c>
      <c r="V2718" t="s">
        <v>3956</v>
      </c>
      <c r="Z2718">
        <v>3</v>
      </c>
      <c r="AA2718">
        <v>3</v>
      </c>
      <c r="AC2718">
        <v>484.7</v>
      </c>
      <c r="AD2718">
        <v>41</v>
      </c>
      <c r="AE2718">
        <v>1491.3</v>
      </c>
      <c r="AF2718">
        <v>14</v>
      </c>
      <c r="AJ2718" t="s">
        <v>4059</v>
      </c>
      <c r="AK2718" t="s">
        <v>4093</v>
      </c>
      <c r="AN2718">
        <v>57</v>
      </c>
      <c r="AO2718">
        <v>6.9282032302755088</v>
      </c>
      <c r="AP2718">
        <v>55</v>
      </c>
      <c r="AQ2718">
        <v>8.6602540378443855</v>
      </c>
      <c r="AW2718" s="28">
        <f t="shared" si="288"/>
        <v>-0.25503068522533534</v>
      </c>
      <c r="AX2718">
        <f t="shared" si="289"/>
        <v>0.8</v>
      </c>
      <c r="AY2718" s="62">
        <f t="shared" si="290"/>
        <v>-0.20402454818026827</v>
      </c>
      <c r="AZ2718" s="68" t="str">
        <f t="shared" si="291"/>
        <v>No</v>
      </c>
      <c r="BA2718" s="68" t="str">
        <f t="shared" si="292"/>
        <v>No</v>
      </c>
    </row>
    <row r="2719" spans="1:55" hidden="1">
      <c r="A2719" t="s">
        <v>3914</v>
      </c>
      <c r="G2719" t="s">
        <v>4207</v>
      </c>
      <c r="P2719" t="s">
        <v>60</v>
      </c>
      <c r="R2719" t="s">
        <v>4116</v>
      </c>
      <c r="S2719" t="s">
        <v>4215</v>
      </c>
      <c r="V2719" t="s">
        <v>3956</v>
      </c>
      <c r="Z2719">
        <v>5</v>
      </c>
      <c r="AA2719">
        <v>5</v>
      </c>
      <c r="AC2719">
        <v>263.97000000000003</v>
      </c>
      <c r="AD2719">
        <v>25</v>
      </c>
      <c r="AE2719">
        <v>1864.46</v>
      </c>
      <c r="AF2719">
        <v>25</v>
      </c>
      <c r="AJ2719" t="s">
        <v>4228</v>
      </c>
      <c r="AK2719" t="s">
        <v>4244</v>
      </c>
      <c r="AN2719">
        <v>101</v>
      </c>
      <c r="AO2719">
        <v>1</v>
      </c>
      <c r="AP2719">
        <v>97.5</v>
      </c>
      <c r="AQ2719">
        <v>1</v>
      </c>
      <c r="AW2719" s="28">
        <f t="shared" si="288"/>
        <v>-3.5</v>
      </c>
      <c r="AX2719">
        <f t="shared" si="289"/>
        <v>0.90322580645161288</v>
      </c>
      <c r="AY2719" s="62">
        <f t="shared" si="290"/>
        <v>-3.161290322580645</v>
      </c>
      <c r="AZ2719" s="68" t="str">
        <f t="shared" si="291"/>
        <v>No</v>
      </c>
      <c r="BA2719" s="68" t="str">
        <f t="shared" si="292"/>
        <v>No</v>
      </c>
    </row>
    <row r="2720" spans="1:55" hidden="1">
      <c r="A2720" t="s">
        <v>3914</v>
      </c>
      <c r="G2720" s="50" t="s">
        <v>4207</v>
      </c>
      <c r="P2720" t="s">
        <v>60</v>
      </c>
      <c r="R2720" t="s">
        <v>4116</v>
      </c>
      <c r="S2720" s="50" t="s">
        <v>4215</v>
      </c>
      <c r="V2720" t="s">
        <v>3956</v>
      </c>
      <c r="Z2720">
        <v>5</v>
      </c>
      <c r="AA2720">
        <v>5</v>
      </c>
      <c r="AC2720">
        <v>263.97000000000003</v>
      </c>
      <c r="AD2720">
        <v>25</v>
      </c>
      <c r="AE2720">
        <v>1864.46</v>
      </c>
      <c r="AF2720">
        <v>25</v>
      </c>
      <c r="AJ2720" s="50" t="s">
        <v>4256</v>
      </c>
      <c r="AK2720" t="s">
        <v>4258</v>
      </c>
      <c r="AN2720">
        <v>57.25</v>
      </c>
      <c r="AO2720">
        <v>3.13</v>
      </c>
      <c r="AP2720">
        <v>37.67</v>
      </c>
      <c r="AQ2720">
        <v>5.35</v>
      </c>
      <c r="AW2720" s="28">
        <f t="shared" si="288"/>
        <v>-4.467374863301516</v>
      </c>
      <c r="AX2720">
        <f t="shared" si="289"/>
        <v>0.90322580645161288</v>
      </c>
      <c r="AY2720" s="62">
        <f t="shared" si="290"/>
        <v>-4.0350482636271758</v>
      </c>
      <c r="AZ2720" s="68" t="str">
        <f t="shared" si="291"/>
        <v>No</v>
      </c>
      <c r="BA2720" s="68" t="str">
        <f t="shared" si="292"/>
        <v>No</v>
      </c>
    </row>
    <row r="2721" spans="1:55" hidden="1">
      <c r="A2721" t="s">
        <v>3914</v>
      </c>
      <c r="G2721" t="s">
        <v>4900</v>
      </c>
      <c r="P2721" t="s">
        <v>4596</v>
      </c>
      <c r="R2721" t="s">
        <v>4888</v>
      </c>
      <c r="S2721" t="s">
        <v>1752</v>
      </c>
      <c r="V2721" t="s">
        <v>4598</v>
      </c>
      <c r="Z2721">
        <v>24</v>
      </c>
      <c r="AA2721">
        <v>24</v>
      </c>
      <c r="AC2721">
        <v>527</v>
      </c>
      <c r="AD2721" s="54">
        <v>18</v>
      </c>
      <c r="AE2721">
        <v>486</v>
      </c>
      <c r="AF2721" s="54">
        <v>22</v>
      </c>
      <c r="AJ2721" t="s">
        <v>4903</v>
      </c>
      <c r="AK2721" t="s">
        <v>4906</v>
      </c>
      <c r="AN2721">
        <v>1.4</v>
      </c>
      <c r="AO2721">
        <v>0.2</v>
      </c>
      <c r="AP2721">
        <v>1.85</v>
      </c>
      <c r="AQ2721">
        <v>0.1</v>
      </c>
      <c r="AW2721" s="28">
        <f t="shared" si="288"/>
        <v>2.8460498941515424</v>
      </c>
      <c r="AX2721">
        <f t="shared" si="289"/>
        <v>0.98360655737704916</v>
      </c>
      <c r="AY2721" s="62">
        <f t="shared" si="290"/>
        <v>2.7993933385097138</v>
      </c>
      <c r="AZ2721" s="68" t="str">
        <f t="shared" si="291"/>
        <v>No</v>
      </c>
      <c r="BA2721" s="68" t="str">
        <f t="shared" si="292"/>
        <v>No</v>
      </c>
    </row>
    <row r="2722" spans="1:55" s="56" customFormat="1" ht="15" hidden="1">
      <c r="A2722" t="s">
        <v>3914</v>
      </c>
      <c r="B2722"/>
      <c r="C2722"/>
      <c r="D2722" s="25"/>
      <c r="E2722" s="25"/>
      <c r="F2722"/>
      <c r="G2722" t="s">
        <v>4900</v>
      </c>
      <c r="H2722"/>
      <c r="I2722"/>
      <c r="J2722"/>
      <c r="K2722"/>
      <c r="L2722"/>
      <c r="M2722" s="25"/>
      <c r="N2722"/>
      <c r="O2722"/>
      <c r="P2722" t="s">
        <v>4596</v>
      </c>
      <c r="Q2722"/>
      <c r="R2722" t="s">
        <v>4888</v>
      </c>
      <c r="S2722" t="s">
        <v>1752</v>
      </c>
      <c r="T2722"/>
      <c r="U2722"/>
      <c r="V2722" t="s">
        <v>4600</v>
      </c>
      <c r="W2722" s="25"/>
      <c r="X2722"/>
      <c r="Y2722"/>
      <c r="Z2722">
        <v>24</v>
      </c>
      <c r="AA2722">
        <v>24</v>
      </c>
      <c r="AB2722"/>
      <c r="AC2722">
        <v>527</v>
      </c>
      <c r="AD2722" s="54">
        <v>18</v>
      </c>
      <c r="AE2722">
        <v>1196</v>
      </c>
      <c r="AF2722" s="54">
        <v>22</v>
      </c>
      <c r="AG2722"/>
      <c r="AH2722"/>
      <c r="AI2722"/>
      <c r="AJ2722" t="s">
        <v>4904</v>
      </c>
      <c r="AK2722" t="s">
        <v>4906</v>
      </c>
      <c r="AL2722" s="25"/>
      <c r="AM2722" s="35"/>
      <c r="AN2722">
        <v>1.4</v>
      </c>
      <c r="AO2722">
        <v>0.2</v>
      </c>
      <c r="AP2722">
        <v>1.35</v>
      </c>
      <c r="AQ2722">
        <v>0.15</v>
      </c>
      <c r="AR2722"/>
      <c r="AS2722"/>
      <c r="AT2722"/>
      <c r="AU2722"/>
      <c r="AV2722"/>
      <c r="AW2722" s="28">
        <f t="shared" si="288"/>
        <v>-0.28284271247461801</v>
      </c>
      <c r="AX2722">
        <f t="shared" si="289"/>
        <v>0.98360655737704916</v>
      </c>
      <c r="AY2722" s="62">
        <f t="shared" si="290"/>
        <v>-0.27820594669634557</v>
      </c>
      <c r="AZ2722" s="68" t="str">
        <f t="shared" si="291"/>
        <v>No</v>
      </c>
      <c r="BA2722" s="68" t="str">
        <f t="shared" si="292"/>
        <v>No</v>
      </c>
      <c r="BB2722"/>
      <c r="BC2722"/>
    </row>
    <row r="2723" spans="1:55" hidden="1">
      <c r="A2723" t="s">
        <v>3914</v>
      </c>
      <c r="G2723" t="s">
        <v>4900</v>
      </c>
      <c r="P2723" t="s">
        <v>4596</v>
      </c>
      <c r="R2723" t="s">
        <v>4888</v>
      </c>
      <c r="S2723" t="s">
        <v>1752</v>
      </c>
      <c r="V2723" t="s">
        <v>4598</v>
      </c>
      <c r="Z2723">
        <v>4</v>
      </c>
      <c r="AA2723">
        <v>4</v>
      </c>
      <c r="AC2723">
        <v>527</v>
      </c>
      <c r="AD2723" s="54">
        <v>18</v>
      </c>
      <c r="AE2723">
        <v>486</v>
      </c>
      <c r="AF2723" s="54">
        <v>22</v>
      </c>
      <c r="AJ2723" t="s">
        <v>4905</v>
      </c>
      <c r="AK2723" t="s">
        <v>4848</v>
      </c>
      <c r="AN2723">
        <v>77.5</v>
      </c>
      <c r="AO2723" s="63" t="s">
        <v>4970</v>
      </c>
      <c r="AP2723">
        <v>92.5</v>
      </c>
      <c r="AQ2723" s="63" t="s">
        <v>4970</v>
      </c>
      <c r="AU2723" s="57" t="s">
        <v>4907</v>
      </c>
      <c r="AW2723" s="28" t="e">
        <f t="shared" si="288"/>
        <v>#VALUE!</v>
      </c>
      <c r="AX2723">
        <f t="shared" si="289"/>
        <v>0.86956521739130432</v>
      </c>
      <c r="AY2723" s="62" t="e">
        <f t="shared" si="290"/>
        <v>#VALUE!</v>
      </c>
      <c r="AZ2723" s="68" t="e">
        <f t="shared" si="291"/>
        <v>#VALUE!</v>
      </c>
      <c r="BA2723" s="68" t="e">
        <f t="shared" si="292"/>
        <v>#VALUE!</v>
      </c>
    </row>
    <row r="2724" spans="1:55" hidden="1">
      <c r="A2724" t="s">
        <v>3914</v>
      </c>
      <c r="G2724" t="s">
        <v>4900</v>
      </c>
      <c r="P2724" t="s">
        <v>4596</v>
      </c>
      <c r="R2724" t="s">
        <v>4888</v>
      </c>
      <c r="S2724" t="s">
        <v>1752</v>
      </c>
      <c r="V2724" t="s">
        <v>4600</v>
      </c>
      <c r="Z2724">
        <v>4</v>
      </c>
      <c r="AA2724">
        <v>4</v>
      </c>
      <c r="AC2724">
        <v>527</v>
      </c>
      <c r="AD2724" s="54">
        <v>18</v>
      </c>
      <c r="AE2724">
        <v>1196</v>
      </c>
      <c r="AF2724" s="54">
        <v>22</v>
      </c>
      <c r="AJ2724" t="s">
        <v>4256</v>
      </c>
      <c r="AK2724" t="s">
        <v>4848</v>
      </c>
      <c r="AN2724">
        <v>77.5</v>
      </c>
      <c r="AO2724" s="63" t="s">
        <v>4970</v>
      </c>
      <c r="AP2724">
        <v>98.5</v>
      </c>
      <c r="AQ2724" s="63" t="s">
        <v>4970</v>
      </c>
      <c r="AU2724" s="57" t="s">
        <v>4907</v>
      </c>
      <c r="AW2724" s="28" t="e">
        <f t="shared" si="288"/>
        <v>#VALUE!</v>
      </c>
      <c r="AX2724">
        <f t="shared" si="289"/>
        <v>0.86956521739130432</v>
      </c>
      <c r="AY2724" s="62" t="e">
        <f t="shared" si="290"/>
        <v>#VALUE!</v>
      </c>
      <c r="AZ2724" s="68" t="e">
        <f t="shared" si="291"/>
        <v>#VALUE!</v>
      </c>
      <c r="BA2724" s="68" t="e">
        <f t="shared" si="292"/>
        <v>#VALUE!</v>
      </c>
    </row>
    <row r="2725" spans="1:55" hidden="1">
      <c r="A2725" t="s">
        <v>3914</v>
      </c>
      <c r="G2725" t="s">
        <v>4900</v>
      </c>
      <c r="P2725" t="s">
        <v>4596</v>
      </c>
      <c r="R2725" t="s">
        <v>4888</v>
      </c>
      <c r="S2725" t="s">
        <v>1752</v>
      </c>
      <c r="V2725" t="s">
        <v>4598</v>
      </c>
      <c r="Z2725">
        <v>24</v>
      </c>
      <c r="AA2725">
        <v>24</v>
      </c>
      <c r="AC2725">
        <v>527</v>
      </c>
      <c r="AD2725" s="54">
        <v>18</v>
      </c>
      <c r="AE2725">
        <v>486</v>
      </c>
      <c r="AF2725" s="54">
        <v>22</v>
      </c>
      <c r="AJ2725" t="s">
        <v>4901</v>
      </c>
      <c r="AK2725" t="s">
        <v>4844</v>
      </c>
      <c r="AN2725">
        <v>86.5</v>
      </c>
      <c r="AO2725" s="63" t="s">
        <v>4970</v>
      </c>
      <c r="AP2725">
        <v>58.5</v>
      </c>
      <c r="AQ2725" s="63" t="s">
        <v>4970</v>
      </c>
      <c r="AU2725" s="57" t="s">
        <v>4907</v>
      </c>
      <c r="AW2725" s="28" t="e">
        <f t="shared" si="288"/>
        <v>#VALUE!</v>
      </c>
      <c r="AX2725">
        <f t="shared" si="289"/>
        <v>0.98360655737704916</v>
      </c>
      <c r="AY2725" s="62" t="e">
        <f t="shared" si="290"/>
        <v>#VALUE!</v>
      </c>
      <c r="AZ2725" s="68" t="e">
        <f t="shared" si="291"/>
        <v>#VALUE!</v>
      </c>
      <c r="BA2725" s="68" t="e">
        <f t="shared" si="292"/>
        <v>#VALUE!</v>
      </c>
    </row>
    <row r="2726" spans="1:55" hidden="1">
      <c r="A2726" t="s">
        <v>3914</v>
      </c>
      <c r="G2726" t="s">
        <v>4900</v>
      </c>
      <c r="P2726" t="s">
        <v>4596</v>
      </c>
      <c r="R2726" t="s">
        <v>4888</v>
      </c>
      <c r="S2726" t="s">
        <v>1752</v>
      </c>
      <c r="V2726" t="s">
        <v>4600</v>
      </c>
      <c r="Z2726">
        <v>24</v>
      </c>
      <c r="AA2726">
        <v>24</v>
      </c>
      <c r="AC2726">
        <v>527</v>
      </c>
      <c r="AD2726" s="54">
        <v>18</v>
      </c>
      <c r="AE2726">
        <v>1196</v>
      </c>
      <c r="AF2726" s="54">
        <v>22</v>
      </c>
      <c r="AJ2726" t="s">
        <v>4902</v>
      </c>
      <c r="AK2726" t="s">
        <v>4844</v>
      </c>
      <c r="AN2726">
        <v>86.5</v>
      </c>
      <c r="AO2726" s="63" t="s">
        <v>4970</v>
      </c>
      <c r="AP2726">
        <v>59</v>
      </c>
      <c r="AQ2726" s="63" t="s">
        <v>4970</v>
      </c>
      <c r="AU2726" s="57" t="s">
        <v>4907</v>
      </c>
      <c r="AW2726" s="28" t="e">
        <f t="shared" si="288"/>
        <v>#VALUE!</v>
      </c>
      <c r="AX2726">
        <f t="shared" si="289"/>
        <v>0.98360655737704916</v>
      </c>
      <c r="AY2726" s="62" t="e">
        <f t="shared" si="290"/>
        <v>#VALUE!</v>
      </c>
      <c r="AZ2726" s="68" t="e">
        <f t="shared" si="291"/>
        <v>#VALUE!</v>
      </c>
      <c r="BA2726" s="68" t="e">
        <f t="shared" si="292"/>
        <v>#VALUE!</v>
      </c>
    </row>
    <row r="2727" spans="1:55" hidden="1">
      <c r="A2727" t="s">
        <v>3914</v>
      </c>
      <c r="G2727" s="50" t="s">
        <v>5068</v>
      </c>
      <c r="P2727" t="s">
        <v>60</v>
      </c>
      <c r="R2727" t="s">
        <v>4357</v>
      </c>
      <c r="S2727" s="50" t="s">
        <v>952</v>
      </c>
      <c r="V2727" t="s">
        <v>3956</v>
      </c>
      <c r="Z2727">
        <v>8</v>
      </c>
      <c r="AA2727">
        <v>8</v>
      </c>
      <c r="AC2727">
        <v>530.29999999999995</v>
      </c>
      <c r="AD2727">
        <v>20.399999999999999</v>
      </c>
      <c r="AE2727">
        <v>1043.4000000000001</v>
      </c>
      <c r="AF2727">
        <v>20.399999999999999</v>
      </c>
      <c r="AJ2727" s="50" t="s">
        <v>4462</v>
      </c>
      <c r="AK2727" t="s">
        <v>4151</v>
      </c>
      <c r="AN2727">
        <v>88.5</v>
      </c>
      <c r="AO2727">
        <v>4.9928520335146551</v>
      </c>
      <c r="AP2727">
        <v>88.375</v>
      </c>
      <c r="AQ2727">
        <v>4.9262416853882778</v>
      </c>
      <c r="AW2727" s="28">
        <f t="shared" si="288"/>
        <v>-2.5203347226782337E-2</v>
      </c>
      <c r="AX2727">
        <f t="shared" si="289"/>
        <v>0.94545454545454544</v>
      </c>
      <c r="AY2727" s="62">
        <f t="shared" si="290"/>
        <v>-2.3828619196230572E-2</v>
      </c>
      <c r="AZ2727" s="68" t="str">
        <f t="shared" si="291"/>
        <v>No</v>
      </c>
      <c r="BA2727" s="68" t="str">
        <f t="shared" si="292"/>
        <v>No</v>
      </c>
    </row>
    <row r="2728" spans="1:55" hidden="1">
      <c r="A2728" t="s">
        <v>3914</v>
      </c>
      <c r="G2728" s="50" t="s">
        <v>4456</v>
      </c>
      <c r="P2728" t="s">
        <v>60</v>
      </c>
      <c r="R2728" t="s">
        <v>4357</v>
      </c>
      <c r="S2728" s="50" t="s">
        <v>952</v>
      </c>
      <c r="V2728" t="s">
        <v>3956</v>
      </c>
      <c r="Z2728">
        <v>8</v>
      </c>
      <c r="AA2728">
        <v>8</v>
      </c>
      <c r="AC2728">
        <v>530.29999999999995</v>
      </c>
      <c r="AD2728">
        <v>20.399999999999999</v>
      </c>
      <c r="AE2728">
        <v>1716.4</v>
      </c>
      <c r="AF2728">
        <v>20.399999999999999</v>
      </c>
      <c r="AJ2728" s="50" t="s">
        <v>4462</v>
      </c>
      <c r="AK2728" t="s">
        <v>4151</v>
      </c>
      <c r="AN2728">
        <v>88.5</v>
      </c>
      <c r="AO2728">
        <v>4.9928520335146551</v>
      </c>
      <c r="AP2728">
        <v>88</v>
      </c>
      <c r="AQ2728">
        <v>10.260012531320667</v>
      </c>
      <c r="AW2728" s="28">
        <f t="shared" si="288"/>
        <v>-6.1970566544259427E-2</v>
      </c>
      <c r="AX2728">
        <f t="shared" si="289"/>
        <v>0.94545454545454544</v>
      </c>
      <c r="AY2728" s="62">
        <f t="shared" si="290"/>
        <v>-5.8590353823663455E-2</v>
      </c>
      <c r="AZ2728" s="68" t="str">
        <f t="shared" si="291"/>
        <v>No</v>
      </c>
      <c r="BA2728" s="68" t="str">
        <f t="shared" si="292"/>
        <v>No</v>
      </c>
    </row>
    <row r="2729" spans="1:55" hidden="1">
      <c r="A2729" t="s">
        <v>3914</v>
      </c>
      <c r="G2729" t="s">
        <v>4458</v>
      </c>
      <c r="P2729" t="s">
        <v>4596</v>
      </c>
      <c r="R2729" t="s">
        <v>4357</v>
      </c>
      <c r="S2729" t="s">
        <v>948</v>
      </c>
      <c r="V2729" t="s">
        <v>4626</v>
      </c>
      <c r="Z2729">
        <v>3</v>
      </c>
      <c r="AA2729">
        <v>3</v>
      </c>
      <c r="AC2729">
        <v>442</v>
      </c>
      <c r="AD2729">
        <v>-1</v>
      </c>
      <c r="AE2729">
        <v>1065.3</v>
      </c>
      <c r="AF2729">
        <v>2</v>
      </c>
      <c r="AJ2729" t="s">
        <v>4469</v>
      </c>
      <c r="AK2729" t="s">
        <v>4123</v>
      </c>
      <c r="AL2729" s="59"/>
      <c r="AM2729" s="60"/>
      <c r="AN2729">
        <v>84</v>
      </c>
      <c r="AO2729">
        <v>5.8098590000000003</v>
      </c>
      <c r="AP2729">
        <v>80</v>
      </c>
      <c r="AQ2729">
        <v>7.0843540000000003</v>
      </c>
      <c r="AR2729" s="37"/>
      <c r="AS2729" s="37"/>
      <c r="AT2729" s="37"/>
      <c r="AU2729" s="37"/>
      <c r="AV2729" s="37"/>
      <c r="AW2729" s="28">
        <f t="shared" si="288"/>
        <v>-0.61742463490955979</v>
      </c>
      <c r="AX2729">
        <f t="shared" si="289"/>
        <v>0.8</v>
      </c>
      <c r="AY2729" s="62">
        <f t="shared" si="290"/>
        <v>-0.49393970792764785</v>
      </c>
      <c r="AZ2729" s="68" t="str">
        <f t="shared" si="291"/>
        <v>No</v>
      </c>
      <c r="BA2729" s="68" t="str">
        <f t="shared" si="292"/>
        <v>No</v>
      </c>
    </row>
    <row r="2730" spans="1:55" hidden="1">
      <c r="A2730" t="s">
        <v>3914</v>
      </c>
      <c r="G2730" t="s">
        <v>4458</v>
      </c>
      <c r="P2730" t="s">
        <v>60</v>
      </c>
      <c r="R2730" t="s">
        <v>4357</v>
      </c>
      <c r="S2730" t="s">
        <v>948</v>
      </c>
      <c r="V2730" t="s">
        <v>3956</v>
      </c>
      <c r="Z2730">
        <v>3</v>
      </c>
      <c r="AA2730">
        <v>3</v>
      </c>
      <c r="AC2730">
        <v>442.1</v>
      </c>
      <c r="AD2730">
        <v>-1.01</v>
      </c>
      <c r="AE2730">
        <v>1443.8</v>
      </c>
      <c r="AF2730">
        <v>-0.87</v>
      </c>
      <c r="AJ2730" t="s">
        <v>4469</v>
      </c>
      <c r="AK2730" t="s">
        <v>4151</v>
      </c>
      <c r="AN2730">
        <v>82</v>
      </c>
      <c r="AO2730">
        <v>7.5</v>
      </c>
      <c r="AP2730">
        <v>74</v>
      </c>
      <c r="AQ2730">
        <v>8.25</v>
      </c>
      <c r="AW2730" s="28">
        <f t="shared" si="288"/>
        <v>-1.0147231875295875</v>
      </c>
      <c r="AX2730">
        <f t="shared" si="289"/>
        <v>0.8</v>
      </c>
      <c r="AY2730" s="62">
        <f t="shared" si="290"/>
        <v>-0.81177855002367005</v>
      </c>
      <c r="AZ2730" s="68" t="str">
        <f t="shared" si="291"/>
        <v>No</v>
      </c>
      <c r="BA2730" s="68" t="str">
        <f t="shared" si="292"/>
        <v>No</v>
      </c>
    </row>
    <row r="2731" spans="1:55" hidden="1">
      <c r="A2731" t="s">
        <v>3914</v>
      </c>
      <c r="G2731" t="s">
        <v>4458</v>
      </c>
      <c r="P2731" t="s">
        <v>4596</v>
      </c>
      <c r="R2731" t="s">
        <v>4357</v>
      </c>
      <c r="S2731" t="s">
        <v>948</v>
      </c>
      <c r="V2731" t="s">
        <v>4627</v>
      </c>
      <c r="Z2731">
        <v>3</v>
      </c>
      <c r="AA2731">
        <v>3</v>
      </c>
      <c r="AC2731">
        <v>442</v>
      </c>
      <c r="AD2731">
        <v>-1</v>
      </c>
      <c r="AE2731">
        <v>1532.5</v>
      </c>
      <c r="AF2731">
        <v>2</v>
      </c>
      <c r="AJ2731" t="s">
        <v>4469</v>
      </c>
      <c r="AK2731" t="s">
        <v>4123</v>
      </c>
      <c r="AL2731" s="59"/>
      <c r="AM2731" s="60"/>
      <c r="AN2731">
        <v>84</v>
      </c>
      <c r="AO2731">
        <v>5.8098590000000003</v>
      </c>
      <c r="AP2731">
        <v>78</v>
      </c>
      <c r="AQ2731">
        <v>8.450704</v>
      </c>
      <c r="AR2731" s="37"/>
      <c r="AS2731" s="37"/>
      <c r="AT2731" s="37"/>
      <c r="AU2731" s="37"/>
      <c r="AV2731" s="37"/>
      <c r="AW2731" s="28">
        <f t="shared" si="288"/>
        <v>-0.82741362033276833</v>
      </c>
      <c r="AX2731">
        <f t="shared" si="289"/>
        <v>0.8</v>
      </c>
      <c r="AY2731" s="62">
        <f t="shared" si="290"/>
        <v>-0.66193089626621471</v>
      </c>
      <c r="AZ2731" s="68" t="str">
        <f t="shared" si="291"/>
        <v>No</v>
      </c>
      <c r="BA2731" s="68" t="str">
        <f t="shared" si="292"/>
        <v>No</v>
      </c>
    </row>
    <row r="2732" spans="1:55" hidden="1">
      <c r="A2732" t="s">
        <v>3914</v>
      </c>
      <c r="G2732" t="s">
        <v>4458</v>
      </c>
      <c r="P2732" t="s">
        <v>4596</v>
      </c>
      <c r="R2732" t="s">
        <v>4357</v>
      </c>
      <c r="S2732" t="s">
        <v>948</v>
      </c>
      <c r="V2732" t="s">
        <v>4598</v>
      </c>
      <c r="Z2732">
        <v>3</v>
      </c>
      <c r="AA2732">
        <v>3</v>
      </c>
      <c r="AC2732">
        <v>442</v>
      </c>
      <c r="AD2732">
        <v>-1</v>
      </c>
      <c r="AE2732">
        <v>527.6</v>
      </c>
      <c r="AF2732">
        <v>2</v>
      </c>
      <c r="AJ2732" t="s">
        <v>4799</v>
      </c>
      <c r="AK2732" t="s">
        <v>4123</v>
      </c>
      <c r="AL2732" s="59"/>
      <c r="AM2732" s="60"/>
      <c r="AN2732">
        <v>84</v>
      </c>
      <c r="AO2732">
        <v>5.8098590000000003</v>
      </c>
      <c r="AP2732">
        <v>80</v>
      </c>
      <c r="AQ2732">
        <v>8.7147889999999997</v>
      </c>
      <c r="AR2732" s="37"/>
      <c r="AS2732" s="37"/>
      <c r="AT2732" s="37"/>
      <c r="AU2732" s="37"/>
      <c r="AV2732" s="37"/>
      <c r="AW2732" s="28">
        <f t="shared" si="288"/>
        <v>-0.54009194329403543</v>
      </c>
      <c r="AX2732">
        <f t="shared" si="289"/>
        <v>0.8</v>
      </c>
      <c r="AY2732" s="62">
        <f t="shared" si="290"/>
        <v>-0.43207355463522834</v>
      </c>
      <c r="AZ2732" s="68" t="str">
        <f t="shared" si="291"/>
        <v>No</v>
      </c>
      <c r="BA2732" s="68" t="str">
        <f t="shared" si="292"/>
        <v>No</v>
      </c>
    </row>
    <row r="2733" spans="1:55" hidden="1">
      <c r="A2733" t="s">
        <v>3914</v>
      </c>
      <c r="G2733" t="s">
        <v>5071</v>
      </c>
      <c r="P2733" t="s">
        <v>60</v>
      </c>
      <c r="R2733" t="s">
        <v>4357</v>
      </c>
      <c r="S2733" t="s">
        <v>948</v>
      </c>
      <c r="V2733" t="s">
        <v>3956</v>
      </c>
      <c r="Z2733">
        <v>3</v>
      </c>
      <c r="AA2733">
        <v>3</v>
      </c>
      <c r="AC2733">
        <v>442.1</v>
      </c>
      <c r="AD2733">
        <v>-1.01</v>
      </c>
      <c r="AE2733">
        <v>1009.7</v>
      </c>
      <c r="AF2733">
        <v>-0.94</v>
      </c>
      <c r="AJ2733" t="s">
        <v>4469</v>
      </c>
      <c r="AK2733" t="s">
        <v>4151</v>
      </c>
      <c r="AN2733">
        <v>82</v>
      </c>
      <c r="AO2733">
        <v>7.5</v>
      </c>
      <c r="AP2733">
        <v>77</v>
      </c>
      <c r="AQ2733">
        <v>9.375</v>
      </c>
      <c r="AW2733" s="28">
        <f t="shared" si="288"/>
        <v>-0.58896813906584833</v>
      </c>
      <c r="AX2733">
        <f t="shared" si="289"/>
        <v>0.8</v>
      </c>
      <c r="AY2733" s="62">
        <f t="shared" si="290"/>
        <v>-0.47117451125267867</v>
      </c>
      <c r="AZ2733" s="68" t="str">
        <f t="shared" si="291"/>
        <v>No</v>
      </c>
      <c r="BA2733" s="68" t="str">
        <f t="shared" si="292"/>
        <v>No</v>
      </c>
    </row>
    <row r="2734" spans="1:55" hidden="1">
      <c r="A2734" t="s">
        <v>3914</v>
      </c>
      <c r="G2734" t="s">
        <v>4946</v>
      </c>
      <c r="P2734" t="s">
        <v>4596</v>
      </c>
      <c r="R2734" t="s">
        <v>4357</v>
      </c>
      <c r="S2734" t="s">
        <v>948</v>
      </c>
      <c r="V2734" t="s">
        <v>4627</v>
      </c>
      <c r="Z2734">
        <v>3</v>
      </c>
      <c r="AA2734">
        <v>3</v>
      </c>
      <c r="AC2734">
        <v>442</v>
      </c>
      <c r="AD2734">
        <v>-1</v>
      </c>
      <c r="AE2734">
        <v>1532.5</v>
      </c>
      <c r="AF2734">
        <v>2</v>
      </c>
      <c r="AJ2734" t="s">
        <v>4797</v>
      </c>
      <c r="AK2734" t="s">
        <v>4123</v>
      </c>
      <c r="AL2734" s="59"/>
      <c r="AM2734" s="60"/>
      <c r="AN2734">
        <v>88</v>
      </c>
      <c r="AO2734">
        <v>4.5531199999999998</v>
      </c>
      <c r="AP2734">
        <v>76</v>
      </c>
      <c r="AQ2734">
        <v>9.6121420000000004</v>
      </c>
      <c r="AR2734" s="37"/>
      <c r="AS2734" s="37"/>
      <c r="AT2734" s="37"/>
      <c r="AU2734" s="37"/>
      <c r="AV2734" s="37"/>
      <c r="AW2734" s="28">
        <f t="shared" si="288"/>
        <v>-1.5955798029344095</v>
      </c>
      <c r="AX2734">
        <f t="shared" si="289"/>
        <v>0.8</v>
      </c>
      <c r="AY2734" s="62">
        <f t="shared" si="290"/>
        <v>-1.2764638423475276</v>
      </c>
      <c r="AZ2734" s="68" t="str">
        <f t="shared" si="291"/>
        <v>No</v>
      </c>
      <c r="BA2734" s="68" t="str">
        <f t="shared" si="292"/>
        <v>No</v>
      </c>
    </row>
    <row r="2735" spans="1:55" hidden="1">
      <c r="A2735" t="s">
        <v>3914</v>
      </c>
      <c r="G2735" t="s">
        <v>4458</v>
      </c>
      <c r="P2735" t="s">
        <v>4596</v>
      </c>
      <c r="R2735" t="s">
        <v>4357</v>
      </c>
      <c r="S2735" t="s">
        <v>948</v>
      </c>
      <c r="V2735" t="s">
        <v>4626</v>
      </c>
      <c r="Z2735">
        <v>3</v>
      </c>
      <c r="AA2735">
        <v>3</v>
      </c>
      <c r="AC2735">
        <v>442</v>
      </c>
      <c r="AD2735">
        <v>-1</v>
      </c>
      <c r="AE2735">
        <v>1065.3</v>
      </c>
      <c r="AF2735">
        <v>2</v>
      </c>
      <c r="AJ2735" t="s">
        <v>4797</v>
      </c>
      <c r="AK2735" t="s">
        <v>4123</v>
      </c>
      <c r="AL2735" s="59"/>
      <c r="AM2735" s="60"/>
      <c r="AN2735">
        <v>88</v>
      </c>
      <c r="AO2735">
        <v>4.5531199999999998</v>
      </c>
      <c r="AP2735">
        <v>82</v>
      </c>
      <c r="AQ2735">
        <v>9.8650929999999999</v>
      </c>
      <c r="AR2735" s="37"/>
      <c r="AS2735" s="37"/>
      <c r="AT2735" s="37"/>
      <c r="AU2735" s="37"/>
      <c r="AV2735" s="37"/>
      <c r="AW2735" s="28">
        <f t="shared" si="288"/>
        <v>-0.78096484322568305</v>
      </c>
      <c r="AX2735">
        <f t="shared" si="289"/>
        <v>0.8</v>
      </c>
      <c r="AY2735" s="62">
        <f t="shared" si="290"/>
        <v>-0.6247718745805465</v>
      </c>
      <c r="AZ2735" s="68" t="str">
        <f t="shared" si="291"/>
        <v>No</v>
      </c>
      <c r="BA2735" s="68" t="str">
        <f t="shared" si="292"/>
        <v>No</v>
      </c>
    </row>
    <row r="2736" spans="1:55" ht="15" hidden="1">
      <c r="A2736" t="s">
        <v>3914</v>
      </c>
      <c r="G2736" t="s">
        <v>4458</v>
      </c>
      <c r="P2736" t="s">
        <v>4596</v>
      </c>
      <c r="R2736" t="s">
        <v>4357</v>
      </c>
      <c r="S2736" t="s">
        <v>948</v>
      </c>
      <c r="V2736" t="s">
        <v>4598</v>
      </c>
      <c r="Z2736">
        <v>3</v>
      </c>
      <c r="AA2736">
        <v>3</v>
      </c>
      <c r="AC2736">
        <v>442</v>
      </c>
      <c r="AD2736">
        <v>-1</v>
      </c>
      <c r="AE2736">
        <v>527.6</v>
      </c>
      <c r="AF2736">
        <v>2</v>
      </c>
      <c r="AJ2736" t="s">
        <v>4798</v>
      </c>
      <c r="AK2736" t="s">
        <v>4123</v>
      </c>
      <c r="AL2736" s="59"/>
      <c r="AM2736" s="60"/>
      <c r="AN2736">
        <v>88</v>
      </c>
      <c r="AO2736">
        <v>4.5531199999999998</v>
      </c>
      <c r="AP2736">
        <v>81.5</v>
      </c>
      <c r="AQ2736">
        <v>10.250019999999999</v>
      </c>
      <c r="AR2736" s="37"/>
      <c r="AS2736" s="37"/>
      <c r="AT2736" s="37"/>
      <c r="AU2736" s="37"/>
      <c r="AV2736" s="37"/>
      <c r="AW2736" s="28">
        <f t="shared" si="288"/>
        <v>-0.81959389721506193</v>
      </c>
      <c r="AX2736">
        <f t="shared" si="289"/>
        <v>0.8</v>
      </c>
      <c r="AY2736" s="73">
        <f t="shared" si="290"/>
        <v>-0.65567511777204956</v>
      </c>
      <c r="AZ2736" s="74" t="str">
        <f t="shared" si="291"/>
        <v>No</v>
      </c>
      <c r="BA2736" s="74" t="str">
        <f t="shared" si="292"/>
        <v>No</v>
      </c>
      <c r="BB2736" s="56"/>
      <c r="BC2736" s="56"/>
    </row>
    <row r="2737" spans="1:55" hidden="1">
      <c r="A2737" t="s">
        <v>3914</v>
      </c>
      <c r="G2737" t="s">
        <v>5031</v>
      </c>
      <c r="P2737" t="s">
        <v>60</v>
      </c>
      <c r="R2737" t="s">
        <v>4357</v>
      </c>
      <c r="S2737" t="s">
        <v>956</v>
      </c>
      <c r="V2737" t="s">
        <v>3956</v>
      </c>
      <c r="Z2737">
        <v>4</v>
      </c>
      <c r="AA2737">
        <v>4</v>
      </c>
      <c r="AC2737">
        <v>386.3</v>
      </c>
      <c r="AD2737">
        <v>23.57</v>
      </c>
      <c r="AE2737">
        <v>874.23</v>
      </c>
      <c r="AF2737">
        <v>23.82</v>
      </c>
      <c r="AJ2737" t="s">
        <v>1202</v>
      </c>
      <c r="AK2737" t="s">
        <v>4093</v>
      </c>
      <c r="AN2737">
        <v>60.125</v>
      </c>
      <c r="AO2737">
        <v>7.00446286306095</v>
      </c>
      <c r="AP2737">
        <v>49.75</v>
      </c>
      <c r="AQ2737">
        <v>7.2284161474004804</v>
      </c>
      <c r="AW2737" s="28">
        <f t="shared" si="288"/>
        <v>-1.4577115239671821</v>
      </c>
      <c r="AX2737">
        <f t="shared" si="289"/>
        <v>0.86956521739130432</v>
      </c>
      <c r="AY2737" s="62">
        <f t="shared" si="290"/>
        <v>-1.2675752382323322</v>
      </c>
      <c r="AZ2737" s="68" t="str">
        <f t="shared" si="291"/>
        <v>No</v>
      </c>
      <c r="BA2737" s="68" t="str">
        <f t="shared" si="292"/>
        <v>No</v>
      </c>
    </row>
    <row r="2738" spans="1:55" ht="15" hidden="1">
      <c r="A2738" t="s">
        <v>3914</v>
      </c>
      <c r="G2738" t="s">
        <v>4393</v>
      </c>
      <c r="P2738" t="s">
        <v>60</v>
      </c>
      <c r="R2738" t="s">
        <v>4357</v>
      </c>
      <c r="S2738" t="s">
        <v>956</v>
      </c>
      <c r="V2738" t="s">
        <v>3956</v>
      </c>
      <c r="Z2738">
        <v>4</v>
      </c>
      <c r="AA2738">
        <v>4</v>
      </c>
      <c r="AC2738">
        <v>386.3</v>
      </c>
      <c r="AD2738">
        <v>23.57</v>
      </c>
      <c r="AE2738">
        <v>1408.67</v>
      </c>
      <c r="AF2738">
        <v>23.6</v>
      </c>
      <c r="AJ2738" t="s">
        <v>1202</v>
      </c>
      <c r="AK2738" t="s">
        <v>4093</v>
      </c>
      <c r="AN2738">
        <v>60.125</v>
      </c>
      <c r="AO2738">
        <v>7.00446286306095</v>
      </c>
      <c r="AP2738">
        <v>52</v>
      </c>
      <c r="AQ2738">
        <v>9.556847457887633</v>
      </c>
      <c r="AW2738" s="28">
        <f t="shared" si="288"/>
        <v>-0.96975328177402964</v>
      </c>
      <c r="AX2738">
        <f t="shared" si="289"/>
        <v>0.86956521739130432</v>
      </c>
      <c r="AY2738" s="73">
        <f t="shared" si="290"/>
        <v>-0.84326372328176491</v>
      </c>
      <c r="AZ2738" s="74" t="str">
        <f t="shared" si="291"/>
        <v>No</v>
      </c>
      <c r="BA2738" s="74" t="str">
        <f t="shared" si="292"/>
        <v>No</v>
      </c>
      <c r="BB2738" s="56"/>
      <c r="BC2738" s="56"/>
    </row>
    <row r="2739" spans="1:55" hidden="1">
      <c r="A2739" t="s">
        <v>3914</v>
      </c>
      <c r="G2739" s="50" t="s">
        <v>4393</v>
      </c>
      <c r="P2739" t="s">
        <v>60</v>
      </c>
      <c r="R2739" t="s">
        <v>4357</v>
      </c>
      <c r="S2739" s="50" t="s">
        <v>956</v>
      </c>
      <c r="V2739" t="s">
        <v>3956</v>
      </c>
      <c r="Z2739">
        <v>16</v>
      </c>
      <c r="AA2739">
        <v>16</v>
      </c>
      <c r="AC2739">
        <v>386.3</v>
      </c>
      <c r="AD2739">
        <v>23.57</v>
      </c>
      <c r="AE2739">
        <v>1408.67</v>
      </c>
      <c r="AF2739">
        <v>23.6</v>
      </c>
      <c r="AJ2739" s="50" t="s">
        <v>4146</v>
      </c>
      <c r="AK2739" t="s">
        <v>4151</v>
      </c>
      <c r="AN2739">
        <v>49.666666666666664</v>
      </c>
      <c r="AO2739">
        <v>17.417834319482793</v>
      </c>
      <c r="AP2739">
        <v>39.4375</v>
      </c>
      <c r="AQ2739">
        <v>10.689363872560424</v>
      </c>
      <c r="AW2739" s="28">
        <f t="shared" si="288"/>
        <v>-0.70786821846179881</v>
      </c>
      <c r="AX2739">
        <f t="shared" si="289"/>
        <v>0.97478991596638653</v>
      </c>
      <c r="AY2739" s="62">
        <f t="shared" si="290"/>
        <v>-0.69002280118965265</v>
      </c>
      <c r="AZ2739" s="68" t="str">
        <f t="shared" si="291"/>
        <v>No</v>
      </c>
      <c r="BA2739" s="68" t="str">
        <f t="shared" si="292"/>
        <v>No</v>
      </c>
    </row>
    <row r="2740" spans="1:55" hidden="1">
      <c r="A2740" t="s">
        <v>3914</v>
      </c>
      <c r="G2740" s="50" t="s">
        <v>4393</v>
      </c>
      <c r="P2740" t="s">
        <v>60</v>
      </c>
      <c r="R2740" t="s">
        <v>4357</v>
      </c>
      <c r="S2740" s="50" t="s">
        <v>956</v>
      </c>
      <c r="V2740" t="s">
        <v>3956</v>
      </c>
      <c r="Z2740" s="50">
        <v>16</v>
      </c>
      <c r="AA2740" s="50">
        <v>16</v>
      </c>
      <c r="AC2740">
        <v>386.3</v>
      </c>
      <c r="AD2740">
        <v>23.57</v>
      </c>
      <c r="AE2740">
        <v>874.23</v>
      </c>
      <c r="AF2740">
        <v>23.82</v>
      </c>
      <c r="AJ2740" s="50" t="s">
        <v>4146</v>
      </c>
      <c r="AK2740" t="s">
        <v>4151</v>
      </c>
      <c r="AN2740">
        <v>49.666666666666664</v>
      </c>
      <c r="AO2740">
        <v>17.417834319482793</v>
      </c>
      <c r="AP2740">
        <v>50.6875</v>
      </c>
      <c r="AQ2740">
        <v>13.864673334293407</v>
      </c>
      <c r="AW2740" s="28">
        <f t="shared" si="288"/>
        <v>6.4848473581472887E-2</v>
      </c>
      <c r="AX2740">
        <f t="shared" si="289"/>
        <v>0.97478991596638653</v>
      </c>
      <c r="AY2740" s="62">
        <f t="shared" si="290"/>
        <v>6.3213638113032392E-2</v>
      </c>
      <c r="AZ2740" s="68" t="str">
        <f t="shared" si="291"/>
        <v>No</v>
      </c>
      <c r="BA2740" s="68" t="str">
        <f t="shared" si="292"/>
        <v>No</v>
      </c>
    </row>
    <row r="2741" spans="1:55" hidden="1">
      <c r="A2741" t="s">
        <v>3914</v>
      </c>
      <c r="G2741" t="s">
        <v>4442</v>
      </c>
      <c r="P2741" t="s">
        <v>60</v>
      </c>
      <c r="R2741" t="s">
        <v>4357</v>
      </c>
      <c r="S2741" t="s">
        <v>1754</v>
      </c>
      <c r="V2741" t="s">
        <v>3956</v>
      </c>
      <c r="Z2741">
        <v>3</v>
      </c>
      <c r="AA2741">
        <v>3</v>
      </c>
      <c r="AC2741">
        <v>472.59</v>
      </c>
      <c r="AD2741">
        <v>24</v>
      </c>
      <c r="AE2741">
        <v>837.52</v>
      </c>
      <c r="AF2741">
        <v>24</v>
      </c>
      <c r="AJ2741" t="s">
        <v>4498</v>
      </c>
      <c r="AK2741" t="s">
        <v>4123</v>
      </c>
      <c r="AN2741">
        <v>1.5</v>
      </c>
      <c r="AO2741">
        <v>0.81853527718724495</v>
      </c>
      <c r="AP2741">
        <v>0.93333333333333324</v>
      </c>
      <c r="AQ2741">
        <v>0.41633319989322681</v>
      </c>
      <c r="AW2741" s="28">
        <f t="shared" si="288"/>
        <v>-0.87265590397688719</v>
      </c>
      <c r="AX2741">
        <f t="shared" si="289"/>
        <v>0.8</v>
      </c>
      <c r="AY2741" s="62">
        <f t="shared" si="290"/>
        <v>-0.69812472318150975</v>
      </c>
      <c r="AZ2741" s="68" t="str">
        <f t="shared" si="291"/>
        <v>No</v>
      </c>
      <c r="BA2741" s="68" t="str">
        <f t="shared" si="292"/>
        <v>No</v>
      </c>
    </row>
    <row r="2742" spans="1:55" hidden="1">
      <c r="A2742" t="s">
        <v>3914</v>
      </c>
      <c r="G2742" t="s">
        <v>4442</v>
      </c>
      <c r="P2742" t="s">
        <v>60</v>
      </c>
      <c r="R2742" t="s">
        <v>4357</v>
      </c>
      <c r="S2742" t="s">
        <v>1754</v>
      </c>
      <c r="V2742" t="s">
        <v>3956</v>
      </c>
      <c r="Z2742">
        <v>3</v>
      </c>
      <c r="AA2742">
        <v>3</v>
      </c>
      <c r="AC2742">
        <v>564.66</v>
      </c>
      <c r="AD2742">
        <v>24</v>
      </c>
      <c r="AE2742">
        <v>901.09</v>
      </c>
      <c r="AF2742">
        <v>24</v>
      </c>
      <c r="AJ2742" t="s">
        <v>4498</v>
      </c>
      <c r="AK2742" t="s">
        <v>4123</v>
      </c>
      <c r="AN2742">
        <v>2.0333333333333332</v>
      </c>
      <c r="AO2742">
        <v>0.85049005481153894</v>
      </c>
      <c r="AP2742">
        <v>2.0666666666666669</v>
      </c>
      <c r="AQ2742">
        <v>1.422439219556791</v>
      </c>
      <c r="AW2742" s="28">
        <f t="shared" si="288"/>
        <v>2.8444006199428992E-2</v>
      </c>
      <c r="AX2742">
        <f t="shared" si="289"/>
        <v>0.8</v>
      </c>
      <c r="AY2742" s="62">
        <f t="shared" si="290"/>
        <v>2.2755204959543196E-2</v>
      </c>
      <c r="AZ2742" s="68" t="str">
        <f t="shared" si="291"/>
        <v>No</v>
      </c>
      <c r="BA2742" s="68" t="str">
        <f t="shared" si="292"/>
        <v>No</v>
      </c>
    </row>
    <row r="2743" spans="1:55" hidden="1">
      <c r="A2743" t="s">
        <v>3914</v>
      </c>
      <c r="G2743" s="50" t="s">
        <v>5066</v>
      </c>
      <c r="P2743" t="s">
        <v>60</v>
      </c>
      <c r="R2743" t="s">
        <v>4357</v>
      </c>
      <c r="S2743" s="50" t="s">
        <v>1754</v>
      </c>
      <c r="V2743" t="s">
        <v>3956</v>
      </c>
      <c r="Z2743" s="50">
        <v>3</v>
      </c>
      <c r="AA2743" s="50">
        <v>3</v>
      </c>
      <c r="AC2743">
        <v>472.59</v>
      </c>
      <c r="AD2743">
        <v>24</v>
      </c>
      <c r="AE2743">
        <v>837.52</v>
      </c>
      <c r="AF2743">
        <v>24</v>
      </c>
      <c r="AJ2743" s="50" t="s">
        <v>4455</v>
      </c>
      <c r="AK2743" t="s">
        <v>4244</v>
      </c>
      <c r="AN2743">
        <v>141</v>
      </c>
      <c r="AO2743">
        <v>3.1523324697753567</v>
      </c>
      <c r="AP2743">
        <v>131</v>
      </c>
      <c r="AQ2743">
        <v>3.1696529778510456</v>
      </c>
      <c r="AW2743" s="28">
        <f t="shared" si="288"/>
        <v>-3.1635512459055888</v>
      </c>
      <c r="AX2743">
        <f t="shared" si="289"/>
        <v>0.8</v>
      </c>
      <c r="AY2743" s="62">
        <f t="shared" si="290"/>
        <v>-2.5308409967244714</v>
      </c>
      <c r="AZ2743" s="68" t="str">
        <f t="shared" si="291"/>
        <v>No</v>
      </c>
      <c r="BA2743" s="68" t="str">
        <f t="shared" si="292"/>
        <v>No</v>
      </c>
    </row>
    <row r="2744" spans="1:55" hidden="1">
      <c r="A2744" t="s">
        <v>3914</v>
      </c>
      <c r="G2744" s="50" t="s">
        <v>4442</v>
      </c>
      <c r="P2744" t="s">
        <v>60</v>
      </c>
      <c r="R2744" t="s">
        <v>4357</v>
      </c>
      <c r="S2744" s="50" t="s">
        <v>1754</v>
      </c>
      <c r="V2744" t="s">
        <v>3956</v>
      </c>
      <c r="Z2744" s="50">
        <v>3</v>
      </c>
      <c r="AA2744" s="50">
        <v>3</v>
      </c>
      <c r="AC2744">
        <v>564.66</v>
      </c>
      <c r="AD2744">
        <v>24</v>
      </c>
      <c r="AE2744">
        <v>901.09</v>
      </c>
      <c r="AF2744">
        <v>24</v>
      </c>
      <c r="AJ2744" s="50" t="s">
        <v>4455</v>
      </c>
      <c r="AK2744" t="s">
        <v>4244</v>
      </c>
      <c r="AN2744">
        <v>144</v>
      </c>
      <c r="AO2744">
        <v>2.8578838324886471</v>
      </c>
      <c r="AP2744">
        <v>155</v>
      </c>
      <c r="AQ2744">
        <v>4.3474475269978816</v>
      </c>
      <c r="AW2744" s="28">
        <f t="shared" si="288"/>
        <v>2.9900689528971123</v>
      </c>
      <c r="AX2744">
        <f t="shared" si="289"/>
        <v>0.8</v>
      </c>
      <c r="AY2744" s="62">
        <f t="shared" si="290"/>
        <v>2.39205516231769</v>
      </c>
      <c r="AZ2744" s="68" t="str">
        <f t="shared" si="291"/>
        <v>No</v>
      </c>
      <c r="BA2744" s="68" t="str">
        <f t="shared" si="292"/>
        <v>No</v>
      </c>
    </row>
    <row r="2745" spans="1:55" hidden="1">
      <c r="A2745" s="77" t="s">
        <v>3914</v>
      </c>
      <c r="G2745" s="77" t="s">
        <v>4053</v>
      </c>
      <c r="P2745" s="77" t="s">
        <v>60</v>
      </c>
      <c r="Q2745" s="77"/>
      <c r="R2745" s="77" t="s">
        <v>4035</v>
      </c>
      <c r="S2745" s="77" t="s">
        <v>1746</v>
      </c>
      <c r="T2745" s="77"/>
      <c r="U2745" s="77"/>
      <c r="V2745" s="77" t="s">
        <v>3956</v>
      </c>
      <c r="W2745" s="77"/>
      <c r="X2745" s="77"/>
      <c r="Y2745" s="77"/>
      <c r="Z2745" s="77">
        <v>4</v>
      </c>
      <c r="AA2745" s="77">
        <v>4</v>
      </c>
      <c r="AB2745" s="77"/>
      <c r="AC2745" s="77">
        <v>242</v>
      </c>
      <c r="AD2745" s="77">
        <v>24.4</v>
      </c>
      <c r="AE2745" s="77">
        <v>872</v>
      </c>
      <c r="AF2745" s="77">
        <v>24.1</v>
      </c>
      <c r="AG2745" s="77"/>
      <c r="AH2745" s="77"/>
      <c r="AI2745" s="77"/>
      <c r="AJ2745" s="77" t="s">
        <v>1791</v>
      </c>
      <c r="AK2745" s="77" t="s">
        <v>4041</v>
      </c>
      <c r="AN2745" s="77">
        <v>33.5</v>
      </c>
      <c r="AO2745" s="77">
        <v>5</v>
      </c>
      <c r="AP2745" s="77">
        <v>37</v>
      </c>
      <c r="AQ2745" s="77">
        <v>11</v>
      </c>
      <c r="AW2745" s="28">
        <f t="shared" si="288"/>
        <v>0.40964401518645699</v>
      </c>
      <c r="AX2745">
        <f t="shared" si="289"/>
        <v>0.86956521739130432</v>
      </c>
      <c r="AY2745" s="62">
        <f t="shared" si="290"/>
        <v>0.35621218711865826</v>
      </c>
      <c r="AZ2745" s="68" t="str">
        <f t="shared" si="291"/>
        <v>No</v>
      </c>
      <c r="BA2745" s="68" t="str">
        <f t="shared" si="292"/>
        <v>No</v>
      </c>
    </row>
    <row r="2746" spans="1:55" hidden="1">
      <c r="A2746" t="s">
        <v>3914</v>
      </c>
      <c r="G2746" t="s">
        <v>4053</v>
      </c>
      <c r="P2746" t="s">
        <v>4596</v>
      </c>
      <c r="R2746" t="s">
        <v>4035</v>
      </c>
      <c r="S2746" t="s">
        <v>1746</v>
      </c>
      <c r="V2746" t="s">
        <v>4600</v>
      </c>
      <c r="Z2746">
        <v>4</v>
      </c>
      <c r="AA2746">
        <v>4</v>
      </c>
      <c r="AC2746">
        <v>242</v>
      </c>
      <c r="AD2746">
        <v>24</v>
      </c>
      <c r="AE2746">
        <v>976</v>
      </c>
      <c r="AF2746">
        <v>27</v>
      </c>
      <c r="AJ2746" t="s">
        <v>1791</v>
      </c>
      <c r="AK2746" t="s">
        <v>4637</v>
      </c>
      <c r="AL2746" s="59"/>
      <c r="AM2746" s="60"/>
      <c r="AN2746">
        <v>33.5</v>
      </c>
      <c r="AO2746" s="61">
        <v>14.26</v>
      </c>
      <c r="AP2746">
        <v>44</v>
      </c>
      <c r="AQ2746" s="61">
        <v>15.12</v>
      </c>
      <c r="AR2746" s="37"/>
      <c r="AS2746" s="37"/>
      <c r="AT2746" s="37"/>
      <c r="AU2746" s="37"/>
      <c r="AV2746" s="37"/>
      <c r="AW2746" s="28">
        <f t="shared" si="288"/>
        <v>0.71446593227298105</v>
      </c>
      <c r="AX2746">
        <f t="shared" si="289"/>
        <v>0.86956521739130432</v>
      </c>
      <c r="AY2746" s="62">
        <f t="shared" si="290"/>
        <v>0.62127472371563564</v>
      </c>
      <c r="AZ2746" s="68" t="str">
        <f t="shared" si="291"/>
        <v>No</v>
      </c>
      <c r="BA2746" s="68" t="str">
        <f t="shared" si="292"/>
        <v>No</v>
      </c>
    </row>
    <row r="2747" spans="1:55" hidden="1">
      <c r="A2747" t="s">
        <v>3914</v>
      </c>
      <c r="G2747" t="s">
        <v>4053</v>
      </c>
      <c r="P2747" t="s">
        <v>4596</v>
      </c>
      <c r="R2747" t="s">
        <v>4035</v>
      </c>
      <c r="S2747" t="s">
        <v>1746</v>
      </c>
      <c r="V2747" t="s">
        <v>4598</v>
      </c>
      <c r="Z2747">
        <v>4</v>
      </c>
      <c r="AA2747">
        <v>4</v>
      </c>
      <c r="AC2747">
        <v>242</v>
      </c>
      <c r="AD2747">
        <v>24</v>
      </c>
      <c r="AE2747">
        <v>275</v>
      </c>
      <c r="AF2747">
        <v>27</v>
      </c>
      <c r="AJ2747" t="s">
        <v>4785</v>
      </c>
      <c r="AK2747" t="s">
        <v>4637</v>
      </c>
      <c r="AL2747" s="59"/>
      <c r="AM2747" s="60"/>
      <c r="AN2747">
        <v>33.5</v>
      </c>
      <c r="AO2747" s="61">
        <v>14.26</v>
      </c>
      <c r="AP2747">
        <v>33.299999999999997</v>
      </c>
      <c r="AQ2747" s="61">
        <v>24.63</v>
      </c>
      <c r="AR2747" s="37"/>
      <c r="AS2747" s="37"/>
      <c r="AT2747" s="37"/>
      <c r="AU2747" s="37"/>
      <c r="AV2747" s="37"/>
      <c r="AW2747" s="28">
        <f t="shared" si="288"/>
        <v>-9.9381749879308406E-3</v>
      </c>
      <c r="AX2747">
        <f t="shared" si="289"/>
        <v>0.86956521739130432</v>
      </c>
      <c r="AY2747" s="62">
        <f t="shared" si="290"/>
        <v>-8.6418912938529043E-3</v>
      </c>
      <c r="AZ2747" s="68" t="str">
        <f t="shared" si="291"/>
        <v>No</v>
      </c>
      <c r="BA2747" s="68" t="str">
        <f t="shared" si="292"/>
        <v>No</v>
      </c>
    </row>
    <row r="2748" spans="1:55" hidden="1">
      <c r="A2748" t="s">
        <v>3914</v>
      </c>
      <c r="G2748" t="s">
        <v>4189</v>
      </c>
      <c r="P2748" t="s">
        <v>60</v>
      </c>
      <c r="R2748" t="s">
        <v>4116</v>
      </c>
      <c r="S2748" t="s">
        <v>1075</v>
      </c>
      <c r="V2748" t="s">
        <v>3956</v>
      </c>
      <c r="Z2748">
        <v>3</v>
      </c>
      <c r="AA2748">
        <v>3</v>
      </c>
      <c r="AC2748">
        <v>399</v>
      </c>
      <c r="AD2748">
        <v>16.5</v>
      </c>
      <c r="AE2748">
        <v>1542</v>
      </c>
      <c r="AF2748">
        <v>16.5</v>
      </c>
      <c r="AJ2748" t="s">
        <v>1106</v>
      </c>
      <c r="AK2748" t="s">
        <v>4244</v>
      </c>
      <c r="AN2748">
        <v>129.80000000000001</v>
      </c>
      <c r="AO2748">
        <v>1.8</v>
      </c>
      <c r="AP2748">
        <v>121.5</v>
      </c>
      <c r="AQ2748">
        <v>2</v>
      </c>
      <c r="AW2748" s="28">
        <f t="shared" si="288"/>
        <v>-4.3623831491893901</v>
      </c>
      <c r="AX2748">
        <f t="shared" si="289"/>
        <v>0.8</v>
      </c>
      <c r="AY2748" s="62">
        <f t="shared" si="290"/>
        <v>-3.4899065193515124</v>
      </c>
      <c r="AZ2748" s="68" t="str">
        <f t="shared" si="291"/>
        <v>No</v>
      </c>
      <c r="BA2748" s="68" t="str">
        <f t="shared" si="292"/>
        <v>No</v>
      </c>
    </row>
    <row r="2749" spans="1:55" hidden="1">
      <c r="A2749" t="s">
        <v>3914</v>
      </c>
      <c r="G2749" t="s">
        <v>4189</v>
      </c>
      <c r="P2749" t="s">
        <v>60</v>
      </c>
      <c r="R2749" t="s">
        <v>4116</v>
      </c>
      <c r="S2749" t="s">
        <v>1077</v>
      </c>
      <c r="V2749" t="s">
        <v>3956</v>
      </c>
      <c r="Z2749">
        <v>3</v>
      </c>
      <c r="AA2749">
        <v>3</v>
      </c>
      <c r="AC2749">
        <v>501</v>
      </c>
      <c r="AD2749">
        <v>15.7</v>
      </c>
      <c r="AE2749">
        <v>1637</v>
      </c>
      <c r="AF2749">
        <v>15.7</v>
      </c>
      <c r="AJ2749" t="s">
        <v>1106</v>
      </c>
      <c r="AK2749" t="s">
        <v>4244</v>
      </c>
      <c r="AN2749">
        <v>125</v>
      </c>
      <c r="AO2749">
        <v>2</v>
      </c>
      <c r="AP2749">
        <v>116</v>
      </c>
      <c r="AQ2749">
        <v>4.3</v>
      </c>
      <c r="AW2749" s="28">
        <f t="shared" si="288"/>
        <v>-2.6838780566289895</v>
      </c>
      <c r="AX2749">
        <f t="shared" si="289"/>
        <v>0.8</v>
      </c>
      <c r="AY2749" s="62">
        <f t="shared" si="290"/>
        <v>-2.1471024453031915</v>
      </c>
      <c r="AZ2749" s="68" t="str">
        <f t="shared" si="291"/>
        <v>No</v>
      </c>
      <c r="BA2749" s="68" t="str">
        <f t="shared" si="292"/>
        <v>No</v>
      </c>
    </row>
    <row r="2750" spans="1:55" hidden="1">
      <c r="A2750" t="s">
        <v>3914</v>
      </c>
      <c r="G2750" t="s">
        <v>4132</v>
      </c>
      <c r="P2750" t="s">
        <v>60</v>
      </c>
      <c r="R2750" t="s">
        <v>4116</v>
      </c>
      <c r="S2750" t="s">
        <v>1759</v>
      </c>
      <c r="V2750" t="s">
        <v>3956</v>
      </c>
      <c r="Z2750">
        <v>6</v>
      </c>
      <c r="AA2750">
        <v>6</v>
      </c>
      <c r="AC2750">
        <v>441</v>
      </c>
      <c r="AD2750">
        <v>25</v>
      </c>
      <c r="AE2750">
        <v>2188</v>
      </c>
      <c r="AF2750">
        <v>25</v>
      </c>
      <c r="AJ2750" t="s">
        <v>665</v>
      </c>
      <c r="AK2750" t="s">
        <v>4266</v>
      </c>
      <c r="AN2750">
        <v>1.66</v>
      </c>
      <c r="AO2750">
        <v>0.85732140997411221</v>
      </c>
      <c r="AP2750">
        <v>0.59</v>
      </c>
      <c r="AQ2750">
        <v>0.44090815370097203</v>
      </c>
      <c r="AW2750" s="28">
        <f t="shared" si="288"/>
        <v>-1.5696305448551806</v>
      </c>
      <c r="AX2750">
        <f t="shared" si="289"/>
        <v>0.92307692307692313</v>
      </c>
      <c r="AY2750" s="62">
        <f t="shared" si="290"/>
        <v>-1.4488897337124744</v>
      </c>
      <c r="AZ2750" s="68" t="str">
        <f t="shared" si="291"/>
        <v>No</v>
      </c>
      <c r="BA2750" s="68" t="str">
        <f t="shared" si="292"/>
        <v>No</v>
      </c>
    </row>
    <row r="2751" spans="1:55" hidden="1">
      <c r="A2751" t="s">
        <v>3914</v>
      </c>
      <c r="G2751" s="50" t="s">
        <v>4132</v>
      </c>
      <c r="P2751" t="s">
        <v>60</v>
      </c>
      <c r="R2751" t="s">
        <v>4116</v>
      </c>
      <c r="S2751" s="50" t="s">
        <v>1759</v>
      </c>
      <c r="V2751" t="s">
        <v>3956</v>
      </c>
      <c r="Z2751">
        <v>8</v>
      </c>
      <c r="AA2751">
        <v>8</v>
      </c>
      <c r="AC2751">
        <v>428</v>
      </c>
      <c r="AD2751">
        <v>25</v>
      </c>
      <c r="AE2751">
        <v>2193</v>
      </c>
      <c r="AF2751">
        <v>25</v>
      </c>
      <c r="AJ2751" s="50" t="s">
        <v>4147</v>
      </c>
      <c r="AK2751" t="s">
        <v>4151</v>
      </c>
      <c r="AN2751">
        <v>17.5</v>
      </c>
      <c r="AO2751">
        <v>1.4142135623730951</v>
      </c>
      <c r="AP2751">
        <v>22.7</v>
      </c>
      <c r="AQ2751">
        <v>3.6769552621700474</v>
      </c>
      <c r="AW2751" s="28">
        <f t="shared" si="288"/>
        <v>1.8666912124061186</v>
      </c>
      <c r="AX2751">
        <f t="shared" si="289"/>
        <v>0.94545454545454544</v>
      </c>
      <c r="AY2751" s="62">
        <f t="shared" si="290"/>
        <v>1.7648716917294212</v>
      </c>
      <c r="AZ2751" s="68" t="str">
        <f t="shared" si="291"/>
        <v>No</v>
      </c>
      <c r="BA2751" s="68" t="str">
        <f t="shared" si="292"/>
        <v>No</v>
      </c>
    </row>
    <row r="2752" spans="1:55" hidden="1">
      <c r="A2752" t="s">
        <v>3914</v>
      </c>
      <c r="G2752" t="s">
        <v>4132</v>
      </c>
      <c r="P2752" t="s">
        <v>60</v>
      </c>
      <c r="R2752" t="s">
        <v>4116</v>
      </c>
      <c r="S2752" t="s">
        <v>1759</v>
      </c>
      <c r="V2752" t="s">
        <v>3956</v>
      </c>
      <c r="Z2752">
        <v>9</v>
      </c>
      <c r="AA2752">
        <v>9</v>
      </c>
      <c r="AC2752">
        <v>443</v>
      </c>
      <c r="AD2752">
        <v>25</v>
      </c>
      <c r="AE2752">
        <v>2613</v>
      </c>
      <c r="AF2752">
        <v>25</v>
      </c>
      <c r="AJ2752" t="s">
        <v>4218</v>
      </c>
      <c r="AK2752" t="s">
        <v>4244</v>
      </c>
      <c r="AN2752">
        <v>73</v>
      </c>
      <c r="AO2752">
        <v>3</v>
      </c>
      <c r="AP2752">
        <v>60</v>
      </c>
      <c r="AQ2752">
        <v>4</v>
      </c>
      <c r="AW2752" s="28">
        <f t="shared" si="288"/>
        <v>-3.676955262170047</v>
      </c>
      <c r="AX2752">
        <f t="shared" si="289"/>
        <v>0.95238095238095233</v>
      </c>
      <c r="AY2752" s="62">
        <f t="shared" si="290"/>
        <v>-3.5018621544476636</v>
      </c>
      <c r="AZ2752" s="68" t="str">
        <f t="shared" si="291"/>
        <v>No</v>
      </c>
      <c r="BA2752" s="68" t="str">
        <f t="shared" si="292"/>
        <v>No</v>
      </c>
    </row>
    <row r="2753" spans="1:55" hidden="1">
      <c r="A2753" t="s">
        <v>3914</v>
      </c>
      <c r="G2753" t="s">
        <v>3929</v>
      </c>
      <c r="P2753" t="s">
        <v>60</v>
      </c>
      <c r="R2753" t="s">
        <v>3942</v>
      </c>
      <c r="S2753" t="s">
        <v>3952</v>
      </c>
      <c r="V2753" t="s">
        <v>3956</v>
      </c>
      <c r="Z2753">
        <v>20</v>
      </c>
      <c r="AA2753">
        <v>20</v>
      </c>
      <c r="AC2753">
        <v>360</v>
      </c>
      <c r="AD2753">
        <v>27.4</v>
      </c>
      <c r="AE2753">
        <v>972</v>
      </c>
      <c r="AF2753">
        <v>27.6</v>
      </c>
      <c r="AJ2753" t="s">
        <v>3939</v>
      </c>
      <c r="AK2753" t="s">
        <v>904</v>
      </c>
      <c r="AN2753">
        <v>16</v>
      </c>
      <c r="AO2753">
        <v>4.4721359549995796</v>
      </c>
      <c r="AP2753">
        <v>15</v>
      </c>
      <c r="AQ2753">
        <v>4.4721359549995796</v>
      </c>
      <c r="AW2753" s="28">
        <f t="shared" si="288"/>
        <v>-0.22360679774997896</v>
      </c>
      <c r="AX2753">
        <f t="shared" si="289"/>
        <v>0.98013245033112584</v>
      </c>
      <c r="AY2753" s="62">
        <f t="shared" si="290"/>
        <v>-0.21916427858938337</v>
      </c>
      <c r="AZ2753" s="68" t="str">
        <f t="shared" si="291"/>
        <v>No</v>
      </c>
      <c r="BA2753" s="68" t="str">
        <f t="shared" si="292"/>
        <v>No</v>
      </c>
    </row>
    <row r="2754" spans="1:55" hidden="1">
      <c r="A2754" t="s">
        <v>3914</v>
      </c>
      <c r="G2754" t="s">
        <v>3929</v>
      </c>
      <c r="P2754" t="s">
        <v>60</v>
      </c>
      <c r="R2754" t="s">
        <v>3942</v>
      </c>
      <c r="S2754" t="s">
        <v>3953</v>
      </c>
      <c r="V2754" t="s">
        <v>3956</v>
      </c>
      <c r="Z2754">
        <v>20</v>
      </c>
      <c r="AA2754">
        <v>20</v>
      </c>
      <c r="AC2754">
        <v>360</v>
      </c>
      <c r="AD2754">
        <v>27.4</v>
      </c>
      <c r="AE2754">
        <v>972</v>
      </c>
      <c r="AF2754">
        <v>27.6</v>
      </c>
      <c r="AJ2754" t="s">
        <v>3939</v>
      </c>
      <c r="AK2754" t="s">
        <v>904</v>
      </c>
      <c r="AN2754">
        <v>40</v>
      </c>
      <c r="AO2754">
        <v>20.124611797498108</v>
      </c>
      <c r="AP2754">
        <v>32</v>
      </c>
      <c r="AQ2754">
        <v>4.4721359549995796</v>
      </c>
      <c r="AW2754" s="28">
        <f t="shared" si="288"/>
        <v>-0.54879547245602833</v>
      </c>
      <c r="AX2754">
        <f t="shared" si="289"/>
        <v>0.98013245033112584</v>
      </c>
      <c r="AY2754" s="62">
        <f t="shared" si="290"/>
        <v>-0.53789225114895489</v>
      </c>
      <c r="AZ2754" s="68" t="str">
        <f t="shared" si="291"/>
        <v>No</v>
      </c>
      <c r="BA2754" s="68" t="str">
        <f t="shared" si="292"/>
        <v>No</v>
      </c>
    </row>
    <row r="2755" spans="1:55" hidden="1">
      <c r="A2755" t="s">
        <v>3914</v>
      </c>
      <c r="G2755" t="s">
        <v>3929</v>
      </c>
      <c r="P2755" t="s">
        <v>60</v>
      </c>
      <c r="R2755" t="s">
        <v>3942</v>
      </c>
      <c r="S2755" t="s">
        <v>3953</v>
      </c>
      <c r="V2755" t="s">
        <v>3956</v>
      </c>
      <c r="Z2755">
        <v>20</v>
      </c>
      <c r="AA2755">
        <v>20</v>
      </c>
      <c r="AC2755">
        <v>360</v>
      </c>
      <c r="AD2755">
        <v>27.4</v>
      </c>
      <c r="AE2755">
        <v>972</v>
      </c>
      <c r="AF2755">
        <v>27.6</v>
      </c>
      <c r="AJ2755" t="s">
        <v>3973</v>
      </c>
      <c r="AK2755" t="s">
        <v>40</v>
      </c>
      <c r="AN2755">
        <v>355</v>
      </c>
      <c r="AO2755">
        <v>44.721359549995796</v>
      </c>
      <c r="AP2755">
        <v>355</v>
      </c>
      <c r="AQ2755">
        <v>4.4721359549995796</v>
      </c>
      <c r="AW2755" s="28">
        <f t="shared" si="288"/>
        <v>0</v>
      </c>
      <c r="AX2755">
        <f t="shared" si="289"/>
        <v>0.98013245033112584</v>
      </c>
      <c r="AY2755" s="62">
        <f t="shared" si="290"/>
        <v>0</v>
      </c>
      <c r="AZ2755" s="68" t="str">
        <f t="shared" si="291"/>
        <v>No</v>
      </c>
      <c r="BA2755" s="68" t="str">
        <f t="shared" si="292"/>
        <v>No</v>
      </c>
    </row>
    <row r="2756" spans="1:55" hidden="1">
      <c r="A2756" t="s">
        <v>3914</v>
      </c>
      <c r="G2756" t="s">
        <v>3929</v>
      </c>
      <c r="P2756" t="s">
        <v>60</v>
      </c>
      <c r="R2756" t="s">
        <v>3942</v>
      </c>
      <c r="S2756" t="s">
        <v>3954</v>
      </c>
      <c r="V2756" t="s">
        <v>3956</v>
      </c>
      <c r="Z2756">
        <v>20</v>
      </c>
      <c r="AA2756">
        <v>20</v>
      </c>
      <c r="AC2756">
        <v>360</v>
      </c>
      <c r="AD2756">
        <v>27.4</v>
      </c>
      <c r="AE2756">
        <v>972</v>
      </c>
      <c r="AF2756">
        <v>27.6</v>
      </c>
      <c r="AJ2756" t="s">
        <v>3939</v>
      </c>
      <c r="AK2756" t="s">
        <v>904</v>
      </c>
      <c r="AN2756">
        <v>40</v>
      </c>
      <c r="AO2756">
        <v>13.416407864998739</v>
      </c>
      <c r="AP2756">
        <v>35</v>
      </c>
      <c r="AQ2756">
        <v>22.360679774997898</v>
      </c>
      <c r="AW2756" s="28">
        <f t="shared" si="288"/>
        <v>-0.2711630722733202</v>
      </c>
      <c r="AX2756">
        <f t="shared" si="289"/>
        <v>0.98013245033112584</v>
      </c>
      <c r="AY2756" s="62">
        <f t="shared" si="290"/>
        <v>-0.2657757264665655</v>
      </c>
      <c r="AZ2756" s="68" t="str">
        <f t="shared" si="291"/>
        <v>No</v>
      </c>
      <c r="BA2756" s="68" t="str">
        <f t="shared" si="292"/>
        <v>No</v>
      </c>
    </row>
    <row r="2757" spans="1:55" hidden="1">
      <c r="A2757" t="s">
        <v>3914</v>
      </c>
      <c r="G2757" t="s">
        <v>3929</v>
      </c>
      <c r="P2757" t="s">
        <v>60</v>
      </c>
      <c r="R2757" t="s">
        <v>3942</v>
      </c>
      <c r="S2757" t="s">
        <v>3952</v>
      </c>
      <c r="V2757" t="s">
        <v>3956</v>
      </c>
      <c r="Z2757">
        <v>20</v>
      </c>
      <c r="AA2757">
        <v>20</v>
      </c>
      <c r="AC2757">
        <v>360</v>
      </c>
      <c r="AD2757">
        <v>27.4</v>
      </c>
      <c r="AE2757">
        <v>972</v>
      </c>
      <c r="AF2757">
        <v>27.6</v>
      </c>
      <c r="AJ2757" t="s">
        <v>3973</v>
      </c>
      <c r="AK2757" t="s">
        <v>40</v>
      </c>
      <c r="AN2757">
        <v>300</v>
      </c>
      <c r="AO2757">
        <v>44.721359549995796</v>
      </c>
      <c r="AP2757">
        <v>295</v>
      </c>
      <c r="AQ2757">
        <v>44.721359549995796</v>
      </c>
      <c r="AW2757" s="28">
        <f t="shared" si="288"/>
        <v>-0.11180339887498948</v>
      </c>
      <c r="AX2757">
        <f t="shared" si="289"/>
        <v>0.98013245033112584</v>
      </c>
      <c r="AY2757" s="62">
        <f t="shared" si="290"/>
        <v>-0.10958213929469168</v>
      </c>
      <c r="AZ2757" s="68" t="str">
        <f t="shared" si="291"/>
        <v>No</v>
      </c>
      <c r="BA2757" s="68" t="str">
        <f t="shared" si="292"/>
        <v>No</v>
      </c>
    </row>
    <row r="2758" spans="1:55" hidden="1">
      <c r="A2758" t="s">
        <v>3914</v>
      </c>
      <c r="G2758" t="s">
        <v>3929</v>
      </c>
      <c r="P2758" t="s">
        <v>60</v>
      </c>
      <c r="R2758" t="s">
        <v>3942</v>
      </c>
      <c r="S2758" t="s">
        <v>3954</v>
      </c>
      <c r="V2758" t="s">
        <v>3956</v>
      </c>
      <c r="Z2758">
        <v>20</v>
      </c>
      <c r="AA2758">
        <v>20</v>
      </c>
      <c r="AC2758">
        <v>360</v>
      </c>
      <c r="AD2758">
        <v>27.4</v>
      </c>
      <c r="AE2758">
        <v>972</v>
      </c>
      <c r="AF2758">
        <v>27.6</v>
      </c>
      <c r="AJ2758" t="s">
        <v>3973</v>
      </c>
      <c r="AK2758" t="s">
        <v>40</v>
      </c>
      <c r="AN2758">
        <v>620</v>
      </c>
      <c r="AO2758">
        <v>89.442719099991592</v>
      </c>
      <c r="AP2758">
        <v>625</v>
      </c>
      <c r="AQ2758">
        <v>111.80339887498948</v>
      </c>
      <c r="AW2758" s="28">
        <f t="shared" si="288"/>
        <v>4.9386479832479478E-2</v>
      </c>
      <c r="AX2758">
        <f t="shared" si="289"/>
        <v>0.98013245033112584</v>
      </c>
      <c r="AY2758" s="62">
        <f t="shared" si="290"/>
        <v>4.8405291491436839E-2</v>
      </c>
      <c r="AZ2758" s="68" t="str">
        <f t="shared" si="291"/>
        <v>No</v>
      </c>
      <c r="BA2758" s="68" t="str">
        <f t="shared" si="292"/>
        <v>No</v>
      </c>
    </row>
    <row r="2759" spans="1:55" hidden="1">
      <c r="A2759" t="s">
        <v>3914</v>
      </c>
      <c r="G2759" t="s">
        <v>5052</v>
      </c>
      <c r="P2759" t="s">
        <v>60</v>
      </c>
      <c r="R2759" t="s">
        <v>4357</v>
      </c>
      <c r="S2759" t="s">
        <v>1148</v>
      </c>
      <c r="V2759" t="s">
        <v>3956</v>
      </c>
      <c r="Z2759">
        <v>15</v>
      </c>
      <c r="AA2759">
        <v>14</v>
      </c>
      <c r="AC2759">
        <v>499</v>
      </c>
      <c r="AD2759">
        <v>18.93</v>
      </c>
      <c r="AE2759">
        <v>1303.72</v>
      </c>
      <c r="AF2759">
        <v>18.93</v>
      </c>
      <c r="AJ2759" t="s">
        <v>4435</v>
      </c>
      <c r="AK2759" t="s">
        <v>4244</v>
      </c>
      <c r="AN2759">
        <v>2.5999999999999999E-2</v>
      </c>
      <c r="AO2759">
        <v>5.0000000000000001E-3</v>
      </c>
      <c r="AP2759">
        <v>3.1E-2</v>
      </c>
      <c r="AQ2759">
        <v>6.0000000000000001E-3</v>
      </c>
      <c r="AW2759" s="28">
        <f t="shared" si="288"/>
        <v>0.9083960447311128</v>
      </c>
      <c r="AX2759">
        <f t="shared" si="289"/>
        <v>0.9719626168224299</v>
      </c>
      <c r="AY2759" s="62">
        <f t="shared" si="290"/>
        <v>0.88292699674799746</v>
      </c>
      <c r="AZ2759" s="68" t="str">
        <f t="shared" si="291"/>
        <v>No</v>
      </c>
      <c r="BA2759" s="68" t="str">
        <f t="shared" si="292"/>
        <v>No</v>
      </c>
    </row>
    <row r="2760" spans="1:55" hidden="1">
      <c r="A2760" t="s">
        <v>3914</v>
      </c>
      <c r="G2760" t="s">
        <v>4414</v>
      </c>
      <c r="P2760" t="s">
        <v>60</v>
      </c>
      <c r="R2760" t="s">
        <v>4357</v>
      </c>
      <c r="S2760" t="s">
        <v>1148</v>
      </c>
      <c r="V2760" t="s">
        <v>3956</v>
      </c>
      <c r="Z2760">
        <v>15</v>
      </c>
      <c r="AA2760">
        <v>15</v>
      </c>
      <c r="AC2760">
        <v>499</v>
      </c>
      <c r="AD2760">
        <v>18.93</v>
      </c>
      <c r="AE2760">
        <v>2568</v>
      </c>
      <c r="AF2760">
        <v>18.97</v>
      </c>
      <c r="AJ2760" t="s">
        <v>4435</v>
      </c>
      <c r="AK2760" t="s">
        <v>4244</v>
      </c>
      <c r="AN2760">
        <v>2.5999999999999999E-2</v>
      </c>
      <c r="AO2760">
        <v>5.0000000000000001E-3</v>
      </c>
      <c r="AP2760">
        <v>2.5000000000000001E-2</v>
      </c>
      <c r="AQ2760">
        <v>6.0000000000000001E-3</v>
      </c>
      <c r="AW2760" s="28">
        <f t="shared" si="288"/>
        <v>-0.18107149208503656</v>
      </c>
      <c r="AX2760">
        <f t="shared" si="289"/>
        <v>0.97297297297297303</v>
      </c>
      <c r="AY2760" s="62">
        <f t="shared" si="290"/>
        <v>-0.17617766797463016</v>
      </c>
      <c r="AZ2760" s="68" t="str">
        <f t="shared" si="291"/>
        <v>No</v>
      </c>
      <c r="BA2760" s="68" t="str">
        <f t="shared" si="292"/>
        <v>No</v>
      </c>
    </row>
    <row r="2761" spans="1:55" hidden="1">
      <c r="A2761" t="s">
        <v>3914</v>
      </c>
      <c r="G2761" t="s">
        <v>4414</v>
      </c>
      <c r="P2761" t="s">
        <v>60</v>
      </c>
      <c r="R2761" t="s">
        <v>4357</v>
      </c>
      <c r="S2761" t="s">
        <v>1148</v>
      </c>
      <c r="V2761" t="s">
        <v>3956</v>
      </c>
      <c r="Z2761">
        <v>8</v>
      </c>
      <c r="AA2761">
        <v>7</v>
      </c>
      <c r="AC2761">
        <v>499</v>
      </c>
      <c r="AD2761">
        <v>18.93</v>
      </c>
      <c r="AE2761">
        <v>2568</v>
      </c>
      <c r="AF2761">
        <v>18.97</v>
      </c>
      <c r="AJ2761" t="s">
        <v>4489</v>
      </c>
      <c r="AK2761" t="s">
        <v>4491</v>
      </c>
      <c r="AN2761">
        <v>0.97250000000000003</v>
      </c>
      <c r="AO2761">
        <v>1.0999999999999999E-2</v>
      </c>
      <c r="AP2761">
        <v>0.95799999999999996</v>
      </c>
      <c r="AQ2761">
        <v>6.0000000000000001E-3</v>
      </c>
      <c r="AW2761" s="28">
        <f t="shared" si="288"/>
        <v>-1.6035150711031572</v>
      </c>
      <c r="AX2761">
        <f t="shared" si="289"/>
        <v>0.94117647058823528</v>
      </c>
      <c r="AY2761" s="62">
        <f t="shared" si="290"/>
        <v>-1.5091906551559127</v>
      </c>
      <c r="AZ2761" s="68" t="str">
        <f t="shared" si="291"/>
        <v>No</v>
      </c>
      <c r="BA2761" s="68" t="str">
        <f t="shared" si="292"/>
        <v>No</v>
      </c>
    </row>
    <row r="2762" spans="1:55" hidden="1">
      <c r="A2762" t="s">
        <v>3914</v>
      </c>
      <c r="G2762" t="s">
        <v>4414</v>
      </c>
      <c r="P2762" t="s">
        <v>60</v>
      </c>
      <c r="R2762" t="s">
        <v>4357</v>
      </c>
      <c r="S2762" t="s">
        <v>1148</v>
      </c>
      <c r="V2762" t="s">
        <v>3956</v>
      </c>
      <c r="Z2762">
        <v>8</v>
      </c>
      <c r="AA2762">
        <v>12</v>
      </c>
      <c r="AC2762">
        <v>499</v>
      </c>
      <c r="AD2762">
        <v>18.93</v>
      </c>
      <c r="AE2762">
        <v>1303.72</v>
      </c>
      <c r="AF2762">
        <v>18.93</v>
      </c>
      <c r="AJ2762" t="s">
        <v>4489</v>
      </c>
      <c r="AK2762" t="s">
        <v>4491</v>
      </c>
      <c r="AN2762">
        <v>0.97250000000000003</v>
      </c>
      <c r="AO2762">
        <v>1.0999999999999999E-2</v>
      </c>
      <c r="AP2762">
        <v>0.96899999999999997</v>
      </c>
      <c r="AQ2762">
        <v>1.2999999999999999E-2</v>
      </c>
      <c r="AW2762" s="28">
        <f t="shared" si="288"/>
        <v>-0.28545680510919913</v>
      </c>
      <c r="AX2762">
        <f t="shared" si="289"/>
        <v>0.95774647887323949</v>
      </c>
      <c r="AY2762" s="62">
        <f t="shared" si="290"/>
        <v>-0.27339524996374004</v>
      </c>
      <c r="AZ2762" s="68" t="str">
        <f t="shared" si="291"/>
        <v>No</v>
      </c>
      <c r="BA2762" s="68" t="str">
        <f t="shared" si="292"/>
        <v>No</v>
      </c>
    </row>
    <row r="2763" spans="1:55" s="56" customFormat="1" ht="15" hidden="1">
      <c r="A2763" t="s">
        <v>3914</v>
      </c>
      <c r="B2763"/>
      <c r="C2763"/>
      <c r="D2763" s="25"/>
      <c r="E2763" s="25"/>
      <c r="F2763"/>
      <c r="G2763" t="s">
        <v>4392</v>
      </c>
      <c r="H2763"/>
      <c r="I2763"/>
      <c r="J2763"/>
      <c r="K2763"/>
      <c r="L2763"/>
      <c r="M2763" s="25"/>
      <c r="N2763"/>
      <c r="O2763"/>
      <c r="P2763" t="s">
        <v>4596</v>
      </c>
      <c r="Q2763"/>
      <c r="R2763" t="s">
        <v>4357</v>
      </c>
      <c r="S2763" t="s">
        <v>1148</v>
      </c>
      <c r="T2763"/>
      <c r="U2763"/>
      <c r="V2763" t="s">
        <v>4627</v>
      </c>
      <c r="W2763" s="25"/>
      <c r="X2763"/>
      <c r="Y2763"/>
      <c r="Z2763">
        <v>3</v>
      </c>
      <c r="AA2763">
        <v>3</v>
      </c>
      <c r="AB2763"/>
      <c r="AC2763">
        <v>310.60000000000002</v>
      </c>
      <c r="AD2763">
        <v>19</v>
      </c>
      <c r="AE2763">
        <v>1897.6</v>
      </c>
      <c r="AF2763">
        <v>22.5</v>
      </c>
      <c r="AG2763"/>
      <c r="AH2763"/>
      <c r="AI2763"/>
      <c r="AJ2763" t="s">
        <v>4757</v>
      </c>
      <c r="AK2763" t="s">
        <v>4642</v>
      </c>
      <c r="AL2763" s="25"/>
      <c r="AM2763" s="35"/>
      <c r="AN2763">
        <v>0.13500000000000001</v>
      </c>
      <c r="AO2763">
        <f>0.15-0.135</f>
        <v>1.4999999999999986E-2</v>
      </c>
      <c r="AP2763">
        <v>0.23499999999999999</v>
      </c>
      <c r="AQ2763">
        <f>0.25-0.235</f>
        <v>1.5000000000000013E-2</v>
      </c>
      <c r="AR2763"/>
      <c r="AS2763"/>
      <c r="AT2763"/>
      <c r="AU2763"/>
      <c r="AV2763"/>
      <c r="AW2763" s="28">
        <f t="shared" si="288"/>
        <v>6.6666666666666652</v>
      </c>
      <c r="AX2763">
        <f t="shared" si="289"/>
        <v>0.8</v>
      </c>
      <c r="AY2763" s="62">
        <f t="shared" si="290"/>
        <v>5.3333333333333321</v>
      </c>
      <c r="AZ2763" s="68" t="str">
        <f t="shared" si="291"/>
        <v>No</v>
      </c>
      <c r="BA2763" s="68" t="str">
        <f t="shared" si="292"/>
        <v>No</v>
      </c>
      <c r="BB2763"/>
      <c r="BC2763"/>
    </row>
    <row r="2764" spans="1:55" hidden="1">
      <c r="A2764" t="s">
        <v>3914</v>
      </c>
      <c r="G2764" t="s">
        <v>4392</v>
      </c>
      <c r="P2764" t="s">
        <v>4596</v>
      </c>
      <c r="R2764" t="s">
        <v>4357</v>
      </c>
      <c r="S2764" t="s">
        <v>1148</v>
      </c>
      <c r="V2764" t="s">
        <v>4598</v>
      </c>
      <c r="Z2764">
        <v>3</v>
      </c>
      <c r="AA2764">
        <v>3</v>
      </c>
      <c r="AC2764">
        <v>310.60000000000002</v>
      </c>
      <c r="AD2764">
        <v>19</v>
      </c>
      <c r="AE2764">
        <v>313.60000000000002</v>
      </c>
      <c r="AF2764">
        <v>22.5</v>
      </c>
      <c r="AJ2764" t="s">
        <v>4756</v>
      </c>
      <c r="AK2764" t="s">
        <v>4642</v>
      </c>
      <c r="AN2764">
        <v>0.13500000000000001</v>
      </c>
      <c r="AO2764">
        <f>0.15-0.135</f>
        <v>1.4999999999999986E-2</v>
      </c>
      <c r="AP2764">
        <v>0.23</v>
      </c>
      <c r="AQ2764">
        <v>0.02</v>
      </c>
      <c r="AW2764" s="28">
        <f t="shared" si="288"/>
        <v>5.374011537017763</v>
      </c>
      <c r="AX2764">
        <f t="shared" si="289"/>
        <v>0.8</v>
      </c>
      <c r="AY2764" s="62">
        <f t="shared" si="290"/>
        <v>4.2992092296142106</v>
      </c>
      <c r="AZ2764" s="68" t="str">
        <f t="shared" si="291"/>
        <v>No</v>
      </c>
      <c r="BA2764" s="68" t="str">
        <f t="shared" si="292"/>
        <v>No</v>
      </c>
    </row>
    <row r="2765" spans="1:55" hidden="1">
      <c r="A2765" t="s">
        <v>3914</v>
      </c>
      <c r="G2765" t="s">
        <v>4392</v>
      </c>
      <c r="P2765" t="s">
        <v>60</v>
      </c>
      <c r="R2765" t="s">
        <v>4357</v>
      </c>
      <c r="S2765" t="s">
        <v>1148</v>
      </c>
      <c r="V2765" t="s">
        <v>3956</v>
      </c>
      <c r="Z2765" s="51">
        <v>3</v>
      </c>
      <c r="AA2765" s="51">
        <v>3</v>
      </c>
      <c r="AC2765">
        <v>310.60000000000002</v>
      </c>
      <c r="AD2765">
        <v>19</v>
      </c>
      <c r="AE2765">
        <v>1849.9</v>
      </c>
      <c r="AF2765">
        <v>19</v>
      </c>
      <c r="AJ2765" t="s">
        <v>1827</v>
      </c>
      <c r="AK2765" t="s">
        <v>4244</v>
      </c>
      <c r="AN2765">
        <v>0.68</v>
      </c>
      <c r="AO2765">
        <v>0.05</v>
      </c>
      <c r="AP2765">
        <v>0.56999999999999995</v>
      </c>
      <c r="AQ2765">
        <v>3.5000000000000003E-2</v>
      </c>
      <c r="AW2765" s="28">
        <f t="shared" si="288"/>
        <v>-2.5488515639993676</v>
      </c>
      <c r="AX2765">
        <f t="shared" si="289"/>
        <v>0.8</v>
      </c>
      <c r="AY2765" s="62">
        <f t="shared" si="290"/>
        <v>-2.039081251199494</v>
      </c>
      <c r="AZ2765" s="68" t="str">
        <f t="shared" si="291"/>
        <v>No</v>
      </c>
      <c r="BA2765" s="68" t="str">
        <f t="shared" si="292"/>
        <v>No</v>
      </c>
    </row>
    <row r="2766" spans="1:55" hidden="1">
      <c r="A2766" t="s">
        <v>3914</v>
      </c>
      <c r="G2766" t="s">
        <v>4392</v>
      </c>
      <c r="P2766" t="s">
        <v>4596</v>
      </c>
      <c r="R2766" t="s">
        <v>4357</v>
      </c>
      <c r="S2766" t="s">
        <v>1148</v>
      </c>
      <c r="V2766" t="s">
        <v>4626</v>
      </c>
      <c r="Z2766">
        <v>3</v>
      </c>
      <c r="AA2766">
        <v>3</v>
      </c>
      <c r="AC2766">
        <v>310.60000000000002</v>
      </c>
      <c r="AD2766">
        <v>19</v>
      </c>
      <c r="AE2766">
        <v>915.6</v>
      </c>
      <c r="AF2766">
        <v>22.5</v>
      </c>
      <c r="AJ2766" t="s">
        <v>1827</v>
      </c>
      <c r="AK2766" t="s">
        <v>4642</v>
      </c>
      <c r="AN2766">
        <v>0.68</v>
      </c>
      <c r="AO2766">
        <f>0.74-0.68</f>
        <v>5.9999999999999942E-2</v>
      </c>
      <c r="AP2766">
        <v>0.66</v>
      </c>
      <c r="AQ2766">
        <v>0.04</v>
      </c>
      <c r="AW2766" s="28">
        <f t="shared" ref="AW2766:AW2829" si="293">(AP2766-$AN2766)/SQRT(((AA2766-1)*AQ2766*AQ2766+($Z2766-1)*$AO2766*$AO2766)/(AA2766+$Z2766-2))</f>
        <v>-0.3922322702763687</v>
      </c>
      <c r="AX2766">
        <f t="shared" ref="AX2766:AX2829" si="294">1-(3/(4*(AA2766+$Z2766-2)-1))</f>
        <v>0.8</v>
      </c>
      <c r="AY2766" s="62">
        <f t="shared" ref="AY2766:AY2829" si="295">AX2766*AW2766</f>
        <v>-0.31378581622109497</v>
      </c>
      <c r="AZ2766" s="68" t="str">
        <f t="shared" ref="AZ2766:AZ2829" si="296">IF(AY2766&gt;10,"Yes","No")</f>
        <v>No</v>
      </c>
      <c r="BA2766" s="68" t="str">
        <f t="shared" ref="BA2766:BA2829" si="297">IF(AY2766&lt;-10,"Yes","No")</f>
        <v>No</v>
      </c>
    </row>
    <row r="2767" spans="1:55" hidden="1">
      <c r="A2767" t="s">
        <v>3914</v>
      </c>
      <c r="G2767" t="s">
        <v>4392</v>
      </c>
      <c r="P2767" t="s">
        <v>60</v>
      </c>
      <c r="R2767" t="s">
        <v>4357</v>
      </c>
      <c r="S2767" t="s">
        <v>1148</v>
      </c>
      <c r="V2767" t="s">
        <v>3956</v>
      </c>
      <c r="Z2767" s="51">
        <v>3</v>
      </c>
      <c r="AA2767" s="51">
        <v>3</v>
      </c>
      <c r="AC2767">
        <v>310.60000000000002</v>
      </c>
      <c r="AD2767">
        <v>19</v>
      </c>
      <c r="AE2767">
        <v>885.4</v>
      </c>
      <c r="AF2767">
        <v>19</v>
      </c>
      <c r="AJ2767" t="s">
        <v>1827</v>
      </c>
      <c r="AK2767" t="s">
        <v>4244</v>
      </c>
      <c r="AN2767">
        <v>0.68</v>
      </c>
      <c r="AO2767">
        <v>0.05</v>
      </c>
      <c r="AP2767">
        <v>0.75</v>
      </c>
      <c r="AQ2767">
        <v>0.05</v>
      </c>
      <c r="AW2767" s="28">
        <f t="shared" si="293"/>
        <v>1.399999999999999</v>
      </c>
      <c r="AX2767">
        <f t="shared" si="294"/>
        <v>0.8</v>
      </c>
      <c r="AY2767" s="62">
        <f t="shared" si="295"/>
        <v>1.1199999999999992</v>
      </c>
      <c r="AZ2767" s="68" t="str">
        <f t="shared" si="296"/>
        <v>No</v>
      </c>
      <c r="BA2767" s="68" t="str">
        <f t="shared" si="297"/>
        <v>No</v>
      </c>
    </row>
    <row r="2768" spans="1:55" hidden="1">
      <c r="A2768" t="s">
        <v>3914</v>
      </c>
      <c r="G2768" t="s">
        <v>4392</v>
      </c>
      <c r="P2768" t="s">
        <v>4596</v>
      </c>
      <c r="R2768" t="s">
        <v>4357</v>
      </c>
      <c r="S2768" t="s">
        <v>1148</v>
      </c>
      <c r="V2768" t="s">
        <v>4626</v>
      </c>
      <c r="Z2768">
        <v>3</v>
      </c>
      <c r="AA2768">
        <v>3</v>
      </c>
      <c r="AC2768">
        <v>310.60000000000002</v>
      </c>
      <c r="AD2768">
        <v>19</v>
      </c>
      <c r="AE2768">
        <v>915.6</v>
      </c>
      <c r="AF2768">
        <v>22.5</v>
      </c>
      <c r="AJ2768" t="s">
        <v>4444</v>
      </c>
      <c r="AK2768" t="s">
        <v>4642</v>
      </c>
      <c r="AN2768">
        <v>0.69</v>
      </c>
      <c r="AO2768">
        <v>7.0000000000000007E-2</v>
      </c>
      <c r="AP2768">
        <v>0.64</v>
      </c>
      <c r="AQ2768">
        <v>0.05</v>
      </c>
      <c r="AW2768" s="28">
        <f t="shared" si="293"/>
        <v>-0.82199493652678524</v>
      </c>
      <c r="AX2768">
        <f t="shared" si="294"/>
        <v>0.8</v>
      </c>
      <c r="AY2768" s="62">
        <f t="shared" si="295"/>
        <v>-0.65759594922142828</v>
      </c>
      <c r="AZ2768" s="68" t="str">
        <f t="shared" si="296"/>
        <v>No</v>
      </c>
      <c r="BA2768" s="68" t="str">
        <f t="shared" si="297"/>
        <v>No</v>
      </c>
    </row>
    <row r="2769" spans="1:55" hidden="1">
      <c r="A2769" t="s">
        <v>3914</v>
      </c>
      <c r="G2769" t="s">
        <v>4392</v>
      </c>
      <c r="P2769" t="s">
        <v>4596</v>
      </c>
      <c r="R2769" t="s">
        <v>4357</v>
      </c>
      <c r="S2769" t="s">
        <v>1148</v>
      </c>
      <c r="V2769" t="s">
        <v>4626</v>
      </c>
      <c r="Z2769">
        <v>3</v>
      </c>
      <c r="AA2769">
        <v>3</v>
      </c>
      <c r="AC2769">
        <v>310.60000000000002</v>
      </c>
      <c r="AD2769">
        <v>19</v>
      </c>
      <c r="AE2769">
        <v>915.6</v>
      </c>
      <c r="AF2769">
        <v>22.5</v>
      </c>
      <c r="AJ2769" t="s">
        <v>4757</v>
      </c>
      <c r="AK2769" t="s">
        <v>4642</v>
      </c>
      <c r="AN2769">
        <v>0.13500000000000001</v>
      </c>
      <c r="AO2769">
        <f>0.15-0.135</f>
        <v>1.4999999999999986E-2</v>
      </c>
      <c r="AP2769">
        <v>0.15</v>
      </c>
      <c r="AQ2769">
        <v>0.05</v>
      </c>
      <c r="AW2769" s="28">
        <f t="shared" si="293"/>
        <v>0.40637127688715741</v>
      </c>
      <c r="AX2769">
        <f t="shared" si="294"/>
        <v>0.8</v>
      </c>
      <c r="AY2769" s="62">
        <f t="shared" si="295"/>
        <v>0.32509702150972597</v>
      </c>
      <c r="AZ2769" s="68" t="str">
        <f t="shared" si="296"/>
        <v>No</v>
      </c>
      <c r="BA2769" s="68" t="str">
        <f t="shared" si="297"/>
        <v>No</v>
      </c>
    </row>
    <row r="2770" spans="1:55" hidden="1">
      <c r="A2770" t="s">
        <v>3914</v>
      </c>
      <c r="G2770" s="50" t="s">
        <v>4392</v>
      </c>
      <c r="P2770" t="s">
        <v>60</v>
      </c>
      <c r="R2770" t="s">
        <v>4357</v>
      </c>
      <c r="S2770" s="50" t="s">
        <v>1148</v>
      </c>
      <c r="V2770" t="s">
        <v>3956</v>
      </c>
      <c r="Z2770">
        <v>3</v>
      </c>
      <c r="AA2770">
        <v>3</v>
      </c>
      <c r="AC2770">
        <v>310.60000000000002</v>
      </c>
      <c r="AD2770">
        <v>19</v>
      </c>
      <c r="AE2770">
        <v>1849.9</v>
      </c>
      <c r="AF2770">
        <v>19</v>
      </c>
      <c r="AJ2770" s="50" t="s">
        <v>4444</v>
      </c>
      <c r="AK2770" t="s">
        <v>4244</v>
      </c>
      <c r="AN2770">
        <v>0.69</v>
      </c>
      <c r="AO2770">
        <v>7.0000000000000007E-2</v>
      </c>
      <c r="AP2770">
        <v>0.52</v>
      </c>
      <c r="AQ2770">
        <v>0.06</v>
      </c>
      <c r="AW2770" s="28">
        <f t="shared" si="293"/>
        <v>-2.6076809620810582</v>
      </c>
      <c r="AX2770">
        <f t="shared" si="294"/>
        <v>0.8</v>
      </c>
      <c r="AY2770" s="62">
        <f t="shared" si="295"/>
        <v>-2.0861447696648465</v>
      </c>
      <c r="AZ2770" s="68" t="str">
        <f t="shared" si="296"/>
        <v>No</v>
      </c>
      <c r="BA2770" s="68" t="str">
        <f t="shared" si="297"/>
        <v>No</v>
      </c>
    </row>
    <row r="2771" spans="1:55" hidden="1">
      <c r="A2771" t="s">
        <v>3914</v>
      </c>
      <c r="G2771" t="s">
        <v>4392</v>
      </c>
      <c r="P2771" t="s">
        <v>4596</v>
      </c>
      <c r="R2771" t="s">
        <v>4357</v>
      </c>
      <c r="S2771" t="s">
        <v>1148</v>
      </c>
      <c r="V2771" t="s">
        <v>4598</v>
      </c>
      <c r="Z2771">
        <v>3</v>
      </c>
      <c r="AA2771">
        <v>3</v>
      </c>
      <c r="AC2771">
        <v>310.60000000000002</v>
      </c>
      <c r="AD2771">
        <v>19</v>
      </c>
      <c r="AE2771">
        <v>313.60000000000002</v>
      </c>
      <c r="AF2771">
        <v>22.5</v>
      </c>
      <c r="AJ2771" t="s">
        <v>4444</v>
      </c>
      <c r="AK2771" t="s">
        <v>4642</v>
      </c>
      <c r="AN2771">
        <v>0.69</v>
      </c>
      <c r="AO2771">
        <v>7.0000000000000007E-2</v>
      </c>
      <c r="AP2771">
        <v>0.72</v>
      </c>
      <c r="AQ2771">
        <v>0.06</v>
      </c>
      <c r="AW2771" s="28">
        <f t="shared" si="293"/>
        <v>0.4601789933084226</v>
      </c>
      <c r="AX2771">
        <f t="shared" si="294"/>
        <v>0.8</v>
      </c>
      <c r="AY2771" s="62">
        <f t="shared" si="295"/>
        <v>0.36814319464673811</v>
      </c>
      <c r="AZ2771" s="68" t="str">
        <f t="shared" si="296"/>
        <v>No</v>
      </c>
      <c r="BA2771" s="68" t="str">
        <f t="shared" si="297"/>
        <v>No</v>
      </c>
    </row>
    <row r="2772" spans="1:55" hidden="1">
      <c r="A2772" t="s">
        <v>3914</v>
      </c>
      <c r="G2772" t="s">
        <v>4392</v>
      </c>
      <c r="P2772" t="s">
        <v>4596</v>
      </c>
      <c r="R2772" t="s">
        <v>4357</v>
      </c>
      <c r="S2772" t="s">
        <v>1148</v>
      </c>
      <c r="V2772" t="s">
        <v>4627</v>
      </c>
      <c r="Z2772">
        <v>3</v>
      </c>
      <c r="AA2772">
        <v>3</v>
      </c>
      <c r="AC2772">
        <v>310.60000000000002</v>
      </c>
      <c r="AD2772">
        <v>19</v>
      </c>
      <c r="AE2772">
        <v>1897.6</v>
      </c>
      <c r="AF2772">
        <v>22.5</v>
      </c>
      <c r="AJ2772" t="s">
        <v>4444</v>
      </c>
      <c r="AK2772" t="s">
        <v>4642</v>
      </c>
      <c r="AN2772">
        <v>0.69</v>
      </c>
      <c r="AO2772">
        <v>7.0000000000000007E-2</v>
      </c>
      <c r="AP2772">
        <v>0.75</v>
      </c>
      <c r="AQ2772">
        <v>0.06</v>
      </c>
      <c r="AW2772" s="28">
        <f t="shared" si="293"/>
        <v>0.9203579866168452</v>
      </c>
      <c r="AX2772">
        <f t="shared" si="294"/>
        <v>0.8</v>
      </c>
      <c r="AY2772" s="62">
        <f t="shared" si="295"/>
        <v>0.73628638929347623</v>
      </c>
      <c r="AZ2772" s="68" t="str">
        <f t="shared" si="296"/>
        <v>No</v>
      </c>
      <c r="BA2772" s="68" t="str">
        <f t="shared" si="297"/>
        <v>No</v>
      </c>
    </row>
    <row r="2773" spans="1:55" hidden="1">
      <c r="A2773" t="s">
        <v>3914</v>
      </c>
      <c r="G2773" s="50" t="s">
        <v>4392</v>
      </c>
      <c r="P2773" t="s">
        <v>60</v>
      </c>
      <c r="R2773" t="s">
        <v>4357</v>
      </c>
      <c r="S2773" s="50" t="s">
        <v>1148</v>
      </c>
      <c r="V2773" t="s">
        <v>3956</v>
      </c>
      <c r="Z2773" s="52">
        <v>3</v>
      </c>
      <c r="AA2773" s="52">
        <v>3</v>
      </c>
      <c r="AC2773">
        <v>310.60000000000002</v>
      </c>
      <c r="AD2773">
        <v>19</v>
      </c>
      <c r="AE2773">
        <v>885.4</v>
      </c>
      <c r="AF2773">
        <v>19</v>
      </c>
      <c r="AJ2773" s="50" t="s">
        <v>4444</v>
      </c>
      <c r="AK2773" t="s">
        <v>4244</v>
      </c>
      <c r="AN2773">
        <v>0.69</v>
      </c>
      <c r="AO2773">
        <v>7.0000000000000007E-2</v>
      </c>
      <c r="AP2773">
        <v>0.65</v>
      </c>
      <c r="AQ2773">
        <v>7.0000000000000007E-2</v>
      </c>
      <c r="AW2773" s="28">
        <f t="shared" si="293"/>
        <v>-0.57142857142857029</v>
      </c>
      <c r="AX2773">
        <f t="shared" si="294"/>
        <v>0.8</v>
      </c>
      <c r="AY2773" s="62">
        <f t="shared" si="295"/>
        <v>-0.45714285714285624</v>
      </c>
      <c r="AZ2773" s="68" t="str">
        <f t="shared" si="296"/>
        <v>No</v>
      </c>
      <c r="BA2773" s="68" t="str">
        <f t="shared" si="297"/>
        <v>No</v>
      </c>
    </row>
    <row r="2774" spans="1:55" hidden="1">
      <c r="A2774" t="s">
        <v>3914</v>
      </c>
      <c r="G2774" t="s">
        <v>4392</v>
      </c>
      <c r="P2774" t="s">
        <v>4596</v>
      </c>
      <c r="R2774" t="s">
        <v>4357</v>
      </c>
      <c r="S2774" t="s">
        <v>1148</v>
      </c>
      <c r="V2774" t="s">
        <v>4598</v>
      </c>
      <c r="Z2774">
        <v>3</v>
      </c>
      <c r="AA2774">
        <v>3</v>
      </c>
      <c r="AC2774">
        <v>310.60000000000002</v>
      </c>
      <c r="AD2774">
        <v>19</v>
      </c>
      <c r="AE2774">
        <v>313.60000000000002</v>
      </c>
      <c r="AF2774">
        <v>22.5</v>
      </c>
      <c r="AJ2774" t="s">
        <v>4758</v>
      </c>
      <c r="AK2774" t="s">
        <v>4642</v>
      </c>
      <c r="AN2774">
        <v>0.68</v>
      </c>
      <c r="AO2774">
        <f>0.74-0.68</f>
        <v>5.9999999999999942E-2</v>
      </c>
      <c r="AP2774">
        <v>0.7</v>
      </c>
      <c r="AQ2774">
        <v>7.0000000000000007E-2</v>
      </c>
      <c r="AW2774" s="28">
        <f t="shared" si="293"/>
        <v>0.30678599553894681</v>
      </c>
      <c r="AX2774">
        <f t="shared" si="294"/>
        <v>0.8</v>
      </c>
      <c r="AY2774" s="62">
        <f t="shared" si="295"/>
        <v>0.24542879643115745</v>
      </c>
      <c r="AZ2774" s="68" t="str">
        <f t="shared" si="296"/>
        <v>No</v>
      </c>
      <c r="BA2774" s="68" t="str">
        <f t="shared" si="297"/>
        <v>No</v>
      </c>
    </row>
    <row r="2775" spans="1:55" hidden="1">
      <c r="A2775" t="s">
        <v>3914</v>
      </c>
      <c r="G2775" t="s">
        <v>4392</v>
      </c>
      <c r="P2775" t="s">
        <v>4596</v>
      </c>
      <c r="R2775" t="s">
        <v>4357</v>
      </c>
      <c r="S2775" t="s">
        <v>1148</v>
      </c>
      <c r="V2775" t="s">
        <v>4627</v>
      </c>
      <c r="Z2775">
        <v>3</v>
      </c>
      <c r="AA2775">
        <v>3</v>
      </c>
      <c r="AC2775">
        <v>310.60000000000002</v>
      </c>
      <c r="AD2775">
        <v>19</v>
      </c>
      <c r="AE2775">
        <v>1897.6</v>
      </c>
      <c r="AF2775">
        <v>22.5</v>
      </c>
      <c r="AJ2775" t="s">
        <v>1827</v>
      </c>
      <c r="AK2775" t="s">
        <v>4642</v>
      </c>
      <c r="AN2775">
        <v>0.68</v>
      </c>
      <c r="AO2775">
        <f>0.74-0.68</f>
        <v>5.9999999999999942E-2</v>
      </c>
      <c r="AP2775">
        <v>0.71</v>
      </c>
      <c r="AQ2775">
        <v>7.0000000000000007E-2</v>
      </c>
      <c r="AW2775" s="28">
        <f t="shared" si="293"/>
        <v>0.4601789933084211</v>
      </c>
      <c r="AX2775">
        <f t="shared" si="294"/>
        <v>0.8</v>
      </c>
      <c r="AY2775" s="62">
        <f t="shared" si="295"/>
        <v>0.36814319464673689</v>
      </c>
      <c r="AZ2775" s="68" t="str">
        <f t="shared" si="296"/>
        <v>No</v>
      </c>
      <c r="BA2775" s="68" t="str">
        <f t="shared" si="297"/>
        <v>No</v>
      </c>
    </row>
    <row r="2776" spans="1:55" s="56" customFormat="1" ht="15" hidden="1">
      <c r="A2776" t="s">
        <v>3914</v>
      </c>
      <c r="B2776"/>
      <c r="C2776"/>
      <c r="D2776" s="25"/>
      <c r="E2776" s="25"/>
      <c r="F2776"/>
      <c r="G2776" s="50" t="s">
        <v>4392</v>
      </c>
      <c r="H2776"/>
      <c r="I2776"/>
      <c r="J2776"/>
      <c r="K2776"/>
      <c r="L2776"/>
      <c r="M2776" s="25"/>
      <c r="N2776"/>
      <c r="O2776"/>
      <c r="P2776" t="s">
        <v>60</v>
      </c>
      <c r="Q2776"/>
      <c r="R2776" t="s">
        <v>4357</v>
      </c>
      <c r="S2776" s="50" t="s">
        <v>1148</v>
      </c>
      <c r="T2776"/>
      <c r="U2776"/>
      <c r="V2776" t="s">
        <v>3956</v>
      </c>
      <c r="W2776" s="25"/>
      <c r="X2776"/>
      <c r="Y2776"/>
      <c r="Z2776" s="50">
        <v>3</v>
      </c>
      <c r="AA2776" s="50">
        <v>3</v>
      </c>
      <c r="AB2776"/>
      <c r="AC2776">
        <v>310.60000000000002</v>
      </c>
      <c r="AD2776">
        <v>19</v>
      </c>
      <c r="AE2776">
        <v>1849.9</v>
      </c>
      <c r="AF2776">
        <v>19</v>
      </c>
      <c r="AG2776"/>
      <c r="AH2776"/>
      <c r="AI2776"/>
      <c r="AJ2776" s="50" t="s">
        <v>4488</v>
      </c>
      <c r="AK2776" t="s">
        <v>4491</v>
      </c>
      <c r="AL2776" s="25"/>
      <c r="AM2776" s="35"/>
      <c r="AN2776">
        <v>0.6</v>
      </c>
      <c r="AO2776">
        <v>0.6</v>
      </c>
      <c r="AP2776">
        <v>0.5</v>
      </c>
      <c r="AQ2776">
        <v>0.5</v>
      </c>
      <c r="AR2776"/>
      <c r="AS2776"/>
      <c r="AT2776"/>
      <c r="AU2776"/>
      <c r="AV2776"/>
      <c r="AW2776" s="28">
        <f t="shared" si="293"/>
        <v>-0.18107149208503703</v>
      </c>
      <c r="AX2776">
        <f t="shared" si="294"/>
        <v>0.8</v>
      </c>
      <c r="AY2776" s="62">
        <f t="shared" si="295"/>
        <v>-0.14485719366802963</v>
      </c>
      <c r="AZ2776" s="68" t="str">
        <f t="shared" si="296"/>
        <v>No</v>
      </c>
      <c r="BA2776" s="68" t="str">
        <f t="shared" si="297"/>
        <v>No</v>
      </c>
      <c r="BB2776"/>
      <c r="BC2776"/>
    </row>
    <row r="2777" spans="1:55" s="77" customFormat="1" hidden="1">
      <c r="A2777" t="s">
        <v>3914</v>
      </c>
      <c r="B2777"/>
      <c r="C2777"/>
      <c r="D2777" s="25"/>
      <c r="E2777" s="25"/>
      <c r="F2777"/>
      <c r="G2777" t="s">
        <v>4392</v>
      </c>
      <c r="H2777"/>
      <c r="I2777"/>
      <c r="J2777"/>
      <c r="K2777"/>
      <c r="L2777"/>
      <c r="M2777" s="25"/>
      <c r="N2777"/>
      <c r="O2777"/>
      <c r="P2777" t="s">
        <v>4596</v>
      </c>
      <c r="Q2777"/>
      <c r="R2777" t="s">
        <v>4357</v>
      </c>
      <c r="S2777" t="s">
        <v>1148</v>
      </c>
      <c r="T2777"/>
      <c r="U2777"/>
      <c r="V2777" t="s">
        <v>4627</v>
      </c>
      <c r="W2777" s="25"/>
      <c r="X2777"/>
      <c r="Y2777"/>
      <c r="Z2777">
        <v>3</v>
      </c>
      <c r="AA2777">
        <v>3</v>
      </c>
      <c r="AB2777"/>
      <c r="AC2777">
        <v>310.60000000000002</v>
      </c>
      <c r="AD2777">
        <v>19</v>
      </c>
      <c r="AE2777">
        <v>1897.6</v>
      </c>
      <c r="AF2777">
        <v>22.5</v>
      </c>
      <c r="AG2777"/>
      <c r="AH2777"/>
      <c r="AI2777"/>
      <c r="AJ2777" t="s">
        <v>4065</v>
      </c>
      <c r="AK2777" t="s">
        <v>4672</v>
      </c>
      <c r="AL2777" s="25"/>
      <c r="AM2777" s="35"/>
      <c r="AN2777">
        <v>0.6</v>
      </c>
      <c r="AO2777">
        <v>0.6</v>
      </c>
      <c r="AP2777">
        <v>0.4</v>
      </c>
      <c r="AQ2777">
        <f>0.95-0.4</f>
        <v>0.54999999999999993</v>
      </c>
      <c r="AR2777"/>
      <c r="AS2777"/>
      <c r="AT2777"/>
      <c r="AU2777"/>
      <c r="AV2777"/>
      <c r="AW2777" s="28">
        <f t="shared" si="293"/>
        <v>-0.34749779421045546</v>
      </c>
      <c r="AX2777">
        <f t="shared" si="294"/>
        <v>0.8</v>
      </c>
      <c r="AY2777" s="62">
        <f t="shared" si="295"/>
        <v>-0.27799823536836438</v>
      </c>
      <c r="AZ2777" s="68" t="str">
        <f t="shared" si="296"/>
        <v>No</v>
      </c>
      <c r="BA2777" s="68" t="str">
        <f t="shared" si="297"/>
        <v>No</v>
      </c>
      <c r="BB2777"/>
      <c r="BC2777"/>
    </row>
    <row r="2778" spans="1:55" hidden="1">
      <c r="A2778" t="s">
        <v>3914</v>
      </c>
      <c r="G2778" s="50" t="s">
        <v>4392</v>
      </c>
      <c r="P2778" t="s">
        <v>60</v>
      </c>
      <c r="R2778" t="s">
        <v>4357</v>
      </c>
      <c r="S2778" s="50" t="s">
        <v>1148</v>
      </c>
      <c r="V2778" t="s">
        <v>3956</v>
      </c>
      <c r="Z2778" s="50">
        <v>3</v>
      </c>
      <c r="AA2778" s="50">
        <v>3</v>
      </c>
      <c r="AC2778">
        <v>310.60000000000002</v>
      </c>
      <c r="AD2778">
        <v>19</v>
      </c>
      <c r="AE2778">
        <v>885.4</v>
      </c>
      <c r="AF2778">
        <v>19</v>
      </c>
      <c r="AJ2778" s="50" t="s">
        <v>4488</v>
      </c>
      <c r="AK2778" t="s">
        <v>4491</v>
      </c>
      <c r="AN2778">
        <v>0.6</v>
      </c>
      <c r="AO2778">
        <v>0.6</v>
      </c>
      <c r="AP2778">
        <v>0.63</v>
      </c>
      <c r="AQ2778">
        <v>0.6</v>
      </c>
      <c r="AW2778" s="28">
        <f t="shared" si="293"/>
        <v>5.0000000000000044E-2</v>
      </c>
      <c r="AX2778">
        <f t="shared" si="294"/>
        <v>0.8</v>
      </c>
      <c r="AY2778" s="62">
        <f t="shared" si="295"/>
        <v>4.0000000000000036E-2</v>
      </c>
      <c r="AZ2778" s="68" t="str">
        <f t="shared" si="296"/>
        <v>No</v>
      </c>
      <c r="BA2778" s="68" t="str">
        <f t="shared" si="297"/>
        <v>No</v>
      </c>
    </row>
    <row r="2779" spans="1:55" hidden="1">
      <c r="A2779" t="s">
        <v>3914</v>
      </c>
      <c r="G2779" t="s">
        <v>4945</v>
      </c>
      <c r="P2779" t="s">
        <v>4596</v>
      </c>
      <c r="R2779" t="s">
        <v>4357</v>
      </c>
      <c r="S2779" t="s">
        <v>1148</v>
      </c>
      <c r="V2779" t="s">
        <v>4598</v>
      </c>
      <c r="Z2779">
        <v>3</v>
      </c>
      <c r="AA2779">
        <v>3</v>
      </c>
      <c r="AC2779">
        <v>310.60000000000002</v>
      </c>
      <c r="AD2779">
        <v>19</v>
      </c>
      <c r="AE2779">
        <v>313.60000000000002</v>
      </c>
      <c r="AF2779">
        <v>22.5</v>
      </c>
      <c r="AJ2779" t="s">
        <v>4755</v>
      </c>
      <c r="AK2779" t="s">
        <v>4672</v>
      </c>
      <c r="AN2779">
        <v>0.6</v>
      </c>
      <c r="AO2779">
        <v>0.6</v>
      </c>
      <c r="AP2779">
        <v>0.1</v>
      </c>
      <c r="AQ2779">
        <v>0.7</v>
      </c>
      <c r="AW2779" s="28">
        <f t="shared" si="293"/>
        <v>-0.76696498884737041</v>
      </c>
      <c r="AX2779">
        <f t="shared" si="294"/>
        <v>0.8</v>
      </c>
      <c r="AY2779" s="62">
        <f t="shared" si="295"/>
        <v>-0.61357199107789639</v>
      </c>
      <c r="AZ2779" s="68" t="str">
        <f t="shared" si="296"/>
        <v>No</v>
      </c>
      <c r="BA2779" s="68" t="str">
        <f t="shared" si="297"/>
        <v>No</v>
      </c>
    </row>
    <row r="2780" spans="1:55" hidden="1">
      <c r="A2780" t="s">
        <v>3914</v>
      </c>
      <c r="G2780" t="s">
        <v>4392</v>
      </c>
      <c r="P2780" t="s">
        <v>4596</v>
      </c>
      <c r="R2780" t="s">
        <v>4357</v>
      </c>
      <c r="S2780" t="s">
        <v>1148</v>
      </c>
      <c r="V2780" t="s">
        <v>4626</v>
      </c>
      <c r="Z2780">
        <v>3</v>
      </c>
      <c r="AA2780">
        <v>3</v>
      </c>
      <c r="AC2780">
        <v>310.60000000000002</v>
      </c>
      <c r="AD2780">
        <v>19</v>
      </c>
      <c r="AE2780">
        <v>915.6</v>
      </c>
      <c r="AF2780">
        <v>22.5</v>
      </c>
      <c r="AJ2780" t="s">
        <v>4065</v>
      </c>
      <c r="AK2780" t="s">
        <v>4672</v>
      </c>
      <c r="AN2780">
        <v>0.6</v>
      </c>
      <c r="AO2780">
        <v>0.6</v>
      </c>
      <c r="AP2780">
        <v>0.1</v>
      </c>
      <c r="AQ2780">
        <v>0.75</v>
      </c>
      <c r="AW2780" s="28">
        <f t="shared" si="293"/>
        <v>-0.73621017383231024</v>
      </c>
      <c r="AX2780">
        <f t="shared" si="294"/>
        <v>0.8</v>
      </c>
      <c r="AY2780" s="62">
        <f t="shared" si="295"/>
        <v>-0.58896813906584822</v>
      </c>
      <c r="AZ2780" s="68" t="str">
        <f t="shared" si="296"/>
        <v>No</v>
      </c>
      <c r="BA2780" s="68" t="str">
        <f t="shared" si="297"/>
        <v>No</v>
      </c>
    </row>
    <row r="2781" spans="1:55" s="56" customFormat="1" ht="15" hidden="1">
      <c r="A2781" t="s">
        <v>3914</v>
      </c>
      <c r="B2781"/>
      <c r="C2781"/>
      <c r="D2781" s="25"/>
      <c r="E2781" s="25"/>
      <c r="F2781"/>
      <c r="G2781" t="s">
        <v>4392</v>
      </c>
      <c r="H2781"/>
      <c r="I2781"/>
      <c r="J2781"/>
      <c r="K2781"/>
      <c r="L2781"/>
      <c r="M2781" s="25"/>
      <c r="N2781"/>
      <c r="O2781"/>
      <c r="P2781" t="s">
        <v>4596</v>
      </c>
      <c r="Q2781"/>
      <c r="R2781" t="s">
        <v>4357</v>
      </c>
      <c r="S2781" t="s">
        <v>1148</v>
      </c>
      <c r="T2781"/>
      <c r="U2781"/>
      <c r="V2781" t="s">
        <v>4598</v>
      </c>
      <c r="W2781" s="25"/>
      <c r="X2781"/>
      <c r="Y2781"/>
      <c r="Z2781">
        <v>3</v>
      </c>
      <c r="AA2781">
        <v>3</v>
      </c>
      <c r="AB2781"/>
      <c r="AC2781">
        <v>310.60000000000002</v>
      </c>
      <c r="AD2781">
        <v>19</v>
      </c>
      <c r="AE2781">
        <v>313.60000000000002</v>
      </c>
      <c r="AF2781">
        <v>22.5</v>
      </c>
      <c r="AG2781"/>
      <c r="AH2781"/>
      <c r="AI2781"/>
      <c r="AJ2781" t="s">
        <v>4759</v>
      </c>
      <c r="AK2781" t="s">
        <v>4637</v>
      </c>
      <c r="AL2781" s="25"/>
      <c r="AM2781" s="35"/>
      <c r="AN2781">
        <v>6</v>
      </c>
      <c r="AO2781">
        <v>2</v>
      </c>
      <c r="AP2781">
        <v>4</v>
      </c>
      <c r="AQ2781">
        <v>2</v>
      </c>
      <c r="AR2781"/>
      <c r="AS2781"/>
      <c r="AT2781"/>
      <c r="AU2781"/>
      <c r="AV2781"/>
      <c r="AW2781" s="28">
        <f t="shared" si="293"/>
        <v>-1</v>
      </c>
      <c r="AX2781">
        <f t="shared" si="294"/>
        <v>0.8</v>
      </c>
      <c r="AY2781" s="62">
        <f t="shared" si="295"/>
        <v>-0.8</v>
      </c>
      <c r="AZ2781" s="68" t="str">
        <f t="shared" si="296"/>
        <v>No</v>
      </c>
      <c r="BA2781" s="68" t="str">
        <f t="shared" si="297"/>
        <v>No</v>
      </c>
      <c r="BB2781"/>
      <c r="BC2781"/>
    </row>
    <row r="2782" spans="1:55" hidden="1">
      <c r="A2782" t="s">
        <v>3914</v>
      </c>
      <c r="G2782" t="s">
        <v>5030</v>
      </c>
      <c r="P2782" t="s">
        <v>60</v>
      </c>
      <c r="R2782" t="s">
        <v>4357</v>
      </c>
      <c r="S2782" t="s">
        <v>1148</v>
      </c>
      <c r="V2782" t="s">
        <v>3956</v>
      </c>
      <c r="Z2782">
        <v>3</v>
      </c>
      <c r="AA2782">
        <v>3</v>
      </c>
      <c r="AC2782">
        <v>310.60000000000002</v>
      </c>
      <c r="AD2782">
        <v>19</v>
      </c>
      <c r="AE2782">
        <v>885.4</v>
      </c>
      <c r="AF2782">
        <v>19</v>
      </c>
      <c r="AJ2782" t="s">
        <v>4059</v>
      </c>
      <c r="AK2782" t="s">
        <v>4093</v>
      </c>
      <c r="AN2782">
        <v>6</v>
      </c>
      <c r="AO2782">
        <v>2</v>
      </c>
      <c r="AP2782">
        <v>4</v>
      </c>
      <c r="AQ2782">
        <v>5</v>
      </c>
      <c r="AW2782" s="28">
        <f t="shared" si="293"/>
        <v>-0.52522573143889018</v>
      </c>
      <c r="AX2782">
        <f t="shared" si="294"/>
        <v>0.8</v>
      </c>
      <c r="AY2782" s="62">
        <f t="shared" si="295"/>
        <v>-0.42018058515111217</v>
      </c>
      <c r="AZ2782" s="68" t="str">
        <f t="shared" si="296"/>
        <v>No</v>
      </c>
      <c r="BA2782" s="68" t="str">
        <f t="shared" si="297"/>
        <v>No</v>
      </c>
    </row>
    <row r="2783" spans="1:55" hidden="1">
      <c r="A2783" t="s">
        <v>3914</v>
      </c>
      <c r="G2783" t="s">
        <v>4392</v>
      </c>
      <c r="P2783" t="s">
        <v>4596</v>
      </c>
      <c r="R2783" t="s">
        <v>4357</v>
      </c>
      <c r="S2783" t="s">
        <v>1148</v>
      </c>
      <c r="V2783" t="s">
        <v>4626</v>
      </c>
      <c r="Z2783">
        <v>3</v>
      </c>
      <c r="AA2783">
        <v>3</v>
      </c>
      <c r="AC2783">
        <v>310.60000000000002</v>
      </c>
      <c r="AD2783">
        <v>19</v>
      </c>
      <c r="AE2783">
        <v>915.6</v>
      </c>
      <c r="AF2783">
        <v>22.5</v>
      </c>
      <c r="AJ2783" t="s">
        <v>4059</v>
      </c>
      <c r="AK2783" t="s">
        <v>4637</v>
      </c>
      <c r="AN2783">
        <v>6</v>
      </c>
      <c r="AO2783">
        <v>2</v>
      </c>
      <c r="AP2783">
        <v>12</v>
      </c>
      <c r="AQ2783">
        <v>5</v>
      </c>
      <c r="AW2783" s="28">
        <f t="shared" si="293"/>
        <v>1.5756771943166705</v>
      </c>
      <c r="AX2783">
        <f t="shared" si="294"/>
        <v>0.8</v>
      </c>
      <c r="AY2783" s="62">
        <f t="shared" si="295"/>
        <v>1.2605417554533365</v>
      </c>
      <c r="AZ2783" s="68" t="str">
        <f t="shared" si="296"/>
        <v>No</v>
      </c>
      <c r="BA2783" s="68" t="str">
        <f t="shared" si="297"/>
        <v>No</v>
      </c>
    </row>
    <row r="2784" spans="1:55" hidden="1">
      <c r="A2784" t="s">
        <v>3914</v>
      </c>
      <c r="G2784" t="s">
        <v>4392</v>
      </c>
      <c r="P2784" t="s">
        <v>60</v>
      </c>
      <c r="R2784" t="s">
        <v>4357</v>
      </c>
      <c r="S2784" t="s">
        <v>1148</v>
      </c>
      <c r="V2784" t="s">
        <v>3956</v>
      </c>
      <c r="Z2784">
        <v>3</v>
      </c>
      <c r="AA2784">
        <v>3</v>
      </c>
      <c r="AC2784">
        <v>310.60000000000002</v>
      </c>
      <c r="AD2784">
        <v>19</v>
      </c>
      <c r="AE2784">
        <v>1849.9</v>
      </c>
      <c r="AF2784">
        <v>19</v>
      </c>
      <c r="AJ2784" t="s">
        <v>4059</v>
      </c>
      <c r="AK2784" t="s">
        <v>4093</v>
      </c>
      <c r="AN2784">
        <v>6</v>
      </c>
      <c r="AO2784">
        <v>2</v>
      </c>
      <c r="AP2784">
        <v>0</v>
      </c>
      <c r="AQ2784">
        <v>5.5</v>
      </c>
      <c r="AW2784" s="28">
        <f t="shared" si="293"/>
        <v>-1.4498930239924248</v>
      </c>
      <c r="AX2784">
        <f t="shared" si="294"/>
        <v>0.8</v>
      </c>
      <c r="AY2784" s="62">
        <f t="shared" si="295"/>
        <v>-1.1599144191939399</v>
      </c>
      <c r="AZ2784" s="68" t="str">
        <f t="shared" si="296"/>
        <v>No</v>
      </c>
      <c r="BA2784" s="68" t="str">
        <f t="shared" si="297"/>
        <v>No</v>
      </c>
    </row>
    <row r="2785" spans="1:53" hidden="1">
      <c r="A2785" t="s">
        <v>3914</v>
      </c>
      <c r="G2785" t="s">
        <v>4392</v>
      </c>
      <c r="P2785" t="s">
        <v>4596</v>
      </c>
      <c r="R2785" t="s">
        <v>4357</v>
      </c>
      <c r="S2785" t="s">
        <v>1148</v>
      </c>
      <c r="V2785" t="s">
        <v>4627</v>
      </c>
      <c r="Z2785">
        <v>3</v>
      </c>
      <c r="AA2785">
        <v>3</v>
      </c>
      <c r="AC2785">
        <v>310.60000000000002</v>
      </c>
      <c r="AD2785">
        <v>19</v>
      </c>
      <c r="AE2785">
        <v>1897.6</v>
      </c>
      <c r="AF2785">
        <v>22.5</v>
      </c>
      <c r="AJ2785" t="s">
        <v>4059</v>
      </c>
      <c r="AK2785" t="s">
        <v>4637</v>
      </c>
      <c r="AN2785">
        <v>6</v>
      </c>
      <c r="AO2785">
        <v>2</v>
      </c>
      <c r="AP2785">
        <v>0</v>
      </c>
      <c r="AQ2785">
        <v>6</v>
      </c>
      <c r="AW2785" s="28">
        <f t="shared" si="293"/>
        <v>-1.3416407864998738</v>
      </c>
      <c r="AX2785">
        <f t="shared" si="294"/>
        <v>0.8</v>
      </c>
      <c r="AY2785" s="62">
        <f t="shared" si="295"/>
        <v>-1.0733126291998991</v>
      </c>
      <c r="AZ2785" s="68" t="str">
        <f t="shared" si="296"/>
        <v>No</v>
      </c>
      <c r="BA2785" s="68" t="str">
        <f t="shared" si="297"/>
        <v>No</v>
      </c>
    </row>
    <row r="2786" spans="1:53" hidden="1">
      <c r="A2786" t="s">
        <v>3914</v>
      </c>
      <c r="G2786" t="s">
        <v>4375</v>
      </c>
      <c r="P2786" t="s">
        <v>4596</v>
      </c>
      <c r="R2786" t="s">
        <v>4357</v>
      </c>
      <c r="S2786" t="s">
        <v>1148</v>
      </c>
      <c r="V2786" t="s">
        <v>4627</v>
      </c>
      <c r="Z2786">
        <v>3</v>
      </c>
      <c r="AA2786">
        <v>3</v>
      </c>
      <c r="AC2786">
        <v>899.1</v>
      </c>
      <c r="AD2786" s="54">
        <v>19</v>
      </c>
      <c r="AE2786">
        <v>2800.8</v>
      </c>
      <c r="AF2786" s="54">
        <v>21</v>
      </c>
      <c r="AJ2786" t="s">
        <v>4379</v>
      </c>
      <c r="AK2786" t="s">
        <v>4855</v>
      </c>
      <c r="AN2786">
        <v>99</v>
      </c>
      <c r="AO2786">
        <v>0</v>
      </c>
      <c r="AP2786">
        <v>98</v>
      </c>
      <c r="AQ2786">
        <v>0</v>
      </c>
      <c r="AW2786" s="28" t="e">
        <f t="shared" si="293"/>
        <v>#DIV/0!</v>
      </c>
      <c r="AX2786">
        <f t="shared" si="294"/>
        <v>0.8</v>
      </c>
      <c r="AY2786" s="62" t="e">
        <f t="shared" si="295"/>
        <v>#DIV/0!</v>
      </c>
      <c r="AZ2786" s="68" t="e">
        <f t="shared" si="296"/>
        <v>#DIV/0!</v>
      </c>
      <c r="BA2786" s="68" t="e">
        <f t="shared" si="297"/>
        <v>#DIV/0!</v>
      </c>
    </row>
    <row r="2787" spans="1:53" hidden="1">
      <c r="A2787" t="s">
        <v>3914</v>
      </c>
      <c r="G2787" t="s">
        <v>4375</v>
      </c>
      <c r="P2787" t="s">
        <v>4596</v>
      </c>
      <c r="R2787" t="s">
        <v>4357</v>
      </c>
      <c r="S2787" t="s">
        <v>1148</v>
      </c>
      <c r="V2787" t="s">
        <v>4626</v>
      </c>
      <c r="Z2787">
        <v>3</v>
      </c>
      <c r="AA2787">
        <v>3</v>
      </c>
      <c r="AC2787">
        <v>899.1</v>
      </c>
      <c r="AD2787" s="54">
        <v>19</v>
      </c>
      <c r="AE2787">
        <v>1265.7</v>
      </c>
      <c r="AF2787" s="54">
        <v>23</v>
      </c>
      <c r="AJ2787" t="s">
        <v>4379</v>
      </c>
      <c r="AK2787" t="s">
        <v>4855</v>
      </c>
      <c r="AN2787">
        <v>99</v>
      </c>
      <c r="AO2787">
        <v>0</v>
      </c>
      <c r="AP2787">
        <v>99.5</v>
      </c>
      <c r="AQ2787">
        <v>0</v>
      </c>
      <c r="AW2787" s="28" t="e">
        <f t="shared" si="293"/>
        <v>#DIV/0!</v>
      </c>
      <c r="AX2787">
        <f t="shared" si="294"/>
        <v>0.8</v>
      </c>
      <c r="AY2787" s="62" t="e">
        <f t="shared" si="295"/>
        <v>#DIV/0!</v>
      </c>
      <c r="AZ2787" s="68" t="e">
        <f t="shared" si="296"/>
        <v>#DIV/0!</v>
      </c>
      <c r="BA2787" s="68" t="e">
        <f t="shared" si="297"/>
        <v>#DIV/0!</v>
      </c>
    </row>
    <row r="2788" spans="1:53" hidden="1">
      <c r="A2788" t="s">
        <v>3914</v>
      </c>
      <c r="G2788" t="s">
        <v>4375</v>
      </c>
      <c r="P2788" t="s">
        <v>4596</v>
      </c>
      <c r="R2788" t="s">
        <v>4357</v>
      </c>
      <c r="S2788" t="s">
        <v>1148</v>
      </c>
      <c r="V2788" t="s">
        <v>4627</v>
      </c>
      <c r="Z2788">
        <v>3</v>
      </c>
      <c r="AA2788">
        <v>3</v>
      </c>
      <c r="AC2788">
        <v>899.1</v>
      </c>
      <c r="AD2788" s="54">
        <v>19</v>
      </c>
      <c r="AE2788">
        <v>2489.1999999999998</v>
      </c>
      <c r="AF2788" s="54">
        <v>23</v>
      </c>
      <c r="AJ2788" t="s">
        <v>4379</v>
      </c>
      <c r="AK2788" t="s">
        <v>4855</v>
      </c>
      <c r="AN2788">
        <v>99</v>
      </c>
      <c r="AO2788">
        <v>0</v>
      </c>
      <c r="AP2788">
        <v>99</v>
      </c>
      <c r="AQ2788">
        <v>0</v>
      </c>
      <c r="AW2788" s="28" t="e">
        <f t="shared" si="293"/>
        <v>#DIV/0!</v>
      </c>
      <c r="AX2788">
        <f t="shared" si="294"/>
        <v>0.8</v>
      </c>
      <c r="AY2788" s="62" t="e">
        <f t="shared" si="295"/>
        <v>#DIV/0!</v>
      </c>
      <c r="AZ2788" s="68" t="e">
        <f t="shared" si="296"/>
        <v>#DIV/0!</v>
      </c>
      <c r="BA2788" s="68" t="e">
        <f t="shared" si="297"/>
        <v>#DIV/0!</v>
      </c>
    </row>
    <row r="2789" spans="1:53" hidden="1">
      <c r="A2789" t="s">
        <v>3914</v>
      </c>
      <c r="G2789" t="s">
        <v>4375</v>
      </c>
      <c r="P2789" t="s">
        <v>4596</v>
      </c>
      <c r="R2789" t="s">
        <v>4357</v>
      </c>
      <c r="S2789" t="s">
        <v>1148</v>
      </c>
      <c r="V2789" t="s">
        <v>4626</v>
      </c>
      <c r="Z2789">
        <v>3</v>
      </c>
      <c r="AA2789">
        <v>3</v>
      </c>
      <c r="AC2789">
        <v>899.1</v>
      </c>
      <c r="AD2789" s="54">
        <v>19</v>
      </c>
      <c r="AE2789">
        <v>1367.1</v>
      </c>
      <c r="AF2789" s="54">
        <v>25</v>
      </c>
      <c r="AJ2789" t="s">
        <v>4379</v>
      </c>
      <c r="AK2789" t="s">
        <v>4855</v>
      </c>
      <c r="AN2789">
        <v>99</v>
      </c>
      <c r="AO2789">
        <v>0</v>
      </c>
      <c r="AP2789">
        <v>98</v>
      </c>
      <c r="AQ2789">
        <v>0</v>
      </c>
      <c r="AW2789" s="28" t="e">
        <f t="shared" si="293"/>
        <v>#DIV/0!</v>
      </c>
      <c r="AX2789">
        <f t="shared" si="294"/>
        <v>0.8</v>
      </c>
      <c r="AY2789" s="62" t="e">
        <f t="shared" si="295"/>
        <v>#DIV/0!</v>
      </c>
      <c r="AZ2789" s="68" t="e">
        <f t="shared" si="296"/>
        <v>#DIV/0!</v>
      </c>
      <c r="BA2789" s="68" t="e">
        <f t="shared" si="297"/>
        <v>#DIV/0!</v>
      </c>
    </row>
    <row r="2790" spans="1:53" hidden="1">
      <c r="A2790" t="s">
        <v>3914</v>
      </c>
      <c r="G2790" t="s">
        <v>4375</v>
      </c>
      <c r="P2790" t="s">
        <v>4596</v>
      </c>
      <c r="R2790" t="s">
        <v>4357</v>
      </c>
      <c r="S2790" t="s">
        <v>1148</v>
      </c>
      <c r="V2790" t="s">
        <v>4627</v>
      </c>
      <c r="Z2790">
        <v>3</v>
      </c>
      <c r="AA2790">
        <v>3</v>
      </c>
      <c r="AC2790">
        <v>899.1</v>
      </c>
      <c r="AD2790" s="54">
        <v>19</v>
      </c>
      <c r="AE2790">
        <v>2379.3000000000002</v>
      </c>
      <c r="AF2790" s="54">
        <v>25</v>
      </c>
      <c r="AJ2790" t="s">
        <v>4379</v>
      </c>
      <c r="AK2790" t="s">
        <v>4855</v>
      </c>
      <c r="AN2790">
        <v>99</v>
      </c>
      <c r="AO2790">
        <v>0</v>
      </c>
      <c r="AP2790">
        <v>97</v>
      </c>
      <c r="AQ2790">
        <v>0</v>
      </c>
      <c r="AW2790" s="28" t="e">
        <f t="shared" si="293"/>
        <v>#DIV/0!</v>
      </c>
      <c r="AX2790">
        <f t="shared" si="294"/>
        <v>0.8</v>
      </c>
      <c r="AY2790" s="62" t="e">
        <f t="shared" si="295"/>
        <v>#DIV/0!</v>
      </c>
      <c r="AZ2790" s="68" t="e">
        <f t="shared" si="296"/>
        <v>#DIV/0!</v>
      </c>
      <c r="BA2790" s="68" t="e">
        <f t="shared" si="297"/>
        <v>#DIV/0!</v>
      </c>
    </row>
    <row r="2791" spans="1:53" hidden="1">
      <c r="A2791" t="s">
        <v>3914</v>
      </c>
      <c r="G2791" t="s">
        <v>4375</v>
      </c>
      <c r="P2791" t="s">
        <v>4596</v>
      </c>
      <c r="R2791" t="s">
        <v>4357</v>
      </c>
      <c r="S2791" t="s">
        <v>1148</v>
      </c>
      <c r="V2791" t="s">
        <v>4625</v>
      </c>
      <c r="Z2791">
        <v>3</v>
      </c>
      <c r="AA2791">
        <v>3</v>
      </c>
      <c r="AC2791">
        <v>899.1</v>
      </c>
      <c r="AD2791" s="54">
        <v>19</v>
      </c>
      <c r="AE2791">
        <v>863.1</v>
      </c>
      <c r="AF2791" s="54">
        <v>21</v>
      </c>
      <c r="AJ2791" t="s">
        <v>4379</v>
      </c>
      <c r="AK2791" t="s">
        <v>4855</v>
      </c>
      <c r="AN2791">
        <v>99</v>
      </c>
      <c r="AO2791">
        <v>0</v>
      </c>
      <c r="AP2791">
        <v>99.5</v>
      </c>
      <c r="AQ2791">
        <v>0.1</v>
      </c>
      <c r="AW2791" s="28">
        <f t="shared" si="293"/>
        <v>7.0710678118654737</v>
      </c>
      <c r="AX2791">
        <f t="shared" si="294"/>
        <v>0.8</v>
      </c>
      <c r="AY2791" s="62">
        <f t="shared" si="295"/>
        <v>5.6568542494923797</v>
      </c>
      <c r="AZ2791" s="68" t="str">
        <f t="shared" si="296"/>
        <v>No</v>
      </c>
      <c r="BA2791" s="68" t="str">
        <f t="shared" si="297"/>
        <v>No</v>
      </c>
    </row>
    <row r="2792" spans="1:53" hidden="1">
      <c r="A2792" t="s">
        <v>3914</v>
      </c>
      <c r="G2792" t="s">
        <v>4375</v>
      </c>
      <c r="P2792" t="s">
        <v>4596</v>
      </c>
      <c r="R2792" t="s">
        <v>4357</v>
      </c>
      <c r="S2792" t="s">
        <v>1148</v>
      </c>
      <c r="V2792" t="s">
        <v>4626</v>
      </c>
      <c r="Z2792">
        <v>3</v>
      </c>
      <c r="AA2792">
        <v>3</v>
      </c>
      <c r="AC2792">
        <v>899.1</v>
      </c>
      <c r="AD2792" s="54">
        <v>19</v>
      </c>
      <c r="AE2792">
        <v>1293.2</v>
      </c>
      <c r="AF2792" s="54">
        <v>21</v>
      </c>
      <c r="AJ2792" t="s">
        <v>4379</v>
      </c>
      <c r="AK2792" t="s">
        <v>4855</v>
      </c>
      <c r="AN2792">
        <v>99</v>
      </c>
      <c r="AO2792">
        <v>0</v>
      </c>
      <c r="AP2792">
        <v>99.5</v>
      </c>
      <c r="AQ2792">
        <v>0.1</v>
      </c>
      <c r="AW2792" s="28">
        <f t="shared" si="293"/>
        <v>7.0710678118654737</v>
      </c>
      <c r="AX2792">
        <f t="shared" si="294"/>
        <v>0.8</v>
      </c>
      <c r="AY2792" s="62">
        <f t="shared" si="295"/>
        <v>5.6568542494923797</v>
      </c>
      <c r="AZ2792" s="68" t="str">
        <f t="shared" si="296"/>
        <v>No</v>
      </c>
      <c r="BA2792" s="68" t="str">
        <f t="shared" si="297"/>
        <v>No</v>
      </c>
    </row>
    <row r="2793" spans="1:53" hidden="1">
      <c r="A2793" t="s">
        <v>3914</v>
      </c>
      <c r="G2793" t="s">
        <v>4375</v>
      </c>
      <c r="P2793" t="s">
        <v>4596</v>
      </c>
      <c r="R2793" t="s">
        <v>4357</v>
      </c>
      <c r="S2793" t="s">
        <v>1148</v>
      </c>
      <c r="V2793" t="s">
        <v>4628</v>
      </c>
      <c r="Z2793">
        <v>3</v>
      </c>
      <c r="AA2793">
        <v>3</v>
      </c>
      <c r="AC2793">
        <v>899.1</v>
      </c>
      <c r="AD2793" s="54">
        <v>19</v>
      </c>
      <c r="AE2793">
        <v>1033.5999999999999</v>
      </c>
      <c r="AF2793" s="54">
        <v>23</v>
      </c>
      <c r="AJ2793" t="s">
        <v>4379</v>
      </c>
      <c r="AK2793" t="s">
        <v>4855</v>
      </c>
      <c r="AN2793">
        <v>99</v>
      </c>
      <c r="AO2793">
        <v>0</v>
      </c>
      <c r="AP2793">
        <v>99.8</v>
      </c>
      <c r="AQ2793">
        <v>0.1</v>
      </c>
      <c r="AW2793" s="28">
        <f t="shared" si="293"/>
        <v>11.313708498984719</v>
      </c>
      <c r="AX2793">
        <f t="shared" si="294"/>
        <v>0.8</v>
      </c>
      <c r="AY2793" s="62">
        <f t="shared" si="295"/>
        <v>9.0509667991877745</v>
      </c>
      <c r="AZ2793" s="68" t="str">
        <f t="shared" si="296"/>
        <v>No</v>
      </c>
      <c r="BA2793" s="68" t="str">
        <f t="shared" si="297"/>
        <v>No</v>
      </c>
    </row>
    <row r="2794" spans="1:53" hidden="1">
      <c r="A2794" t="s">
        <v>3914</v>
      </c>
      <c r="G2794" t="s">
        <v>4375</v>
      </c>
      <c r="P2794" t="s">
        <v>4596</v>
      </c>
      <c r="R2794" t="s">
        <v>4357</v>
      </c>
      <c r="S2794" t="s">
        <v>1148</v>
      </c>
      <c r="V2794" t="s">
        <v>4645</v>
      </c>
      <c r="Z2794">
        <v>3</v>
      </c>
      <c r="AA2794">
        <v>3</v>
      </c>
      <c r="AC2794">
        <v>899.1</v>
      </c>
      <c r="AD2794" s="54">
        <v>19</v>
      </c>
      <c r="AE2794">
        <v>910.2</v>
      </c>
      <c r="AF2794" s="54">
        <v>25</v>
      </c>
      <c r="AJ2794" t="s">
        <v>4379</v>
      </c>
      <c r="AK2794" t="s">
        <v>4855</v>
      </c>
      <c r="AN2794">
        <v>99</v>
      </c>
      <c r="AO2794">
        <v>0</v>
      </c>
      <c r="AP2794">
        <v>99</v>
      </c>
      <c r="AQ2794">
        <v>0.1</v>
      </c>
      <c r="AW2794" s="28">
        <f t="shared" si="293"/>
        <v>0</v>
      </c>
      <c r="AX2794">
        <f t="shared" si="294"/>
        <v>0.8</v>
      </c>
      <c r="AY2794" s="62">
        <f t="shared" si="295"/>
        <v>0</v>
      </c>
      <c r="AZ2794" s="68" t="str">
        <f t="shared" si="296"/>
        <v>No</v>
      </c>
      <c r="BA2794" s="68" t="str">
        <f t="shared" si="297"/>
        <v>No</v>
      </c>
    </row>
    <row r="2795" spans="1:53" hidden="1">
      <c r="A2795" t="s">
        <v>3914</v>
      </c>
      <c r="G2795" t="s">
        <v>4375</v>
      </c>
      <c r="P2795" t="s">
        <v>4596</v>
      </c>
      <c r="R2795" t="s">
        <v>4357</v>
      </c>
      <c r="S2795" t="s">
        <v>1782</v>
      </c>
      <c r="V2795" t="s">
        <v>4627</v>
      </c>
      <c r="Z2795">
        <v>3</v>
      </c>
      <c r="AA2795">
        <v>3</v>
      </c>
      <c r="AC2795">
        <v>456.4</v>
      </c>
      <c r="AD2795" s="54">
        <v>19</v>
      </c>
      <c r="AE2795">
        <v>2722.7</v>
      </c>
      <c r="AF2795" s="54">
        <v>25</v>
      </c>
      <c r="AJ2795" t="s">
        <v>4379</v>
      </c>
      <c r="AK2795" t="s">
        <v>4855</v>
      </c>
      <c r="AN2795">
        <v>15</v>
      </c>
      <c r="AO2795">
        <v>1</v>
      </c>
      <c r="AP2795">
        <v>0.8</v>
      </c>
      <c r="AQ2795">
        <v>0.25</v>
      </c>
      <c r="AW2795" s="28">
        <f t="shared" si="293"/>
        <v>-19.482239272189002</v>
      </c>
      <c r="AX2795">
        <f t="shared" si="294"/>
        <v>0.8</v>
      </c>
      <c r="AY2795" s="62">
        <f t="shared" si="295"/>
        <v>-15.585791417751203</v>
      </c>
      <c r="AZ2795" s="68" t="str">
        <f t="shared" si="296"/>
        <v>No</v>
      </c>
      <c r="BA2795" s="68" t="str">
        <f t="shared" si="297"/>
        <v>Yes</v>
      </c>
    </row>
    <row r="2796" spans="1:53" hidden="1">
      <c r="A2796" t="s">
        <v>3914</v>
      </c>
      <c r="G2796" t="s">
        <v>4375</v>
      </c>
      <c r="P2796" t="s">
        <v>4596</v>
      </c>
      <c r="R2796" t="s">
        <v>4357</v>
      </c>
      <c r="S2796" t="s">
        <v>1782</v>
      </c>
      <c r="V2796" t="s">
        <v>4626</v>
      </c>
      <c r="Z2796">
        <v>3</v>
      </c>
      <c r="AA2796">
        <v>3</v>
      </c>
      <c r="AC2796">
        <v>456.4</v>
      </c>
      <c r="AD2796" s="54">
        <v>19</v>
      </c>
      <c r="AE2796">
        <v>1322.5</v>
      </c>
      <c r="AF2796" s="54">
        <v>21</v>
      </c>
      <c r="AJ2796" t="s">
        <v>4379</v>
      </c>
      <c r="AK2796" t="s">
        <v>4855</v>
      </c>
      <c r="AN2796">
        <v>15</v>
      </c>
      <c r="AO2796">
        <v>1</v>
      </c>
      <c r="AP2796">
        <v>2</v>
      </c>
      <c r="AQ2796">
        <v>0.5</v>
      </c>
      <c r="AW2796" s="28">
        <f t="shared" si="293"/>
        <v>-16.443843832875572</v>
      </c>
      <c r="AX2796">
        <f t="shared" si="294"/>
        <v>0.8</v>
      </c>
      <c r="AY2796" s="62">
        <f t="shared" si="295"/>
        <v>-13.155075066300459</v>
      </c>
      <c r="AZ2796" s="68" t="str">
        <f t="shared" si="296"/>
        <v>No</v>
      </c>
      <c r="BA2796" s="68" t="str">
        <f t="shared" si="297"/>
        <v>Yes</v>
      </c>
    </row>
    <row r="2797" spans="1:53" hidden="1">
      <c r="A2797" t="s">
        <v>3914</v>
      </c>
      <c r="G2797" t="s">
        <v>4375</v>
      </c>
      <c r="P2797" t="s">
        <v>4596</v>
      </c>
      <c r="R2797" t="s">
        <v>4357</v>
      </c>
      <c r="S2797" t="s">
        <v>1782</v>
      </c>
      <c r="V2797" t="s">
        <v>4627</v>
      </c>
      <c r="Z2797">
        <v>3</v>
      </c>
      <c r="AA2797">
        <v>3</v>
      </c>
      <c r="AC2797">
        <v>456.4</v>
      </c>
      <c r="AD2797" s="54">
        <v>19</v>
      </c>
      <c r="AE2797">
        <v>2311.6</v>
      </c>
      <c r="AF2797" s="54">
        <v>21</v>
      </c>
      <c r="AJ2797" t="s">
        <v>4379</v>
      </c>
      <c r="AK2797" t="s">
        <v>4855</v>
      </c>
      <c r="AN2797">
        <v>15</v>
      </c>
      <c r="AO2797">
        <v>1</v>
      </c>
      <c r="AP2797">
        <v>0.5</v>
      </c>
      <c r="AQ2797">
        <v>0.5</v>
      </c>
      <c r="AW2797" s="28">
        <f t="shared" si="293"/>
        <v>-18.341210428976598</v>
      </c>
      <c r="AX2797">
        <f t="shared" si="294"/>
        <v>0.8</v>
      </c>
      <c r="AY2797" s="62">
        <f t="shared" si="295"/>
        <v>-14.67296834318128</v>
      </c>
      <c r="AZ2797" s="68" t="str">
        <f t="shared" si="296"/>
        <v>No</v>
      </c>
      <c r="BA2797" s="68" t="str">
        <f t="shared" si="297"/>
        <v>Yes</v>
      </c>
    </row>
    <row r="2798" spans="1:53" hidden="1">
      <c r="A2798" t="s">
        <v>3914</v>
      </c>
      <c r="G2798" t="s">
        <v>4375</v>
      </c>
      <c r="P2798" t="s">
        <v>4596</v>
      </c>
      <c r="R2798" t="s">
        <v>4357</v>
      </c>
      <c r="S2798" t="s">
        <v>1782</v>
      </c>
      <c r="V2798" t="s">
        <v>4627</v>
      </c>
      <c r="Z2798">
        <v>3</v>
      </c>
      <c r="AA2798">
        <v>3</v>
      </c>
      <c r="AC2798">
        <v>456.4</v>
      </c>
      <c r="AD2798" s="54">
        <v>19</v>
      </c>
      <c r="AE2798">
        <v>2416</v>
      </c>
      <c r="AF2798" s="54">
        <v>23</v>
      </c>
      <c r="AJ2798" t="s">
        <v>4379</v>
      </c>
      <c r="AK2798" t="s">
        <v>4855</v>
      </c>
      <c r="AN2798">
        <v>15</v>
      </c>
      <c r="AO2798">
        <v>1</v>
      </c>
      <c r="AP2798">
        <v>1</v>
      </c>
      <c r="AQ2798">
        <v>0.5</v>
      </c>
      <c r="AW2798" s="28">
        <f t="shared" si="293"/>
        <v>-17.708754896942924</v>
      </c>
      <c r="AX2798">
        <f t="shared" si="294"/>
        <v>0.8</v>
      </c>
      <c r="AY2798" s="62">
        <f t="shared" si="295"/>
        <v>-14.167003917554339</v>
      </c>
      <c r="AZ2798" s="68" t="str">
        <f t="shared" si="296"/>
        <v>No</v>
      </c>
      <c r="BA2798" s="68" t="str">
        <f t="shared" si="297"/>
        <v>Yes</v>
      </c>
    </row>
    <row r="2799" spans="1:53" hidden="1">
      <c r="A2799" t="s">
        <v>3914</v>
      </c>
      <c r="G2799" t="s">
        <v>4375</v>
      </c>
      <c r="P2799" t="s">
        <v>4596</v>
      </c>
      <c r="R2799" t="s">
        <v>4357</v>
      </c>
      <c r="S2799" t="s">
        <v>1782</v>
      </c>
      <c r="V2799" t="s">
        <v>4626</v>
      </c>
      <c r="Z2799">
        <v>3</v>
      </c>
      <c r="AA2799">
        <v>3</v>
      </c>
      <c r="AC2799">
        <v>456.4</v>
      </c>
      <c r="AD2799" s="54">
        <v>19</v>
      </c>
      <c r="AE2799">
        <v>1486.9</v>
      </c>
      <c r="AF2799" s="54">
        <v>25</v>
      </c>
      <c r="AJ2799" t="s">
        <v>4379</v>
      </c>
      <c r="AK2799" t="s">
        <v>4855</v>
      </c>
      <c r="AN2799">
        <v>15</v>
      </c>
      <c r="AO2799">
        <v>1</v>
      </c>
      <c r="AP2799">
        <v>5</v>
      </c>
      <c r="AQ2799">
        <v>0.5</v>
      </c>
      <c r="AW2799" s="28">
        <f t="shared" si="293"/>
        <v>-12.649110640673516</v>
      </c>
      <c r="AX2799">
        <f t="shared" si="294"/>
        <v>0.8</v>
      </c>
      <c r="AY2799" s="62">
        <f t="shared" si="295"/>
        <v>-10.119288512538814</v>
      </c>
      <c r="AZ2799" s="68" t="str">
        <f t="shared" si="296"/>
        <v>No</v>
      </c>
      <c r="BA2799" s="68" t="str">
        <f t="shared" si="297"/>
        <v>Yes</v>
      </c>
    </row>
    <row r="2800" spans="1:53" hidden="1">
      <c r="A2800" t="s">
        <v>3914</v>
      </c>
      <c r="G2800" t="s">
        <v>4375</v>
      </c>
      <c r="P2800" t="s">
        <v>4596</v>
      </c>
      <c r="R2800" t="s">
        <v>4357</v>
      </c>
      <c r="S2800" t="s">
        <v>1782</v>
      </c>
      <c r="V2800" t="s">
        <v>4626</v>
      </c>
      <c r="Z2800">
        <v>3</v>
      </c>
      <c r="AA2800">
        <v>3</v>
      </c>
      <c r="AC2800">
        <v>456.4</v>
      </c>
      <c r="AD2800" s="54">
        <v>19</v>
      </c>
      <c r="AE2800">
        <v>1203.5999999999999</v>
      </c>
      <c r="AF2800" s="54">
        <v>23</v>
      </c>
      <c r="AJ2800" t="s">
        <v>4379</v>
      </c>
      <c r="AK2800" t="s">
        <v>4855</v>
      </c>
      <c r="AN2800">
        <v>15</v>
      </c>
      <c r="AO2800">
        <v>1</v>
      </c>
      <c r="AP2800">
        <v>2.5</v>
      </c>
      <c r="AQ2800">
        <v>0.7</v>
      </c>
      <c r="AW2800" s="28">
        <f t="shared" si="293"/>
        <v>-14.482111159087307</v>
      </c>
      <c r="AX2800">
        <f t="shared" si="294"/>
        <v>0.8</v>
      </c>
      <c r="AY2800" s="62">
        <f t="shared" si="295"/>
        <v>-11.585688927269846</v>
      </c>
      <c r="AZ2800" s="68" t="str">
        <f t="shared" si="296"/>
        <v>No</v>
      </c>
      <c r="BA2800" s="68" t="str">
        <f t="shared" si="297"/>
        <v>Yes</v>
      </c>
    </row>
    <row r="2801" spans="1:55" hidden="1">
      <c r="A2801" t="s">
        <v>3914</v>
      </c>
      <c r="G2801" t="s">
        <v>4375</v>
      </c>
      <c r="P2801" t="s">
        <v>60</v>
      </c>
      <c r="R2801" t="s">
        <v>4357</v>
      </c>
      <c r="S2801" t="s">
        <v>1148</v>
      </c>
      <c r="V2801" t="s">
        <v>3956</v>
      </c>
      <c r="Z2801">
        <v>3</v>
      </c>
      <c r="AA2801">
        <v>3</v>
      </c>
      <c r="AC2801">
        <v>899.1</v>
      </c>
      <c r="AD2801">
        <v>19.170000000000002</v>
      </c>
      <c r="AE2801">
        <v>1591</v>
      </c>
      <c r="AF2801">
        <v>19.27</v>
      </c>
      <c r="AJ2801" t="s">
        <v>4379</v>
      </c>
      <c r="AK2801" t="s">
        <v>4093</v>
      </c>
      <c r="AN2801">
        <v>99</v>
      </c>
      <c r="AO2801">
        <v>0.8660254037844386</v>
      </c>
      <c r="AP2801">
        <v>98</v>
      </c>
      <c r="AQ2801">
        <v>0.8660254037844386</v>
      </c>
      <c r="AW2801" s="28">
        <f t="shared" si="293"/>
        <v>-1.1547005383792517</v>
      </c>
      <c r="AX2801">
        <f t="shared" si="294"/>
        <v>0.8</v>
      </c>
      <c r="AY2801" s="62">
        <f t="shared" si="295"/>
        <v>-0.92376043070340141</v>
      </c>
      <c r="AZ2801" s="68" t="str">
        <f t="shared" si="296"/>
        <v>No</v>
      </c>
      <c r="BA2801" s="68" t="str">
        <f t="shared" si="297"/>
        <v>No</v>
      </c>
    </row>
    <row r="2802" spans="1:55" hidden="1">
      <c r="A2802" t="s">
        <v>3914</v>
      </c>
      <c r="G2802" t="s">
        <v>4375</v>
      </c>
      <c r="P2802" t="s">
        <v>60</v>
      </c>
      <c r="R2802" t="s">
        <v>4357</v>
      </c>
      <c r="S2802" t="s">
        <v>1148</v>
      </c>
      <c r="V2802" t="s">
        <v>3956</v>
      </c>
      <c r="Z2802">
        <v>3</v>
      </c>
      <c r="AA2802">
        <v>3</v>
      </c>
      <c r="AC2802">
        <v>899.1</v>
      </c>
      <c r="AD2802">
        <v>19.170000000000002</v>
      </c>
      <c r="AE2802">
        <v>2582.6</v>
      </c>
      <c r="AF2802">
        <v>19.329999999999998</v>
      </c>
      <c r="AJ2802" t="s">
        <v>4379</v>
      </c>
      <c r="AK2802" t="s">
        <v>4093</v>
      </c>
      <c r="AN2802">
        <v>99</v>
      </c>
      <c r="AO2802">
        <v>0.8660254037844386</v>
      </c>
      <c r="AP2802">
        <v>98</v>
      </c>
      <c r="AQ2802">
        <v>0.8660254037844386</v>
      </c>
      <c r="AW2802" s="28">
        <f t="shared" si="293"/>
        <v>-1.1547005383792517</v>
      </c>
      <c r="AX2802">
        <f t="shared" si="294"/>
        <v>0.8</v>
      </c>
      <c r="AY2802" s="62">
        <f t="shared" si="295"/>
        <v>-0.92376043070340141</v>
      </c>
      <c r="AZ2802" s="68" t="str">
        <f t="shared" si="296"/>
        <v>No</v>
      </c>
      <c r="BA2802" s="68" t="str">
        <f t="shared" si="297"/>
        <v>No</v>
      </c>
    </row>
    <row r="2803" spans="1:55" hidden="1">
      <c r="A2803" t="s">
        <v>3914</v>
      </c>
      <c r="G2803" t="s">
        <v>4375</v>
      </c>
      <c r="P2803" t="s">
        <v>60</v>
      </c>
      <c r="R2803" t="s">
        <v>4357</v>
      </c>
      <c r="S2803" t="s">
        <v>1782</v>
      </c>
      <c r="V2803" t="s">
        <v>3956</v>
      </c>
      <c r="Z2803">
        <v>3</v>
      </c>
      <c r="AA2803">
        <v>3</v>
      </c>
      <c r="AC2803">
        <v>456.4</v>
      </c>
      <c r="AD2803">
        <v>19.03</v>
      </c>
      <c r="AE2803">
        <v>2465.6</v>
      </c>
      <c r="AF2803">
        <v>19.13</v>
      </c>
      <c r="AJ2803" t="s">
        <v>4379</v>
      </c>
      <c r="AK2803" t="s">
        <v>4093</v>
      </c>
      <c r="AN2803">
        <v>16</v>
      </c>
      <c r="AO2803">
        <v>1.7320508075688772</v>
      </c>
      <c r="AP2803">
        <v>2</v>
      </c>
      <c r="AQ2803">
        <v>0.8660254037844386</v>
      </c>
      <c r="AW2803" s="28">
        <f t="shared" si="293"/>
        <v>-10.2241544067631</v>
      </c>
      <c r="AX2803">
        <f t="shared" si="294"/>
        <v>0.8</v>
      </c>
      <c r="AY2803" s="62">
        <f t="shared" si="295"/>
        <v>-8.1793235254104797</v>
      </c>
      <c r="AZ2803" s="68" t="str">
        <f t="shared" si="296"/>
        <v>No</v>
      </c>
      <c r="BA2803" s="68" t="str">
        <f t="shared" si="297"/>
        <v>No</v>
      </c>
    </row>
    <row r="2804" spans="1:55" hidden="1">
      <c r="A2804" t="s">
        <v>3914</v>
      </c>
      <c r="G2804" t="s">
        <v>4375</v>
      </c>
      <c r="P2804" t="s">
        <v>4596</v>
      </c>
      <c r="R2804" t="s">
        <v>4357</v>
      </c>
      <c r="S2804" t="s">
        <v>1782</v>
      </c>
      <c r="V2804" t="s">
        <v>4628</v>
      </c>
      <c r="Z2804">
        <v>3</v>
      </c>
      <c r="AA2804">
        <v>3</v>
      </c>
      <c r="AC2804">
        <v>456.4</v>
      </c>
      <c r="AD2804" s="54">
        <v>19</v>
      </c>
      <c r="AE2804">
        <v>574</v>
      </c>
      <c r="AF2804" s="54">
        <v>23</v>
      </c>
      <c r="AJ2804" t="s">
        <v>4379</v>
      </c>
      <c r="AK2804" t="s">
        <v>4855</v>
      </c>
      <c r="AN2804">
        <v>15</v>
      </c>
      <c r="AO2804">
        <v>1</v>
      </c>
      <c r="AP2804">
        <v>16</v>
      </c>
      <c r="AQ2804">
        <v>1</v>
      </c>
      <c r="AW2804" s="28">
        <f t="shared" si="293"/>
        <v>1</v>
      </c>
      <c r="AX2804">
        <f t="shared" si="294"/>
        <v>0.8</v>
      </c>
      <c r="AY2804" s="62">
        <f t="shared" si="295"/>
        <v>0.8</v>
      </c>
      <c r="AZ2804" s="68" t="str">
        <f t="shared" si="296"/>
        <v>No</v>
      </c>
      <c r="BA2804" s="68" t="str">
        <f t="shared" si="297"/>
        <v>No</v>
      </c>
    </row>
    <row r="2805" spans="1:55" hidden="1">
      <c r="A2805" t="s">
        <v>3914</v>
      </c>
      <c r="G2805" t="s">
        <v>4375</v>
      </c>
      <c r="P2805" t="s">
        <v>4596</v>
      </c>
      <c r="R2805" t="s">
        <v>4357</v>
      </c>
      <c r="S2805" t="s">
        <v>1782</v>
      </c>
      <c r="V2805" t="s">
        <v>4645</v>
      </c>
      <c r="Z2805">
        <v>3</v>
      </c>
      <c r="AA2805">
        <v>3</v>
      </c>
      <c r="AC2805">
        <v>456.4</v>
      </c>
      <c r="AD2805" s="54">
        <v>19</v>
      </c>
      <c r="AE2805">
        <v>580.6</v>
      </c>
      <c r="AF2805" s="54">
        <v>25</v>
      </c>
      <c r="AJ2805" t="s">
        <v>4379</v>
      </c>
      <c r="AK2805" t="s">
        <v>4855</v>
      </c>
      <c r="AN2805">
        <v>15</v>
      </c>
      <c r="AO2805">
        <v>1</v>
      </c>
      <c r="AP2805">
        <v>19.5</v>
      </c>
      <c r="AQ2805">
        <v>1</v>
      </c>
      <c r="AW2805" s="28">
        <f t="shared" si="293"/>
        <v>4.5</v>
      </c>
      <c r="AX2805">
        <f t="shared" si="294"/>
        <v>0.8</v>
      </c>
      <c r="AY2805" s="62">
        <f t="shared" si="295"/>
        <v>3.6</v>
      </c>
      <c r="AZ2805" s="68" t="str">
        <f t="shared" si="296"/>
        <v>No</v>
      </c>
      <c r="BA2805" s="68" t="str">
        <f t="shared" si="297"/>
        <v>No</v>
      </c>
    </row>
    <row r="2806" spans="1:55" hidden="1">
      <c r="A2806" t="s">
        <v>3914</v>
      </c>
      <c r="G2806" t="s">
        <v>4375</v>
      </c>
      <c r="P2806" t="s">
        <v>60</v>
      </c>
      <c r="R2806" t="s">
        <v>4357</v>
      </c>
      <c r="S2806" t="s">
        <v>1782</v>
      </c>
      <c r="V2806" t="s">
        <v>3956</v>
      </c>
      <c r="Z2806">
        <v>3</v>
      </c>
      <c r="AA2806">
        <v>3</v>
      </c>
      <c r="AC2806">
        <v>456.4</v>
      </c>
      <c r="AD2806">
        <v>19.03</v>
      </c>
      <c r="AE2806">
        <v>1210.5999999999999</v>
      </c>
      <c r="AF2806">
        <v>19.170000000000002</v>
      </c>
      <c r="AJ2806" t="s">
        <v>4379</v>
      </c>
      <c r="AK2806" t="s">
        <v>4093</v>
      </c>
      <c r="AN2806">
        <v>16</v>
      </c>
      <c r="AO2806">
        <v>1.7320508075688772</v>
      </c>
      <c r="AP2806">
        <v>3</v>
      </c>
      <c r="AQ2806">
        <v>1.3856406460551018</v>
      </c>
      <c r="AW2806" s="28">
        <f t="shared" si="293"/>
        <v>-8.288497269823397</v>
      </c>
      <c r="AX2806">
        <f t="shared" si="294"/>
        <v>0.8</v>
      </c>
      <c r="AY2806" s="62">
        <f t="shared" si="295"/>
        <v>-6.6307978158587177</v>
      </c>
      <c r="AZ2806" s="68" t="str">
        <f t="shared" si="296"/>
        <v>No</v>
      </c>
      <c r="BA2806" s="68" t="str">
        <f t="shared" si="297"/>
        <v>No</v>
      </c>
    </row>
    <row r="2807" spans="1:55" hidden="1">
      <c r="A2807" t="s">
        <v>3914</v>
      </c>
      <c r="G2807" t="s">
        <v>4375</v>
      </c>
      <c r="P2807" t="s">
        <v>4596</v>
      </c>
      <c r="R2807" t="s">
        <v>4357</v>
      </c>
      <c r="S2807" t="s">
        <v>1754</v>
      </c>
      <c r="V2807" t="s">
        <v>4626</v>
      </c>
      <c r="Z2807">
        <v>3</v>
      </c>
      <c r="AA2807">
        <v>3</v>
      </c>
      <c r="AC2807">
        <v>394.4</v>
      </c>
      <c r="AD2807" s="54">
        <v>19</v>
      </c>
      <c r="AE2807">
        <v>1503.6</v>
      </c>
      <c r="AF2807" s="54">
        <v>21</v>
      </c>
      <c r="AJ2807" t="s">
        <v>4379</v>
      </c>
      <c r="AK2807" t="s">
        <v>4855</v>
      </c>
      <c r="AN2807">
        <v>94</v>
      </c>
      <c r="AO2807">
        <v>4</v>
      </c>
      <c r="AP2807">
        <v>83</v>
      </c>
      <c r="AQ2807">
        <v>1.5</v>
      </c>
      <c r="AW2807" s="28">
        <f t="shared" si="293"/>
        <v>-3.6414659098504187</v>
      </c>
      <c r="AX2807">
        <f t="shared" si="294"/>
        <v>0.8</v>
      </c>
      <c r="AY2807" s="62">
        <f t="shared" si="295"/>
        <v>-2.913172727880335</v>
      </c>
      <c r="AZ2807" s="68" t="str">
        <f t="shared" si="296"/>
        <v>No</v>
      </c>
      <c r="BA2807" s="68" t="str">
        <f t="shared" si="297"/>
        <v>No</v>
      </c>
    </row>
    <row r="2808" spans="1:55" hidden="1">
      <c r="A2808" t="s">
        <v>3914</v>
      </c>
      <c r="G2808" t="s">
        <v>4375</v>
      </c>
      <c r="P2808" t="s">
        <v>4596</v>
      </c>
      <c r="R2808" t="s">
        <v>4357</v>
      </c>
      <c r="S2808" t="s">
        <v>1782</v>
      </c>
      <c r="V2808" t="s">
        <v>4625</v>
      </c>
      <c r="Z2808">
        <v>3</v>
      </c>
      <c r="AA2808">
        <v>3</v>
      </c>
      <c r="AC2808">
        <v>456.4</v>
      </c>
      <c r="AD2808" s="54">
        <v>19</v>
      </c>
      <c r="AE2808">
        <v>511.8</v>
      </c>
      <c r="AF2808" s="54">
        <v>21</v>
      </c>
      <c r="AJ2808" t="s">
        <v>4379</v>
      </c>
      <c r="AK2808" t="s">
        <v>4855</v>
      </c>
      <c r="AN2808">
        <v>15</v>
      </c>
      <c r="AO2808">
        <v>1</v>
      </c>
      <c r="AP2808">
        <v>16</v>
      </c>
      <c r="AQ2808">
        <v>1.5</v>
      </c>
      <c r="AW2808" s="28">
        <f t="shared" si="293"/>
        <v>0.78446454055273618</v>
      </c>
      <c r="AX2808">
        <f t="shared" si="294"/>
        <v>0.8</v>
      </c>
      <c r="AY2808" s="62">
        <f t="shared" si="295"/>
        <v>0.62757163244218894</v>
      </c>
      <c r="AZ2808" s="68" t="str">
        <f t="shared" si="296"/>
        <v>No</v>
      </c>
      <c r="BA2808" s="68" t="str">
        <f t="shared" si="297"/>
        <v>No</v>
      </c>
    </row>
    <row r="2809" spans="1:55" hidden="1">
      <c r="A2809" t="s">
        <v>3914</v>
      </c>
      <c r="G2809" t="s">
        <v>5023</v>
      </c>
      <c r="P2809" t="s">
        <v>60</v>
      </c>
      <c r="R2809" t="s">
        <v>4357</v>
      </c>
      <c r="S2809" t="s">
        <v>1754</v>
      </c>
      <c r="V2809" t="s">
        <v>3956</v>
      </c>
      <c r="Z2809">
        <v>3</v>
      </c>
      <c r="AA2809">
        <v>3</v>
      </c>
      <c r="AC2809">
        <v>394.4</v>
      </c>
      <c r="AD2809">
        <v>19.170000000000002</v>
      </c>
      <c r="AE2809">
        <v>1310.3</v>
      </c>
      <c r="AF2809">
        <v>19.27</v>
      </c>
      <c r="AJ2809" t="s">
        <v>4379</v>
      </c>
      <c r="AK2809" t="s">
        <v>4093</v>
      </c>
      <c r="AN2809">
        <v>98</v>
      </c>
      <c r="AO2809">
        <v>3.4641016151377544</v>
      </c>
      <c r="AP2809">
        <v>92</v>
      </c>
      <c r="AQ2809">
        <v>1.7320508075688772</v>
      </c>
      <c r="AW2809" s="28">
        <f t="shared" si="293"/>
        <v>-2.1908902300206643</v>
      </c>
      <c r="AX2809">
        <f t="shared" si="294"/>
        <v>0.8</v>
      </c>
      <c r="AY2809" s="62">
        <f t="shared" si="295"/>
        <v>-1.7527121840165316</v>
      </c>
      <c r="AZ2809" s="68" t="str">
        <f t="shared" si="296"/>
        <v>No</v>
      </c>
      <c r="BA2809" s="68" t="str">
        <f t="shared" si="297"/>
        <v>No</v>
      </c>
    </row>
    <row r="2810" spans="1:55" hidden="1">
      <c r="A2810" t="s">
        <v>3914</v>
      </c>
      <c r="G2810" t="s">
        <v>4375</v>
      </c>
      <c r="P2810" t="s">
        <v>4596</v>
      </c>
      <c r="R2810" t="s">
        <v>4357</v>
      </c>
      <c r="S2810" t="s">
        <v>1754</v>
      </c>
      <c r="V2810" t="s">
        <v>4626</v>
      </c>
      <c r="Z2810">
        <v>3</v>
      </c>
      <c r="AA2810">
        <v>3</v>
      </c>
      <c r="AC2810">
        <v>394.4</v>
      </c>
      <c r="AD2810" s="54">
        <v>19</v>
      </c>
      <c r="AE2810">
        <v>1484.3</v>
      </c>
      <c r="AF2810" s="54">
        <v>23</v>
      </c>
      <c r="AJ2810" t="s">
        <v>4379</v>
      </c>
      <c r="AK2810" t="s">
        <v>4855</v>
      </c>
      <c r="AN2810">
        <v>94</v>
      </c>
      <c r="AO2810">
        <v>4</v>
      </c>
      <c r="AP2810">
        <v>91</v>
      </c>
      <c r="AQ2810">
        <v>2</v>
      </c>
      <c r="AW2810" s="28">
        <f t="shared" si="293"/>
        <v>-0.94868329805051377</v>
      </c>
      <c r="AX2810">
        <f t="shared" si="294"/>
        <v>0.8</v>
      </c>
      <c r="AY2810" s="62">
        <f t="shared" si="295"/>
        <v>-0.7589466384404111</v>
      </c>
      <c r="AZ2810" s="68" t="str">
        <f t="shared" si="296"/>
        <v>No</v>
      </c>
      <c r="BA2810" s="68" t="str">
        <f t="shared" si="297"/>
        <v>No</v>
      </c>
    </row>
    <row r="2811" spans="1:55" ht="15" hidden="1">
      <c r="A2811" t="s">
        <v>3914</v>
      </c>
      <c r="G2811" t="s">
        <v>4375</v>
      </c>
      <c r="P2811" t="s">
        <v>4596</v>
      </c>
      <c r="R2811" t="s">
        <v>4357</v>
      </c>
      <c r="S2811" t="s">
        <v>1754</v>
      </c>
      <c r="V2811" t="s">
        <v>4626</v>
      </c>
      <c r="Z2811">
        <v>3</v>
      </c>
      <c r="AA2811">
        <v>3</v>
      </c>
      <c r="AC2811">
        <v>394.4</v>
      </c>
      <c r="AD2811" s="54">
        <v>19</v>
      </c>
      <c r="AE2811">
        <v>1599.6</v>
      </c>
      <c r="AF2811" s="54">
        <v>25</v>
      </c>
      <c r="AJ2811" t="s">
        <v>4379</v>
      </c>
      <c r="AK2811" t="s">
        <v>4855</v>
      </c>
      <c r="AN2811">
        <v>94</v>
      </c>
      <c r="AO2811">
        <v>4</v>
      </c>
      <c r="AP2811">
        <v>90</v>
      </c>
      <c r="AQ2811">
        <v>2</v>
      </c>
      <c r="AW2811" s="28">
        <f t="shared" si="293"/>
        <v>-1.2649110640673518</v>
      </c>
      <c r="AX2811">
        <f t="shared" si="294"/>
        <v>0.8</v>
      </c>
      <c r="AY2811" s="73">
        <f t="shared" si="295"/>
        <v>-1.0119288512538815</v>
      </c>
      <c r="AZ2811" s="74" t="str">
        <f t="shared" si="296"/>
        <v>No</v>
      </c>
      <c r="BA2811" s="74" t="str">
        <f t="shared" si="297"/>
        <v>No</v>
      </c>
      <c r="BB2811" s="56"/>
      <c r="BC2811" s="56"/>
    </row>
    <row r="2812" spans="1:55" hidden="1">
      <c r="A2812" t="s">
        <v>3914</v>
      </c>
      <c r="G2812" t="s">
        <v>4375</v>
      </c>
      <c r="P2812" t="s">
        <v>4596</v>
      </c>
      <c r="R2812" t="s">
        <v>4357</v>
      </c>
      <c r="S2812" t="s">
        <v>1754</v>
      </c>
      <c r="V2812" t="s">
        <v>4627</v>
      </c>
      <c r="Z2812">
        <v>3</v>
      </c>
      <c r="AA2812">
        <v>3</v>
      </c>
      <c r="AC2812">
        <v>394.4</v>
      </c>
      <c r="AD2812" s="54">
        <v>19</v>
      </c>
      <c r="AE2812">
        <v>2918.6</v>
      </c>
      <c r="AF2812" s="54">
        <v>23</v>
      </c>
      <c r="AJ2812" t="s">
        <v>4379</v>
      </c>
      <c r="AK2812" t="s">
        <v>4855</v>
      </c>
      <c r="AN2812">
        <v>94</v>
      </c>
      <c r="AO2812">
        <v>4</v>
      </c>
      <c r="AP2812">
        <v>87.5</v>
      </c>
      <c r="AQ2812">
        <v>2.5</v>
      </c>
      <c r="AW2812" s="28">
        <f t="shared" si="293"/>
        <v>-1.9487823913892397</v>
      </c>
      <c r="AX2812">
        <f t="shared" si="294"/>
        <v>0.8</v>
      </c>
      <c r="AY2812" s="62">
        <f t="shared" si="295"/>
        <v>-1.5590259131113919</v>
      </c>
      <c r="AZ2812" s="68" t="str">
        <f t="shared" si="296"/>
        <v>No</v>
      </c>
      <c r="BA2812" s="68" t="str">
        <f t="shared" si="297"/>
        <v>No</v>
      </c>
    </row>
    <row r="2813" spans="1:55" hidden="1">
      <c r="A2813" t="s">
        <v>3914</v>
      </c>
      <c r="G2813" t="s">
        <v>4879</v>
      </c>
      <c r="P2813" t="s">
        <v>4596</v>
      </c>
      <c r="R2813" t="s">
        <v>4357</v>
      </c>
      <c r="S2813" t="s">
        <v>1754</v>
      </c>
      <c r="V2813" t="s">
        <v>4627</v>
      </c>
      <c r="Z2813">
        <v>3</v>
      </c>
      <c r="AA2813">
        <v>3</v>
      </c>
      <c r="AC2813">
        <v>394.4</v>
      </c>
      <c r="AD2813" s="54">
        <v>19</v>
      </c>
      <c r="AE2813">
        <v>2903.3</v>
      </c>
      <c r="AF2813" s="54">
        <v>21</v>
      </c>
      <c r="AJ2813" t="s">
        <v>4379</v>
      </c>
      <c r="AK2813" t="s">
        <v>4855</v>
      </c>
      <c r="AN2813">
        <v>94</v>
      </c>
      <c r="AO2813">
        <v>4</v>
      </c>
      <c r="AP2813">
        <v>90</v>
      </c>
      <c r="AQ2813">
        <v>3</v>
      </c>
      <c r="AW2813" s="28">
        <f t="shared" si="293"/>
        <v>-1.131370849898476</v>
      </c>
      <c r="AX2813">
        <f t="shared" si="294"/>
        <v>0.8</v>
      </c>
      <c r="AY2813" s="62">
        <f t="shared" si="295"/>
        <v>-0.90509667991878084</v>
      </c>
      <c r="AZ2813" s="68" t="str">
        <f t="shared" si="296"/>
        <v>No</v>
      </c>
      <c r="BA2813" s="68" t="str">
        <f t="shared" si="297"/>
        <v>No</v>
      </c>
    </row>
    <row r="2814" spans="1:55" s="56" customFormat="1" ht="15" hidden="1">
      <c r="A2814" t="s">
        <v>3914</v>
      </c>
      <c r="B2814"/>
      <c r="C2814"/>
      <c r="D2814" s="25"/>
      <c r="E2814" s="25"/>
      <c r="F2814"/>
      <c r="G2814" t="s">
        <v>4375</v>
      </c>
      <c r="H2814"/>
      <c r="I2814"/>
      <c r="J2814"/>
      <c r="K2814"/>
      <c r="L2814"/>
      <c r="M2814" s="25"/>
      <c r="N2814"/>
      <c r="O2814"/>
      <c r="P2814" t="s">
        <v>4596</v>
      </c>
      <c r="Q2814"/>
      <c r="R2814" t="s">
        <v>4357</v>
      </c>
      <c r="S2814" t="s">
        <v>1754</v>
      </c>
      <c r="T2814"/>
      <c r="U2814"/>
      <c r="V2814" t="s">
        <v>4627</v>
      </c>
      <c r="W2814" s="25"/>
      <c r="X2814"/>
      <c r="Y2814"/>
      <c r="Z2814">
        <v>3</v>
      </c>
      <c r="AA2814">
        <v>3</v>
      </c>
      <c r="AB2814"/>
      <c r="AC2814">
        <v>394.4</v>
      </c>
      <c r="AD2814" s="54">
        <v>19</v>
      </c>
      <c r="AE2814">
        <v>2865.4</v>
      </c>
      <c r="AF2814" s="54">
        <v>25</v>
      </c>
      <c r="AG2814"/>
      <c r="AH2814"/>
      <c r="AI2814"/>
      <c r="AJ2814" t="s">
        <v>4379</v>
      </c>
      <c r="AK2814" t="s">
        <v>4855</v>
      </c>
      <c r="AL2814" s="25"/>
      <c r="AM2814" s="35"/>
      <c r="AN2814">
        <v>94</v>
      </c>
      <c r="AO2814">
        <v>4</v>
      </c>
      <c r="AP2814">
        <v>89</v>
      </c>
      <c r="AQ2814">
        <v>3</v>
      </c>
      <c r="AR2814"/>
      <c r="AS2814"/>
      <c r="AT2814"/>
      <c r="AU2814"/>
      <c r="AV2814"/>
      <c r="AW2814" s="28">
        <f t="shared" si="293"/>
        <v>-1.4142135623730949</v>
      </c>
      <c r="AX2814">
        <f t="shared" si="294"/>
        <v>0.8</v>
      </c>
      <c r="AY2814" s="62">
        <f t="shared" si="295"/>
        <v>-1.131370849898476</v>
      </c>
      <c r="AZ2814" s="68" t="str">
        <f t="shared" si="296"/>
        <v>No</v>
      </c>
      <c r="BA2814" s="68" t="str">
        <f t="shared" si="297"/>
        <v>No</v>
      </c>
      <c r="BB2814"/>
      <c r="BC2814"/>
    </row>
    <row r="2815" spans="1:55" hidden="1">
      <c r="A2815" t="s">
        <v>3914</v>
      </c>
      <c r="G2815" t="s">
        <v>4948</v>
      </c>
      <c r="P2815" t="s">
        <v>4596</v>
      </c>
      <c r="R2815" t="s">
        <v>4357</v>
      </c>
      <c r="S2815" t="s">
        <v>1754</v>
      </c>
      <c r="V2815" t="s">
        <v>4645</v>
      </c>
      <c r="Z2815">
        <v>3</v>
      </c>
      <c r="AA2815">
        <v>3</v>
      </c>
      <c r="AC2815">
        <v>394.4</v>
      </c>
      <c r="AD2815" s="54">
        <v>19</v>
      </c>
      <c r="AE2815">
        <v>560.6</v>
      </c>
      <c r="AF2815" s="54">
        <v>25</v>
      </c>
      <c r="AJ2815" t="s">
        <v>4379</v>
      </c>
      <c r="AK2815" t="s">
        <v>4855</v>
      </c>
      <c r="AN2815">
        <v>94</v>
      </c>
      <c r="AO2815">
        <v>4</v>
      </c>
      <c r="AP2815">
        <v>92</v>
      </c>
      <c r="AQ2815">
        <v>3.5</v>
      </c>
      <c r="AW2815" s="28">
        <f t="shared" si="293"/>
        <v>-0.53215208419019144</v>
      </c>
      <c r="AX2815">
        <f t="shared" si="294"/>
        <v>0.8</v>
      </c>
      <c r="AY2815" s="62">
        <f t="shared" si="295"/>
        <v>-0.42572166735215317</v>
      </c>
      <c r="AZ2815" s="68" t="str">
        <f t="shared" si="296"/>
        <v>No</v>
      </c>
      <c r="BA2815" s="68" t="str">
        <f t="shared" si="297"/>
        <v>No</v>
      </c>
    </row>
    <row r="2816" spans="1:55" hidden="1">
      <c r="A2816" t="s">
        <v>3914</v>
      </c>
      <c r="G2816" t="s">
        <v>4879</v>
      </c>
      <c r="P2816" t="s">
        <v>4596</v>
      </c>
      <c r="R2816" t="s">
        <v>4357</v>
      </c>
      <c r="S2816" t="s">
        <v>1754</v>
      </c>
      <c r="V2816" t="s">
        <v>4625</v>
      </c>
      <c r="Z2816">
        <v>3</v>
      </c>
      <c r="AA2816">
        <v>3</v>
      </c>
      <c r="AC2816">
        <v>394.4</v>
      </c>
      <c r="AD2816" s="54">
        <v>19</v>
      </c>
      <c r="AE2816">
        <v>448.2</v>
      </c>
      <c r="AF2816" s="54">
        <v>21</v>
      </c>
      <c r="AJ2816" t="s">
        <v>4880</v>
      </c>
      <c r="AK2816" t="s">
        <v>4855</v>
      </c>
      <c r="AN2816">
        <v>94</v>
      </c>
      <c r="AO2816">
        <v>4</v>
      </c>
      <c r="AP2816">
        <v>84</v>
      </c>
      <c r="AQ2816">
        <v>4</v>
      </c>
      <c r="AW2816" s="28">
        <f t="shared" si="293"/>
        <v>-2.5</v>
      </c>
      <c r="AX2816">
        <f t="shared" si="294"/>
        <v>0.8</v>
      </c>
      <c r="AY2816" s="62">
        <f t="shared" si="295"/>
        <v>-2</v>
      </c>
      <c r="AZ2816" s="68" t="str">
        <f t="shared" si="296"/>
        <v>No</v>
      </c>
      <c r="BA2816" s="68" t="str">
        <f t="shared" si="297"/>
        <v>No</v>
      </c>
    </row>
    <row r="2817" spans="1:55" ht="15" hidden="1">
      <c r="A2817" t="s">
        <v>3914</v>
      </c>
      <c r="G2817" t="s">
        <v>4375</v>
      </c>
      <c r="P2817" t="s">
        <v>4596</v>
      </c>
      <c r="R2817" t="s">
        <v>4357</v>
      </c>
      <c r="S2817" t="s">
        <v>1754</v>
      </c>
      <c r="V2817" t="s">
        <v>4628</v>
      </c>
      <c r="Z2817">
        <v>3</v>
      </c>
      <c r="AA2817">
        <v>3</v>
      </c>
      <c r="AC2817">
        <v>394.4</v>
      </c>
      <c r="AD2817" s="54">
        <v>19</v>
      </c>
      <c r="AE2817">
        <v>540.6</v>
      </c>
      <c r="AF2817" s="54">
        <v>23</v>
      </c>
      <c r="AJ2817" t="s">
        <v>4379</v>
      </c>
      <c r="AK2817" t="s">
        <v>4855</v>
      </c>
      <c r="AN2817">
        <v>94</v>
      </c>
      <c r="AO2817">
        <v>4</v>
      </c>
      <c r="AP2817">
        <v>98</v>
      </c>
      <c r="AQ2817">
        <v>4</v>
      </c>
      <c r="AW2817" s="28">
        <f t="shared" si="293"/>
        <v>1</v>
      </c>
      <c r="AX2817">
        <f t="shared" si="294"/>
        <v>0.8</v>
      </c>
      <c r="AY2817" s="73">
        <f t="shared" si="295"/>
        <v>0.8</v>
      </c>
      <c r="AZ2817" s="74" t="str">
        <f t="shared" si="296"/>
        <v>No</v>
      </c>
      <c r="BA2817" s="74" t="str">
        <f t="shared" si="297"/>
        <v>No</v>
      </c>
      <c r="BB2817" s="56"/>
      <c r="BC2817" s="56"/>
    </row>
    <row r="2818" spans="1:55" hidden="1">
      <c r="A2818" t="s">
        <v>3914</v>
      </c>
      <c r="G2818" t="s">
        <v>4375</v>
      </c>
      <c r="P2818" t="s">
        <v>4596</v>
      </c>
      <c r="R2818" t="s">
        <v>4357</v>
      </c>
      <c r="S2818" t="s">
        <v>1781</v>
      </c>
      <c r="V2818" t="s">
        <v>4628</v>
      </c>
      <c r="Z2818">
        <v>3</v>
      </c>
      <c r="AA2818">
        <v>3</v>
      </c>
      <c r="AC2818">
        <v>489</v>
      </c>
      <c r="AD2818" s="54">
        <v>19</v>
      </c>
      <c r="AE2818">
        <v>518.1</v>
      </c>
      <c r="AF2818" s="54">
        <v>23</v>
      </c>
      <c r="AJ2818" t="s">
        <v>4379</v>
      </c>
      <c r="AK2818" t="s">
        <v>4855</v>
      </c>
      <c r="AN2818">
        <v>99</v>
      </c>
      <c r="AO2818">
        <v>4</v>
      </c>
      <c r="AP2818">
        <v>64</v>
      </c>
      <c r="AQ2818">
        <v>4</v>
      </c>
      <c r="AW2818" s="28">
        <f t="shared" si="293"/>
        <v>-8.75</v>
      </c>
      <c r="AX2818">
        <f t="shared" si="294"/>
        <v>0.8</v>
      </c>
      <c r="AY2818" s="62">
        <f t="shared" si="295"/>
        <v>-7</v>
      </c>
      <c r="AZ2818" s="68" t="str">
        <f t="shared" si="296"/>
        <v>No</v>
      </c>
      <c r="BA2818" s="68" t="str">
        <f t="shared" si="297"/>
        <v>No</v>
      </c>
    </row>
    <row r="2819" spans="1:55" hidden="1">
      <c r="A2819" t="s">
        <v>3914</v>
      </c>
      <c r="G2819" t="s">
        <v>4375</v>
      </c>
      <c r="P2819" t="s">
        <v>4596</v>
      </c>
      <c r="R2819" t="s">
        <v>4357</v>
      </c>
      <c r="S2819" t="s">
        <v>1782</v>
      </c>
      <c r="V2819" t="s">
        <v>4626</v>
      </c>
      <c r="Z2819">
        <v>3</v>
      </c>
      <c r="AA2819">
        <v>3</v>
      </c>
      <c r="AC2819">
        <v>456.4</v>
      </c>
      <c r="AD2819" s="54">
        <v>19</v>
      </c>
      <c r="AE2819">
        <v>1322.5</v>
      </c>
      <c r="AF2819" s="54">
        <v>21</v>
      </c>
      <c r="AJ2819" t="s">
        <v>4881</v>
      </c>
      <c r="AK2819" t="s">
        <v>4848</v>
      </c>
      <c r="AN2819">
        <v>11.5</v>
      </c>
      <c r="AO2819">
        <v>5.5</v>
      </c>
      <c r="AP2819">
        <v>1.2</v>
      </c>
      <c r="AQ2819">
        <v>4.5</v>
      </c>
      <c r="AW2819" s="28">
        <f t="shared" si="293"/>
        <v>-2.049776611832578</v>
      </c>
      <c r="AX2819">
        <f t="shared" si="294"/>
        <v>0.8</v>
      </c>
      <c r="AY2819" s="62">
        <f t="shared" si="295"/>
        <v>-1.6398212894660624</v>
      </c>
      <c r="AZ2819" s="68" t="str">
        <f t="shared" si="296"/>
        <v>No</v>
      </c>
      <c r="BA2819" s="68" t="str">
        <f t="shared" si="297"/>
        <v>No</v>
      </c>
    </row>
    <row r="2820" spans="1:55" hidden="1">
      <c r="A2820" t="s">
        <v>3914</v>
      </c>
      <c r="G2820" t="s">
        <v>4375</v>
      </c>
      <c r="P2820" t="s">
        <v>4596</v>
      </c>
      <c r="R2820" t="s">
        <v>4357</v>
      </c>
      <c r="S2820" t="s">
        <v>1782</v>
      </c>
      <c r="V2820" t="s">
        <v>4627</v>
      </c>
      <c r="Z2820">
        <v>3</v>
      </c>
      <c r="AA2820">
        <v>3</v>
      </c>
      <c r="AC2820">
        <v>456.4</v>
      </c>
      <c r="AD2820" s="54">
        <v>19</v>
      </c>
      <c r="AE2820">
        <v>2311.6</v>
      </c>
      <c r="AF2820" s="54">
        <v>21</v>
      </c>
      <c r="AJ2820" t="s">
        <v>4881</v>
      </c>
      <c r="AK2820" t="s">
        <v>4848</v>
      </c>
      <c r="AN2820">
        <v>11.5</v>
      </c>
      <c r="AO2820">
        <v>5.5</v>
      </c>
      <c r="AP2820">
        <v>0.2</v>
      </c>
      <c r="AQ2820">
        <v>4.8</v>
      </c>
      <c r="AW2820" s="28">
        <f t="shared" si="293"/>
        <v>-2.1891251033994488</v>
      </c>
      <c r="AX2820">
        <f t="shared" si="294"/>
        <v>0.8</v>
      </c>
      <c r="AY2820" s="62">
        <f t="shared" si="295"/>
        <v>-1.7513000827195591</v>
      </c>
      <c r="AZ2820" s="68" t="str">
        <f t="shared" si="296"/>
        <v>No</v>
      </c>
      <c r="BA2820" s="68" t="str">
        <f t="shared" si="297"/>
        <v>No</v>
      </c>
    </row>
    <row r="2821" spans="1:55" hidden="1">
      <c r="A2821" t="s">
        <v>3914</v>
      </c>
      <c r="G2821" t="s">
        <v>4375</v>
      </c>
      <c r="P2821" t="s">
        <v>4596</v>
      </c>
      <c r="R2821" t="s">
        <v>4357</v>
      </c>
      <c r="S2821" t="s">
        <v>1781</v>
      </c>
      <c r="V2821" t="s">
        <v>4625</v>
      </c>
      <c r="Z2821">
        <v>3</v>
      </c>
      <c r="AA2821">
        <v>3</v>
      </c>
      <c r="AC2821">
        <v>489</v>
      </c>
      <c r="AD2821" s="54">
        <v>19</v>
      </c>
      <c r="AE2821">
        <v>466.8</v>
      </c>
      <c r="AF2821" s="54">
        <v>21</v>
      </c>
      <c r="AJ2821" t="s">
        <v>4379</v>
      </c>
      <c r="AK2821" t="s">
        <v>4855</v>
      </c>
      <c r="AN2821">
        <v>99</v>
      </c>
      <c r="AO2821">
        <v>4</v>
      </c>
      <c r="AP2821">
        <v>98</v>
      </c>
      <c r="AQ2821">
        <v>5</v>
      </c>
      <c r="AW2821" s="28">
        <f t="shared" si="293"/>
        <v>-0.22086305214969307</v>
      </c>
      <c r="AX2821">
        <f t="shared" si="294"/>
        <v>0.8</v>
      </c>
      <c r="AY2821" s="62">
        <f t="shared" si="295"/>
        <v>-0.17669044171975445</v>
      </c>
      <c r="AZ2821" s="68" t="str">
        <f t="shared" si="296"/>
        <v>No</v>
      </c>
      <c r="BA2821" s="68" t="str">
        <f t="shared" si="297"/>
        <v>No</v>
      </c>
    </row>
    <row r="2822" spans="1:55" hidden="1">
      <c r="A2822" t="s">
        <v>3914</v>
      </c>
      <c r="G2822" t="s">
        <v>4375</v>
      </c>
      <c r="P2822" t="s">
        <v>4596</v>
      </c>
      <c r="R2822" t="s">
        <v>4357</v>
      </c>
      <c r="S2822" t="s">
        <v>1781</v>
      </c>
      <c r="V2822" t="s">
        <v>4626</v>
      </c>
      <c r="Z2822">
        <v>3</v>
      </c>
      <c r="AA2822">
        <v>3</v>
      </c>
      <c r="AC2822">
        <v>489</v>
      </c>
      <c r="AD2822" s="54">
        <v>19</v>
      </c>
      <c r="AE2822">
        <v>1432.9</v>
      </c>
      <c r="AF2822" s="54">
        <v>21</v>
      </c>
      <c r="AJ2822" t="s">
        <v>4379</v>
      </c>
      <c r="AK2822" t="s">
        <v>4855</v>
      </c>
      <c r="AN2822">
        <v>99</v>
      </c>
      <c r="AO2822">
        <v>4</v>
      </c>
      <c r="AP2822">
        <v>96</v>
      </c>
      <c r="AQ2822">
        <v>5</v>
      </c>
      <c r="AW2822" s="28">
        <f t="shared" si="293"/>
        <v>-0.66258915644907923</v>
      </c>
      <c r="AX2822">
        <f t="shared" si="294"/>
        <v>0.8</v>
      </c>
      <c r="AY2822" s="62">
        <f t="shared" si="295"/>
        <v>-0.53007132515926336</v>
      </c>
      <c r="AZ2822" s="68" t="str">
        <f t="shared" si="296"/>
        <v>No</v>
      </c>
      <c r="BA2822" s="68" t="str">
        <f t="shared" si="297"/>
        <v>No</v>
      </c>
    </row>
    <row r="2823" spans="1:55" hidden="1">
      <c r="A2823" t="s">
        <v>3914</v>
      </c>
      <c r="G2823" t="s">
        <v>4375</v>
      </c>
      <c r="P2823" t="s">
        <v>4596</v>
      </c>
      <c r="R2823" t="s">
        <v>4357</v>
      </c>
      <c r="S2823" t="s">
        <v>1781</v>
      </c>
      <c r="V2823" t="s">
        <v>4627</v>
      </c>
      <c r="Z2823">
        <v>3</v>
      </c>
      <c r="AA2823">
        <v>3</v>
      </c>
      <c r="AC2823">
        <v>489</v>
      </c>
      <c r="AD2823" s="54">
        <v>19</v>
      </c>
      <c r="AE2823">
        <v>2813.3</v>
      </c>
      <c r="AF2823" s="54">
        <v>21</v>
      </c>
      <c r="AJ2823" t="s">
        <v>4379</v>
      </c>
      <c r="AK2823" t="s">
        <v>4855</v>
      </c>
      <c r="AN2823">
        <v>99</v>
      </c>
      <c r="AO2823">
        <v>4</v>
      </c>
      <c r="AP2823">
        <v>78</v>
      </c>
      <c r="AQ2823">
        <v>5</v>
      </c>
      <c r="AW2823" s="28">
        <f t="shared" si="293"/>
        <v>-4.6381240951435547</v>
      </c>
      <c r="AX2823">
        <f t="shared" si="294"/>
        <v>0.8</v>
      </c>
      <c r="AY2823" s="62">
        <f t="shared" si="295"/>
        <v>-3.7104992761148439</v>
      </c>
      <c r="AZ2823" s="68" t="str">
        <f t="shared" si="296"/>
        <v>No</v>
      </c>
      <c r="BA2823" s="68" t="str">
        <f t="shared" si="297"/>
        <v>No</v>
      </c>
    </row>
    <row r="2824" spans="1:55" hidden="1">
      <c r="A2824" t="s">
        <v>3914</v>
      </c>
      <c r="G2824" t="s">
        <v>4375</v>
      </c>
      <c r="P2824" t="s">
        <v>4596</v>
      </c>
      <c r="R2824" t="s">
        <v>4357</v>
      </c>
      <c r="S2824" t="s">
        <v>1781</v>
      </c>
      <c r="V2824" t="s">
        <v>4627</v>
      </c>
      <c r="Z2824">
        <v>3</v>
      </c>
      <c r="AA2824">
        <v>3</v>
      </c>
      <c r="AC2824">
        <v>489</v>
      </c>
      <c r="AD2824" s="54">
        <v>19</v>
      </c>
      <c r="AE2824">
        <v>2539.3000000000002</v>
      </c>
      <c r="AF2824" s="54">
        <v>23</v>
      </c>
      <c r="AJ2824" t="s">
        <v>4379</v>
      </c>
      <c r="AK2824" t="s">
        <v>4855</v>
      </c>
      <c r="AN2824">
        <v>99</v>
      </c>
      <c r="AO2824">
        <v>4</v>
      </c>
      <c r="AP2824">
        <v>72</v>
      </c>
      <c r="AQ2824">
        <v>5</v>
      </c>
      <c r="AW2824" s="28">
        <f t="shared" si="293"/>
        <v>-5.963302408041713</v>
      </c>
      <c r="AX2824">
        <f t="shared" si="294"/>
        <v>0.8</v>
      </c>
      <c r="AY2824" s="78">
        <f t="shared" si="295"/>
        <v>-4.7706419264333704</v>
      </c>
      <c r="AZ2824" s="79" t="str">
        <f t="shared" si="296"/>
        <v>No</v>
      </c>
      <c r="BA2824" s="79" t="str">
        <f t="shared" si="297"/>
        <v>No</v>
      </c>
      <c r="BB2824" s="77" t="s">
        <v>5111</v>
      </c>
      <c r="BC2824" s="77"/>
    </row>
    <row r="2825" spans="1:55" hidden="1">
      <c r="A2825" t="s">
        <v>3914</v>
      </c>
      <c r="G2825" t="s">
        <v>4375</v>
      </c>
      <c r="P2825" t="s">
        <v>4596</v>
      </c>
      <c r="R2825" t="s">
        <v>4357</v>
      </c>
      <c r="S2825" t="s">
        <v>1781</v>
      </c>
      <c r="V2825" t="s">
        <v>4627</v>
      </c>
      <c r="Z2825">
        <v>3</v>
      </c>
      <c r="AA2825">
        <v>3</v>
      </c>
      <c r="AC2825">
        <v>489</v>
      </c>
      <c r="AD2825" s="54">
        <v>19</v>
      </c>
      <c r="AE2825">
        <v>2829.1</v>
      </c>
      <c r="AF2825" s="54">
        <v>25</v>
      </c>
      <c r="AJ2825" t="s">
        <v>4379</v>
      </c>
      <c r="AK2825" t="s">
        <v>4855</v>
      </c>
      <c r="AN2825">
        <v>99</v>
      </c>
      <c r="AO2825">
        <v>4</v>
      </c>
      <c r="AP2825">
        <v>1</v>
      </c>
      <c r="AQ2825">
        <v>5</v>
      </c>
      <c r="AW2825" s="28">
        <f t="shared" si="293"/>
        <v>-21.64457911066992</v>
      </c>
      <c r="AX2825">
        <f t="shared" si="294"/>
        <v>0.8</v>
      </c>
      <c r="AY2825" s="62">
        <f t="shared" si="295"/>
        <v>-17.315663288535937</v>
      </c>
      <c r="AZ2825" s="68" t="str">
        <f t="shared" si="296"/>
        <v>No</v>
      </c>
      <c r="BA2825" s="68" t="str">
        <f t="shared" si="297"/>
        <v>Yes</v>
      </c>
    </row>
    <row r="2826" spans="1:55" hidden="1">
      <c r="A2826" t="s">
        <v>3914</v>
      </c>
      <c r="G2826" t="s">
        <v>4375</v>
      </c>
      <c r="P2826" t="s">
        <v>4596</v>
      </c>
      <c r="R2826" t="s">
        <v>4357</v>
      </c>
      <c r="S2826" t="s">
        <v>1754</v>
      </c>
      <c r="V2826" t="s">
        <v>4645</v>
      </c>
      <c r="Z2826">
        <v>3</v>
      </c>
      <c r="AA2826">
        <v>3</v>
      </c>
      <c r="AC2826">
        <v>394.4</v>
      </c>
      <c r="AD2826" s="54">
        <v>19</v>
      </c>
      <c r="AE2826">
        <v>560.6</v>
      </c>
      <c r="AF2826" s="54">
        <v>25</v>
      </c>
      <c r="AJ2826" t="s">
        <v>4881</v>
      </c>
      <c r="AK2826" t="s">
        <v>4848</v>
      </c>
      <c r="AN2826">
        <v>240</v>
      </c>
      <c r="AO2826">
        <v>10</v>
      </c>
      <c r="AP2826">
        <v>308</v>
      </c>
      <c r="AQ2826">
        <v>5</v>
      </c>
      <c r="AW2826" s="28">
        <f t="shared" si="293"/>
        <v>8.6013952356579928</v>
      </c>
      <c r="AX2826">
        <f t="shared" si="294"/>
        <v>0.8</v>
      </c>
      <c r="AY2826" s="62">
        <f t="shared" si="295"/>
        <v>6.881116188526395</v>
      </c>
      <c r="AZ2826" s="68" t="str">
        <f t="shared" si="296"/>
        <v>No</v>
      </c>
      <c r="BA2826" s="68" t="str">
        <f t="shared" si="297"/>
        <v>No</v>
      </c>
    </row>
    <row r="2827" spans="1:55" hidden="1">
      <c r="A2827" t="s">
        <v>3914</v>
      </c>
      <c r="G2827" t="s">
        <v>4375</v>
      </c>
      <c r="P2827" t="s">
        <v>4596</v>
      </c>
      <c r="R2827" t="s">
        <v>4357</v>
      </c>
      <c r="S2827" t="s">
        <v>1148</v>
      </c>
      <c r="V2827" t="s">
        <v>4625</v>
      </c>
      <c r="Z2827">
        <v>3</v>
      </c>
      <c r="AA2827">
        <v>3</v>
      </c>
      <c r="AC2827">
        <v>899.1</v>
      </c>
      <c r="AD2827" s="54">
        <v>19</v>
      </c>
      <c r="AE2827">
        <v>863.1</v>
      </c>
      <c r="AF2827" s="54">
        <v>21</v>
      </c>
      <c r="AJ2827" t="s">
        <v>4881</v>
      </c>
      <c r="AK2827" t="s">
        <v>4848</v>
      </c>
      <c r="AN2827">
        <v>240</v>
      </c>
      <c r="AO2827">
        <v>9</v>
      </c>
      <c r="AP2827">
        <v>251</v>
      </c>
      <c r="AQ2827">
        <v>5</v>
      </c>
      <c r="AW2827" s="28">
        <f t="shared" si="293"/>
        <v>1.5109662034355793</v>
      </c>
      <c r="AX2827">
        <f t="shared" si="294"/>
        <v>0.8</v>
      </c>
      <c r="AY2827" s="62">
        <f t="shared" si="295"/>
        <v>1.2087729627484636</v>
      </c>
      <c r="AZ2827" s="68" t="str">
        <f t="shared" si="296"/>
        <v>No</v>
      </c>
      <c r="BA2827" s="68" t="str">
        <f t="shared" si="297"/>
        <v>No</v>
      </c>
    </row>
    <row r="2828" spans="1:55" hidden="1">
      <c r="A2828" t="s">
        <v>3914</v>
      </c>
      <c r="G2828" t="s">
        <v>4375</v>
      </c>
      <c r="P2828" t="s">
        <v>4596</v>
      </c>
      <c r="R2828" t="s">
        <v>4357</v>
      </c>
      <c r="S2828" t="s">
        <v>1782</v>
      </c>
      <c r="V2828" t="s">
        <v>4625</v>
      </c>
      <c r="Z2828">
        <v>3</v>
      </c>
      <c r="AA2828">
        <v>3</v>
      </c>
      <c r="AC2828">
        <v>456.4</v>
      </c>
      <c r="AD2828" s="54">
        <v>19</v>
      </c>
      <c r="AE2828">
        <v>511.8</v>
      </c>
      <c r="AF2828" s="54">
        <v>21</v>
      </c>
      <c r="AJ2828" t="s">
        <v>4881</v>
      </c>
      <c r="AK2828" t="s">
        <v>4848</v>
      </c>
      <c r="AN2828">
        <v>11.5</v>
      </c>
      <c r="AO2828">
        <v>5.5</v>
      </c>
      <c r="AP2828">
        <v>15.5</v>
      </c>
      <c r="AQ2828">
        <v>5</v>
      </c>
      <c r="AW2828" s="28">
        <f t="shared" si="293"/>
        <v>0.76104239064719048</v>
      </c>
      <c r="AX2828">
        <f t="shared" si="294"/>
        <v>0.8</v>
      </c>
      <c r="AY2828" s="62">
        <f t="shared" si="295"/>
        <v>0.60883391251775243</v>
      </c>
      <c r="AZ2828" s="68" t="str">
        <f t="shared" si="296"/>
        <v>No</v>
      </c>
      <c r="BA2828" s="68" t="str">
        <f t="shared" si="297"/>
        <v>No</v>
      </c>
    </row>
    <row r="2829" spans="1:55" hidden="1">
      <c r="A2829" t="s">
        <v>3914</v>
      </c>
      <c r="G2829" t="s">
        <v>4375</v>
      </c>
      <c r="P2829" t="s">
        <v>4596</v>
      </c>
      <c r="R2829" t="s">
        <v>4357</v>
      </c>
      <c r="S2829" t="s">
        <v>1782</v>
      </c>
      <c r="V2829" t="s">
        <v>4628</v>
      </c>
      <c r="Z2829">
        <v>3</v>
      </c>
      <c r="AA2829">
        <v>3</v>
      </c>
      <c r="AC2829">
        <v>456.4</v>
      </c>
      <c r="AD2829" s="54">
        <v>19</v>
      </c>
      <c r="AE2829">
        <v>574</v>
      </c>
      <c r="AF2829" s="54">
        <v>23</v>
      </c>
      <c r="AJ2829" t="s">
        <v>4881</v>
      </c>
      <c r="AK2829" t="s">
        <v>4848</v>
      </c>
      <c r="AN2829">
        <v>11.5</v>
      </c>
      <c r="AO2829">
        <v>5.5</v>
      </c>
      <c r="AP2829">
        <v>10</v>
      </c>
      <c r="AQ2829">
        <v>5</v>
      </c>
      <c r="AW2829" s="28">
        <f t="shared" si="293"/>
        <v>-0.28539089649269644</v>
      </c>
      <c r="AX2829">
        <f t="shared" si="294"/>
        <v>0.8</v>
      </c>
      <c r="AY2829" s="62">
        <f t="shared" si="295"/>
        <v>-0.22831271719415716</v>
      </c>
      <c r="AZ2829" s="68" t="str">
        <f t="shared" si="296"/>
        <v>No</v>
      </c>
      <c r="BA2829" s="68" t="str">
        <f t="shared" si="297"/>
        <v>No</v>
      </c>
    </row>
    <row r="2830" spans="1:55" hidden="1">
      <c r="A2830" t="s">
        <v>3914</v>
      </c>
      <c r="G2830" t="s">
        <v>4375</v>
      </c>
      <c r="P2830" t="s">
        <v>4596</v>
      </c>
      <c r="R2830" t="s">
        <v>4357</v>
      </c>
      <c r="S2830" t="s">
        <v>1782</v>
      </c>
      <c r="V2830" t="s">
        <v>4626</v>
      </c>
      <c r="Z2830">
        <v>3</v>
      </c>
      <c r="AA2830">
        <v>3</v>
      </c>
      <c r="AC2830">
        <v>456.4</v>
      </c>
      <c r="AD2830" s="54">
        <v>19</v>
      </c>
      <c r="AE2830">
        <v>1203.5999999999999</v>
      </c>
      <c r="AF2830" s="54">
        <v>23</v>
      </c>
      <c r="AJ2830" t="s">
        <v>4881</v>
      </c>
      <c r="AK2830" t="s">
        <v>4848</v>
      </c>
      <c r="AN2830">
        <v>11.5</v>
      </c>
      <c r="AO2830">
        <v>5.5</v>
      </c>
      <c r="AP2830">
        <v>2.5</v>
      </c>
      <c r="AQ2830">
        <v>5</v>
      </c>
      <c r="AW2830" s="28">
        <f t="shared" ref="AW2830:AW2893" si="298">(AP2830-$AN2830)/SQRT(((AA2830-1)*AQ2830*AQ2830+($Z2830-1)*$AO2830*$AO2830)/(AA2830+$Z2830-2))</f>
        <v>-1.7123453789561787</v>
      </c>
      <c r="AX2830">
        <f t="shared" ref="AX2830:AX2893" si="299">1-(3/(4*(AA2830+$Z2830-2)-1))</f>
        <v>0.8</v>
      </c>
      <c r="AY2830" s="62">
        <f t="shared" ref="AY2830:AY2893" si="300">AX2830*AW2830</f>
        <v>-1.369876303164943</v>
      </c>
      <c r="AZ2830" s="68" t="str">
        <f t="shared" ref="AZ2830:AZ2893" si="301">IF(AY2830&gt;10,"Yes","No")</f>
        <v>No</v>
      </c>
      <c r="BA2830" s="68" t="str">
        <f t="shared" ref="BA2830:BA2893" si="302">IF(AY2830&lt;-10,"Yes","No")</f>
        <v>No</v>
      </c>
    </row>
    <row r="2831" spans="1:55" hidden="1">
      <c r="A2831" t="s">
        <v>3914</v>
      </c>
      <c r="G2831" t="s">
        <v>4375</v>
      </c>
      <c r="P2831" t="s">
        <v>4596</v>
      </c>
      <c r="R2831" t="s">
        <v>4357</v>
      </c>
      <c r="S2831" t="s">
        <v>1782</v>
      </c>
      <c r="V2831" t="s">
        <v>4645</v>
      </c>
      <c r="Z2831">
        <v>3</v>
      </c>
      <c r="AA2831">
        <v>3</v>
      </c>
      <c r="AC2831">
        <v>456.4</v>
      </c>
      <c r="AD2831" s="54">
        <v>19</v>
      </c>
      <c r="AE2831">
        <v>580.6</v>
      </c>
      <c r="AF2831" s="54">
        <v>25</v>
      </c>
      <c r="AJ2831" t="s">
        <v>4881</v>
      </c>
      <c r="AK2831" t="s">
        <v>4848</v>
      </c>
      <c r="AN2831">
        <v>11.5</v>
      </c>
      <c r="AO2831">
        <v>5.5</v>
      </c>
      <c r="AP2831">
        <v>17.5</v>
      </c>
      <c r="AQ2831">
        <v>5</v>
      </c>
      <c r="AW2831" s="28">
        <f t="shared" si="298"/>
        <v>1.1415635859707858</v>
      </c>
      <c r="AX2831">
        <f t="shared" si="299"/>
        <v>0.8</v>
      </c>
      <c r="AY2831" s="62">
        <f t="shared" si="300"/>
        <v>0.91325086877662864</v>
      </c>
      <c r="AZ2831" s="68" t="str">
        <f t="shared" si="301"/>
        <v>No</v>
      </c>
      <c r="BA2831" s="68" t="str">
        <f t="shared" si="302"/>
        <v>No</v>
      </c>
    </row>
    <row r="2832" spans="1:55" s="56" customFormat="1" ht="15" hidden="1">
      <c r="A2832" t="s">
        <v>3914</v>
      </c>
      <c r="B2832"/>
      <c r="C2832"/>
      <c r="D2832" s="25"/>
      <c r="E2832" s="25"/>
      <c r="F2832"/>
      <c r="G2832" t="s">
        <v>4375</v>
      </c>
      <c r="H2832"/>
      <c r="I2832"/>
      <c r="J2832"/>
      <c r="K2832"/>
      <c r="L2832"/>
      <c r="M2832" s="25"/>
      <c r="N2832"/>
      <c r="O2832"/>
      <c r="P2832" t="s">
        <v>4596</v>
      </c>
      <c r="Q2832"/>
      <c r="R2832" t="s">
        <v>4357</v>
      </c>
      <c r="S2832" t="s">
        <v>1782</v>
      </c>
      <c r="T2832"/>
      <c r="U2832"/>
      <c r="V2832" t="s">
        <v>4626</v>
      </c>
      <c r="W2832" s="25"/>
      <c r="X2832"/>
      <c r="Y2832"/>
      <c r="Z2832">
        <v>3</v>
      </c>
      <c r="AA2832">
        <v>3</v>
      </c>
      <c r="AB2832"/>
      <c r="AC2832">
        <v>456.4</v>
      </c>
      <c r="AD2832" s="54">
        <v>19</v>
      </c>
      <c r="AE2832">
        <v>1486.9</v>
      </c>
      <c r="AF2832" s="54">
        <v>25</v>
      </c>
      <c r="AG2832"/>
      <c r="AH2832"/>
      <c r="AI2832"/>
      <c r="AJ2832" t="s">
        <v>4881</v>
      </c>
      <c r="AK2832" t="s">
        <v>4848</v>
      </c>
      <c r="AL2832" s="25"/>
      <c r="AM2832" s="35"/>
      <c r="AN2832">
        <v>11.5</v>
      </c>
      <c r="AO2832">
        <v>5.5</v>
      </c>
      <c r="AP2832">
        <v>4.5</v>
      </c>
      <c r="AQ2832">
        <v>5</v>
      </c>
      <c r="AR2832"/>
      <c r="AS2832"/>
      <c r="AT2832"/>
      <c r="AU2832"/>
      <c r="AV2832"/>
      <c r="AW2832" s="28">
        <f t="shared" si="298"/>
        <v>-1.3318241836325833</v>
      </c>
      <c r="AX2832">
        <f t="shared" si="299"/>
        <v>0.8</v>
      </c>
      <c r="AY2832" s="62">
        <f t="shared" si="300"/>
        <v>-1.0654593469060667</v>
      </c>
      <c r="AZ2832" s="68" t="str">
        <f t="shared" si="301"/>
        <v>No</v>
      </c>
      <c r="BA2832" s="68" t="str">
        <f t="shared" si="302"/>
        <v>No</v>
      </c>
      <c r="BB2832"/>
      <c r="BC2832"/>
    </row>
    <row r="2833" spans="1:55" hidden="1">
      <c r="A2833" t="s">
        <v>3914</v>
      </c>
      <c r="G2833" t="s">
        <v>4375</v>
      </c>
      <c r="P2833" t="s">
        <v>60</v>
      </c>
      <c r="R2833" t="s">
        <v>4357</v>
      </c>
      <c r="S2833" t="s">
        <v>1754</v>
      </c>
      <c r="V2833" t="s">
        <v>3956</v>
      </c>
      <c r="Z2833">
        <v>3</v>
      </c>
      <c r="AA2833">
        <v>3</v>
      </c>
      <c r="AC2833">
        <v>394.4</v>
      </c>
      <c r="AD2833">
        <v>19.170000000000002</v>
      </c>
      <c r="AE2833">
        <v>2858.4</v>
      </c>
      <c r="AF2833">
        <v>19.329999999999998</v>
      </c>
      <c r="AJ2833" t="s">
        <v>4379</v>
      </c>
      <c r="AK2833" t="s">
        <v>4093</v>
      </c>
      <c r="AN2833">
        <v>98</v>
      </c>
      <c r="AO2833">
        <v>3.4641016151377544</v>
      </c>
      <c r="AP2833">
        <v>88</v>
      </c>
      <c r="AQ2833">
        <v>5.196152422706632</v>
      </c>
      <c r="AW2833" s="28">
        <f t="shared" si="298"/>
        <v>-2.2645540682891911</v>
      </c>
      <c r="AX2833">
        <f t="shared" si="299"/>
        <v>0.8</v>
      </c>
      <c r="AY2833" s="62">
        <f t="shared" si="300"/>
        <v>-1.811643254631353</v>
      </c>
      <c r="AZ2833" s="68" t="str">
        <f t="shared" si="301"/>
        <v>No</v>
      </c>
      <c r="BA2833" s="68" t="str">
        <f t="shared" si="302"/>
        <v>No</v>
      </c>
    </row>
    <row r="2834" spans="1:55" hidden="1">
      <c r="A2834" t="s">
        <v>3914</v>
      </c>
      <c r="G2834" t="s">
        <v>4375</v>
      </c>
      <c r="P2834" t="s">
        <v>4596</v>
      </c>
      <c r="R2834" t="s">
        <v>4357</v>
      </c>
      <c r="S2834" t="s">
        <v>1782</v>
      </c>
      <c r="V2834" t="s">
        <v>4627</v>
      </c>
      <c r="Z2834">
        <v>3</v>
      </c>
      <c r="AA2834">
        <v>3</v>
      </c>
      <c r="AC2834">
        <v>456.4</v>
      </c>
      <c r="AD2834" s="54">
        <v>19</v>
      </c>
      <c r="AE2834">
        <v>2416</v>
      </c>
      <c r="AF2834" s="54">
        <v>23</v>
      </c>
      <c r="AJ2834" t="s">
        <v>4881</v>
      </c>
      <c r="AK2834" t="s">
        <v>4848</v>
      </c>
      <c r="AN2834">
        <v>11.5</v>
      </c>
      <c r="AO2834">
        <v>5.5</v>
      </c>
      <c r="AP2834">
        <v>0.8</v>
      </c>
      <c r="AQ2834">
        <v>5.2</v>
      </c>
      <c r="AW2834" s="28">
        <f t="shared" si="298"/>
        <v>-1.9992143683000014</v>
      </c>
      <c r="AX2834">
        <f t="shared" si="299"/>
        <v>0.8</v>
      </c>
      <c r="AY2834" s="62">
        <f t="shared" si="300"/>
        <v>-1.5993714946400013</v>
      </c>
      <c r="AZ2834" s="68" t="str">
        <f t="shared" si="301"/>
        <v>No</v>
      </c>
      <c r="BA2834" s="68" t="str">
        <f t="shared" si="302"/>
        <v>No</v>
      </c>
    </row>
    <row r="2835" spans="1:55" hidden="1">
      <c r="A2835" t="s">
        <v>3914</v>
      </c>
      <c r="G2835" t="s">
        <v>4375</v>
      </c>
      <c r="P2835" t="s">
        <v>4596</v>
      </c>
      <c r="R2835" t="s">
        <v>4357</v>
      </c>
      <c r="S2835" t="s">
        <v>1782</v>
      </c>
      <c r="V2835" t="s">
        <v>4627</v>
      </c>
      <c r="Z2835">
        <v>3</v>
      </c>
      <c r="AA2835">
        <v>3</v>
      </c>
      <c r="AC2835">
        <v>456.4</v>
      </c>
      <c r="AD2835" s="54">
        <v>19</v>
      </c>
      <c r="AE2835">
        <v>2722.7</v>
      </c>
      <c r="AF2835" s="54">
        <v>25</v>
      </c>
      <c r="AJ2835" t="s">
        <v>4881</v>
      </c>
      <c r="AK2835" t="s">
        <v>4848</v>
      </c>
      <c r="AN2835">
        <v>11.5</v>
      </c>
      <c r="AO2835">
        <v>5.5</v>
      </c>
      <c r="AP2835">
        <v>0.8</v>
      </c>
      <c r="AQ2835">
        <v>5.2</v>
      </c>
      <c r="AW2835" s="28">
        <f t="shared" si="298"/>
        <v>-1.9992143683000014</v>
      </c>
      <c r="AX2835">
        <f t="shared" si="299"/>
        <v>0.8</v>
      </c>
      <c r="AY2835" s="62">
        <f t="shared" si="300"/>
        <v>-1.5993714946400013</v>
      </c>
      <c r="AZ2835" s="68" t="str">
        <f t="shared" si="301"/>
        <v>No</v>
      </c>
      <c r="BA2835" s="68" t="str">
        <f t="shared" si="302"/>
        <v>No</v>
      </c>
    </row>
    <row r="2836" spans="1:55" hidden="1">
      <c r="A2836" t="s">
        <v>3914</v>
      </c>
      <c r="G2836" t="s">
        <v>4375</v>
      </c>
      <c r="P2836" t="s">
        <v>4596</v>
      </c>
      <c r="R2836" t="s">
        <v>4357</v>
      </c>
      <c r="S2836" t="s">
        <v>1781</v>
      </c>
      <c r="V2836" t="s">
        <v>4626</v>
      </c>
      <c r="Z2836">
        <v>3</v>
      </c>
      <c r="AA2836">
        <v>3</v>
      </c>
      <c r="AC2836">
        <v>489</v>
      </c>
      <c r="AD2836" s="54">
        <v>19</v>
      </c>
      <c r="AE2836">
        <v>1399.5</v>
      </c>
      <c r="AF2836" s="54">
        <v>25</v>
      </c>
      <c r="AJ2836" t="s">
        <v>4379</v>
      </c>
      <c r="AK2836" t="s">
        <v>4855</v>
      </c>
      <c r="AN2836">
        <v>99</v>
      </c>
      <c r="AO2836">
        <v>4</v>
      </c>
      <c r="AP2836">
        <v>25</v>
      </c>
      <c r="AQ2836">
        <v>5.5</v>
      </c>
      <c r="AW2836" s="28">
        <f t="shared" si="298"/>
        <v>-15.388307249337076</v>
      </c>
      <c r="AX2836">
        <f t="shared" si="299"/>
        <v>0.8</v>
      </c>
      <c r="AY2836" s="62">
        <f t="shared" si="300"/>
        <v>-12.310645799469661</v>
      </c>
      <c r="AZ2836" s="68" t="str">
        <f t="shared" si="301"/>
        <v>No</v>
      </c>
      <c r="BA2836" s="68" t="str">
        <f t="shared" si="302"/>
        <v>Yes</v>
      </c>
    </row>
    <row r="2837" spans="1:55" hidden="1">
      <c r="A2837" t="s">
        <v>3914</v>
      </c>
      <c r="G2837" t="s">
        <v>4375</v>
      </c>
      <c r="P2837" t="s">
        <v>4596</v>
      </c>
      <c r="R2837" t="s">
        <v>4357</v>
      </c>
      <c r="S2837" t="s">
        <v>1781</v>
      </c>
      <c r="V2837" t="s">
        <v>4626</v>
      </c>
      <c r="Z2837">
        <v>3</v>
      </c>
      <c r="AA2837">
        <v>3</v>
      </c>
      <c r="AC2837">
        <v>489</v>
      </c>
      <c r="AD2837" s="54">
        <v>19</v>
      </c>
      <c r="AE2837">
        <v>1316.3</v>
      </c>
      <c r="AF2837" s="54">
        <v>23</v>
      </c>
      <c r="AJ2837" t="s">
        <v>4379</v>
      </c>
      <c r="AK2837" t="s">
        <v>4855</v>
      </c>
      <c r="AN2837">
        <v>99</v>
      </c>
      <c r="AO2837">
        <v>4</v>
      </c>
      <c r="AP2837">
        <v>74</v>
      </c>
      <c r="AQ2837">
        <v>6</v>
      </c>
      <c r="AW2837" s="28">
        <f t="shared" si="298"/>
        <v>-4.9029033784546012</v>
      </c>
      <c r="AX2837">
        <f t="shared" si="299"/>
        <v>0.8</v>
      </c>
      <c r="AY2837" s="62">
        <f t="shared" si="300"/>
        <v>-3.9223227027636813</v>
      </c>
      <c r="AZ2837" s="68" t="str">
        <f t="shared" si="301"/>
        <v>No</v>
      </c>
      <c r="BA2837" s="68" t="str">
        <f t="shared" si="302"/>
        <v>No</v>
      </c>
    </row>
    <row r="2838" spans="1:55" hidden="1">
      <c r="A2838" t="s">
        <v>3914</v>
      </c>
      <c r="G2838" t="s">
        <v>4375</v>
      </c>
      <c r="P2838" t="s">
        <v>4596</v>
      </c>
      <c r="R2838" t="s">
        <v>4357</v>
      </c>
      <c r="S2838" t="s">
        <v>1754</v>
      </c>
      <c r="V2838" t="s">
        <v>4628</v>
      </c>
      <c r="Z2838">
        <v>3</v>
      </c>
      <c r="AA2838">
        <v>3</v>
      </c>
      <c r="AC2838">
        <v>394.4</v>
      </c>
      <c r="AD2838" s="54">
        <v>19</v>
      </c>
      <c r="AE2838">
        <v>540.6</v>
      </c>
      <c r="AF2838" s="54">
        <v>23</v>
      </c>
      <c r="AJ2838" t="s">
        <v>4881</v>
      </c>
      <c r="AK2838" t="s">
        <v>4848</v>
      </c>
      <c r="AN2838">
        <v>240</v>
      </c>
      <c r="AO2838">
        <v>10</v>
      </c>
      <c r="AP2838">
        <v>342</v>
      </c>
      <c r="AQ2838">
        <v>6</v>
      </c>
      <c r="AW2838" s="28">
        <f t="shared" si="298"/>
        <v>12.369316876852981</v>
      </c>
      <c r="AX2838">
        <f t="shared" si="299"/>
        <v>0.8</v>
      </c>
      <c r="AY2838" s="62">
        <f t="shared" si="300"/>
        <v>9.8954535014823861</v>
      </c>
      <c r="AZ2838" s="68" t="str">
        <f t="shared" si="301"/>
        <v>No</v>
      </c>
      <c r="BA2838" s="68" t="str">
        <f t="shared" si="302"/>
        <v>No</v>
      </c>
    </row>
    <row r="2839" spans="1:55" s="56" customFormat="1" ht="15" hidden="1">
      <c r="A2839" t="s">
        <v>3914</v>
      </c>
      <c r="B2839"/>
      <c r="C2839"/>
      <c r="D2839" s="25"/>
      <c r="E2839" s="25"/>
      <c r="F2839"/>
      <c r="G2839" t="s">
        <v>4375</v>
      </c>
      <c r="H2839"/>
      <c r="I2839"/>
      <c r="J2839"/>
      <c r="K2839"/>
      <c r="L2839"/>
      <c r="M2839" s="25"/>
      <c r="N2839"/>
      <c r="O2839"/>
      <c r="P2839" t="s">
        <v>4596</v>
      </c>
      <c r="Q2839"/>
      <c r="R2839" t="s">
        <v>4357</v>
      </c>
      <c r="S2839" t="s">
        <v>1148</v>
      </c>
      <c r="T2839"/>
      <c r="U2839"/>
      <c r="V2839" t="s">
        <v>4627</v>
      </c>
      <c r="W2839" s="25"/>
      <c r="X2839"/>
      <c r="Y2839"/>
      <c r="Z2839">
        <v>3</v>
      </c>
      <c r="AA2839">
        <v>3</v>
      </c>
      <c r="AB2839"/>
      <c r="AC2839">
        <v>899.1</v>
      </c>
      <c r="AD2839" s="54">
        <v>19</v>
      </c>
      <c r="AE2839">
        <v>2489.1999999999998</v>
      </c>
      <c r="AF2839" s="54">
        <v>23</v>
      </c>
      <c r="AG2839"/>
      <c r="AH2839"/>
      <c r="AI2839"/>
      <c r="AJ2839" t="s">
        <v>4881</v>
      </c>
      <c r="AK2839" t="s">
        <v>4848</v>
      </c>
      <c r="AL2839" s="25"/>
      <c r="AM2839" s="35"/>
      <c r="AN2839">
        <v>240</v>
      </c>
      <c r="AO2839">
        <v>9</v>
      </c>
      <c r="AP2839">
        <v>50</v>
      </c>
      <c r="AQ2839">
        <v>6</v>
      </c>
      <c r="AR2839"/>
      <c r="AS2839"/>
      <c r="AT2839"/>
      <c r="AU2839"/>
      <c r="AV2839"/>
      <c r="AW2839" s="28">
        <f t="shared" si="298"/>
        <v>-24.84137711750331</v>
      </c>
      <c r="AX2839">
        <f t="shared" si="299"/>
        <v>0.8</v>
      </c>
      <c r="AY2839" s="78">
        <f t="shared" si="300"/>
        <v>-19.873101694002649</v>
      </c>
      <c r="AZ2839" s="79" t="str">
        <f t="shared" si="301"/>
        <v>No</v>
      </c>
      <c r="BA2839" s="79" t="str">
        <f t="shared" si="302"/>
        <v>Yes</v>
      </c>
      <c r="BB2839" s="77" t="s">
        <v>5111</v>
      </c>
      <c r="BC2839" s="77"/>
    </row>
    <row r="2840" spans="1:55" hidden="1">
      <c r="A2840" t="s">
        <v>3914</v>
      </c>
      <c r="G2840" t="s">
        <v>4375</v>
      </c>
      <c r="P2840" t="s">
        <v>4596</v>
      </c>
      <c r="R2840" t="s">
        <v>4357</v>
      </c>
      <c r="S2840" t="s">
        <v>1781</v>
      </c>
      <c r="V2840" t="s">
        <v>4645</v>
      </c>
      <c r="Z2840">
        <v>3</v>
      </c>
      <c r="AA2840">
        <v>3</v>
      </c>
      <c r="AC2840">
        <v>489</v>
      </c>
      <c r="AD2840" s="54">
        <v>19</v>
      </c>
      <c r="AE2840">
        <v>592.79999999999995</v>
      </c>
      <c r="AF2840" s="54">
        <v>25</v>
      </c>
      <c r="AJ2840" t="s">
        <v>4379</v>
      </c>
      <c r="AK2840" t="s">
        <v>4855</v>
      </c>
      <c r="AN2840">
        <v>99</v>
      </c>
      <c r="AO2840">
        <v>4</v>
      </c>
      <c r="AP2840">
        <v>23.5</v>
      </c>
      <c r="AQ2840">
        <v>6.5</v>
      </c>
      <c r="AW2840" s="28">
        <f t="shared" si="298"/>
        <v>-13.989879849284801</v>
      </c>
      <c r="AX2840">
        <f t="shared" si="299"/>
        <v>0.8</v>
      </c>
      <c r="AY2840" s="62">
        <f t="shared" si="300"/>
        <v>-11.191903879427841</v>
      </c>
      <c r="AZ2840" s="68" t="str">
        <f t="shared" si="301"/>
        <v>No</v>
      </c>
      <c r="BA2840" s="68" t="str">
        <f t="shared" si="302"/>
        <v>Yes</v>
      </c>
    </row>
    <row r="2841" spans="1:55" hidden="1">
      <c r="A2841" t="s">
        <v>3914</v>
      </c>
      <c r="G2841" t="s">
        <v>4375</v>
      </c>
      <c r="P2841" t="s">
        <v>4596</v>
      </c>
      <c r="R2841" t="s">
        <v>4357</v>
      </c>
      <c r="S2841" t="s">
        <v>1148</v>
      </c>
      <c r="V2841" t="s">
        <v>4627</v>
      </c>
      <c r="Z2841">
        <v>3</v>
      </c>
      <c r="AA2841">
        <v>3</v>
      </c>
      <c r="AC2841">
        <v>899.1</v>
      </c>
      <c r="AD2841" s="54">
        <v>19</v>
      </c>
      <c r="AE2841">
        <v>2379.3000000000002</v>
      </c>
      <c r="AF2841" s="54">
        <v>25</v>
      </c>
      <c r="AJ2841" t="s">
        <v>4881</v>
      </c>
      <c r="AK2841" t="s">
        <v>4848</v>
      </c>
      <c r="AN2841">
        <v>240</v>
      </c>
      <c r="AO2841">
        <v>9</v>
      </c>
      <c r="AP2841">
        <v>5</v>
      </c>
      <c r="AQ2841">
        <v>6.5</v>
      </c>
      <c r="AW2841" s="28">
        <f t="shared" si="298"/>
        <v>-29.935698499028653</v>
      </c>
      <c r="AX2841">
        <f t="shared" si="299"/>
        <v>0.8</v>
      </c>
      <c r="AY2841" s="62">
        <f t="shared" si="300"/>
        <v>-23.948558799222923</v>
      </c>
      <c r="AZ2841" s="68" t="str">
        <f t="shared" si="301"/>
        <v>No</v>
      </c>
      <c r="BA2841" s="68" t="str">
        <f t="shared" si="302"/>
        <v>Yes</v>
      </c>
    </row>
    <row r="2842" spans="1:55" hidden="1">
      <c r="A2842" t="s">
        <v>3914</v>
      </c>
      <c r="G2842" t="s">
        <v>4375</v>
      </c>
      <c r="P2842" t="s">
        <v>4596</v>
      </c>
      <c r="R2842" t="s">
        <v>4357</v>
      </c>
      <c r="S2842" t="s">
        <v>1148</v>
      </c>
      <c r="V2842" t="s">
        <v>4627</v>
      </c>
      <c r="Z2842">
        <v>3</v>
      </c>
      <c r="AA2842">
        <v>3</v>
      </c>
      <c r="AC2842">
        <v>899.1</v>
      </c>
      <c r="AD2842" s="54">
        <v>19</v>
      </c>
      <c r="AE2842">
        <v>2800.8</v>
      </c>
      <c r="AF2842" s="54">
        <v>21</v>
      </c>
      <c r="AJ2842" t="s">
        <v>4881</v>
      </c>
      <c r="AK2842" t="s">
        <v>4848</v>
      </c>
      <c r="AN2842">
        <v>240</v>
      </c>
      <c r="AO2842">
        <v>9</v>
      </c>
      <c r="AP2842">
        <v>150</v>
      </c>
      <c r="AQ2842">
        <v>7</v>
      </c>
      <c r="AW2842" s="28">
        <f t="shared" si="298"/>
        <v>-11.163126113028762</v>
      </c>
      <c r="AX2842">
        <f t="shared" si="299"/>
        <v>0.8</v>
      </c>
      <c r="AY2842" s="62">
        <f t="shared" si="300"/>
        <v>-8.9305008904230103</v>
      </c>
      <c r="AZ2842" s="68" t="str">
        <f t="shared" si="301"/>
        <v>No</v>
      </c>
      <c r="BA2842" s="68" t="str">
        <f t="shared" si="302"/>
        <v>No</v>
      </c>
    </row>
    <row r="2843" spans="1:55" hidden="1">
      <c r="A2843" t="s">
        <v>3914</v>
      </c>
      <c r="G2843" t="s">
        <v>4375</v>
      </c>
      <c r="P2843" t="s">
        <v>4596</v>
      </c>
      <c r="R2843" t="s">
        <v>4357</v>
      </c>
      <c r="S2843" t="s">
        <v>1148</v>
      </c>
      <c r="V2843" t="s">
        <v>4628</v>
      </c>
      <c r="Z2843">
        <v>3</v>
      </c>
      <c r="AA2843">
        <v>3</v>
      </c>
      <c r="AC2843">
        <v>899.1</v>
      </c>
      <c r="AD2843" s="54">
        <v>19</v>
      </c>
      <c r="AE2843">
        <v>1033.5999999999999</v>
      </c>
      <c r="AF2843" s="54">
        <v>23</v>
      </c>
      <c r="AJ2843" t="s">
        <v>4881</v>
      </c>
      <c r="AK2843" t="s">
        <v>4848</v>
      </c>
      <c r="AN2843">
        <v>240</v>
      </c>
      <c r="AO2843">
        <v>9</v>
      </c>
      <c r="AP2843">
        <v>175</v>
      </c>
      <c r="AQ2843">
        <v>7</v>
      </c>
      <c r="AW2843" s="28">
        <f t="shared" si="298"/>
        <v>-8.0622577482985509</v>
      </c>
      <c r="AX2843">
        <f t="shared" si="299"/>
        <v>0.8</v>
      </c>
      <c r="AY2843" s="62">
        <f t="shared" si="300"/>
        <v>-6.4498061986388411</v>
      </c>
      <c r="AZ2843" s="68" t="str">
        <f t="shared" si="301"/>
        <v>No</v>
      </c>
      <c r="BA2843" s="68" t="str">
        <f t="shared" si="302"/>
        <v>No</v>
      </c>
    </row>
    <row r="2844" spans="1:55" hidden="1">
      <c r="A2844" t="s">
        <v>3914</v>
      </c>
      <c r="G2844" t="s">
        <v>4375</v>
      </c>
      <c r="P2844" t="s">
        <v>4596</v>
      </c>
      <c r="R2844" t="s">
        <v>4357</v>
      </c>
      <c r="S2844" t="s">
        <v>1148</v>
      </c>
      <c r="V2844" t="s">
        <v>4645</v>
      </c>
      <c r="Z2844">
        <v>3</v>
      </c>
      <c r="AA2844">
        <v>3</v>
      </c>
      <c r="AC2844">
        <v>899.1</v>
      </c>
      <c r="AD2844" s="54">
        <v>19</v>
      </c>
      <c r="AE2844">
        <v>910.2</v>
      </c>
      <c r="AF2844" s="54">
        <v>25</v>
      </c>
      <c r="AJ2844" t="s">
        <v>4881</v>
      </c>
      <c r="AK2844" t="s">
        <v>4848</v>
      </c>
      <c r="AN2844">
        <v>240</v>
      </c>
      <c r="AO2844">
        <v>9</v>
      </c>
      <c r="AP2844">
        <v>102</v>
      </c>
      <c r="AQ2844">
        <v>7</v>
      </c>
      <c r="AW2844" s="28">
        <f t="shared" si="298"/>
        <v>-17.116793373310767</v>
      </c>
      <c r="AX2844">
        <f t="shared" si="299"/>
        <v>0.8</v>
      </c>
      <c r="AY2844" s="62">
        <f t="shared" si="300"/>
        <v>-13.693434698648614</v>
      </c>
      <c r="AZ2844" s="68" t="str">
        <f t="shared" si="301"/>
        <v>No</v>
      </c>
      <c r="BA2844" s="68" t="str">
        <f t="shared" si="302"/>
        <v>Yes</v>
      </c>
    </row>
    <row r="2845" spans="1:55" hidden="1">
      <c r="A2845" t="s">
        <v>3914</v>
      </c>
      <c r="G2845" t="s">
        <v>4375</v>
      </c>
      <c r="P2845" t="s">
        <v>4596</v>
      </c>
      <c r="R2845" t="s">
        <v>4357</v>
      </c>
      <c r="S2845" t="s">
        <v>1754</v>
      </c>
      <c r="V2845" t="s">
        <v>4625</v>
      </c>
      <c r="Z2845">
        <v>3</v>
      </c>
      <c r="AA2845">
        <v>3</v>
      </c>
      <c r="AC2845">
        <v>394.4</v>
      </c>
      <c r="AD2845" s="54">
        <v>19</v>
      </c>
      <c r="AE2845">
        <v>448.2</v>
      </c>
      <c r="AF2845" s="54">
        <v>21</v>
      </c>
      <c r="AJ2845" t="s">
        <v>4881</v>
      </c>
      <c r="AK2845" t="s">
        <v>4848</v>
      </c>
      <c r="AN2845">
        <v>240</v>
      </c>
      <c r="AO2845">
        <v>10</v>
      </c>
      <c r="AP2845">
        <v>302</v>
      </c>
      <c r="AQ2845">
        <v>8</v>
      </c>
      <c r="AW2845" s="28">
        <f t="shared" si="298"/>
        <v>6.8467546166404851</v>
      </c>
      <c r="AX2845">
        <f t="shared" si="299"/>
        <v>0.8</v>
      </c>
      <c r="AY2845" s="62">
        <f t="shared" si="300"/>
        <v>5.4774036933123886</v>
      </c>
      <c r="AZ2845" s="68" t="str">
        <f t="shared" si="301"/>
        <v>No</v>
      </c>
      <c r="BA2845" s="68" t="str">
        <f t="shared" si="302"/>
        <v>No</v>
      </c>
    </row>
    <row r="2846" spans="1:55" s="56" customFormat="1" ht="15" hidden="1">
      <c r="A2846" t="s">
        <v>3914</v>
      </c>
      <c r="B2846"/>
      <c r="C2846"/>
      <c r="D2846" s="25"/>
      <c r="E2846" s="25"/>
      <c r="F2846"/>
      <c r="G2846" t="s">
        <v>4375</v>
      </c>
      <c r="H2846"/>
      <c r="I2846"/>
      <c r="J2846"/>
      <c r="K2846"/>
      <c r="L2846"/>
      <c r="M2846" s="25"/>
      <c r="N2846"/>
      <c r="O2846"/>
      <c r="P2846" t="s">
        <v>4596</v>
      </c>
      <c r="Q2846"/>
      <c r="R2846" t="s">
        <v>4357</v>
      </c>
      <c r="S2846" t="s">
        <v>1754</v>
      </c>
      <c r="T2846"/>
      <c r="U2846"/>
      <c r="V2846" t="s">
        <v>4626</v>
      </c>
      <c r="W2846" s="25"/>
      <c r="X2846"/>
      <c r="Y2846"/>
      <c r="Z2846">
        <v>3</v>
      </c>
      <c r="AA2846">
        <v>3</v>
      </c>
      <c r="AB2846"/>
      <c r="AC2846">
        <v>394.4</v>
      </c>
      <c r="AD2846" s="54">
        <v>19</v>
      </c>
      <c r="AE2846">
        <v>1503.6</v>
      </c>
      <c r="AF2846" s="54">
        <v>21</v>
      </c>
      <c r="AG2846"/>
      <c r="AH2846"/>
      <c r="AI2846"/>
      <c r="AJ2846" t="s">
        <v>4881</v>
      </c>
      <c r="AK2846" t="s">
        <v>4848</v>
      </c>
      <c r="AL2846" s="25"/>
      <c r="AM2846" s="35"/>
      <c r="AN2846">
        <v>240</v>
      </c>
      <c r="AO2846">
        <v>10</v>
      </c>
      <c r="AP2846">
        <v>280</v>
      </c>
      <c r="AQ2846">
        <v>8</v>
      </c>
      <c r="AR2846"/>
      <c r="AS2846"/>
      <c r="AT2846"/>
      <c r="AU2846"/>
      <c r="AV2846"/>
      <c r="AW2846" s="28">
        <f t="shared" si="298"/>
        <v>4.4172610429938617</v>
      </c>
      <c r="AX2846">
        <f t="shared" si="299"/>
        <v>0.8</v>
      </c>
      <c r="AY2846" s="62">
        <f t="shared" si="300"/>
        <v>3.5338088343950895</v>
      </c>
      <c r="AZ2846" s="68" t="str">
        <f t="shared" si="301"/>
        <v>No</v>
      </c>
      <c r="BA2846" s="68" t="str">
        <f t="shared" si="302"/>
        <v>No</v>
      </c>
      <c r="BB2846"/>
      <c r="BC2846"/>
    </row>
    <row r="2847" spans="1:55" hidden="1">
      <c r="A2847" t="s">
        <v>3914</v>
      </c>
      <c r="G2847" t="s">
        <v>4375</v>
      </c>
      <c r="P2847" t="s">
        <v>4596</v>
      </c>
      <c r="R2847" t="s">
        <v>4357</v>
      </c>
      <c r="S2847" t="s">
        <v>1754</v>
      </c>
      <c r="V2847" t="s">
        <v>4627</v>
      </c>
      <c r="Z2847">
        <v>3</v>
      </c>
      <c r="AA2847">
        <v>3</v>
      </c>
      <c r="AC2847">
        <v>394.4</v>
      </c>
      <c r="AD2847" s="54">
        <v>19</v>
      </c>
      <c r="AE2847">
        <v>2903.3</v>
      </c>
      <c r="AF2847" s="54">
        <v>21</v>
      </c>
      <c r="AJ2847" t="s">
        <v>4881</v>
      </c>
      <c r="AK2847" t="s">
        <v>4848</v>
      </c>
      <c r="AN2847">
        <v>240</v>
      </c>
      <c r="AO2847">
        <v>10</v>
      </c>
      <c r="AP2847">
        <v>252</v>
      </c>
      <c r="AQ2847">
        <v>8</v>
      </c>
      <c r="AW2847" s="28">
        <f t="shared" si="298"/>
        <v>1.3251783128981585</v>
      </c>
      <c r="AX2847">
        <f t="shared" si="299"/>
        <v>0.8</v>
      </c>
      <c r="AY2847" s="62">
        <f t="shared" si="300"/>
        <v>1.0601426503185267</v>
      </c>
      <c r="AZ2847" s="68" t="str">
        <f t="shared" si="301"/>
        <v>No</v>
      </c>
      <c r="BA2847" s="68" t="str">
        <f t="shared" si="302"/>
        <v>No</v>
      </c>
    </row>
    <row r="2848" spans="1:55" hidden="1">
      <c r="A2848" t="s">
        <v>3914</v>
      </c>
      <c r="G2848" t="s">
        <v>4375</v>
      </c>
      <c r="P2848" t="s">
        <v>4596</v>
      </c>
      <c r="R2848" t="s">
        <v>4357</v>
      </c>
      <c r="S2848" t="s">
        <v>1754</v>
      </c>
      <c r="V2848" t="s">
        <v>4626</v>
      </c>
      <c r="Z2848">
        <v>3</v>
      </c>
      <c r="AA2848">
        <v>3</v>
      </c>
      <c r="AC2848">
        <v>394.4</v>
      </c>
      <c r="AD2848" s="54">
        <v>19</v>
      </c>
      <c r="AE2848">
        <v>1484.3</v>
      </c>
      <c r="AF2848" s="54">
        <v>23</v>
      </c>
      <c r="AJ2848" t="s">
        <v>4881</v>
      </c>
      <c r="AK2848" t="s">
        <v>4848</v>
      </c>
      <c r="AN2848">
        <v>240</v>
      </c>
      <c r="AO2848">
        <v>10</v>
      </c>
      <c r="AP2848">
        <v>262</v>
      </c>
      <c r="AQ2848">
        <v>8</v>
      </c>
      <c r="AW2848" s="28">
        <f t="shared" si="298"/>
        <v>2.4294935736466239</v>
      </c>
      <c r="AX2848">
        <f t="shared" si="299"/>
        <v>0.8</v>
      </c>
      <c r="AY2848" s="62">
        <f t="shared" si="300"/>
        <v>1.9435948589172991</v>
      </c>
      <c r="AZ2848" s="68" t="str">
        <f t="shared" si="301"/>
        <v>No</v>
      </c>
      <c r="BA2848" s="68" t="str">
        <f t="shared" si="302"/>
        <v>No</v>
      </c>
    </row>
    <row r="2849" spans="1:55" hidden="1">
      <c r="A2849" t="s">
        <v>3914</v>
      </c>
      <c r="G2849" t="s">
        <v>4375</v>
      </c>
      <c r="P2849" t="s">
        <v>4596</v>
      </c>
      <c r="R2849" t="s">
        <v>4357</v>
      </c>
      <c r="S2849" t="s">
        <v>1754</v>
      </c>
      <c r="V2849" t="s">
        <v>4627</v>
      </c>
      <c r="Z2849">
        <v>3</v>
      </c>
      <c r="AA2849">
        <v>3</v>
      </c>
      <c r="AC2849">
        <v>394.4</v>
      </c>
      <c r="AD2849" s="54">
        <v>19</v>
      </c>
      <c r="AE2849">
        <v>2918.6</v>
      </c>
      <c r="AF2849" s="54">
        <v>23</v>
      </c>
      <c r="AJ2849" t="s">
        <v>4881</v>
      </c>
      <c r="AK2849" t="s">
        <v>4848</v>
      </c>
      <c r="AN2849">
        <v>240</v>
      </c>
      <c r="AO2849">
        <v>10</v>
      </c>
      <c r="AP2849">
        <v>310</v>
      </c>
      <c r="AQ2849">
        <v>8</v>
      </c>
      <c r="AW2849" s="28">
        <f t="shared" si="298"/>
        <v>7.7302068252392573</v>
      </c>
      <c r="AX2849">
        <f t="shared" si="299"/>
        <v>0.8</v>
      </c>
      <c r="AY2849" s="62">
        <f t="shared" si="300"/>
        <v>6.184165460191406</v>
      </c>
      <c r="AZ2849" s="68" t="str">
        <f t="shared" si="301"/>
        <v>No</v>
      </c>
      <c r="BA2849" s="68" t="str">
        <f t="shared" si="302"/>
        <v>No</v>
      </c>
    </row>
    <row r="2850" spans="1:55" hidden="1">
      <c r="A2850" t="s">
        <v>3914</v>
      </c>
      <c r="G2850" t="s">
        <v>4375</v>
      </c>
      <c r="P2850" t="s">
        <v>4596</v>
      </c>
      <c r="R2850" t="s">
        <v>4357</v>
      </c>
      <c r="S2850" t="s">
        <v>1754</v>
      </c>
      <c r="V2850" t="s">
        <v>4626</v>
      </c>
      <c r="Z2850">
        <v>3</v>
      </c>
      <c r="AA2850">
        <v>3</v>
      </c>
      <c r="AC2850">
        <v>394.4</v>
      </c>
      <c r="AD2850" s="54">
        <v>19</v>
      </c>
      <c r="AE2850">
        <v>1599.6</v>
      </c>
      <c r="AF2850" s="54">
        <v>25</v>
      </c>
      <c r="AJ2850" t="s">
        <v>4881</v>
      </c>
      <c r="AK2850" t="s">
        <v>4848</v>
      </c>
      <c r="AN2850">
        <v>240</v>
      </c>
      <c r="AO2850">
        <v>10</v>
      </c>
      <c r="AP2850">
        <v>372</v>
      </c>
      <c r="AQ2850">
        <v>8</v>
      </c>
      <c r="AW2850" s="28">
        <f t="shared" si="298"/>
        <v>14.576961441879742</v>
      </c>
      <c r="AX2850">
        <f t="shared" si="299"/>
        <v>0.8</v>
      </c>
      <c r="AY2850" s="62">
        <f t="shared" si="300"/>
        <v>11.661569153503795</v>
      </c>
      <c r="AZ2850" s="68" t="str">
        <f t="shared" si="301"/>
        <v>Yes</v>
      </c>
      <c r="BA2850" s="68" t="str">
        <f t="shared" si="302"/>
        <v>No</v>
      </c>
    </row>
    <row r="2851" spans="1:55" hidden="1">
      <c r="A2851" t="s">
        <v>3914</v>
      </c>
      <c r="G2851" t="s">
        <v>4375</v>
      </c>
      <c r="P2851" t="s">
        <v>4596</v>
      </c>
      <c r="R2851" t="s">
        <v>4357</v>
      </c>
      <c r="S2851" t="s">
        <v>1754</v>
      </c>
      <c r="V2851" t="s">
        <v>4627</v>
      </c>
      <c r="Z2851">
        <v>3</v>
      </c>
      <c r="AA2851">
        <v>3</v>
      </c>
      <c r="AC2851">
        <v>394.4</v>
      </c>
      <c r="AD2851" s="54">
        <v>19</v>
      </c>
      <c r="AE2851">
        <v>2865.4</v>
      </c>
      <c r="AF2851" s="54">
        <v>25</v>
      </c>
      <c r="AJ2851" t="s">
        <v>4881</v>
      </c>
      <c r="AK2851" t="s">
        <v>4848</v>
      </c>
      <c r="AN2851">
        <v>240</v>
      </c>
      <c r="AO2851">
        <v>10</v>
      </c>
      <c r="AP2851">
        <v>302</v>
      </c>
      <c r="AQ2851">
        <v>8</v>
      </c>
      <c r="AW2851" s="28">
        <f t="shared" si="298"/>
        <v>6.8467546166404851</v>
      </c>
      <c r="AX2851">
        <f t="shared" si="299"/>
        <v>0.8</v>
      </c>
      <c r="AY2851" s="62">
        <f t="shared" si="300"/>
        <v>5.4774036933123886</v>
      </c>
      <c r="AZ2851" s="68" t="str">
        <f t="shared" si="301"/>
        <v>No</v>
      </c>
      <c r="BA2851" s="68" t="str">
        <f t="shared" si="302"/>
        <v>No</v>
      </c>
    </row>
    <row r="2852" spans="1:55" hidden="1">
      <c r="A2852" t="s">
        <v>3914</v>
      </c>
      <c r="G2852" t="s">
        <v>4375</v>
      </c>
      <c r="P2852" t="s">
        <v>4596</v>
      </c>
      <c r="R2852" t="s">
        <v>4357</v>
      </c>
      <c r="S2852" t="s">
        <v>1148</v>
      </c>
      <c r="V2852" t="s">
        <v>4626</v>
      </c>
      <c r="Z2852">
        <v>3</v>
      </c>
      <c r="AA2852">
        <v>3</v>
      </c>
      <c r="AC2852">
        <v>899.1</v>
      </c>
      <c r="AD2852" s="54">
        <v>19</v>
      </c>
      <c r="AE2852">
        <v>1265.7</v>
      </c>
      <c r="AF2852" s="54">
        <v>23</v>
      </c>
      <c r="AJ2852" t="s">
        <v>4881</v>
      </c>
      <c r="AK2852" t="s">
        <v>4848</v>
      </c>
      <c r="AN2852">
        <v>240</v>
      </c>
      <c r="AO2852">
        <v>9</v>
      </c>
      <c r="AP2852">
        <v>125</v>
      </c>
      <c r="AQ2852">
        <v>8</v>
      </c>
      <c r="AW2852" s="28">
        <f t="shared" si="298"/>
        <v>-13.506065048838179</v>
      </c>
      <c r="AX2852">
        <f t="shared" si="299"/>
        <v>0.8</v>
      </c>
      <c r="AY2852" s="62">
        <f t="shared" si="300"/>
        <v>-10.804852039070544</v>
      </c>
      <c r="AZ2852" s="68" t="str">
        <f t="shared" si="301"/>
        <v>No</v>
      </c>
      <c r="BA2852" s="68" t="str">
        <f t="shared" si="302"/>
        <v>Yes</v>
      </c>
    </row>
    <row r="2853" spans="1:55" hidden="1">
      <c r="A2853" t="s">
        <v>3914</v>
      </c>
      <c r="G2853" t="s">
        <v>4375</v>
      </c>
      <c r="P2853" t="s">
        <v>4596</v>
      </c>
      <c r="R2853" t="s">
        <v>4357</v>
      </c>
      <c r="S2853" t="s">
        <v>1781</v>
      </c>
      <c r="V2853" t="s">
        <v>4626</v>
      </c>
      <c r="Z2853">
        <v>3</v>
      </c>
      <c r="AA2853">
        <v>3</v>
      </c>
      <c r="AC2853">
        <v>489</v>
      </c>
      <c r="AD2853" s="54">
        <v>19</v>
      </c>
      <c r="AE2853">
        <v>1316.3</v>
      </c>
      <c r="AF2853" s="54">
        <v>23</v>
      </c>
      <c r="AJ2853" t="s">
        <v>4881</v>
      </c>
      <c r="AK2853" t="s">
        <v>4848</v>
      </c>
      <c r="AN2853">
        <v>3.5</v>
      </c>
      <c r="AO2853">
        <v>9.5</v>
      </c>
      <c r="AP2853">
        <v>4</v>
      </c>
      <c r="AQ2853">
        <v>9</v>
      </c>
      <c r="AW2853" s="28">
        <f t="shared" si="298"/>
        <v>5.4034322695829917E-2</v>
      </c>
      <c r="AX2853">
        <f t="shared" si="299"/>
        <v>0.8</v>
      </c>
      <c r="AY2853" s="62">
        <f t="shared" si="300"/>
        <v>4.3227458156663935E-2</v>
      </c>
      <c r="AZ2853" s="68" t="str">
        <f t="shared" si="301"/>
        <v>No</v>
      </c>
      <c r="BA2853" s="68" t="str">
        <f t="shared" si="302"/>
        <v>No</v>
      </c>
    </row>
    <row r="2854" spans="1:55" hidden="1">
      <c r="A2854" t="s">
        <v>3914</v>
      </c>
      <c r="G2854" t="s">
        <v>4375</v>
      </c>
      <c r="P2854" t="s">
        <v>4596</v>
      </c>
      <c r="R2854" t="s">
        <v>4357</v>
      </c>
      <c r="S2854" t="s">
        <v>1781</v>
      </c>
      <c r="V2854" t="s">
        <v>4627</v>
      </c>
      <c r="Z2854">
        <v>3</v>
      </c>
      <c r="AA2854">
        <v>3</v>
      </c>
      <c r="AC2854">
        <v>489</v>
      </c>
      <c r="AD2854" s="54">
        <v>19</v>
      </c>
      <c r="AE2854">
        <v>2539.3000000000002</v>
      </c>
      <c r="AF2854" s="54">
        <v>23</v>
      </c>
      <c r="AJ2854" t="s">
        <v>4881</v>
      </c>
      <c r="AK2854" t="s">
        <v>4848</v>
      </c>
      <c r="AN2854">
        <v>3.5</v>
      </c>
      <c r="AO2854">
        <v>9.5</v>
      </c>
      <c r="AP2854">
        <v>4</v>
      </c>
      <c r="AQ2854">
        <v>9</v>
      </c>
      <c r="AW2854" s="28">
        <f t="shared" si="298"/>
        <v>5.4034322695829917E-2</v>
      </c>
      <c r="AX2854">
        <f t="shared" si="299"/>
        <v>0.8</v>
      </c>
      <c r="AY2854" s="62">
        <f t="shared" si="300"/>
        <v>4.3227458156663935E-2</v>
      </c>
      <c r="AZ2854" s="68" t="str">
        <f t="shared" si="301"/>
        <v>No</v>
      </c>
      <c r="BA2854" s="68" t="str">
        <f t="shared" si="302"/>
        <v>No</v>
      </c>
    </row>
    <row r="2855" spans="1:55" hidden="1">
      <c r="A2855" t="s">
        <v>3914</v>
      </c>
      <c r="G2855" t="s">
        <v>4375</v>
      </c>
      <c r="P2855" t="s">
        <v>4596</v>
      </c>
      <c r="R2855" t="s">
        <v>4357</v>
      </c>
      <c r="S2855" t="s">
        <v>1781</v>
      </c>
      <c r="V2855" t="s">
        <v>4625</v>
      </c>
      <c r="Z2855">
        <v>3</v>
      </c>
      <c r="AA2855">
        <v>3</v>
      </c>
      <c r="AC2855">
        <v>489</v>
      </c>
      <c r="AD2855" s="54">
        <v>19</v>
      </c>
      <c r="AE2855">
        <v>466.8</v>
      </c>
      <c r="AF2855" s="54">
        <v>21</v>
      </c>
      <c r="AJ2855" t="s">
        <v>4881</v>
      </c>
      <c r="AK2855" t="s">
        <v>4848</v>
      </c>
      <c r="AN2855">
        <v>3.5</v>
      </c>
      <c r="AO2855">
        <v>9.5</v>
      </c>
      <c r="AP2855">
        <v>15</v>
      </c>
      <c r="AQ2855">
        <v>9.5</v>
      </c>
      <c r="AW2855" s="28">
        <f t="shared" si="298"/>
        <v>1.2105263157894737</v>
      </c>
      <c r="AX2855">
        <f t="shared" si="299"/>
        <v>0.8</v>
      </c>
      <c r="AY2855" s="62">
        <f t="shared" si="300"/>
        <v>0.96842105263157896</v>
      </c>
      <c r="AZ2855" s="68" t="str">
        <f t="shared" si="301"/>
        <v>No</v>
      </c>
      <c r="BA2855" s="68" t="str">
        <f t="shared" si="302"/>
        <v>No</v>
      </c>
    </row>
    <row r="2856" spans="1:55" hidden="1">
      <c r="A2856" t="s">
        <v>3914</v>
      </c>
      <c r="G2856" t="s">
        <v>4375</v>
      </c>
      <c r="P2856" t="s">
        <v>4596</v>
      </c>
      <c r="R2856" t="s">
        <v>4357</v>
      </c>
      <c r="S2856" t="s">
        <v>1781</v>
      </c>
      <c r="V2856" t="s">
        <v>4626</v>
      </c>
      <c r="Z2856">
        <v>3</v>
      </c>
      <c r="AA2856">
        <v>3</v>
      </c>
      <c r="AC2856">
        <v>489</v>
      </c>
      <c r="AD2856" s="54">
        <v>19</v>
      </c>
      <c r="AE2856">
        <v>1432.9</v>
      </c>
      <c r="AF2856" s="54">
        <v>21</v>
      </c>
      <c r="AJ2856" t="s">
        <v>4881</v>
      </c>
      <c r="AK2856" t="s">
        <v>4848</v>
      </c>
      <c r="AN2856">
        <v>3.5</v>
      </c>
      <c r="AO2856">
        <v>9.5</v>
      </c>
      <c r="AP2856">
        <v>44</v>
      </c>
      <c r="AQ2856">
        <v>9.5</v>
      </c>
      <c r="AW2856" s="28">
        <f t="shared" si="298"/>
        <v>4.2631578947368425</v>
      </c>
      <c r="AX2856">
        <f t="shared" si="299"/>
        <v>0.8</v>
      </c>
      <c r="AY2856" s="62">
        <f t="shared" si="300"/>
        <v>3.4105263157894741</v>
      </c>
      <c r="AZ2856" s="68" t="str">
        <f t="shared" si="301"/>
        <v>No</v>
      </c>
      <c r="BA2856" s="68" t="str">
        <f t="shared" si="302"/>
        <v>No</v>
      </c>
    </row>
    <row r="2857" spans="1:55" s="56" customFormat="1" ht="15" hidden="1">
      <c r="A2857" t="s">
        <v>3914</v>
      </c>
      <c r="B2857"/>
      <c r="C2857"/>
      <c r="D2857" s="25"/>
      <c r="E2857" s="25"/>
      <c r="F2857"/>
      <c r="G2857" t="s">
        <v>5126</v>
      </c>
      <c r="H2857"/>
      <c r="I2857"/>
      <c r="J2857"/>
      <c r="K2857"/>
      <c r="L2857"/>
      <c r="M2857" s="25"/>
      <c r="N2857"/>
      <c r="O2857"/>
      <c r="P2857" t="s">
        <v>4596</v>
      </c>
      <c r="Q2857"/>
      <c r="R2857" t="s">
        <v>4357</v>
      </c>
      <c r="S2857" t="s">
        <v>1148</v>
      </c>
      <c r="T2857"/>
      <c r="U2857"/>
      <c r="V2857" t="s">
        <v>4626</v>
      </c>
      <c r="W2857" s="25"/>
      <c r="X2857"/>
      <c r="Y2857"/>
      <c r="Z2857">
        <v>3</v>
      </c>
      <c r="AA2857">
        <v>3</v>
      </c>
      <c r="AB2857"/>
      <c r="AC2857">
        <v>899.1</v>
      </c>
      <c r="AD2857" s="54">
        <v>19</v>
      </c>
      <c r="AE2857">
        <v>1293.2</v>
      </c>
      <c r="AF2857" s="54">
        <v>21</v>
      </c>
      <c r="AG2857"/>
      <c r="AH2857"/>
      <c r="AI2857"/>
      <c r="AJ2857" t="s">
        <v>4881</v>
      </c>
      <c r="AK2857" t="s">
        <v>4848</v>
      </c>
      <c r="AL2857" s="25"/>
      <c r="AM2857" s="35"/>
      <c r="AN2857">
        <v>240</v>
      </c>
      <c r="AO2857">
        <v>9</v>
      </c>
      <c r="AP2857">
        <v>188</v>
      </c>
      <c r="AQ2857">
        <v>10</v>
      </c>
      <c r="AR2857"/>
      <c r="AS2857"/>
      <c r="AT2857"/>
      <c r="AU2857"/>
      <c r="AV2857"/>
      <c r="AW2857" s="28">
        <f t="shared" si="298"/>
        <v>-5.4661186447674224</v>
      </c>
      <c r="AX2857">
        <f t="shared" si="299"/>
        <v>0.8</v>
      </c>
      <c r="AY2857" s="62">
        <f t="shared" si="300"/>
        <v>-4.3728949158139381</v>
      </c>
      <c r="AZ2857" s="68" t="str">
        <f t="shared" si="301"/>
        <v>No</v>
      </c>
      <c r="BA2857" s="68" t="str">
        <f t="shared" si="302"/>
        <v>No</v>
      </c>
      <c r="BB2857"/>
      <c r="BC2857"/>
    </row>
    <row r="2858" spans="1:55" hidden="1">
      <c r="A2858" t="s">
        <v>3914</v>
      </c>
      <c r="G2858" t="s">
        <v>4375</v>
      </c>
      <c r="P2858" t="s">
        <v>4596</v>
      </c>
      <c r="R2858" t="s">
        <v>4357</v>
      </c>
      <c r="S2858" t="s">
        <v>1148</v>
      </c>
      <c r="V2858" t="s">
        <v>4626</v>
      </c>
      <c r="Z2858">
        <v>3</v>
      </c>
      <c r="AA2858">
        <v>3</v>
      </c>
      <c r="AC2858">
        <v>899.1</v>
      </c>
      <c r="AD2858" s="54">
        <v>19</v>
      </c>
      <c r="AE2858">
        <v>1367.1</v>
      </c>
      <c r="AF2858" s="54">
        <v>25</v>
      </c>
      <c r="AJ2858" t="s">
        <v>4881</v>
      </c>
      <c r="AK2858" t="s">
        <v>4848</v>
      </c>
      <c r="AN2858">
        <v>240</v>
      </c>
      <c r="AO2858">
        <v>9</v>
      </c>
      <c r="AP2858">
        <v>15</v>
      </c>
      <c r="AQ2858">
        <v>10</v>
      </c>
      <c r="AW2858" s="28">
        <f t="shared" si="298"/>
        <v>-23.651474905243653</v>
      </c>
      <c r="AX2858">
        <f t="shared" si="299"/>
        <v>0.8</v>
      </c>
      <c r="AY2858" s="62">
        <f t="shared" si="300"/>
        <v>-18.921179924194924</v>
      </c>
      <c r="AZ2858" s="68" t="str">
        <f t="shared" si="301"/>
        <v>No</v>
      </c>
      <c r="BA2858" s="68" t="str">
        <f t="shared" si="302"/>
        <v>Yes</v>
      </c>
    </row>
    <row r="2859" spans="1:55" hidden="1">
      <c r="A2859" t="s">
        <v>3914</v>
      </c>
      <c r="G2859" t="s">
        <v>4375</v>
      </c>
      <c r="P2859" t="s">
        <v>4596</v>
      </c>
      <c r="R2859" t="s">
        <v>4357</v>
      </c>
      <c r="S2859" t="s">
        <v>1781</v>
      </c>
      <c r="V2859" t="s">
        <v>4627</v>
      </c>
      <c r="Z2859">
        <v>3</v>
      </c>
      <c r="AA2859">
        <v>3</v>
      </c>
      <c r="AC2859">
        <v>489</v>
      </c>
      <c r="AD2859" s="54">
        <v>19</v>
      </c>
      <c r="AE2859">
        <v>2813.3</v>
      </c>
      <c r="AF2859" s="54">
        <v>21</v>
      </c>
      <c r="AJ2859" t="s">
        <v>4881</v>
      </c>
      <c r="AK2859" t="s">
        <v>4848</v>
      </c>
      <c r="AN2859">
        <v>3.5</v>
      </c>
      <c r="AO2859">
        <v>9.5</v>
      </c>
      <c r="AP2859">
        <v>12</v>
      </c>
      <c r="AQ2859">
        <v>10</v>
      </c>
      <c r="AW2859" s="28">
        <f t="shared" si="298"/>
        <v>0.87150842694672725</v>
      </c>
      <c r="AX2859">
        <f t="shared" si="299"/>
        <v>0.8</v>
      </c>
      <c r="AY2859" s="62">
        <f t="shared" si="300"/>
        <v>0.69720674155738183</v>
      </c>
      <c r="AZ2859" s="68" t="str">
        <f t="shared" si="301"/>
        <v>No</v>
      </c>
      <c r="BA2859" s="68" t="str">
        <f t="shared" si="302"/>
        <v>No</v>
      </c>
    </row>
    <row r="2860" spans="1:55" hidden="1">
      <c r="A2860" t="s">
        <v>3914</v>
      </c>
      <c r="G2860" t="s">
        <v>4375</v>
      </c>
      <c r="P2860" t="s">
        <v>4596</v>
      </c>
      <c r="R2860" t="s">
        <v>4357</v>
      </c>
      <c r="S2860" t="s">
        <v>1781</v>
      </c>
      <c r="V2860" t="s">
        <v>4628</v>
      </c>
      <c r="Z2860">
        <v>3</v>
      </c>
      <c r="AA2860">
        <v>3</v>
      </c>
      <c r="AC2860">
        <v>489</v>
      </c>
      <c r="AD2860" s="54">
        <v>19</v>
      </c>
      <c r="AE2860">
        <v>518.1</v>
      </c>
      <c r="AF2860" s="54">
        <v>23</v>
      </c>
      <c r="AJ2860" t="s">
        <v>4881</v>
      </c>
      <c r="AK2860" t="s">
        <v>4848</v>
      </c>
      <c r="AN2860">
        <v>3.5</v>
      </c>
      <c r="AO2860">
        <v>9.5</v>
      </c>
      <c r="AP2860">
        <v>2.5</v>
      </c>
      <c r="AQ2860">
        <v>10</v>
      </c>
      <c r="AW2860" s="28">
        <f t="shared" si="298"/>
        <v>-0.1025304031702032</v>
      </c>
      <c r="AX2860">
        <f t="shared" si="299"/>
        <v>0.8</v>
      </c>
      <c r="AY2860" s="62">
        <f t="shared" si="300"/>
        <v>-8.2024322536162569E-2</v>
      </c>
      <c r="AZ2860" s="68" t="str">
        <f t="shared" si="301"/>
        <v>No</v>
      </c>
      <c r="BA2860" s="68" t="str">
        <f t="shared" si="302"/>
        <v>No</v>
      </c>
    </row>
    <row r="2861" spans="1:55" hidden="1">
      <c r="A2861" t="s">
        <v>3914</v>
      </c>
      <c r="G2861" t="s">
        <v>4375</v>
      </c>
      <c r="P2861" t="s">
        <v>4596</v>
      </c>
      <c r="R2861" t="s">
        <v>4357</v>
      </c>
      <c r="S2861" t="s">
        <v>1781</v>
      </c>
      <c r="V2861" t="s">
        <v>4626</v>
      </c>
      <c r="Z2861">
        <v>3</v>
      </c>
      <c r="AA2861">
        <v>3</v>
      </c>
      <c r="AC2861">
        <v>489</v>
      </c>
      <c r="AD2861" s="54">
        <v>19</v>
      </c>
      <c r="AE2861">
        <v>1399.5</v>
      </c>
      <c r="AF2861" s="54">
        <v>25</v>
      </c>
      <c r="AJ2861" t="s">
        <v>4881</v>
      </c>
      <c r="AK2861" t="s">
        <v>4848</v>
      </c>
      <c r="AN2861">
        <v>3.5</v>
      </c>
      <c r="AO2861">
        <v>9.5</v>
      </c>
      <c r="AP2861">
        <v>0.5</v>
      </c>
      <c r="AQ2861">
        <v>10</v>
      </c>
      <c r="AW2861" s="28">
        <f t="shared" si="298"/>
        <v>-0.30759120951060959</v>
      </c>
      <c r="AX2861">
        <f t="shared" si="299"/>
        <v>0.8</v>
      </c>
      <c r="AY2861" s="62">
        <f t="shared" si="300"/>
        <v>-0.24607296760848768</v>
      </c>
      <c r="AZ2861" s="68" t="str">
        <f t="shared" si="301"/>
        <v>No</v>
      </c>
      <c r="BA2861" s="68" t="str">
        <f t="shared" si="302"/>
        <v>No</v>
      </c>
    </row>
    <row r="2862" spans="1:55" hidden="1">
      <c r="A2862" t="s">
        <v>3914</v>
      </c>
      <c r="G2862" t="s">
        <v>4375</v>
      </c>
      <c r="P2862" t="s">
        <v>60</v>
      </c>
      <c r="R2862" t="s">
        <v>4357</v>
      </c>
      <c r="S2862" t="s">
        <v>1781</v>
      </c>
      <c r="V2862" t="s">
        <v>3956</v>
      </c>
      <c r="Z2862">
        <v>3</v>
      </c>
      <c r="AA2862">
        <v>3</v>
      </c>
      <c r="AC2862">
        <v>489</v>
      </c>
      <c r="AD2862">
        <v>19.27</v>
      </c>
      <c r="AE2862">
        <v>1342.7</v>
      </c>
      <c r="AF2862">
        <v>19.3</v>
      </c>
      <c r="AJ2862" t="s">
        <v>4379</v>
      </c>
      <c r="AK2862" t="s">
        <v>4093</v>
      </c>
      <c r="AN2862">
        <v>62</v>
      </c>
      <c r="AO2862">
        <v>13.856406460551018</v>
      </c>
      <c r="AP2862">
        <v>73</v>
      </c>
      <c r="AQ2862">
        <v>10.392304845413264</v>
      </c>
      <c r="AW2862" s="28">
        <f t="shared" si="298"/>
        <v>0.89814623902049862</v>
      </c>
      <c r="AX2862">
        <f t="shared" si="299"/>
        <v>0.8</v>
      </c>
      <c r="AY2862" s="62">
        <f t="shared" si="300"/>
        <v>0.71851699121639889</v>
      </c>
      <c r="AZ2862" s="68" t="str">
        <f t="shared" si="301"/>
        <v>No</v>
      </c>
      <c r="BA2862" s="68" t="str">
        <f t="shared" si="302"/>
        <v>No</v>
      </c>
    </row>
    <row r="2863" spans="1:55" s="77" customFormat="1" hidden="1">
      <c r="A2863" t="s">
        <v>3914</v>
      </c>
      <c r="B2863"/>
      <c r="C2863"/>
      <c r="D2863" s="25"/>
      <c r="E2863" s="25"/>
      <c r="F2863"/>
      <c r="G2863" t="s">
        <v>4375</v>
      </c>
      <c r="H2863"/>
      <c r="I2863"/>
      <c r="J2863"/>
      <c r="K2863"/>
      <c r="L2863"/>
      <c r="M2863" s="25"/>
      <c r="N2863"/>
      <c r="O2863"/>
      <c r="P2863" t="s">
        <v>60</v>
      </c>
      <c r="Q2863"/>
      <c r="R2863" t="s">
        <v>4357</v>
      </c>
      <c r="S2863" t="s">
        <v>1781</v>
      </c>
      <c r="T2863"/>
      <c r="U2863"/>
      <c r="V2863" t="s">
        <v>3956</v>
      </c>
      <c r="W2863" s="25"/>
      <c r="X2863"/>
      <c r="Y2863"/>
      <c r="Z2863">
        <v>3</v>
      </c>
      <c r="AA2863">
        <v>3</v>
      </c>
      <c r="AB2863"/>
      <c r="AC2863">
        <v>489</v>
      </c>
      <c r="AD2863">
        <v>19.27</v>
      </c>
      <c r="AE2863">
        <v>2754.8</v>
      </c>
      <c r="AF2863">
        <v>19.329999999999998</v>
      </c>
      <c r="AG2863"/>
      <c r="AH2863"/>
      <c r="AI2863"/>
      <c r="AJ2863" t="s">
        <v>4379</v>
      </c>
      <c r="AK2863" t="s">
        <v>4093</v>
      </c>
      <c r="AL2863" s="25"/>
      <c r="AM2863" s="35"/>
      <c r="AN2863">
        <v>62</v>
      </c>
      <c r="AO2863">
        <v>13.856406460551018</v>
      </c>
      <c r="AP2863">
        <v>70</v>
      </c>
      <c r="AQ2863">
        <v>10.392304845413264</v>
      </c>
      <c r="AR2863"/>
      <c r="AS2863"/>
      <c r="AT2863"/>
      <c r="AU2863"/>
      <c r="AV2863"/>
      <c r="AW2863" s="28">
        <f t="shared" si="298"/>
        <v>0.65319726474218087</v>
      </c>
      <c r="AX2863">
        <f t="shared" si="299"/>
        <v>0.8</v>
      </c>
      <c r="AY2863" s="62">
        <f t="shared" si="300"/>
        <v>0.52255781179374472</v>
      </c>
      <c r="AZ2863" s="68" t="str">
        <f t="shared" si="301"/>
        <v>No</v>
      </c>
      <c r="BA2863" s="68" t="str">
        <f t="shared" si="302"/>
        <v>No</v>
      </c>
      <c r="BB2863"/>
      <c r="BC2863"/>
    </row>
    <row r="2864" spans="1:55" hidden="1">
      <c r="A2864" t="s">
        <v>3914</v>
      </c>
      <c r="G2864" t="s">
        <v>4375</v>
      </c>
      <c r="P2864" t="s">
        <v>4596</v>
      </c>
      <c r="R2864" t="s">
        <v>4357</v>
      </c>
      <c r="S2864" t="s">
        <v>1781</v>
      </c>
      <c r="V2864" t="s">
        <v>4645</v>
      </c>
      <c r="Z2864">
        <v>3</v>
      </c>
      <c r="AA2864">
        <v>3</v>
      </c>
      <c r="AC2864">
        <v>489</v>
      </c>
      <c r="AD2864" s="54">
        <v>19</v>
      </c>
      <c r="AE2864">
        <v>592.79999999999995</v>
      </c>
      <c r="AF2864" s="54">
        <v>25</v>
      </c>
      <c r="AJ2864" t="s">
        <v>4881</v>
      </c>
      <c r="AK2864" t="s">
        <v>4848</v>
      </c>
      <c r="AN2864">
        <v>3.5</v>
      </c>
      <c r="AO2864">
        <v>9.5</v>
      </c>
      <c r="AP2864">
        <v>0</v>
      </c>
      <c r="AQ2864">
        <v>10.5</v>
      </c>
      <c r="AW2864" s="28">
        <f t="shared" si="298"/>
        <v>-0.3495633186072456</v>
      </c>
      <c r="AX2864">
        <f t="shared" si="299"/>
        <v>0.8</v>
      </c>
      <c r="AY2864" s="62">
        <f t="shared" si="300"/>
        <v>-0.27965065488579649</v>
      </c>
      <c r="AZ2864" s="68" t="str">
        <f t="shared" si="301"/>
        <v>No</v>
      </c>
      <c r="BA2864" s="68" t="str">
        <f t="shared" si="302"/>
        <v>No</v>
      </c>
    </row>
    <row r="2865" spans="1:55" hidden="1">
      <c r="A2865" t="s">
        <v>3914</v>
      </c>
      <c r="G2865" t="s">
        <v>4375</v>
      </c>
      <c r="P2865" t="s">
        <v>4596</v>
      </c>
      <c r="R2865" t="s">
        <v>4357</v>
      </c>
      <c r="S2865" t="s">
        <v>1781</v>
      </c>
      <c r="V2865" t="s">
        <v>4627</v>
      </c>
      <c r="Z2865">
        <v>3</v>
      </c>
      <c r="AA2865">
        <v>3</v>
      </c>
      <c r="AC2865">
        <v>489</v>
      </c>
      <c r="AD2865" s="54">
        <v>19</v>
      </c>
      <c r="AE2865">
        <v>2829.1</v>
      </c>
      <c r="AF2865" s="54">
        <v>25</v>
      </c>
      <c r="AJ2865" t="s">
        <v>4881</v>
      </c>
      <c r="AK2865" t="s">
        <v>4848</v>
      </c>
      <c r="AN2865">
        <v>3.5</v>
      </c>
      <c r="AO2865">
        <v>9.5</v>
      </c>
      <c r="AP2865">
        <v>0</v>
      </c>
      <c r="AQ2865">
        <v>10.5</v>
      </c>
      <c r="AW2865" s="28">
        <f t="shared" si="298"/>
        <v>-0.3495633186072456</v>
      </c>
      <c r="AX2865">
        <f t="shared" si="299"/>
        <v>0.8</v>
      </c>
      <c r="AY2865" s="62">
        <f t="shared" si="300"/>
        <v>-0.27965065488579649</v>
      </c>
      <c r="AZ2865" s="68" t="str">
        <f t="shared" si="301"/>
        <v>No</v>
      </c>
      <c r="BA2865" s="68" t="str">
        <f t="shared" si="302"/>
        <v>No</v>
      </c>
    </row>
    <row r="2866" spans="1:55" hidden="1">
      <c r="A2866" t="s">
        <v>3914</v>
      </c>
      <c r="G2866" t="s">
        <v>4884</v>
      </c>
      <c r="P2866" t="s">
        <v>4596</v>
      </c>
      <c r="R2866" t="s">
        <v>822</v>
      </c>
      <c r="S2866" t="s">
        <v>4006</v>
      </c>
      <c r="V2866" t="s">
        <v>4600</v>
      </c>
      <c r="Z2866">
        <v>14</v>
      </c>
      <c r="AA2866">
        <v>12</v>
      </c>
      <c r="AC2866">
        <v>342</v>
      </c>
      <c r="AD2866" s="54">
        <v>1.7</v>
      </c>
      <c r="AE2866">
        <v>1194</v>
      </c>
      <c r="AF2866" s="54">
        <v>3.5</v>
      </c>
      <c r="AJ2866" t="s">
        <v>4225</v>
      </c>
      <c r="AK2866" t="s">
        <v>4849</v>
      </c>
      <c r="AN2866">
        <v>113</v>
      </c>
      <c r="AO2866">
        <f>3*SQRT(14)/1.96</f>
        <v>5.7270266124090945</v>
      </c>
      <c r="AP2866">
        <v>105.2</v>
      </c>
      <c r="AQ2866">
        <f>3.2*SQRT(12)/1.96</f>
        <v>5.6556761063473546</v>
      </c>
      <c r="AW2866" s="28">
        <f t="shared" si="298"/>
        <v>-1.3697583035216936</v>
      </c>
      <c r="AX2866">
        <f t="shared" si="299"/>
        <v>0.96842105263157896</v>
      </c>
      <c r="AY2866" s="62">
        <f t="shared" si="300"/>
        <v>-1.3265027781473244</v>
      </c>
      <c r="AZ2866" s="68" t="str">
        <f t="shared" si="301"/>
        <v>No</v>
      </c>
      <c r="BA2866" s="68" t="str">
        <f t="shared" si="302"/>
        <v>No</v>
      </c>
    </row>
    <row r="2867" spans="1:55" hidden="1">
      <c r="A2867" t="s">
        <v>3914</v>
      </c>
      <c r="G2867" t="s">
        <v>4884</v>
      </c>
      <c r="P2867" t="s">
        <v>4596</v>
      </c>
      <c r="R2867" t="s">
        <v>822</v>
      </c>
      <c r="S2867" t="s">
        <v>4006</v>
      </c>
      <c r="V2867" t="s">
        <v>4598</v>
      </c>
      <c r="Z2867">
        <v>14</v>
      </c>
      <c r="AA2867">
        <v>13</v>
      </c>
      <c r="AC2867">
        <v>342</v>
      </c>
      <c r="AD2867" s="54">
        <v>1.7</v>
      </c>
      <c r="AE2867">
        <v>343</v>
      </c>
      <c r="AF2867" s="54">
        <v>3.5</v>
      </c>
      <c r="AJ2867" t="s">
        <v>4887</v>
      </c>
      <c r="AK2867" t="s">
        <v>4849</v>
      </c>
      <c r="AN2867">
        <v>113</v>
      </c>
      <c r="AO2867">
        <f>3*SQRT(14)/1.96</f>
        <v>5.7270266124090945</v>
      </c>
      <c r="AP2867">
        <v>104.5</v>
      </c>
      <c r="AQ2867">
        <f>3.5*SQRT(13)/1.96</f>
        <v>6.4384844204714096</v>
      </c>
      <c r="AW2867" s="28">
        <f t="shared" si="298"/>
        <v>-1.3982730966660126</v>
      </c>
      <c r="AX2867">
        <f t="shared" si="299"/>
        <v>0.96969696969696972</v>
      </c>
      <c r="AY2867" s="62">
        <f t="shared" si="300"/>
        <v>-1.3559011846458304</v>
      </c>
      <c r="AZ2867" s="68" t="str">
        <f t="shared" si="301"/>
        <v>No</v>
      </c>
      <c r="BA2867" s="68" t="str">
        <f t="shared" si="302"/>
        <v>No</v>
      </c>
    </row>
    <row r="2868" spans="1:55" hidden="1">
      <c r="A2868" t="s">
        <v>3914</v>
      </c>
      <c r="G2868" t="s">
        <v>4884</v>
      </c>
      <c r="P2868" t="s">
        <v>4596</v>
      </c>
      <c r="R2868" t="s">
        <v>822</v>
      </c>
      <c r="S2868" t="s">
        <v>4006</v>
      </c>
      <c r="V2868" t="s">
        <v>4598</v>
      </c>
      <c r="Z2868">
        <v>2</v>
      </c>
      <c r="AA2868">
        <v>29</v>
      </c>
      <c r="AC2868">
        <v>342</v>
      </c>
      <c r="AD2868" s="54">
        <v>1.7</v>
      </c>
      <c r="AE2868">
        <v>343</v>
      </c>
      <c r="AF2868" s="54">
        <v>3.5</v>
      </c>
      <c r="AJ2868" t="s">
        <v>4886</v>
      </c>
      <c r="AK2868" t="s">
        <v>4844</v>
      </c>
      <c r="AN2868">
        <v>8</v>
      </c>
      <c r="AO2868">
        <f>17.5*SQRT(2)/1.96</f>
        <v>12.626906806902635</v>
      </c>
      <c r="AP2868">
        <v>90</v>
      </c>
      <c r="AQ2868">
        <f>15*SQRT(29)/1.96</f>
        <v>41.212995972968145</v>
      </c>
      <c r="AW2868" s="28">
        <f t="shared" si="298"/>
        <v>2.0214959823562788</v>
      </c>
      <c r="AX2868">
        <f t="shared" si="299"/>
        <v>0.97391304347826091</v>
      </c>
      <c r="AY2868" s="62">
        <f t="shared" si="300"/>
        <v>1.9687613045556802</v>
      </c>
      <c r="AZ2868" s="68" t="str">
        <f t="shared" si="301"/>
        <v>No</v>
      </c>
      <c r="BA2868" s="68" t="str">
        <f t="shared" si="302"/>
        <v>No</v>
      </c>
    </row>
    <row r="2869" spans="1:55" hidden="1">
      <c r="A2869" t="s">
        <v>3914</v>
      </c>
      <c r="G2869" t="s">
        <v>4883</v>
      </c>
      <c r="P2869" t="s">
        <v>4596</v>
      </c>
      <c r="R2869" t="s">
        <v>822</v>
      </c>
      <c r="S2869" t="s">
        <v>4006</v>
      </c>
      <c r="V2869" t="s">
        <v>4598</v>
      </c>
      <c r="Z2869">
        <v>2</v>
      </c>
      <c r="AA2869">
        <v>9</v>
      </c>
      <c r="AC2869">
        <v>342</v>
      </c>
      <c r="AD2869" s="54">
        <v>1.7</v>
      </c>
      <c r="AE2869">
        <v>343</v>
      </c>
      <c r="AF2869" s="54">
        <v>3.5</v>
      </c>
      <c r="AJ2869" t="s">
        <v>4885</v>
      </c>
      <c r="AK2869" t="s">
        <v>4848</v>
      </c>
      <c r="AN2869">
        <v>2.7</v>
      </c>
      <c r="AO2869">
        <f>34.3*SQRT(2)/1.96</f>
        <v>24.748737341529161</v>
      </c>
      <c r="AP2869">
        <v>12</v>
      </c>
      <c r="AQ2869">
        <f>28.5*SQRT(9)/1.96</f>
        <v>43.622448979591837</v>
      </c>
      <c r="AW2869" s="28">
        <f t="shared" si="298"/>
        <v>0.22170913615657381</v>
      </c>
      <c r="AX2869">
        <f t="shared" si="299"/>
        <v>0.91428571428571426</v>
      </c>
      <c r="AY2869" s="62">
        <f t="shared" si="300"/>
        <v>0.20270549591458176</v>
      </c>
      <c r="AZ2869" s="68" t="str">
        <f t="shared" si="301"/>
        <v>No</v>
      </c>
      <c r="BA2869" s="68" t="str">
        <f t="shared" si="302"/>
        <v>No</v>
      </c>
    </row>
    <row r="2870" spans="1:55" hidden="1">
      <c r="A2870" t="s">
        <v>3914</v>
      </c>
      <c r="G2870" t="s">
        <v>4884</v>
      </c>
      <c r="P2870" t="s">
        <v>4596</v>
      </c>
      <c r="R2870" t="s">
        <v>822</v>
      </c>
      <c r="S2870" t="s">
        <v>4006</v>
      </c>
      <c r="V2870" t="s">
        <v>4600</v>
      </c>
      <c r="Z2870">
        <v>2</v>
      </c>
      <c r="AA2870">
        <v>19</v>
      </c>
      <c r="AC2870">
        <v>342</v>
      </c>
      <c r="AD2870" s="54">
        <v>1.7</v>
      </c>
      <c r="AE2870">
        <v>1194</v>
      </c>
      <c r="AF2870" s="54">
        <v>3.5</v>
      </c>
      <c r="AJ2870" t="s">
        <v>4765</v>
      </c>
      <c r="AK2870" t="s">
        <v>4848</v>
      </c>
      <c r="AN2870">
        <v>2.7</v>
      </c>
      <c r="AO2870">
        <f>34.3*SQRT(2)/1.96</f>
        <v>24.748737341529161</v>
      </c>
      <c r="AP2870">
        <v>25.3</v>
      </c>
      <c r="AQ2870">
        <f>23*SQRT(19)/1.96</f>
        <v>51.150344745630356</v>
      </c>
      <c r="AW2870" s="28">
        <f t="shared" si="298"/>
        <v>0.45101860764427165</v>
      </c>
      <c r="AX2870">
        <f t="shared" si="299"/>
        <v>0.96</v>
      </c>
      <c r="AY2870" s="62">
        <f t="shared" si="300"/>
        <v>0.43297786333850075</v>
      </c>
      <c r="AZ2870" s="68" t="str">
        <f t="shared" si="301"/>
        <v>No</v>
      </c>
      <c r="BA2870" s="68" t="str">
        <f t="shared" si="302"/>
        <v>No</v>
      </c>
    </row>
    <row r="2871" spans="1:55" s="56" customFormat="1" ht="15" hidden="1">
      <c r="A2871" t="s">
        <v>3914</v>
      </c>
      <c r="B2871"/>
      <c r="C2871"/>
      <c r="D2871" s="25"/>
      <c r="E2871" s="25"/>
      <c r="F2871"/>
      <c r="G2871" t="s">
        <v>4884</v>
      </c>
      <c r="H2871"/>
      <c r="I2871"/>
      <c r="J2871"/>
      <c r="K2871"/>
      <c r="L2871"/>
      <c r="M2871" s="25"/>
      <c r="N2871"/>
      <c r="O2871"/>
      <c r="P2871" t="s">
        <v>4596</v>
      </c>
      <c r="Q2871"/>
      <c r="R2871" t="s">
        <v>822</v>
      </c>
      <c r="S2871" t="s">
        <v>4006</v>
      </c>
      <c r="T2871"/>
      <c r="U2871"/>
      <c r="V2871" t="s">
        <v>4600</v>
      </c>
      <c r="W2871" s="25"/>
      <c r="X2871"/>
      <c r="Y2871"/>
      <c r="Z2871">
        <v>2</v>
      </c>
      <c r="AA2871">
        <v>35</v>
      </c>
      <c r="AB2871"/>
      <c r="AC2871">
        <v>342</v>
      </c>
      <c r="AD2871" s="54">
        <v>1.7</v>
      </c>
      <c r="AE2871">
        <v>1194</v>
      </c>
      <c r="AF2871" s="54">
        <v>3.5</v>
      </c>
      <c r="AG2871"/>
      <c r="AH2871"/>
      <c r="AI2871"/>
      <c r="AJ2871" t="s">
        <v>4308</v>
      </c>
      <c r="AK2871" t="s">
        <v>4844</v>
      </c>
      <c r="AL2871" s="25"/>
      <c r="AM2871" s="35"/>
      <c r="AN2871">
        <v>8</v>
      </c>
      <c r="AO2871">
        <f>17.5*SQRT(2)/1.96</f>
        <v>12.626906806902635</v>
      </c>
      <c r="AP2871">
        <v>82</v>
      </c>
      <c r="AQ2871">
        <f>21*SQRT(35)/1.96</f>
        <v>63.386569104638745</v>
      </c>
      <c r="AR2871"/>
      <c r="AS2871"/>
      <c r="AT2871"/>
      <c r="AU2871"/>
      <c r="AV2871"/>
      <c r="AW2871" s="28">
        <f t="shared" si="298"/>
        <v>1.1837929406262402</v>
      </c>
      <c r="AX2871">
        <f t="shared" si="299"/>
        <v>0.97841726618705038</v>
      </c>
      <c r="AY2871" s="62">
        <f t="shared" si="300"/>
        <v>1.1582434526990553</v>
      </c>
      <c r="AZ2871" s="68" t="str">
        <f t="shared" si="301"/>
        <v>No</v>
      </c>
      <c r="BA2871" s="68" t="str">
        <f t="shared" si="302"/>
        <v>No</v>
      </c>
      <c r="BB2871"/>
      <c r="BC2871"/>
    </row>
    <row r="2872" spans="1:55" hidden="1">
      <c r="A2872" t="s">
        <v>3914</v>
      </c>
      <c r="G2872" t="s">
        <v>4421</v>
      </c>
      <c r="P2872" t="s">
        <v>60</v>
      </c>
      <c r="R2872" t="s">
        <v>4357</v>
      </c>
      <c r="S2872" t="s">
        <v>1747</v>
      </c>
      <c r="V2872" t="s">
        <v>3956</v>
      </c>
      <c r="Z2872">
        <v>15</v>
      </c>
      <c r="AA2872">
        <v>15</v>
      </c>
      <c r="AC2872">
        <v>311</v>
      </c>
      <c r="AD2872">
        <v>13.9</v>
      </c>
      <c r="AE2872">
        <v>1417.8</v>
      </c>
      <c r="AF2872">
        <v>14</v>
      </c>
      <c r="AJ2872" t="s">
        <v>4065</v>
      </c>
      <c r="AK2872" t="s">
        <v>4491</v>
      </c>
      <c r="AN2872">
        <v>26.5</v>
      </c>
      <c r="AO2872">
        <v>11.25</v>
      </c>
      <c r="AP2872">
        <v>12</v>
      </c>
      <c r="AQ2872">
        <v>5.25</v>
      </c>
      <c r="AW2872" s="28">
        <f t="shared" si="298"/>
        <v>-1.6517581382524045</v>
      </c>
      <c r="AX2872">
        <f t="shared" si="299"/>
        <v>0.97297297297297303</v>
      </c>
      <c r="AY2872" s="62">
        <f t="shared" si="300"/>
        <v>-1.6071160264077451</v>
      </c>
      <c r="AZ2872" s="68" t="str">
        <f t="shared" si="301"/>
        <v>No</v>
      </c>
      <c r="BA2872" s="68" t="str">
        <f t="shared" si="302"/>
        <v>No</v>
      </c>
    </row>
    <row r="2873" spans="1:55">
      <c r="A2873" t="s">
        <v>3914</v>
      </c>
      <c r="G2873" t="s">
        <v>4421</v>
      </c>
      <c r="P2873" t="s">
        <v>60</v>
      </c>
      <c r="R2873" t="s">
        <v>4357</v>
      </c>
      <c r="S2873" t="s">
        <v>1747</v>
      </c>
      <c r="V2873" t="s">
        <v>3956</v>
      </c>
      <c r="Z2873">
        <v>15</v>
      </c>
      <c r="AA2873">
        <v>15</v>
      </c>
      <c r="AC2873">
        <v>311</v>
      </c>
      <c r="AD2873">
        <v>13.9</v>
      </c>
      <c r="AE2873">
        <v>5203.3999999999996</v>
      </c>
      <c r="AF2873">
        <v>14</v>
      </c>
      <c r="AJ2873" t="s">
        <v>4065</v>
      </c>
      <c r="AK2873" t="s">
        <v>4491</v>
      </c>
      <c r="AN2873">
        <v>26.5</v>
      </c>
      <c r="AO2873">
        <v>11.25</v>
      </c>
      <c r="AP2873">
        <v>10</v>
      </c>
      <c r="AQ2873">
        <v>7.5</v>
      </c>
      <c r="AW2873" s="28">
        <f t="shared" si="298"/>
        <v>-1.7258219892160194</v>
      </c>
      <c r="AX2873">
        <f t="shared" si="299"/>
        <v>0.97297297297297303</v>
      </c>
      <c r="AY2873" s="62">
        <f t="shared" si="300"/>
        <v>-1.6791781516696405</v>
      </c>
      <c r="AZ2873" s="68" t="str">
        <f t="shared" si="301"/>
        <v>No</v>
      </c>
      <c r="BA2873" s="68" t="str">
        <f t="shared" si="302"/>
        <v>No</v>
      </c>
    </row>
    <row r="2874" spans="1:55">
      <c r="A2874" t="s">
        <v>3914</v>
      </c>
      <c r="G2874" t="s">
        <v>5061</v>
      </c>
      <c r="P2874" t="s">
        <v>60</v>
      </c>
      <c r="R2874" t="s">
        <v>4357</v>
      </c>
      <c r="S2874" t="s">
        <v>1747</v>
      </c>
      <c r="V2874" t="s">
        <v>3956</v>
      </c>
      <c r="Z2874">
        <v>15</v>
      </c>
      <c r="AA2874">
        <v>15</v>
      </c>
      <c r="AC2874">
        <v>311</v>
      </c>
      <c r="AD2874">
        <v>13.9</v>
      </c>
      <c r="AE2874">
        <v>5203.3999999999996</v>
      </c>
      <c r="AF2874">
        <v>14</v>
      </c>
      <c r="AJ2874" t="s">
        <v>1827</v>
      </c>
      <c r="AK2874" t="s">
        <v>4244</v>
      </c>
      <c r="AN2874">
        <v>315</v>
      </c>
      <c r="AO2874">
        <v>33.75</v>
      </c>
      <c r="AP2874">
        <v>175</v>
      </c>
      <c r="AQ2874">
        <v>22.5</v>
      </c>
      <c r="AW2874" s="28">
        <f t="shared" si="298"/>
        <v>-4.8811126967725809</v>
      </c>
      <c r="AX2874">
        <f t="shared" si="299"/>
        <v>0.97297297297297303</v>
      </c>
      <c r="AY2874" s="62">
        <f t="shared" si="300"/>
        <v>-4.7491907319949442</v>
      </c>
      <c r="AZ2874" s="68" t="str">
        <f t="shared" si="301"/>
        <v>No</v>
      </c>
      <c r="BA2874" s="68" t="str">
        <f t="shared" si="302"/>
        <v>No</v>
      </c>
    </row>
    <row r="2875" spans="1:55" hidden="1">
      <c r="A2875" t="s">
        <v>3914</v>
      </c>
      <c r="G2875" t="s">
        <v>5061</v>
      </c>
      <c r="P2875" t="s">
        <v>60</v>
      </c>
      <c r="R2875" t="s">
        <v>4357</v>
      </c>
      <c r="S2875" t="s">
        <v>1747</v>
      </c>
      <c r="V2875" t="s">
        <v>3956</v>
      </c>
      <c r="Z2875">
        <v>15</v>
      </c>
      <c r="AA2875">
        <v>15</v>
      </c>
      <c r="AC2875">
        <v>311</v>
      </c>
      <c r="AD2875">
        <v>13.9</v>
      </c>
      <c r="AE2875">
        <v>1417.8</v>
      </c>
      <c r="AF2875">
        <v>14</v>
      </c>
      <c r="AJ2875" t="s">
        <v>1827</v>
      </c>
      <c r="AK2875" t="s">
        <v>4244</v>
      </c>
      <c r="AN2875">
        <v>315</v>
      </c>
      <c r="AO2875">
        <v>33.75</v>
      </c>
      <c r="AP2875">
        <v>230</v>
      </c>
      <c r="AQ2875">
        <v>26.25</v>
      </c>
      <c r="AW2875" s="28">
        <f t="shared" si="298"/>
        <v>-2.8114539840220583</v>
      </c>
      <c r="AX2875">
        <f t="shared" si="299"/>
        <v>0.97297297297297303</v>
      </c>
      <c r="AY2875" s="62">
        <f t="shared" si="300"/>
        <v>-2.7354687412106515</v>
      </c>
      <c r="AZ2875" s="68" t="str">
        <f t="shared" si="301"/>
        <v>No</v>
      </c>
      <c r="BA2875" s="68" t="str">
        <f t="shared" si="302"/>
        <v>No</v>
      </c>
    </row>
    <row r="2876" spans="1:55" hidden="1">
      <c r="A2876" t="s">
        <v>3914</v>
      </c>
      <c r="G2876" s="50" t="s">
        <v>4117</v>
      </c>
      <c r="P2876" t="s">
        <v>60</v>
      </c>
      <c r="R2876" t="s">
        <v>4116</v>
      </c>
      <c r="S2876" s="50" t="s">
        <v>1759</v>
      </c>
      <c r="V2876" t="s">
        <v>3956</v>
      </c>
      <c r="Z2876">
        <v>3</v>
      </c>
      <c r="AA2876">
        <v>3</v>
      </c>
      <c r="AC2876">
        <v>448.7</v>
      </c>
      <c r="AD2876">
        <v>18.899999999999999</v>
      </c>
      <c r="AE2876">
        <v>2170.5</v>
      </c>
      <c r="AF2876">
        <v>18.899999999999999</v>
      </c>
      <c r="AJ2876" s="50" t="s">
        <v>4261</v>
      </c>
      <c r="AK2876" t="s">
        <v>4266</v>
      </c>
      <c r="AN2876">
        <v>3.1166666666666667</v>
      </c>
      <c r="AO2876">
        <v>0.27537852736430518</v>
      </c>
      <c r="AP2876">
        <v>1.9366666666666665</v>
      </c>
      <c r="AQ2876">
        <v>8.1445278152470726E-2</v>
      </c>
      <c r="AW2876" s="28">
        <f t="shared" si="298"/>
        <v>-5.8110924509009783</v>
      </c>
      <c r="AX2876">
        <f t="shared" si="299"/>
        <v>0.8</v>
      </c>
      <c r="AY2876" s="62">
        <f t="shared" si="300"/>
        <v>-4.648873960720783</v>
      </c>
      <c r="AZ2876" s="68" t="str">
        <f t="shared" si="301"/>
        <v>No</v>
      </c>
      <c r="BA2876" s="68" t="str">
        <f t="shared" si="302"/>
        <v>No</v>
      </c>
    </row>
    <row r="2877" spans="1:55" hidden="1">
      <c r="A2877" t="s">
        <v>3914</v>
      </c>
      <c r="G2877" t="s">
        <v>4117</v>
      </c>
      <c r="P2877" t="s">
        <v>60</v>
      </c>
      <c r="R2877" t="s">
        <v>4116</v>
      </c>
      <c r="S2877" t="s">
        <v>1759</v>
      </c>
      <c r="V2877" t="s">
        <v>3956</v>
      </c>
      <c r="Z2877">
        <v>3</v>
      </c>
      <c r="AA2877">
        <v>3</v>
      </c>
      <c r="AC2877">
        <v>448.7</v>
      </c>
      <c r="AD2877">
        <v>18.899999999999999</v>
      </c>
      <c r="AE2877">
        <v>1019.9</v>
      </c>
      <c r="AF2877">
        <v>18.899999999999999</v>
      </c>
      <c r="AJ2877" t="s">
        <v>4261</v>
      </c>
      <c r="AK2877" t="s">
        <v>4266</v>
      </c>
      <c r="AN2877">
        <v>3.1166666666666667</v>
      </c>
      <c r="AO2877">
        <v>0.27537852736430518</v>
      </c>
      <c r="AP2877">
        <v>2.5</v>
      </c>
      <c r="AQ2877">
        <v>1.0440306508910548</v>
      </c>
      <c r="AW2877" s="28">
        <f t="shared" si="298"/>
        <v>-0.80769470779836139</v>
      </c>
      <c r="AX2877">
        <f t="shared" si="299"/>
        <v>0.8</v>
      </c>
      <c r="AY2877" s="62">
        <f t="shared" si="300"/>
        <v>-0.6461557662386892</v>
      </c>
      <c r="AZ2877" s="68" t="str">
        <f t="shared" si="301"/>
        <v>No</v>
      </c>
      <c r="BA2877" s="68" t="str">
        <f t="shared" si="302"/>
        <v>No</v>
      </c>
    </row>
    <row r="2878" spans="1:55" hidden="1">
      <c r="A2878" t="s">
        <v>3914</v>
      </c>
      <c r="G2878" t="s">
        <v>4117</v>
      </c>
      <c r="P2878" t="s">
        <v>60</v>
      </c>
      <c r="R2878" t="s">
        <v>4116</v>
      </c>
      <c r="S2878" t="s">
        <v>1759</v>
      </c>
      <c r="V2878" t="s">
        <v>3956</v>
      </c>
      <c r="Z2878">
        <v>3</v>
      </c>
      <c r="AA2878">
        <v>3</v>
      </c>
      <c r="AC2878">
        <v>448.7</v>
      </c>
      <c r="AD2878">
        <v>18.899999999999999</v>
      </c>
      <c r="AE2878">
        <v>2170.5</v>
      </c>
      <c r="AF2878">
        <v>18.899999999999999</v>
      </c>
      <c r="AJ2878" t="s">
        <v>4122</v>
      </c>
      <c r="AK2878" t="s">
        <v>4093</v>
      </c>
      <c r="AN2878">
        <v>94</v>
      </c>
      <c r="AO2878">
        <v>6</v>
      </c>
      <c r="AP2878">
        <v>60</v>
      </c>
      <c r="AQ2878">
        <v>6</v>
      </c>
      <c r="AW2878" s="28">
        <f t="shared" si="298"/>
        <v>-5.666666666666667</v>
      </c>
      <c r="AX2878">
        <f t="shared" si="299"/>
        <v>0.8</v>
      </c>
      <c r="AY2878" s="62">
        <f t="shared" si="300"/>
        <v>-4.5333333333333341</v>
      </c>
      <c r="AZ2878" s="68" t="str">
        <f t="shared" si="301"/>
        <v>No</v>
      </c>
      <c r="BA2878" s="68" t="str">
        <f t="shared" si="302"/>
        <v>No</v>
      </c>
    </row>
    <row r="2879" spans="1:55" hidden="1">
      <c r="A2879" t="s">
        <v>3914</v>
      </c>
      <c r="G2879" t="s">
        <v>4117</v>
      </c>
      <c r="P2879" t="s">
        <v>60</v>
      </c>
      <c r="R2879" t="s">
        <v>4116</v>
      </c>
      <c r="S2879" t="s">
        <v>1759</v>
      </c>
      <c r="V2879" t="s">
        <v>3956</v>
      </c>
      <c r="Z2879">
        <v>3</v>
      </c>
      <c r="AA2879">
        <v>3</v>
      </c>
      <c r="AC2879">
        <v>448.7</v>
      </c>
      <c r="AD2879">
        <v>18.899999999999999</v>
      </c>
      <c r="AE2879">
        <v>1019.9</v>
      </c>
      <c r="AF2879">
        <v>18.899999999999999</v>
      </c>
      <c r="AJ2879" t="s">
        <v>4122</v>
      </c>
      <c r="AK2879" t="s">
        <v>4093</v>
      </c>
      <c r="AN2879">
        <v>94</v>
      </c>
      <c r="AO2879">
        <v>6</v>
      </c>
      <c r="AP2879">
        <v>85</v>
      </c>
      <c r="AQ2879">
        <v>10.816653826391969</v>
      </c>
      <c r="AW2879" s="28">
        <f t="shared" si="298"/>
        <v>-1.0289915108550531</v>
      </c>
      <c r="AX2879">
        <f t="shared" si="299"/>
        <v>0.8</v>
      </c>
      <c r="AY2879" s="62">
        <f t="shared" si="300"/>
        <v>-0.82319320868404255</v>
      </c>
      <c r="AZ2879" s="68" t="str">
        <f t="shared" si="301"/>
        <v>No</v>
      </c>
      <c r="BA2879" s="68" t="str">
        <f t="shared" si="302"/>
        <v>No</v>
      </c>
    </row>
    <row r="2880" spans="1:55" hidden="1">
      <c r="A2880" t="s">
        <v>3914</v>
      </c>
      <c r="G2880" t="s">
        <v>4117</v>
      </c>
      <c r="P2880" t="s">
        <v>60</v>
      </c>
      <c r="R2880" t="s">
        <v>4116</v>
      </c>
      <c r="S2880" t="s">
        <v>1759</v>
      </c>
      <c r="V2880" t="s">
        <v>3956</v>
      </c>
      <c r="Z2880">
        <v>3</v>
      </c>
      <c r="AA2880">
        <v>3</v>
      </c>
      <c r="AC2880">
        <v>448.7</v>
      </c>
      <c r="AD2880">
        <v>18.899999999999999</v>
      </c>
      <c r="AE2880">
        <v>2170.5</v>
      </c>
      <c r="AF2880">
        <v>18.899999999999999</v>
      </c>
      <c r="AJ2880" t="s">
        <v>4220</v>
      </c>
      <c r="AK2880" t="s">
        <v>4244</v>
      </c>
      <c r="AN2880">
        <v>4400</v>
      </c>
      <c r="AO2880">
        <v>100</v>
      </c>
      <c r="AP2880">
        <v>3916.6666666666665</v>
      </c>
      <c r="AQ2880">
        <v>76.376261582597337</v>
      </c>
      <c r="AW2880" s="28">
        <f t="shared" si="298"/>
        <v>-5.4321977071738266</v>
      </c>
      <c r="AX2880">
        <f t="shared" si="299"/>
        <v>0.8</v>
      </c>
      <c r="AY2880" s="62">
        <f t="shared" si="300"/>
        <v>-4.3457581657390616</v>
      </c>
      <c r="AZ2880" s="68" t="str">
        <f t="shared" si="301"/>
        <v>No</v>
      </c>
      <c r="BA2880" s="68" t="str">
        <f t="shared" si="302"/>
        <v>No</v>
      </c>
    </row>
    <row r="2881" spans="1:55" hidden="1">
      <c r="A2881" t="s">
        <v>3914</v>
      </c>
      <c r="G2881" t="s">
        <v>4117</v>
      </c>
      <c r="P2881" t="s">
        <v>60</v>
      </c>
      <c r="R2881" t="s">
        <v>4116</v>
      </c>
      <c r="S2881" t="s">
        <v>1759</v>
      </c>
      <c r="V2881" t="s">
        <v>3956</v>
      </c>
      <c r="Z2881">
        <v>3</v>
      </c>
      <c r="AA2881">
        <v>3</v>
      </c>
      <c r="AC2881">
        <v>448.7</v>
      </c>
      <c r="AD2881">
        <v>18.899999999999999</v>
      </c>
      <c r="AE2881">
        <v>1019.9</v>
      </c>
      <c r="AF2881">
        <v>18.899999999999999</v>
      </c>
      <c r="AJ2881" t="s">
        <v>4220</v>
      </c>
      <c r="AK2881" t="s">
        <v>4244</v>
      </c>
      <c r="AN2881">
        <v>4400</v>
      </c>
      <c r="AO2881">
        <v>100</v>
      </c>
      <c r="AP2881">
        <v>4243.333333333333</v>
      </c>
      <c r="AQ2881">
        <v>81.445278152470777</v>
      </c>
      <c r="AW2881" s="28">
        <f t="shared" si="298"/>
        <v>-1.7179161227904087</v>
      </c>
      <c r="AX2881">
        <f t="shared" si="299"/>
        <v>0.8</v>
      </c>
      <c r="AY2881" s="62">
        <f t="shared" si="300"/>
        <v>-1.3743328982323271</v>
      </c>
      <c r="AZ2881" s="68" t="str">
        <f t="shared" si="301"/>
        <v>No</v>
      </c>
      <c r="BA2881" s="68" t="str">
        <f t="shared" si="302"/>
        <v>No</v>
      </c>
    </row>
    <row r="2882" spans="1:55" hidden="1">
      <c r="A2882" t="s">
        <v>3914</v>
      </c>
      <c r="G2882" t="s">
        <v>5015</v>
      </c>
      <c r="P2882" t="s">
        <v>60</v>
      </c>
      <c r="R2882" t="s">
        <v>4357</v>
      </c>
      <c r="S2882" t="s">
        <v>1754</v>
      </c>
      <c r="V2882" t="s">
        <v>3956</v>
      </c>
      <c r="Z2882">
        <v>6</v>
      </c>
      <c r="AA2882">
        <v>6</v>
      </c>
      <c r="AC2882">
        <v>497.96</v>
      </c>
      <c r="AD2882">
        <v>20.350000000000001</v>
      </c>
      <c r="AE2882">
        <v>1000.54</v>
      </c>
      <c r="AF2882">
        <v>20.25</v>
      </c>
      <c r="AJ2882" t="s">
        <v>2020</v>
      </c>
      <c r="AK2882" t="s">
        <v>4093</v>
      </c>
      <c r="AN2882">
        <v>85</v>
      </c>
      <c r="AO2882">
        <v>6</v>
      </c>
      <c r="AP2882">
        <v>86</v>
      </c>
      <c r="AQ2882">
        <v>9</v>
      </c>
      <c r="AW2882" s="28">
        <f t="shared" si="298"/>
        <v>0.13074409009212268</v>
      </c>
      <c r="AX2882">
        <f t="shared" si="299"/>
        <v>0.92307692307692313</v>
      </c>
      <c r="AY2882" s="62">
        <f t="shared" si="300"/>
        <v>0.12068685239272864</v>
      </c>
      <c r="AZ2882" s="68" t="str">
        <f t="shared" si="301"/>
        <v>No</v>
      </c>
      <c r="BA2882" s="68" t="str">
        <f t="shared" si="302"/>
        <v>No</v>
      </c>
    </row>
    <row r="2883" spans="1:55" hidden="1">
      <c r="A2883" t="s">
        <v>3914</v>
      </c>
      <c r="G2883" t="s">
        <v>4368</v>
      </c>
      <c r="P2883" t="s">
        <v>60</v>
      </c>
      <c r="R2883" t="s">
        <v>4357</v>
      </c>
      <c r="S2883" t="s">
        <v>1754</v>
      </c>
      <c r="V2883" t="s">
        <v>3956</v>
      </c>
      <c r="Z2883">
        <v>6</v>
      </c>
      <c r="AA2883">
        <v>6</v>
      </c>
      <c r="AC2883">
        <v>497.96</v>
      </c>
      <c r="AD2883">
        <v>20.350000000000001</v>
      </c>
      <c r="AE2883">
        <v>1000.54</v>
      </c>
      <c r="AF2883">
        <v>20.25</v>
      </c>
      <c r="AJ2883" t="s">
        <v>4065</v>
      </c>
      <c r="AK2883" t="s">
        <v>4491</v>
      </c>
      <c r="AN2883">
        <v>89</v>
      </c>
      <c r="AO2883">
        <v>9</v>
      </c>
      <c r="AP2883">
        <v>42</v>
      </c>
      <c r="AQ2883">
        <v>17</v>
      </c>
      <c r="AW2883" s="28">
        <f t="shared" si="298"/>
        <v>-3.4555087238408961</v>
      </c>
      <c r="AX2883">
        <f t="shared" si="299"/>
        <v>0.92307692307692313</v>
      </c>
      <c r="AY2883" s="62">
        <f t="shared" si="300"/>
        <v>-3.1897003604685197</v>
      </c>
      <c r="AZ2883" s="68" t="str">
        <f t="shared" si="301"/>
        <v>No</v>
      </c>
      <c r="BA2883" s="68" t="str">
        <f t="shared" si="302"/>
        <v>No</v>
      </c>
    </row>
    <row r="2884" spans="1:55" hidden="1">
      <c r="A2884" t="s">
        <v>3914</v>
      </c>
      <c r="G2884" t="s">
        <v>4368</v>
      </c>
      <c r="P2884" t="s">
        <v>4596</v>
      </c>
      <c r="R2884" t="s">
        <v>4357</v>
      </c>
      <c r="S2884" t="s">
        <v>1754</v>
      </c>
      <c r="V2884" t="s">
        <v>4600</v>
      </c>
      <c r="Z2884">
        <v>6</v>
      </c>
      <c r="AA2884">
        <v>6</v>
      </c>
      <c r="AC2884">
        <v>497.96</v>
      </c>
      <c r="AD2884">
        <v>20</v>
      </c>
      <c r="AE2884">
        <v>1166.19</v>
      </c>
      <c r="AF2884">
        <v>24</v>
      </c>
      <c r="AJ2884" t="s">
        <v>2020</v>
      </c>
      <c r="AK2884" t="s">
        <v>59</v>
      </c>
      <c r="AL2884" s="59"/>
      <c r="AM2884" s="60"/>
      <c r="AN2884" s="50">
        <v>85</v>
      </c>
      <c r="AO2884" s="50">
        <v>13.302116524036</v>
      </c>
      <c r="AP2884" s="50">
        <v>70</v>
      </c>
      <c r="AQ2884" s="50">
        <v>18.242902661534998</v>
      </c>
      <c r="AR2884" s="37"/>
      <c r="AS2884" s="37"/>
      <c r="AT2884" s="37"/>
      <c r="AU2884" s="37"/>
      <c r="AV2884" s="37"/>
      <c r="AW2884" s="28">
        <f t="shared" si="298"/>
        <v>-0.93956693372673949</v>
      </c>
      <c r="AX2884">
        <f t="shared" si="299"/>
        <v>0.92307692307692313</v>
      </c>
      <c r="AY2884" s="62">
        <f t="shared" si="300"/>
        <v>-0.86729255420929807</v>
      </c>
      <c r="AZ2884" s="68" t="str">
        <f t="shared" si="301"/>
        <v>No</v>
      </c>
      <c r="BA2884" s="68" t="str">
        <f t="shared" si="302"/>
        <v>No</v>
      </c>
    </row>
    <row r="2885" spans="1:55" hidden="1">
      <c r="A2885" t="s">
        <v>3914</v>
      </c>
      <c r="G2885" t="s">
        <v>4368</v>
      </c>
      <c r="P2885" t="s">
        <v>4596</v>
      </c>
      <c r="R2885" t="s">
        <v>4357</v>
      </c>
      <c r="S2885" t="s">
        <v>1754</v>
      </c>
      <c r="V2885" t="s">
        <v>4598</v>
      </c>
      <c r="Z2885">
        <v>6</v>
      </c>
      <c r="AA2885">
        <v>6</v>
      </c>
      <c r="AC2885">
        <v>497.96</v>
      </c>
      <c r="AD2885">
        <v>20</v>
      </c>
      <c r="AE2885">
        <v>518.63</v>
      </c>
      <c r="AF2885">
        <v>24</v>
      </c>
      <c r="AJ2885" t="s">
        <v>4256</v>
      </c>
      <c r="AK2885" t="s">
        <v>4672</v>
      </c>
      <c r="AL2885" s="59"/>
      <c r="AM2885" s="60"/>
      <c r="AN2885" s="50">
        <v>10</v>
      </c>
      <c r="AO2885" s="50">
        <v>20.577296708356201</v>
      </c>
      <c r="AP2885" s="50">
        <v>36</v>
      </c>
      <c r="AQ2885" s="50">
        <v>37.5931382171892</v>
      </c>
      <c r="AR2885" s="37"/>
      <c r="AS2885" s="37"/>
      <c r="AT2885" s="37"/>
      <c r="AU2885" s="37"/>
      <c r="AV2885" s="37"/>
      <c r="AW2885" s="28">
        <f t="shared" si="298"/>
        <v>0.85797152913007513</v>
      </c>
      <c r="AX2885">
        <f t="shared" si="299"/>
        <v>0.92307692307692313</v>
      </c>
      <c r="AY2885" s="62">
        <f t="shared" si="300"/>
        <v>0.79197371919699244</v>
      </c>
      <c r="AZ2885" s="68" t="str">
        <f t="shared" si="301"/>
        <v>No</v>
      </c>
      <c r="BA2885" s="68" t="str">
        <f t="shared" si="302"/>
        <v>No</v>
      </c>
    </row>
    <row r="2886" spans="1:55" hidden="1">
      <c r="A2886" t="s">
        <v>3914</v>
      </c>
      <c r="G2886" t="s">
        <v>4368</v>
      </c>
      <c r="P2886" t="s">
        <v>4596</v>
      </c>
      <c r="R2886" t="s">
        <v>4357</v>
      </c>
      <c r="S2886" t="s">
        <v>1754</v>
      </c>
      <c r="V2886" t="s">
        <v>4600</v>
      </c>
      <c r="Z2886">
        <v>6</v>
      </c>
      <c r="AA2886">
        <v>6</v>
      </c>
      <c r="AC2886">
        <v>497.96</v>
      </c>
      <c r="AD2886">
        <v>20</v>
      </c>
      <c r="AE2886">
        <v>1166.19</v>
      </c>
      <c r="AF2886">
        <v>24</v>
      </c>
      <c r="AJ2886" t="s">
        <v>4256</v>
      </c>
      <c r="AK2886" t="s">
        <v>4672</v>
      </c>
      <c r="AL2886" s="59"/>
      <c r="AM2886" s="60"/>
      <c r="AN2886" s="50">
        <v>10</v>
      </c>
      <c r="AO2886" s="50">
        <v>20.577296708356201</v>
      </c>
      <c r="AP2886" s="50">
        <v>50</v>
      </c>
      <c r="AQ2886" s="50">
        <v>38.780289950363901</v>
      </c>
      <c r="AR2886" s="37"/>
      <c r="AS2886" s="37"/>
      <c r="AT2886" s="37"/>
      <c r="AU2886" s="37"/>
      <c r="AV2886" s="37"/>
      <c r="AW2886" s="28">
        <f t="shared" si="298"/>
        <v>1.2885351470808595</v>
      </c>
      <c r="AX2886">
        <f t="shared" si="299"/>
        <v>0.92307692307692313</v>
      </c>
      <c r="AY2886" s="62">
        <f t="shared" si="300"/>
        <v>1.1894170588438704</v>
      </c>
      <c r="AZ2886" s="68" t="str">
        <f t="shared" si="301"/>
        <v>No</v>
      </c>
      <c r="BA2886" s="68" t="str">
        <f t="shared" si="302"/>
        <v>No</v>
      </c>
    </row>
    <row r="2887" spans="1:55" hidden="1">
      <c r="A2887" t="s">
        <v>3914</v>
      </c>
      <c r="G2887" t="s">
        <v>4939</v>
      </c>
      <c r="P2887" t="s">
        <v>4596</v>
      </c>
      <c r="R2887" t="s">
        <v>4357</v>
      </c>
      <c r="S2887" t="s">
        <v>1754</v>
      </c>
      <c r="V2887" t="s">
        <v>4598</v>
      </c>
      <c r="Z2887">
        <v>6</v>
      </c>
      <c r="AA2887">
        <v>6</v>
      </c>
      <c r="AC2887">
        <v>497.96</v>
      </c>
      <c r="AD2887">
        <v>20</v>
      </c>
      <c r="AE2887">
        <v>518.63</v>
      </c>
      <c r="AF2887">
        <v>24</v>
      </c>
      <c r="AJ2887" t="s">
        <v>2020</v>
      </c>
      <c r="AK2887" t="s">
        <v>59</v>
      </c>
      <c r="AL2887" s="59"/>
      <c r="AM2887" s="60"/>
      <c r="AN2887" s="50">
        <v>85</v>
      </c>
      <c r="AO2887" s="50">
        <v>13.302116524036</v>
      </c>
      <c r="AP2887" s="50">
        <v>65</v>
      </c>
      <c r="AQ2887" s="50">
        <v>51.308163735567</v>
      </c>
      <c r="AR2887" s="37"/>
      <c r="AS2887" s="37"/>
      <c r="AT2887" s="37"/>
      <c r="AU2887" s="37"/>
      <c r="AV2887" s="37"/>
      <c r="AW2887" s="28">
        <f t="shared" si="298"/>
        <v>-0.53362047754291342</v>
      </c>
      <c r="AX2887">
        <f t="shared" si="299"/>
        <v>0.92307692307692313</v>
      </c>
      <c r="AY2887" s="62">
        <f t="shared" si="300"/>
        <v>-0.49257274850115085</v>
      </c>
      <c r="AZ2887" s="68" t="str">
        <f t="shared" si="301"/>
        <v>No</v>
      </c>
      <c r="BA2887" s="68" t="str">
        <f t="shared" si="302"/>
        <v>No</v>
      </c>
    </row>
    <row r="2888" spans="1:55" hidden="1">
      <c r="A2888" t="s">
        <v>3914</v>
      </c>
      <c r="G2888" t="s">
        <v>4368</v>
      </c>
      <c r="P2888" t="s">
        <v>4596</v>
      </c>
      <c r="R2888" t="s">
        <v>4357</v>
      </c>
      <c r="S2888" t="s">
        <v>1754</v>
      </c>
      <c r="V2888" t="s">
        <v>4598</v>
      </c>
      <c r="Z2888">
        <v>6</v>
      </c>
      <c r="AA2888">
        <v>6</v>
      </c>
      <c r="AC2888">
        <v>497.96</v>
      </c>
      <c r="AD2888">
        <v>20</v>
      </c>
      <c r="AE2888">
        <v>518.63</v>
      </c>
      <c r="AF2888">
        <v>24</v>
      </c>
      <c r="AJ2888" t="s">
        <v>4738</v>
      </c>
      <c r="AK2888" t="s">
        <v>4637</v>
      </c>
      <c r="AN2888" s="50">
        <v>100</v>
      </c>
      <c r="AO2888" s="64" t="s">
        <v>4971</v>
      </c>
      <c r="AP2888" s="50">
        <v>100</v>
      </c>
      <c r="AQ2888" s="64" t="s">
        <v>4971</v>
      </c>
      <c r="AU2888" s="57" t="s">
        <v>4740</v>
      </c>
      <c r="AW2888" s="28" t="e">
        <f t="shared" si="298"/>
        <v>#VALUE!</v>
      </c>
      <c r="AX2888">
        <f t="shared" si="299"/>
        <v>0.92307692307692313</v>
      </c>
      <c r="AY2888" s="62" t="e">
        <f t="shared" si="300"/>
        <v>#VALUE!</v>
      </c>
      <c r="AZ2888" s="68" t="e">
        <f t="shared" si="301"/>
        <v>#VALUE!</v>
      </c>
      <c r="BA2888" s="68" t="e">
        <f t="shared" si="302"/>
        <v>#VALUE!</v>
      </c>
    </row>
    <row r="2889" spans="1:55" hidden="1">
      <c r="A2889" t="s">
        <v>3914</v>
      </c>
      <c r="G2889" t="s">
        <v>4368</v>
      </c>
      <c r="P2889" t="s">
        <v>4596</v>
      </c>
      <c r="R2889" t="s">
        <v>4357</v>
      </c>
      <c r="S2889" t="s">
        <v>1754</v>
      </c>
      <c r="V2889" t="s">
        <v>4600</v>
      </c>
      <c r="Z2889">
        <v>6</v>
      </c>
      <c r="AA2889">
        <v>6</v>
      </c>
      <c r="AC2889">
        <v>497.96</v>
      </c>
      <c r="AD2889">
        <v>20</v>
      </c>
      <c r="AE2889">
        <v>1166.19</v>
      </c>
      <c r="AF2889">
        <v>24</v>
      </c>
      <c r="AJ2889" t="s">
        <v>4739</v>
      </c>
      <c r="AK2889" t="s">
        <v>4637</v>
      </c>
      <c r="AN2889" s="50">
        <v>100</v>
      </c>
      <c r="AO2889" s="64" t="s">
        <v>4971</v>
      </c>
      <c r="AP2889" s="50">
        <v>100</v>
      </c>
      <c r="AQ2889" s="64" t="s">
        <v>4971</v>
      </c>
      <c r="AU2889" s="57" t="s">
        <v>4740</v>
      </c>
      <c r="AW2889" s="28" t="e">
        <f t="shared" si="298"/>
        <v>#VALUE!</v>
      </c>
      <c r="AX2889">
        <f t="shared" si="299"/>
        <v>0.92307692307692313</v>
      </c>
      <c r="AY2889" s="62" t="e">
        <f t="shared" si="300"/>
        <v>#VALUE!</v>
      </c>
      <c r="AZ2889" s="68" t="e">
        <f t="shared" si="301"/>
        <v>#VALUE!</v>
      </c>
      <c r="BA2889" s="68" t="e">
        <f t="shared" si="302"/>
        <v>#VALUE!</v>
      </c>
    </row>
    <row r="2890" spans="1:55" ht="15" hidden="1">
      <c r="A2890" s="56" t="s">
        <v>3914</v>
      </c>
      <c r="G2890" s="56" t="s">
        <v>5089</v>
      </c>
      <c r="P2890" s="56" t="s">
        <v>60</v>
      </c>
      <c r="Q2890" s="56"/>
      <c r="R2890" s="56" t="s">
        <v>4509</v>
      </c>
      <c r="S2890" s="56" t="s">
        <v>4530</v>
      </c>
      <c r="T2890" s="56"/>
      <c r="U2890" s="56"/>
      <c r="V2890" s="56" t="s">
        <v>3956</v>
      </c>
      <c r="W2890" s="56"/>
      <c r="X2890" s="56"/>
      <c r="Y2890" s="56"/>
      <c r="Z2890" s="56">
        <v>1264</v>
      </c>
      <c r="AA2890" s="56">
        <v>537</v>
      </c>
      <c r="AB2890" s="56"/>
      <c r="AC2890" s="56">
        <v>367.7</v>
      </c>
      <c r="AD2890" s="56">
        <v>24</v>
      </c>
      <c r="AE2890" s="56">
        <v>1072.8</v>
      </c>
      <c r="AF2890" s="56">
        <v>24</v>
      </c>
      <c r="AG2890" s="56"/>
      <c r="AH2890" s="56"/>
      <c r="AI2890" s="56"/>
      <c r="AJ2890" s="56" t="s">
        <v>4536</v>
      </c>
      <c r="AK2890" s="56" t="s">
        <v>4537</v>
      </c>
      <c r="AN2890" s="56">
        <v>0.53200000000000003</v>
      </c>
      <c r="AO2890" s="56">
        <v>7.5000000000000011E-2</v>
      </c>
      <c r="AP2890" s="56">
        <v>0.47799999999999998</v>
      </c>
      <c r="AQ2890" s="56">
        <v>9.7500000000000003E-2</v>
      </c>
      <c r="AW2890" s="28">
        <f t="shared" si="298"/>
        <v>-0.65574399305703701</v>
      </c>
      <c r="AX2890">
        <f t="shared" si="299"/>
        <v>0.99958304378040308</v>
      </c>
      <c r="AY2890" s="62">
        <f t="shared" si="300"/>
        <v>-0.65547057652066854</v>
      </c>
      <c r="AZ2890" s="68" t="str">
        <f t="shared" si="301"/>
        <v>No</v>
      </c>
      <c r="BA2890" s="68" t="str">
        <f t="shared" si="302"/>
        <v>No</v>
      </c>
    </row>
    <row r="2891" spans="1:55" ht="15" hidden="1">
      <c r="A2891" s="56" t="s">
        <v>3914</v>
      </c>
      <c r="G2891" s="56" t="s">
        <v>4529</v>
      </c>
      <c r="P2891" s="56" t="s">
        <v>60</v>
      </c>
      <c r="Q2891" s="56"/>
      <c r="R2891" s="56" t="s">
        <v>4509</v>
      </c>
      <c r="S2891" s="56" t="s">
        <v>4530</v>
      </c>
      <c r="T2891" s="56"/>
      <c r="U2891" s="56"/>
      <c r="V2891" s="56" t="s">
        <v>3956</v>
      </c>
      <c r="W2891" s="56"/>
      <c r="X2891" s="56"/>
      <c r="Y2891" s="56"/>
      <c r="Z2891" s="56">
        <v>4</v>
      </c>
      <c r="AA2891" s="56">
        <v>3</v>
      </c>
      <c r="AB2891" s="56"/>
      <c r="AC2891" s="56">
        <v>367.7</v>
      </c>
      <c r="AD2891" s="56">
        <v>24</v>
      </c>
      <c r="AE2891" s="56">
        <v>1072.8</v>
      </c>
      <c r="AF2891" s="56">
        <v>24</v>
      </c>
      <c r="AG2891" s="56"/>
      <c r="AH2891" s="56"/>
      <c r="AI2891" s="56"/>
      <c r="AJ2891" s="56" t="s">
        <v>4065</v>
      </c>
      <c r="AK2891" s="56" t="s">
        <v>4491</v>
      </c>
      <c r="AN2891" s="56">
        <v>22</v>
      </c>
      <c r="AO2891" s="56">
        <v>13.178264933847197</v>
      </c>
      <c r="AP2891" s="56">
        <v>17</v>
      </c>
      <c r="AQ2891" s="56">
        <v>8.1853527718724504</v>
      </c>
      <c r="AW2891" s="28">
        <f t="shared" si="298"/>
        <v>-0.43685202833051895</v>
      </c>
      <c r="AX2891">
        <f t="shared" si="299"/>
        <v>0.84210526315789469</v>
      </c>
      <c r="AY2891" s="62">
        <f t="shared" si="300"/>
        <v>-0.36787539227833171</v>
      </c>
      <c r="AZ2891" s="68" t="str">
        <f t="shared" si="301"/>
        <v>No</v>
      </c>
      <c r="BA2891" s="68" t="str">
        <f t="shared" si="302"/>
        <v>No</v>
      </c>
    </row>
    <row r="2892" spans="1:55" hidden="1">
      <c r="A2892" t="s">
        <v>3914</v>
      </c>
      <c r="G2892" t="s">
        <v>4180</v>
      </c>
      <c r="P2892" t="s">
        <v>60</v>
      </c>
      <c r="R2892" t="s">
        <v>4116</v>
      </c>
      <c r="S2892" t="s">
        <v>1069</v>
      </c>
      <c r="V2892" t="s">
        <v>3956</v>
      </c>
      <c r="Z2892">
        <v>15</v>
      </c>
      <c r="AA2892">
        <v>15</v>
      </c>
      <c r="AC2892">
        <v>396.5</v>
      </c>
      <c r="AD2892">
        <v>24</v>
      </c>
      <c r="AE2892">
        <v>753.2</v>
      </c>
      <c r="AF2892">
        <v>24</v>
      </c>
      <c r="AJ2892" t="s">
        <v>4262</v>
      </c>
      <c r="AK2892" t="s">
        <v>4266</v>
      </c>
      <c r="AN2892">
        <v>0.42</v>
      </c>
      <c r="AO2892">
        <v>5.0000000000000001E-3</v>
      </c>
      <c r="AP2892">
        <v>0.44</v>
      </c>
      <c r="AQ2892">
        <v>5.0000000000000001E-3</v>
      </c>
      <c r="AW2892" s="28">
        <f t="shared" si="298"/>
        <v>4.0000000000000036</v>
      </c>
      <c r="AX2892">
        <f t="shared" si="299"/>
        <v>0.97297297297297303</v>
      </c>
      <c r="AY2892" s="62">
        <f t="shared" si="300"/>
        <v>3.8918918918918957</v>
      </c>
      <c r="AZ2892" s="68" t="str">
        <f t="shared" si="301"/>
        <v>No</v>
      </c>
      <c r="BA2892" s="68" t="str">
        <f t="shared" si="302"/>
        <v>No</v>
      </c>
    </row>
    <row r="2893" spans="1:55" s="56" customFormat="1" ht="15" hidden="1">
      <c r="A2893" t="s">
        <v>3914</v>
      </c>
      <c r="B2893"/>
      <c r="C2893"/>
      <c r="D2893" s="25"/>
      <c r="E2893" s="25"/>
      <c r="F2893"/>
      <c r="G2893" t="s">
        <v>4180</v>
      </c>
      <c r="H2893"/>
      <c r="I2893"/>
      <c r="J2893"/>
      <c r="K2893"/>
      <c r="L2893"/>
      <c r="M2893" s="25"/>
      <c r="N2893"/>
      <c r="O2893"/>
      <c r="P2893" t="s">
        <v>60</v>
      </c>
      <c r="Q2893"/>
      <c r="R2893" t="s">
        <v>4116</v>
      </c>
      <c r="S2893" t="s">
        <v>1070</v>
      </c>
      <c r="T2893"/>
      <c r="U2893"/>
      <c r="V2893" t="s">
        <v>3956</v>
      </c>
      <c r="W2893" s="25"/>
      <c r="X2893"/>
      <c r="Y2893"/>
      <c r="Z2893">
        <v>15</v>
      </c>
      <c r="AA2893">
        <v>15</v>
      </c>
      <c r="AB2893"/>
      <c r="AC2893">
        <v>372.6</v>
      </c>
      <c r="AD2893">
        <v>24</v>
      </c>
      <c r="AE2893">
        <v>781.6</v>
      </c>
      <c r="AF2893">
        <v>24</v>
      </c>
      <c r="AG2893"/>
      <c r="AH2893"/>
      <c r="AI2893"/>
      <c r="AJ2893" t="s">
        <v>4262</v>
      </c>
      <c r="AK2893" t="s">
        <v>4266</v>
      </c>
      <c r="AL2893" s="25"/>
      <c r="AM2893" s="35"/>
      <c r="AN2893">
        <v>0.43</v>
      </c>
      <c r="AO2893">
        <v>0.02</v>
      </c>
      <c r="AP2893">
        <v>0.36</v>
      </c>
      <c r="AQ2893">
        <v>2.5000000000000001E-2</v>
      </c>
      <c r="AR2893"/>
      <c r="AS2893"/>
      <c r="AT2893"/>
      <c r="AU2893"/>
      <c r="AV2893"/>
      <c r="AW2893" s="28">
        <f t="shared" si="298"/>
        <v>-3.0920827300957034</v>
      </c>
      <c r="AX2893">
        <f t="shared" si="299"/>
        <v>0.97297297297297303</v>
      </c>
      <c r="AY2893" s="62">
        <f t="shared" si="300"/>
        <v>-3.0085129265796033</v>
      </c>
      <c r="AZ2893" s="68" t="str">
        <f t="shared" si="301"/>
        <v>No</v>
      </c>
      <c r="BA2893" s="68" t="str">
        <f t="shared" si="302"/>
        <v>No</v>
      </c>
      <c r="BB2893"/>
      <c r="BC2893"/>
    </row>
    <row r="2894" spans="1:55" hidden="1">
      <c r="A2894" t="s">
        <v>3914</v>
      </c>
      <c r="G2894" t="s">
        <v>4180</v>
      </c>
      <c r="P2894" t="s">
        <v>60</v>
      </c>
      <c r="R2894" t="s">
        <v>4116</v>
      </c>
      <c r="S2894" t="s">
        <v>1070</v>
      </c>
      <c r="V2894" t="s">
        <v>3956</v>
      </c>
      <c r="Z2894">
        <v>15</v>
      </c>
      <c r="AA2894">
        <v>15</v>
      </c>
      <c r="AC2894">
        <v>372.6</v>
      </c>
      <c r="AD2894">
        <v>24</v>
      </c>
      <c r="AE2894">
        <v>781.6</v>
      </c>
      <c r="AF2894">
        <v>24</v>
      </c>
      <c r="AJ2894" t="s">
        <v>50</v>
      </c>
      <c r="AK2894" t="s">
        <v>4244</v>
      </c>
      <c r="AN2894">
        <v>11.8</v>
      </c>
      <c r="AO2894">
        <v>0.3</v>
      </c>
      <c r="AP2894">
        <v>10.7</v>
      </c>
      <c r="AQ2894">
        <v>0.4</v>
      </c>
      <c r="AW2894" s="28">
        <f t="shared" ref="AW2894:AW2957" si="303">(AP2894-$AN2894)/SQRT(((AA2894-1)*AQ2894*AQ2894+($Z2894-1)*$AO2894*$AO2894)/(AA2894+$Z2894-2))</f>
        <v>-3.1112698372208127</v>
      </c>
      <c r="AX2894">
        <f t="shared" ref="AX2894:AX2957" si="304">1-(3/(4*(AA2894+$Z2894-2)-1))</f>
        <v>0.97297297297297303</v>
      </c>
      <c r="AY2894" s="62">
        <f t="shared" ref="AY2894:AY2957" si="305">AX2894*AW2894</f>
        <v>-3.0271814632418721</v>
      </c>
      <c r="AZ2894" s="68" t="str">
        <f t="shared" ref="AZ2894:AZ2957" si="306">IF(AY2894&gt;10,"Yes","No")</f>
        <v>No</v>
      </c>
      <c r="BA2894" s="68" t="str">
        <f t="shared" ref="BA2894:BA2957" si="307">IF(AY2894&lt;-10,"Yes","No")</f>
        <v>No</v>
      </c>
    </row>
    <row r="2895" spans="1:55" hidden="1">
      <c r="A2895" t="s">
        <v>3914</v>
      </c>
      <c r="G2895" t="s">
        <v>4180</v>
      </c>
      <c r="P2895" t="s">
        <v>60</v>
      </c>
      <c r="R2895" t="s">
        <v>4116</v>
      </c>
      <c r="S2895" t="s">
        <v>1070</v>
      </c>
      <c r="V2895" t="s">
        <v>3956</v>
      </c>
      <c r="Z2895">
        <v>15</v>
      </c>
      <c r="AA2895">
        <v>15</v>
      </c>
      <c r="AC2895">
        <v>372.6</v>
      </c>
      <c r="AD2895">
        <v>24</v>
      </c>
      <c r="AE2895">
        <v>781.6</v>
      </c>
      <c r="AF2895">
        <v>24</v>
      </c>
      <c r="AJ2895" t="s">
        <v>50</v>
      </c>
      <c r="AK2895" t="s">
        <v>4244</v>
      </c>
      <c r="AN2895">
        <v>11.8</v>
      </c>
      <c r="AO2895">
        <v>0.3</v>
      </c>
      <c r="AP2895">
        <v>8.5</v>
      </c>
      <c r="AQ2895">
        <v>0.7</v>
      </c>
      <c r="AW2895" s="28">
        <f t="shared" si="303"/>
        <v>-6.127946159842713</v>
      </c>
      <c r="AX2895">
        <f t="shared" si="304"/>
        <v>0.97297297297297303</v>
      </c>
      <c r="AY2895" s="62">
        <f t="shared" si="305"/>
        <v>-5.9623259933604782</v>
      </c>
      <c r="AZ2895" s="68" t="str">
        <f t="shared" si="306"/>
        <v>No</v>
      </c>
      <c r="BA2895" s="68" t="str">
        <f t="shared" si="307"/>
        <v>No</v>
      </c>
    </row>
    <row r="2896" spans="1:55" s="56" customFormat="1" ht="15" hidden="1">
      <c r="A2896" t="s">
        <v>3914</v>
      </c>
      <c r="B2896"/>
      <c r="C2896"/>
      <c r="D2896" s="25"/>
      <c r="E2896" s="25"/>
      <c r="F2896"/>
      <c r="G2896" t="s">
        <v>4180</v>
      </c>
      <c r="H2896"/>
      <c r="I2896"/>
      <c r="J2896"/>
      <c r="K2896"/>
      <c r="L2896"/>
      <c r="M2896" s="25"/>
      <c r="N2896"/>
      <c r="O2896"/>
      <c r="P2896" t="s">
        <v>60</v>
      </c>
      <c r="Q2896"/>
      <c r="R2896" t="s">
        <v>4116</v>
      </c>
      <c r="S2896" t="s">
        <v>1069</v>
      </c>
      <c r="T2896"/>
      <c r="U2896"/>
      <c r="V2896" t="s">
        <v>3956</v>
      </c>
      <c r="W2896" s="25"/>
      <c r="X2896"/>
      <c r="Y2896"/>
      <c r="Z2896">
        <v>15</v>
      </c>
      <c r="AA2896">
        <v>15</v>
      </c>
      <c r="AB2896"/>
      <c r="AC2896">
        <v>396.5</v>
      </c>
      <c r="AD2896">
        <v>24</v>
      </c>
      <c r="AE2896">
        <v>753.2</v>
      </c>
      <c r="AF2896">
        <v>24</v>
      </c>
      <c r="AG2896"/>
      <c r="AH2896"/>
      <c r="AI2896"/>
      <c r="AJ2896" t="s">
        <v>50</v>
      </c>
      <c r="AK2896" t="s">
        <v>4244</v>
      </c>
      <c r="AL2896" s="25"/>
      <c r="AM2896" s="35"/>
      <c r="AN2896">
        <v>22.5</v>
      </c>
      <c r="AO2896">
        <v>2</v>
      </c>
      <c r="AP2896">
        <v>16</v>
      </c>
      <c r="AQ2896">
        <v>1.5</v>
      </c>
      <c r="AR2896"/>
      <c r="AS2896"/>
      <c r="AT2896"/>
      <c r="AU2896"/>
      <c r="AV2896"/>
      <c r="AW2896" s="28">
        <f t="shared" si="303"/>
        <v>-3.676955262170047</v>
      </c>
      <c r="AX2896">
        <f t="shared" si="304"/>
        <v>0.97297297297297303</v>
      </c>
      <c r="AY2896" s="62">
        <f t="shared" si="305"/>
        <v>-3.5775780929222081</v>
      </c>
      <c r="AZ2896" s="68" t="str">
        <f t="shared" si="306"/>
        <v>No</v>
      </c>
      <c r="BA2896" s="68" t="str">
        <f t="shared" si="307"/>
        <v>No</v>
      </c>
      <c r="BB2896"/>
      <c r="BC2896"/>
    </row>
    <row r="2897" spans="1:55" hidden="1">
      <c r="A2897" t="s">
        <v>3914</v>
      </c>
      <c r="G2897" t="s">
        <v>4180</v>
      </c>
      <c r="P2897" t="s">
        <v>60</v>
      </c>
      <c r="R2897" t="s">
        <v>4116</v>
      </c>
      <c r="S2897" t="s">
        <v>1069</v>
      </c>
      <c r="V2897" t="s">
        <v>3956</v>
      </c>
      <c r="Z2897">
        <v>15</v>
      </c>
      <c r="AA2897">
        <v>15</v>
      </c>
      <c r="AC2897">
        <v>396.5</v>
      </c>
      <c r="AD2897">
        <v>24</v>
      </c>
      <c r="AE2897">
        <v>753.2</v>
      </c>
      <c r="AF2897">
        <v>24</v>
      </c>
      <c r="AJ2897" t="s">
        <v>50</v>
      </c>
      <c r="AK2897" t="s">
        <v>4244</v>
      </c>
      <c r="AN2897">
        <v>22.5</v>
      </c>
      <c r="AO2897">
        <v>2</v>
      </c>
      <c r="AP2897">
        <v>18</v>
      </c>
      <c r="AQ2897">
        <v>3</v>
      </c>
      <c r="AW2897" s="28">
        <f t="shared" si="303"/>
        <v>-1.7650452162436565</v>
      </c>
      <c r="AX2897">
        <f t="shared" si="304"/>
        <v>0.97297297297297303</v>
      </c>
      <c r="AY2897" s="62">
        <f t="shared" si="305"/>
        <v>-1.7173412914803146</v>
      </c>
      <c r="AZ2897" s="68" t="str">
        <f t="shared" si="306"/>
        <v>No</v>
      </c>
      <c r="BA2897" s="68" t="str">
        <f t="shared" si="307"/>
        <v>No</v>
      </c>
    </row>
    <row r="2898" spans="1:55" hidden="1">
      <c r="A2898" t="s">
        <v>3914</v>
      </c>
      <c r="G2898" t="s">
        <v>4180</v>
      </c>
      <c r="P2898" t="s">
        <v>60</v>
      </c>
      <c r="R2898" t="s">
        <v>4116</v>
      </c>
      <c r="S2898" t="s">
        <v>1070</v>
      </c>
      <c r="V2898" t="s">
        <v>3956</v>
      </c>
      <c r="Z2898">
        <v>4</v>
      </c>
      <c r="AA2898">
        <v>4</v>
      </c>
      <c r="AC2898">
        <v>372.6</v>
      </c>
      <c r="AD2898">
        <v>24</v>
      </c>
      <c r="AE2898">
        <v>781.6</v>
      </c>
      <c r="AF2898">
        <v>24</v>
      </c>
      <c r="AJ2898" t="s">
        <v>4065</v>
      </c>
      <c r="AK2898" t="s">
        <v>4258</v>
      </c>
      <c r="AN2898">
        <v>70</v>
      </c>
      <c r="AO2898">
        <v>10</v>
      </c>
      <c r="AP2898">
        <v>43</v>
      </c>
      <c r="AQ2898">
        <v>5</v>
      </c>
      <c r="AW2898" s="28">
        <f t="shared" si="303"/>
        <v>-3.4152598729818497</v>
      </c>
      <c r="AX2898">
        <f t="shared" si="304"/>
        <v>0.86956521739130432</v>
      </c>
      <c r="AY2898" s="62">
        <f t="shared" si="305"/>
        <v>-2.9697911938972608</v>
      </c>
      <c r="AZ2898" s="68" t="str">
        <f t="shared" si="306"/>
        <v>No</v>
      </c>
      <c r="BA2898" s="68" t="str">
        <f t="shared" si="307"/>
        <v>No</v>
      </c>
    </row>
    <row r="2899" spans="1:55" hidden="1">
      <c r="A2899" t="s">
        <v>3914</v>
      </c>
      <c r="G2899" t="s">
        <v>4186</v>
      </c>
      <c r="P2899" t="s">
        <v>60</v>
      </c>
      <c r="R2899" t="s">
        <v>4116</v>
      </c>
      <c r="S2899" t="s">
        <v>1068</v>
      </c>
      <c r="V2899" t="s">
        <v>3956</v>
      </c>
      <c r="Z2899">
        <v>4</v>
      </c>
      <c r="AA2899">
        <v>4</v>
      </c>
      <c r="AC2899">
        <v>934</v>
      </c>
      <c r="AD2899">
        <v>24</v>
      </c>
      <c r="AE2899">
        <v>1430</v>
      </c>
      <c r="AF2899">
        <v>24</v>
      </c>
      <c r="AJ2899" t="s">
        <v>1202</v>
      </c>
      <c r="AK2899" t="s">
        <v>4093</v>
      </c>
      <c r="AN2899">
        <v>51</v>
      </c>
      <c r="AO2899">
        <v>15</v>
      </c>
      <c r="AP2899">
        <v>39</v>
      </c>
      <c r="AQ2899">
        <v>0.4</v>
      </c>
      <c r="AW2899" s="28">
        <f t="shared" si="303"/>
        <v>-1.1309687991217796</v>
      </c>
      <c r="AX2899">
        <f t="shared" si="304"/>
        <v>0.86956521739130432</v>
      </c>
      <c r="AY2899" s="62">
        <f t="shared" si="305"/>
        <v>-0.9834511296711127</v>
      </c>
      <c r="AZ2899" s="68" t="str">
        <f t="shared" si="306"/>
        <v>No</v>
      </c>
      <c r="BA2899" s="68" t="str">
        <f t="shared" si="307"/>
        <v>No</v>
      </c>
    </row>
    <row r="2900" spans="1:55" hidden="1">
      <c r="A2900" t="s">
        <v>3914</v>
      </c>
      <c r="G2900" t="s">
        <v>4186</v>
      </c>
      <c r="P2900" t="s">
        <v>60</v>
      </c>
      <c r="R2900" t="s">
        <v>4116</v>
      </c>
      <c r="S2900" t="s">
        <v>1068</v>
      </c>
      <c r="V2900" t="s">
        <v>3956</v>
      </c>
      <c r="Z2900">
        <v>4</v>
      </c>
      <c r="AA2900">
        <v>4</v>
      </c>
      <c r="AC2900">
        <v>394</v>
      </c>
      <c r="AD2900">
        <v>24</v>
      </c>
      <c r="AE2900">
        <v>745</v>
      </c>
      <c r="AF2900">
        <v>24</v>
      </c>
      <c r="AJ2900" t="s">
        <v>4262</v>
      </c>
      <c r="AK2900" t="s">
        <v>4266</v>
      </c>
      <c r="AN2900">
        <v>9.5</v>
      </c>
      <c r="AO2900">
        <v>0.5</v>
      </c>
      <c r="AP2900">
        <v>5</v>
      </c>
      <c r="AQ2900">
        <v>0.4</v>
      </c>
      <c r="AW2900" s="28">
        <f t="shared" si="303"/>
        <v>-9.9388373467361895</v>
      </c>
      <c r="AX2900">
        <f t="shared" si="304"/>
        <v>0.86956521739130432</v>
      </c>
      <c r="AY2900" s="62">
        <f t="shared" si="305"/>
        <v>-8.6424672580314681</v>
      </c>
      <c r="AZ2900" s="68" t="str">
        <f t="shared" si="306"/>
        <v>No</v>
      </c>
      <c r="BA2900" s="68" t="str">
        <f t="shared" si="307"/>
        <v>No</v>
      </c>
    </row>
    <row r="2901" spans="1:55" hidden="1">
      <c r="A2901" t="s">
        <v>3914</v>
      </c>
      <c r="G2901" t="s">
        <v>4186</v>
      </c>
      <c r="P2901" t="s">
        <v>60</v>
      </c>
      <c r="R2901" t="s">
        <v>4116</v>
      </c>
      <c r="S2901" t="s">
        <v>1068</v>
      </c>
      <c r="V2901" t="s">
        <v>3956</v>
      </c>
      <c r="Z2901">
        <v>4</v>
      </c>
      <c r="AA2901">
        <v>4</v>
      </c>
      <c r="AC2901">
        <v>934</v>
      </c>
      <c r="AD2901">
        <v>24</v>
      </c>
      <c r="AE2901">
        <v>1430</v>
      </c>
      <c r="AF2901">
        <v>24</v>
      </c>
      <c r="AJ2901" t="s">
        <v>4065</v>
      </c>
      <c r="AK2901" t="s">
        <v>4258</v>
      </c>
      <c r="AN2901">
        <v>29</v>
      </c>
      <c r="AO2901">
        <v>0.81</v>
      </c>
      <c r="AP2901">
        <v>21</v>
      </c>
      <c r="AQ2901">
        <v>1.7</v>
      </c>
      <c r="AW2901" s="28">
        <f t="shared" si="303"/>
        <v>-6.0079940729665706</v>
      </c>
      <c r="AX2901">
        <f t="shared" si="304"/>
        <v>0.86956521739130432</v>
      </c>
      <c r="AY2901" s="62">
        <f t="shared" si="305"/>
        <v>-5.2243426721448438</v>
      </c>
      <c r="AZ2901" s="68" t="str">
        <f t="shared" si="306"/>
        <v>No</v>
      </c>
      <c r="BA2901" s="68" t="str">
        <f t="shared" si="307"/>
        <v>No</v>
      </c>
    </row>
    <row r="2902" spans="1:55" hidden="1">
      <c r="A2902" t="s">
        <v>3914</v>
      </c>
      <c r="G2902" t="s">
        <v>4186</v>
      </c>
      <c r="P2902" t="s">
        <v>60</v>
      </c>
      <c r="R2902" t="s">
        <v>4116</v>
      </c>
      <c r="S2902" t="s">
        <v>1068</v>
      </c>
      <c r="V2902" t="s">
        <v>3956</v>
      </c>
      <c r="Z2902">
        <v>4</v>
      </c>
      <c r="AA2902">
        <v>4</v>
      </c>
      <c r="AC2902">
        <v>394</v>
      </c>
      <c r="AD2902">
        <v>24</v>
      </c>
      <c r="AE2902">
        <v>745</v>
      </c>
      <c r="AF2902">
        <v>24</v>
      </c>
      <c r="AJ2902" t="s">
        <v>4065</v>
      </c>
      <c r="AK2902" t="s">
        <v>4258</v>
      </c>
      <c r="AN2902">
        <v>29</v>
      </c>
      <c r="AO2902">
        <v>0.81</v>
      </c>
      <c r="AP2902">
        <v>19</v>
      </c>
      <c r="AQ2902">
        <v>5.5</v>
      </c>
      <c r="AW2902" s="28">
        <f t="shared" si="303"/>
        <v>-2.5438581761674954</v>
      </c>
      <c r="AX2902">
        <f t="shared" si="304"/>
        <v>0.86956521739130432</v>
      </c>
      <c r="AY2902" s="62">
        <f t="shared" si="305"/>
        <v>-2.2120505879717349</v>
      </c>
      <c r="AZ2902" s="68" t="str">
        <f t="shared" si="306"/>
        <v>No</v>
      </c>
      <c r="BA2902" s="68" t="str">
        <f t="shared" si="307"/>
        <v>No</v>
      </c>
    </row>
    <row r="2903" spans="1:55" s="77" customFormat="1" hidden="1">
      <c r="A2903" t="s">
        <v>3914</v>
      </c>
      <c r="B2903"/>
      <c r="C2903"/>
      <c r="D2903" s="25"/>
      <c r="E2903" s="25"/>
      <c r="F2903"/>
      <c r="G2903" t="s">
        <v>4186</v>
      </c>
      <c r="H2903"/>
      <c r="I2903"/>
      <c r="J2903"/>
      <c r="K2903"/>
      <c r="L2903"/>
      <c r="M2903" s="25"/>
      <c r="N2903"/>
      <c r="O2903"/>
      <c r="P2903" t="s">
        <v>60</v>
      </c>
      <c r="Q2903"/>
      <c r="R2903" t="s">
        <v>4116</v>
      </c>
      <c r="S2903" t="s">
        <v>1068</v>
      </c>
      <c r="T2903"/>
      <c r="U2903"/>
      <c r="V2903" t="s">
        <v>3956</v>
      </c>
      <c r="W2903" s="25"/>
      <c r="X2903"/>
      <c r="Y2903"/>
      <c r="Z2903">
        <v>4</v>
      </c>
      <c r="AA2903">
        <v>4</v>
      </c>
      <c r="AB2903"/>
      <c r="AC2903">
        <v>394</v>
      </c>
      <c r="AD2903">
        <v>24</v>
      </c>
      <c r="AE2903">
        <v>745</v>
      </c>
      <c r="AF2903">
        <v>24</v>
      </c>
      <c r="AG2903"/>
      <c r="AH2903"/>
      <c r="AI2903"/>
      <c r="AJ2903" t="s">
        <v>1202</v>
      </c>
      <c r="AK2903" t="s">
        <v>4093</v>
      </c>
      <c r="AL2903" s="25"/>
      <c r="AM2903" s="35"/>
      <c r="AN2903">
        <v>51</v>
      </c>
      <c r="AO2903">
        <v>15</v>
      </c>
      <c r="AP2903">
        <v>41</v>
      </c>
      <c r="AQ2903">
        <v>12</v>
      </c>
      <c r="AR2903"/>
      <c r="AS2903"/>
      <c r="AT2903"/>
      <c r="AU2903"/>
      <c r="AV2903"/>
      <c r="AW2903" s="28">
        <f t="shared" si="303"/>
        <v>-0.73621017383231036</v>
      </c>
      <c r="AX2903">
        <f t="shared" si="304"/>
        <v>0.86956521739130432</v>
      </c>
      <c r="AY2903" s="62">
        <f t="shared" si="305"/>
        <v>-0.64018275985418294</v>
      </c>
      <c r="AZ2903" s="68" t="str">
        <f t="shared" si="306"/>
        <v>No</v>
      </c>
      <c r="BA2903" s="68" t="str">
        <f t="shared" si="307"/>
        <v>No</v>
      </c>
      <c r="BB2903"/>
      <c r="BC2903"/>
    </row>
    <row r="2904" spans="1:55" hidden="1">
      <c r="A2904" t="s">
        <v>3914</v>
      </c>
      <c r="G2904" t="s">
        <v>4185</v>
      </c>
      <c r="P2904" t="s">
        <v>60</v>
      </c>
      <c r="R2904" t="s">
        <v>4116</v>
      </c>
      <c r="S2904" t="s">
        <v>1069</v>
      </c>
      <c r="V2904" t="s">
        <v>3956</v>
      </c>
      <c r="Z2904">
        <v>4</v>
      </c>
      <c r="AA2904">
        <v>4</v>
      </c>
      <c r="AC2904">
        <v>468</v>
      </c>
      <c r="AD2904">
        <v>22</v>
      </c>
      <c r="AE2904">
        <v>1730</v>
      </c>
      <c r="AF2904">
        <v>22</v>
      </c>
      <c r="AJ2904" t="s">
        <v>4065</v>
      </c>
      <c r="AK2904" t="s">
        <v>4258</v>
      </c>
      <c r="AN2904">
        <v>42</v>
      </c>
      <c r="AO2904">
        <v>6</v>
      </c>
      <c r="AP2904">
        <v>24</v>
      </c>
      <c r="AQ2904">
        <v>0</v>
      </c>
      <c r="AW2904" s="28">
        <f t="shared" si="303"/>
        <v>-4.2426406871192857</v>
      </c>
      <c r="AX2904">
        <f t="shared" si="304"/>
        <v>0.86956521739130432</v>
      </c>
      <c r="AY2904" s="62">
        <f t="shared" si="305"/>
        <v>-3.6892527714080745</v>
      </c>
      <c r="AZ2904" s="68" t="str">
        <f t="shared" si="306"/>
        <v>No</v>
      </c>
      <c r="BA2904" s="68" t="str">
        <f t="shared" si="307"/>
        <v>No</v>
      </c>
    </row>
    <row r="2905" spans="1:55" hidden="1">
      <c r="A2905" t="s">
        <v>3914</v>
      </c>
      <c r="G2905" t="s">
        <v>4185</v>
      </c>
      <c r="P2905" t="s">
        <v>60</v>
      </c>
      <c r="R2905" t="s">
        <v>4116</v>
      </c>
      <c r="S2905" t="s">
        <v>1070</v>
      </c>
      <c r="V2905" t="s">
        <v>3956</v>
      </c>
      <c r="Z2905">
        <v>4</v>
      </c>
      <c r="AA2905">
        <v>4</v>
      </c>
      <c r="AC2905">
        <v>468</v>
      </c>
      <c r="AD2905">
        <v>22</v>
      </c>
      <c r="AE2905">
        <v>1730</v>
      </c>
      <c r="AF2905">
        <v>22</v>
      </c>
      <c r="AJ2905" t="s">
        <v>1202</v>
      </c>
      <c r="AK2905" t="s">
        <v>4093</v>
      </c>
      <c r="AN2905">
        <v>97</v>
      </c>
      <c r="AO2905">
        <v>1.5</v>
      </c>
      <c r="AP2905">
        <v>91</v>
      </c>
      <c r="AQ2905">
        <v>3</v>
      </c>
      <c r="AW2905" s="28">
        <f t="shared" si="303"/>
        <v>-2.5298221281347035</v>
      </c>
      <c r="AX2905">
        <f t="shared" si="304"/>
        <v>0.86956521739130432</v>
      </c>
      <c r="AY2905" s="62">
        <f t="shared" si="305"/>
        <v>-2.1998453288127857</v>
      </c>
      <c r="AZ2905" s="68" t="str">
        <f t="shared" si="306"/>
        <v>No</v>
      </c>
      <c r="BA2905" s="68" t="str">
        <f t="shared" si="307"/>
        <v>No</v>
      </c>
    </row>
    <row r="2906" spans="1:55" hidden="1">
      <c r="A2906" t="s">
        <v>3914</v>
      </c>
      <c r="G2906" t="s">
        <v>4185</v>
      </c>
      <c r="P2906" t="s">
        <v>60</v>
      </c>
      <c r="R2906" t="s">
        <v>4116</v>
      </c>
      <c r="S2906" t="s">
        <v>1069</v>
      </c>
      <c r="V2906" t="s">
        <v>3956</v>
      </c>
      <c r="Z2906">
        <v>4</v>
      </c>
      <c r="AA2906">
        <v>4</v>
      </c>
      <c r="AC2906">
        <v>468</v>
      </c>
      <c r="AD2906">
        <v>22</v>
      </c>
      <c r="AE2906">
        <v>1730</v>
      </c>
      <c r="AF2906">
        <v>22</v>
      </c>
      <c r="AJ2906" t="s">
        <v>4216</v>
      </c>
      <c r="AK2906" t="s">
        <v>4244</v>
      </c>
      <c r="AN2906">
        <v>1130</v>
      </c>
      <c r="AO2906">
        <v>16.8</v>
      </c>
      <c r="AP2906">
        <v>996</v>
      </c>
      <c r="AQ2906">
        <v>36.700000000000003</v>
      </c>
      <c r="AW2906" s="28">
        <f t="shared" si="303"/>
        <v>-4.6950684211160505</v>
      </c>
      <c r="AX2906">
        <f t="shared" si="304"/>
        <v>0.86956521739130432</v>
      </c>
      <c r="AY2906" s="62">
        <f t="shared" si="305"/>
        <v>-4.0826681922748262</v>
      </c>
      <c r="AZ2906" s="68" t="str">
        <f t="shared" si="306"/>
        <v>No</v>
      </c>
      <c r="BA2906" s="68" t="str">
        <f t="shared" si="307"/>
        <v>No</v>
      </c>
    </row>
    <row r="2907" spans="1:55" hidden="1">
      <c r="A2907" t="s">
        <v>3914</v>
      </c>
      <c r="G2907" t="s">
        <v>4195</v>
      </c>
      <c r="P2907" t="s">
        <v>60</v>
      </c>
      <c r="R2907" t="s">
        <v>4116</v>
      </c>
      <c r="S2907" t="s">
        <v>1070</v>
      </c>
      <c r="V2907" t="s">
        <v>3956</v>
      </c>
      <c r="Z2907">
        <v>4</v>
      </c>
      <c r="AA2907">
        <v>4</v>
      </c>
      <c r="AC2907">
        <v>516</v>
      </c>
      <c r="AD2907">
        <v>23.5</v>
      </c>
      <c r="AE2907">
        <v>1200</v>
      </c>
      <c r="AF2907">
        <v>23.5</v>
      </c>
      <c r="AJ2907" t="s">
        <v>1202</v>
      </c>
      <c r="AK2907" t="s">
        <v>4093</v>
      </c>
      <c r="AN2907">
        <v>54</v>
      </c>
      <c r="AO2907">
        <v>46</v>
      </c>
      <c r="AP2907">
        <v>18</v>
      </c>
      <c r="AQ2907">
        <v>0</v>
      </c>
      <c r="AW2907" s="28">
        <f t="shared" si="303"/>
        <v>-1.1067758314224223</v>
      </c>
      <c r="AX2907">
        <f t="shared" si="304"/>
        <v>0.86956521739130432</v>
      </c>
      <c r="AY2907" s="62">
        <f t="shared" si="305"/>
        <v>-0.96241376645428023</v>
      </c>
      <c r="AZ2907" s="68" t="str">
        <f t="shared" si="306"/>
        <v>No</v>
      </c>
      <c r="BA2907" s="68" t="str">
        <f t="shared" si="307"/>
        <v>No</v>
      </c>
    </row>
    <row r="2908" spans="1:55" hidden="1">
      <c r="A2908" t="s">
        <v>3914</v>
      </c>
      <c r="G2908" t="s">
        <v>4195</v>
      </c>
      <c r="P2908" t="s">
        <v>60</v>
      </c>
      <c r="R2908" t="s">
        <v>4116</v>
      </c>
      <c r="S2908" t="s">
        <v>1070</v>
      </c>
      <c r="V2908" t="s">
        <v>3956</v>
      </c>
      <c r="Z2908">
        <v>4</v>
      </c>
      <c r="AA2908">
        <v>4</v>
      </c>
      <c r="AC2908">
        <v>516</v>
      </c>
      <c r="AD2908">
        <v>23.5</v>
      </c>
      <c r="AE2908">
        <v>2340</v>
      </c>
      <c r="AF2908">
        <v>23.5</v>
      </c>
      <c r="AJ2908" t="s">
        <v>4234</v>
      </c>
      <c r="AK2908" t="s">
        <v>4244</v>
      </c>
      <c r="AN2908">
        <v>4.4000000000000004</v>
      </c>
      <c r="AO2908">
        <v>2.1</v>
      </c>
      <c r="AP2908">
        <v>4.7</v>
      </c>
      <c r="AQ2908">
        <v>1.7</v>
      </c>
      <c r="AW2908" s="28">
        <f t="shared" si="303"/>
        <v>0.15702717677706401</v>
      </c>
      <c r="AX2908">
        <f t="shared" si="304"/>
        <v>0.86956521739130432</v>
      </c>
      <c r="AY2908" s="62">
        <f t="shared" si="305"/>
        <v>0.13654537111049045</v>
      </c>
      <c r="AZ2908" s="68" t="str">
        <f t="shared" si="306"/>
        <v>No</v>
      </c>
      <c r="BA2908" s="68" t="str">
        <f t="shared" si="307"/>
        <v>No</v>
      </c>
    </row>
    <row r="2909" spans="1:55" hidden="1">
      <c r="A2909" t="s">
        <v>3914</v>
      </c>
      <c r="G2909" t="s">
        <v>4195</v>
      </c>
      <c r="P2909" t="s">
        <v>60</v>
      </c>
      <c r="R2909" t="s">
        <v>4116</v>
      </c>
      <c r="S2909" t="s">
        <v>4211</v>
      </c>
      <c r="V2909" t="s">
        <v>3956</v>
      </c>
      <c r="Z2909">
        <v>4</v>
      </c>
      <c r="AA2909">
        <v>4</v>
      </c>
      <c r="AC2909">
        <v>516</v>
      </c>
      <c r="AD2909">
        <v>23.5</v>
      </c>
      <c r="AE2909">
        <v>1200</v>
      </c>
      <c r="AF2909">
        <v>23.5</v>
      </c>
      <c r="AJ2909" t="s">
        <v>4234</v>
      </c>
      <c r="AK2909" t="s">
        <v>4244</v>
      </c>
      <c r="AN2909">
        <v>26</v>
      </c>
      <c r="AO2909">
        <v>4</v>
      </c>
      <c r="AP2909">
        <v>20</v>
      </c>
      <c r="AQ2909">
        <v>2</v>
      </c>
      <c r="AW2909" s="28">
        <f t="shared" si="303"/>
        <v>-1.8973665961010275</v>
      </c>
      <c r="AX2909">
        <f t="shared" si="304"/>
        <v>0.86956521739130432</v>
      </c>
      <c r="AY2909" s="62">
        <f t="shared" si="305"/>
        <v>-1.6498839966095891</v>
      </c>
      <c r="AZ2909" s="68" t="str">
        <f t="shared" si="306"/>
        <v>No</v>
      </c>
      <c r="BA2909" s="68" t="str">
        <f t="shared" si="307"/>
        <v>No</v>
      </c>
    </row>
    <row r="2910" spans="1:55" hidden="1">
      <c r="A2910" t="s">
        <v>3914</v>
      </c>
      <c r="G2910" t="s">
        <v>4195</v>
      </c>
      <c r="P2910" t="s">
        <v>60</v>
      </c>
      <c r="R2910" t="s">
        <v>4116</v>
      </c>
      <c r="S2910" t="s">
        <v>1070</v>
      </c>
      <c r="V2910" t="s">
        <v>3956</v>
      </c>
      <c r="Z2910">
        <v>4</v>
      </c>
      <c r="AA2910">
        <v>4</v>
      </c>
      <c r="AC2910">
        <v>516</v>
      </c>
      <c r="AD2910">
        <v>23.5</v>
      </c>
      <c r="AE2910">
        <v>1200</v>
      </c>
      <c r="AF2910">
        <v>23.5</v>
      </c>
      <c r="AJ2910" t="s">
        <v>4065</v>
      </c>
      <c r="AK2910" t="s">
        <v>4258</v>
      </c>
      <c r="AN2910">
        <v>27</v>
      </c>
      <c r="AO2910">
        <v>3</v>
      </c>
      <c r="AP2910">
        <v>23</v>
      </c>
      <c r="AQ2910">
        <v>2</v>
      </c>
      <c r="AW2910" s="28">
        <f t="shared" si="303"/>
        <v>-1.5689290811054724</v>
      </c>
      <c r="AX2910">
        <f t="shared" si="304"/>
        <v>0.86956521739130432</v>
      </c>
      <c r="AY2910" s="62">
        <f t="shared" si="305"/>
        <v>-1.3642861574830194</v>
      </c>
      <c r="AZ2910" s="68" t="str">
        <f t="shared" si="306"/>
        <v>No</v>
      </c>
      <c r="BA2910" s="68" t="str">
        <f t="shared" si="307"/>
        <v>No</v>
      </c>
    </row>
    <row r="2911" spans="1:55" hidden="1">
      <c r="A2911" t="s">
        <v>3914</v>
      </c>
      <c r="G2911" t="s">
        <v>4195</v>
      </c>
      <c r="P2911" t="s">
        <v>60</v>
      </c>
      <c r="R2911" t="s">
        <v>4116</v>
      </c>
      <c r="S2911" t="s">
        <v>1070</v>
      </c>
      <c r="V2911" t="s">
        <v>3956</v>
      </c>
      <c r="Z2911">
        <v>4</v>
      </c>
      <c r="AA2911">
        <v>4</v>
      </c>
      <c r="AC2911">
        <v>516</v>
      </c>
      <c r="AD2911">
        <v>23.5</v>
      </c>
      <c r="AE2911">
        <v>1200</v>
      </c>
      <c r="AF2911">
        <v>23.5</v>
      </c>
      <c r="AJ2911" t="s">
        <v>4234</v>
      </c>
      <c r="AK2911" t="s">
        <v>4244</v>
      </c>
      <c r="AN2911">
        <v>4.4000000000000004</v>
      </c>
      <c r="AO2911">
        <v>2.1</v>
      </c>
      <c r="AP2911">
        <v>3.7</v>
      </c>
      <c r="AQ2911">
        <v>4</v>
      </c>
      <c r="AW2911" s="28">
        <f t="shared" si="303"/>
        <v>-0.21912480140077029</v>
      </c>
      <c r="AX2911">
        <f t="shared" si="304"/>
        <v>0.86956521739130432</v>
      </c>
      <c r="AY2911" s="62">
        <f t="shared" si="305"/>
        <v>-0.19054330556588719</v>
      </c>
      <c r="AZ2911" s="68" t="str">
        <f t="shared" si="306"/>
        <v>No</v>
      </c>
      <c r="BA2911" s="68" t="str">
        <f t="shared" si="307"/>
        <v>No</v>
      </c>
    </row>
    <row r="2912" spans="1:55" hidden="1">
      <c r="A2912" t="s">
        <v>3914</v>
      </c>
      <c r="G2912" t="s">
        <v>4195</v>
      </c>
      <c r="P2912" t="s">
        <v>60</v>
      </c>
      <c r="R2912" t="s">
        <v>4116</v>
      </c>
      <c r="S2912" t="s">
        <v>1070</v>
      </c>
      <c r="V2912" t="s">
        <v>3956</v>
      </c>
      <c r="Z2912">
        <v>4</v>
      </c>
      <c r="AA2912">
        <v>4</v>
      </c>
      <c r="AC2912">
        <v>516</v>
      </c>
      <c r="AD2912">
        <v>23.5</v>
      </c>
      <c r="AE2912">
        <v>2340</v>
      </c>
      <c r="AF2912">
        <v>23.5</v>
      </c>
      <c r="AJ2912" t="s">
        <v>1202</v>
      </c>
      <c r="AK2912" t="s">
        <v>4093</v>
      </c>
      <c r="AN2912">
        <v>54</v>
      </c>
      <c r="AO2912">
        <v>46</v>
      </c>
      <c r="AP2912">
        <v>17.8</v>
      </c>
      <c r="AQ2912">
        <v>4</v>
      </c>
      <c r="AW2912" s="28">
        <f t="shared" si="303"/>
        <v>-1.1087406442153569</v>
      </c>
      <c r="AX2912">
        <f t="shared" si="304"/>
        <v>0.86956521739130432</v>
      </c>
      <c r="AY2912" s="62">
        <f t="shared" si="305"/>
        <v>-0.96412229931770166</v>
      </c>
      <c r="AZ2912" s="68" t="str">
        <f t="shared" si="306"/>
        <v>No</v>
      </c>
      <c r="BA2912" s="68" t="str">
        <f t="shared" si="307"/>
        <v>No</v>
      </c>
    </row>
    <row r="2913" spans="1:55" hidden="1">
      <c r="A2913" t="s">
        <v>3914</v>
      </c>
      <c r="G2913" t="s">
        <v>4195</v>
      </c>
      <c r="P2913" t="s">
        <v>60</v>
      </c>
      <c r="R2913" t="s">
        <v>4116</v>
      </c>
      <c r="S2913" t="s">
        <v>4211</v>
      </c>
      <c r="V2913" t="s">
        <v>3956</v>
      </c>
      <c r="Z2913">
        <v>4</v>
      </c>
      <c r="AA2913">
        <v>4</v>
      </c>
      <c r="AC2913">
        <v>516</v>
      </c>
      <c r="AD2913">
        <v>23.5</v>
      </c>
      <c r="AE2913">
        <v>2340</v>
      </c>
      <c r="AF2913">
        <v>23.5</v>
      </c>
      <c r="AJ2913" t="s">
        <v>4234</v>
      </c>
      <c r="AK2913" t="s">
        <v>4244</v>
      </c>
      <c r="AN2913">
        <v>26</v>
      </c>
      <c r="AO2913">
        <v>4</v>
      </c>
      <c r="AP2913">
        <v>11</v>
      </c>
      <c r="AQ2913">
        <v>5</v>
      </c>
      <c r="AW2913" s="28">
        <f t="shared" si="303"/>
        <v>-3.312945782245396</v>
      </c>
      <c r="AX2913">
        <f t="shared" si="304"/>
        <v>0.86956521739130432</v>
      </c>
      <c r="AY2913" s="62">
        <f t="shared" si="305"/>
        <v>-2.8808224193438225</v>
      </c>
      <c r="AZ2913" s="68" t="str">
        <f t="shared" si="306"/>
        <v>No</v>
      </c>
      <c r="BA2913" s="68" t="str">
        <f t="shared" si="307"/>
        <v>No</v>
      </c>
    </row>
    <row r="2914" spans="1:55" hidden="1">
      <c r="A2914" t="s">
        <v>3914</v>
      </c>
      <c r="G2914" t="s">
        <v>4195</v>
      </c>
      <c r="P2914" t="s">
        <v>60</v>
      </c>
      <c r="R2914" t="s">
        <v>4116</v>
      </c>
      <c r="S2914" t="s">
        <v>4211</v>
      </c>
      <c r="V2914" t="s">
        <v>3956</v>
      </c>
      <c r="Z2914">
        <v>4</v>
      </c>
      <c r="AA2914">
        <v>4</v>
      </c>
      <c r="AC2914">
        <v>516</v>
      </c>
      <c r="AD2914">
        <v>23.5</v>
      </c>
      <c r="AE2914">
        <v>2340</v>
      </c>
      <c r="AF2914">
        <v>23.5</v>
      </c>
      <c r="AJ2914" t="s">
        <v>4065</v>
      </c>
      <c r="AK2914" t="s">
        <v>4258</v>
      </c>
      <c r="AN2914">
        <v>36</v>
      </c>
      <c r="AO2914">
        <v>2</v>
      </c>
      <c r="AP2914">
        <v>7</v>
      </c>
      <c r="AQ2914">
        <v>5</v>
      </c>
      <c r="AW2914" s="28">
        <f t="shared" si="303"/>
        <v>-7.6157731058639078</v>
      </c>
      <c r="AX2914">
        <f t="shared" si="304"/>
        <v>0.86956521739130432</v>
      </c>
      <c r="AY2914" s="62">
        <f t="shared" si="305"/>
        <v>-6.6224113964033977</v>
      </c>
      <c r="AZ2914" s="68" t="str">
        <f t="shared" si="306"/>
        <v>No</v>
      </c>
      <c r="BA2914" s="68" t="str">
        <f t="shared" si="307"/>
        <v>No</v>
      </c>
    </row>
    <row r="2915" spans="1:55" hidden="1">
      <c r="A2915" t="s">
        <v>3914</v>
      </c>
      <c r="G2915" t="s">
        <v>4195</v>
      </c>
      <c r="P2915" t="s">
        <v>60</v>
      </c>
      <c r="R2915" t="s">
        <v>4116</v>
      </c>
      <c r="S2915" t="s">
        <v>1070</v>
      </c>
      <c r="V2915" t="s">
        <v>3956</v>
      </c>
      <c r="Z2915">
        <v>4</v>
      </c>
      <c r="AA2915">
        <v>4</v>
      </c>
      <c r="AC2915">
        <v>516</v>
      </c>
      <c r="AD2915">
        <v>23.5</v>
      </c>
      <c r="AE2915">
        <v>2340</v>
      </c>
      <c r="AF2915">
        <v>23.5</v>
      </c>
      <c r="AJ2915" t="s">
        <v>4065</v>
      </c>
      <c r="AK2915" t="s">
        <v>4258</v>
      </c>
      <c r="AN2915">
        <v>27</v>
      </c>
      <c r="AO2915">
        <v>3</v>
      </c>
      <c r="AP2915">
        <v>15</v>
      </c>
      <c r="AQ2915">
        <v>5</v>
      </c>
      <c r="AW2915" s="28">
        <f t="shared" si="303"/>
        <v>-2.9104275004359956</v>
      </c>
      <c r="AX2915">
        <f t="shared" si="304"/>
        <v>0.86956521739130432</v>
      </c>
      <c r="AY2915" s="62">
        <f t="shared" si="305"/>
        <v>-2.5308065221182572</v>
      </c>
      <c r="AZ2915" s="68" t="str">
        <f t="shared" si="306"/>
        <v>No</v>
      </c>
      <c r="BA2915" s="68" t="str">
        <f t="shared" si="307"/>
        <v>No</v>
      </c>
    </row>
    <row r="2916" spans="1:55" hidden="1">
      <c r="A2916" t="s">
        <v>3914</v>
      </c>
      <c r="G2916" t="s">
        <v>4195</v>
      </c>
      <c r="P2916" t="s">
        <v>60</v>
      </c>
      <c r="R2916" t="s">
        <v>4116</v>
      </c>
      <c r="S2916" t="s">
        <v>4211</v>
      </c>
      <c r="V2916" t="s">
        <v>3956</v>
      </c>
      <c r="Z2916">
        <v>4</v>
      </c>
      <c r="AA2916">
        <v>4</v>
      </c>
      <c r="AC2916">
        <v>516</v>
      </c>
      <c r="AD2916">
        <v>23.5</v>
      </c>
      <c r="AE2916">
        <v>1200</v>
      </c>
      <c r="AF2916">
        <v>23.5</v>
      </c>
      <c r="AJ2916" t="s">
        <v>4065</v>
      </c>
      <c r="AK2916" t="s">
        <v>4258</v>
      </c>
      <c r="AN2916">
        <v>36</v>
      </c>
      <c r="AO2916">
        <v>2</v>
      </c>
      <c r="AP2916">
        <v>21</v>
      </c>
      <c r="AQ2916">
        <v>11</v>
      </c>
      <c r="AW2916" s="28">
        <f t="shared" si="303"/>
        <v>-1.8973665961010275</v>
      </c>
      <c r="AX2916">
        <f t="shared" si="304"/>
        <v>0.86956521739130432</v>
      </c>
      <c r="AY2916" s="62">
        <f t="shared" si="305"/>
        <v>-1.6498839966095891</v>
      </c>
      <c r="AZ2916" s="68" t="str">
        <f t="shared" si="306"/>
        <v>No</v>
      </c>
      <c r="BA2916" s="68" t="str">
        <f t="shared" si="307"/>
        <v>No</v>
      </c>
    </row>
    <row r="2917" spans="1:55" hidden="1">
      <c r="A2917" t="s">
        <v>3914</v>
      </c>
      <c r="G2917" t="s">
        <v>4195</v>
      </c>
      <c r="P2917" t="s">
        <v>60</v>
      </c>
      <c r="R2917" t="s">
        <v>4116</v>
      </c>
      <c r="S2917" t="s">
        <v>4211</v>
      </c>
      <c r="V2917" t="s">
        <v>3956</v>
      </c>
      <c r="Z2917">
        <v>4</v>
      </c>
      <c r="AA2917">
        <v>4</v>
      </c>
      <c r="AC2917">
        <v>516</v>
      </c>
      <c r="AD2917">
        <v>23.5</v>
      </c>
      <c r="AE2917">
        <v>2340</v>
      </c>
      <c r="AF2917">
        <v>23.5</v>
      </c>
      <c r="AJ2917" t="s">
        <v>1202</v>
      </c>
      <c r="AK2917" t="s">
        <v>4093</v>
      </c>
      <c r="AN2917">
        <v>88</v>
      </c>
      <c r="AO2917">
        <v>5</v>
      </c>
      <c r="AP2917">
        <v>13</v>
      </c>
      <c r="AQ2917">
        <v>19</v>
      </c>
      <c r="AW2917" s="28">
        <f t="shared" si="303"/>
        <v>-5.3986181306152092</v>
      </c>
      <c r="AX2917">
        <f t="shared" si="304"/>
        <v>0.86956521739130432</v>
      </c>
      <c r="AY2917" s="62">
        <f t="shared" si="305"/>
        <v>-4.6944505483610515</v>
      </c>
      <c r="AZ2917" s="68" t="str">
        <f t="shared" si="306"/>
        <v>No</v>
      </c>
      <c r="BA2917" s="68" t="str">
        <f t="shared" si="307"/>
        <v>No</v>
      </c>
    </row>
    <row r="2918" spans="1:55" s="56" customFormat="1" ht="15" hidden="1">
      <c r="A2918" t="s">
        <v>3914</v>
      </c>
      <c r="B2918"/>
      <c r="C2918"/>
      <c r="D2918" s="25"/>
      <c r="E2918" s="25"/>
      <c r="F2918"/>
      <c r="G2918" t="s">
        <v>4195</v>
      </c>
      <c r="H2918"/>
      <c r="I2918"/>
      <c r="J2918"/>
      <c r="K2918"/>
      <c r="L2918"/>
      <c r="M2918" s="25"/>
      <c r="N2918"/>
      <c r="O2918"/>
      <c r="P2918" t="s">
        <v>60</v>
      </c>
      <c r="Q2918"/>
      <c r="R2918" t="s">
        <v>4116</v>
      </c>
      <c r="S2918" t="s">
        <v>4211</v>
      </c>
      <c r="T2918"/>
      <c r="U2918"/>
      <c r="V2918" t="s">
        <v>3956</v>
      </c>
      <c r="W2918" s="25"/>
      <c r="X2918"/>
      <c r="Y2918"/>
      <c r="Z2918">
        <v>4</v>
      </c>
      <c r="AA2918">
        <v>4</v>
      </c>
      <c r="AB2918"/>
      <c r="AC2918">
        <v>516</v>
      </c>
      <c r="AD2918">
        <v>23.5</v>
      </c>
      <c r="AE2918">
        <v>1200</v>
      </c>
      <c r="AF2918">
        <v>23.5</v>
      </c>
      <c r="AG2918"/>
      <c r="AH2918"/>
      <c r="AI2918"/>
      <c r="AJ2918" t="s">
        <v>1202</v>
      </c>
      <c r="AK2918" t="s">
        <v>4093</v>
      </c>
      <c r="AL2918" s="25"/>
      <c r="AM2918" s="35"/>
      <c r="AN2918">
        <v>88</v>
      </c>
      <c r="AO2918">
        <v>5</v>
      </c>
      <c r="AP2918">
        <v>58</v>
      </c>
      <c r="AQ2918">
        <v>22</v>
      </c>
      <c r="AR2918"/>
      <c r="AS2918"/>
      <c r="AT2918"/>
      <c r="AU2918"/>
      <c r="AV2918"/>
      <c r="AW2918" s="28">
        <f t="shared" si="303"/>
        <v>-1.8805174224216681</v>
      </c>
      <c r="AX2918">
        <f t="shared" si="304"/>
        <v>0.86956521739130432</v>
      </c>
      <c r="AY2918" s="62">
        <f t="shared" si="305"/>
        <v>-1.635232541236233</v>
      </c>
      <c r="AZ2918" s="68" t="str">
        <f t="shared" si="306"/>
        <v>No</v>
      </c>
      <c r="BA2918" s="68" t="str">
        <f t="shared" si="307"/>
        <v>No</v>
      </c>
      <c r="BB2918"/>
      <c r="BC2918"/>
    </row>
    <row r="2919" spans="1:55" hidden="1">
      <c r="A2919" t="s">
        <v>3914</v>
      </c>
      <c r="G2919" t="s">
        <v>4365</v>
      </c>
      <c r="P2919" t="s">
        <v>60</v>
      </c>
      <c r="R2919" t="s">
        <v>4357</v>
      </c>
      <c r="S2919" t="s">
        <v>1785</v>
      </c>
      <c r="V2919" t="s">
        <v>3956</v>
      </c>
      <c r="Z2919">
        <v>4</v>
      </c>
      <c r="AA2919">
        <v>4</v>
      </c>
      <c r="AC2919">
        <v>525.70000000000005</v>
      </c>
      <c r="AD2919">
        <v>26</v>
      </c>
      <c r="AE2919">
        <v>1891.5</v>
      </c>
      <c r="AF2919">
        <v>26</v>
      </c>
      <c r="AJ2919" t="s">
        <v>4065</v>
      </c>
      <c r="AK2919" t="s">
        <v>4491</v>
      </c>
      <c r="AN2919">
        <v>0.67</v>
      </c>
      <c r="AO2919">
        <v>0.22</v>
      </c>
      <c r="AP2919">
        <v>0.44</v>
      </c>
      <c r="AQ2919">
        <v>0.12</v>
      </c>
      <c r="AW2919" s="28">
        <f t="shared" si="303"/>
        <v>-1.2979650903611311</v>
      </c>
      <c r="AX2919">
        <f t="shared" si="304"/>
        <v>0.86956521739130432</v>
      </c>
      <c r="AY2919" s="62">
        <f t="shared" si="305"/>
        <v>-1.1286652959662009</v>
      </c>
      <c r="AZ2919" s="68" t="str">
        <f t="shared" si="306"/>
        <v>No</v>
      </c>
      <c r="BA2919" s="68" t="str">
        <f t="shared" si="307"/>
        <v>No</v>
      </c>
    </row>
    <row r="2920" spans="1:55" hidden="1">
      <c r="A2920" t="s">
        <v>3914</v>
      </c>
      <c r="G2920" t="s">
        <v>4365</v>
      </c>
      <c r="P2920" t="s">
        <v>60</v>
      </c>
      <c r="R2920" t="s">
        <v>4357</v>
      </c>
      <c r="S2920" t="s">
        <v>1785</v>
      </c>
      <c r="V2920" t="s">
        <v>3956</v>
      </c>
      <c r="Z2920">
        <v>4</v>
      </c>
      <c r="AA2920">
        <v>4</v>
      </c>
      <c r="AC2920">
        <v>525.70000000000005</v>
      </c>
      <c r="AD2920">
        <v>26</v>
      </c>
      <c r="AE2920">
        <v>1300.5</v>
      </c>
      <c r="AF2920">
        <v>26</v>
      </c>
      <c r="AJ2920" t="s">
        <v>4065</v>
      </c>
      <c r="AK2920" t="s">
        <v>4491</v>
      </c>
      <c r="AN2920">
        <v>0.67</v>
      </c>
      <c r="AO2920">
        <v>0.22</v>
      </c>
      <c r="AP2920">
        <v>0.72</v>
      </c>
      <c r="AQ2920">
        <v>0.22</v>
      </c>
      <c r="AW2920" s="28">
        <f t="shared" si="303"/>
        <v>0.22727272727272696</v>
      </c>
      <c r="AX2920">
        <f t="shared" si="304"/>
        <v>0.86956521739130432</v>
      </c>
      <c r="AY2920" s="62">
        <f t="shared" si="305"/>
        <v>0.19762845849802343</v>
      </c>
      <c r="AZ2920" s="68" t="str">
        <f t="shared" si="306"/>
        <v>No</v>
      </c>
      <c r="BA2920" s="68" t="str">
        <f t="shared" si="307"/>
        <v>No</v>
      </c>
    </row>
    <row r="2921" spans="1:55">
      <c r="A2921" t="s">
        <v>3914</v>
      </c>
      <c r="G2921" t="s">
        <v>4365</v>
      </c>
      <c r="P2921" t="s">
        <v>60</v>
      </c>
      <c r="R2921" t="s">
        <v>4357</v>
      </c>
      <c r="S2921" t="s">
        <v>1785</v>
      </c>
      <c r="V2921" t="s">
        <v>3956</v>
      </c>
      <c r="Z2921">
        <v>4</v>
      </c>
      <c r="AA2921">
        <v>4</v>
      </c>
      <c r="AC2921">
        <v>525.70000000000005</v>
      </c>
      <c r="AD2921">
        <v>26</v>
      </c>
      <c r="AE2921">
        <v>6783.8</v>
      </c>
      <c r="AF2921">
        <v>26</v>
      </c>
      <c r="AJ2921" t="s">
        <v>4065</v>
      </c>
      <c r="AK2921" t="s">
        <v>4491</v>
      </c>
      <c r="AN2921">
        <v>0.67</v>
      </c>
      <c r="AO2921">
        <v>0.22</v>
      </c>
      <c r="AP2921">
        <v>0.16</v>
      </c>
      <c r="AQ2921">
        <v>0.24</v>
      </c>
      <c r="AW2921" s="28">
        <f t="shared" si="303"/>
        <v>-2.2152984380916538</v>
      </c>
      <c r="AX2921">
        <f t="shared" si="304"/>
        <v>0.86956521739130432</v>
      </c>
      <c r="AY2921" s="78">
        <f t="shared" si="305"/>
        <v>-1.9263464679057858</v>
      </c>
      <c r="AZ2921" s="79" t="str">
        <f t="shared" si="306"/>
        <v>No</v>
      </c>
      <c r="BA2921" s="79" t="str">
        <f t="shared" si="307"/>
        <v>No</v>
      </c>
      <c r="BB2921" s="77"/>
      <c r="BC2921" s="77"/>
    </row>
    <row r="2922" spans="1:55">
      <c r="A2922" t="s">
        <v>3914</v>
      </c>
      <c r="G2922" t="s">
        <v>4365</v>
      </c>
      <c r="P2922" t="s">
        <v>60</v>
      </c>
      <c r="R2922" t="s">
        <v>4357</v>
      </c>
      <c r="S2922" t="s">
        <v>1785</v>
      </c>
      <c r="V2922" t="s">
        <v>3956</v>
      </c>
      <c r="Z2922">
        <v>4</v>
      </c>
      <c r="AA2922">
        <v>4</v>
      </c>
      <c r="AC2922">
        <v>525.70000000000005</v>
      </c>
      <c r="AD2922">
        <v>26</v>
      </c>
      <c r="AE2922">
        <v>6783.8</v>
      </c>
      <c r="AF2922">
        <v>26</v>
      </c>
      <c r="AJ2922" t="s">
        <v>2020</v>
      </c>
      <c r="AK2922" t="s">
        <v>4093</v>
      </c>
      <c r="AN2922">
        <v>84</v>
      </c>
      <c r="AO2922">
        <v>14</v>
      </c>
      <c r="AP2922">
        <v>23</v>
      </c>
      <c r="AQ2922">
        <v>3</v>
      </c>
      <c r="AW2922" s="28">
        <f t="shared" si="303"/>
        <v>-6.0251505395624969</v>
      </c>
      <c r="AX2922">
        <f t="shared" si="304"/>
        <v>0.86956521739130432</v>
      </c>
      <c r="AY2922" s="62">
        <f t="shared" si="305"/>
        <v>-5.2392613387499969</v>
      </c>
      <c r="AZ2922" s="68" t="str">
        <f t="shared" si="306"/>
        <v>No</v>
      </c>
      <c r="BA2922" s="68" t="str">
        <f t="shared" si="307"/>
        <v>No</v>
      </c>
    </row>
    <row r="2923" spans="1:55" hidden="1">
      <c r="A2923" t="s">
        <v>3914</v>
      </c>
      <c r="G2923" t="s">
        <v>5010</v>
      </c>
      <c r="P2923" t="s">
        <v>60</v>
      </c>
      <c r="R2923" t="s">
        <v>4357</v>
      </c>
      <c r="S2923" t="s">
        <v>1785</v>
      </c>
      <c r="V2923" t="s">
        <v>3956</v>
      </c>
      <c r="Z2923">
        <v>4</v>
      </c>
      <c r="AA2923">
        <v>4</v>
      </c>
      <c r="AC2923">
        <v>525.70000000000005</v>
      </c>
      <c r="AD2923">
        <v>26</v>
      </c>
      <c r="AE2923">
        <v>1300.5</v>
      </c>
      <c r="AF2923">
        <v>26</v>
      </c>
      <c r="AJ2923" t="s">
        <v>5011</v>
      </c>
      <c r="AK2923" t="s">
        <v>4093</v>
      </c>
      <c r="AN2923">
        <v>84</v>
      </c>
      <c r="AO2923">
        <v>14</v>
      </c>
      <c r="AP2923">
        <v>58</v>
      </c>
      <c r="AQ2923">
        <v>4</v>
      </c>
      <c r="AW2923" s="28">
        <f t="shared" si="303"/>
        <v>-2.5253432421288866</v>
      </c>
      <c r="AX2923">
        <f t="shared" si="304"/>
        <v>0.86956521739130432</v>
      </c>
      <c r="AY2923" s="62">
        <f t="shared" si="305"/>
        <v>-2.1959506453294666</v>
      </c>
      <c r="AZ2923" s="68" t="str">
        <f t="shared" si="306"/>
        <v>No</v>
      </c>
      <c r="BA2923" s="68" t="str">
        <f t="shared" si="307"/>
        <v>No</v>
      </c>
    </row>
    <row r="2924" spans="1:55" hidden="1">
      <c r="A2924" t="s">
        <v>3914</v>
      </c>
      <c r="G2924" t="s">
        <v>4365</v>
      </c>
      <c r="P2924" t="s">
        <v>60</v>
      </c>
      <c r="R2924" t="s">
        <v>4357</v>
      </c>
      <c r="S2924" t="s">
        <v>1785</v>
      </c>
      <c r="V2924" t="s">
        <v>3956</v>
      </c>
      <c r="Z2924">
        <v>4</v>
      </c>
      <c r="AA2924">
        <v>4</v>
      </c>
      <c r="AC2924">
        <v>525.70000000000005</v>
      </c>
      <c r="AD2924">
        <v>26</v>
      </c>
      <c r="AE2924">
        <v>1891.5</v>
      </c>
      <c r="AF2924">
        <v>26</v>
      </c>
      <c r="AJ2924" t="s">
        <v>2020</v>
      </c>
      <c r="AK2924" t="s">
        <v>4093</v>
      </c>
      <c r="AN2924">
        <v>84</v>
      </c>
      <c r="AO2924">
        <v>14</v>
      </c>
      <c r="AP2924">
        <v>56</v>
      </c>
      <c r="AQ2924">
        <v>22</v>
      </c>
      <c r="AW2924" s="28">
        <f t="shared" si="303"/>
        <v>-1.5185132047305931</v>
      </c>
      <c r="AX2924">
        <f t="shared" si="304"/>
        <v>0.86956521739130432</v>
      </c>
      <c r="AY2924" s="62">
        <f t="shared" si="305"/>
        <v>-1.3204462649831243</v>
      </c>
      <c r="AZ2924" s="68" t="str">
        <f t="shared" si="306"/>
        <v>No</v>
      </c>
      <c r="BA2924" s="68" t="str">
        <f t="shared" si="307"/>
        <v>No</v>
      </c>
    </row>
    <row r="2925" spans="1:55" s="56" customFormat="1" ht="15">
      <c r="A2925" t="s">
        <v>3914</v>
      </c>
      <c r="B2925"/>
      <c r="C2925"/>
      <c r="D2925" s="25"/>
      <c r="E2925" s="25"/>
      <c r="F2925"/>
      <c r="G2925" s="50" t="s">
        <v>4365</v>
      </c>
      <c r="H2925"/>
      <c r="I2925"/>
      <c r="J2925"/>
      <c r="K2925"/>
      <c r="L2925"/>
      <c r="M2925" s="25"/>
      <c r="N2925"/>
      <c r="O2925"/>
      <c r="P2925" t="s">
        <v>60</v>
      </c>
      <c r="Q2925"/>
      <c r="R2925" t="s">
        <v>4357</v>
      </c>
      <c r="S2925" s="50" t="s">
        <v>1785</v>
      </c>
      <c r="T2925"/>
      <c r="U2925"/>
      <c r="V2925" t="s">
        <v>3956</v>
      </c>
      <c r="W2925" s="25"/>
      <c r="X2925"/>
      <c r="Y2925"/>
      <c r="Z2925">
        <v>15</v>
      </c>
      <c r="AA2925">
        <v>15</v>
      </c>
      <c r="AB2925"/>
      <c r="AC2925">
        <v>525.70000000000005</v>
      </c>
      <c r="AD2925">
        <v>26</v>
      </c>
      <c r="AE2925">
        <v>6783.8</v>
      </c>
      <c r="AF2925">
        <v>26</v>
      </c>
      <c r="AG2925"/>
      <c r="AH2925"/>
      <c r="AI2925"/>
      <c r="AJ2925" s="50" t="s">
        <v>4431</v>
      </c>
      <c r="AK2925" t="s">
        <v>4244</v>
      </c>
      <c r="AL2925" s="25"/>
      <c r="AM2925" s="35"/>
      <c r="AN2925">
        <v>1780</v>
      </c>
      <c r="AO2925">
        <v>193.64916731037084</v>
      </c>
      <c r="AP2925">
        <v>300</v>
      </c>
      <c r="AQ2925">
        <v>116.18950038622251</v>
      </c>
      <c r="AR2925"/>
      <c r="AS2925"/>
      <c r="AT2925"/>
      <c r="AU2925"/>
      <c r="AV2925"/>
      <c r="AW2925" s="28">
        <f t="shared" si="303"/>
        <v>-9.2681195080602112</v>
      </c>
      <c r="AX2925">
        <f t="shared" si="304"/>
        <v>0.97297297297297303</v>
      </c>
      <c r="AY2925" s="62">
        <f t="shared" si="305"/>
        <v>-9.0176297916261525</v>
      </c>
      <c r="AZ2925" s="68" t="str">
        <f t="shared" si="306"/>
        <v>No</v>
      </c>
      <c r="BA2925" s="68" t="str">
        <f t="shared" si="307"/>
        <v>No</v>
      </c>
      <c r="BB2925"/>
      <c r="BC2925"/>
    </row>
    <row r="2926" spans="1:55" hidden="1">
      <c r="A2926" t="s">
        <v>3914</v>
      </c>
      <c r="G2926" s="50" t="s">
        <v>4365</v>
      </c>
      <c r="P2926" t="s">
        <v>60</v>
      </c>
      <c r="R2926" t="s">
        <v>4357</v>
      </c>
      <c r="S2926" s="50" t="s">
        <v>1785</v>
      </c>
      <c r="V2926" t="s">
        <v>3956</v>
      </c>
      <c r="Z2926" s="50">
        <v>15</v>
      </c>
      <c r="AA2926" s="50">
        <v>15</v>
      </c>
      <c r="AC2926">
        <v>525.70000000000005</v>
      </c>
      <c r="AD2926">
        <v>26</v>
      </c>
      <c r="AE2926">
        <v>1300.5</v>
      </c>
      <c r="AF2926">
        <v>26</v>
      </c>
      <c r="AJ2926" s="50" t="s">
        <v>4431</v>
      </c>
      <c r="AK2926" t="s">
        <v>4244</v>
      </c>
      <c r="AN2926">
        <v>1780</v>
      </c>
      <c r="AO2926">
        <v>193.64916731037084</v>
      </c>
      <c r="AP2926">
        <v>1820</v>
      </c>
      <c r="AQ2926">
        <v>193.64916731037084</v>
      </c>
      <c r="AW2926" s="28">
        <f t="shared" si="303"/>
        <v>0.2065591117977289</v>
      </c>
      <c r="AX2926">
        <f t="shared" si="304"/>
        <v>0.97297297297297303</v>
      </c>
      <c r="AY2926" s="62">
        <f t="shared" si="305"/>
        <v>0.20097643310049298</v>
      </c>
      <c r="AZ2926" s="68" t="str">
        <f t="shared" si="306"/>
        <v>No</v>
      </c>
      <c r="BA2926" s="68" t="str">
        <f t="shared" si="307"/>
        <v>No</v>
      </c>
    </row>
    <row r="2927" spans="1:55" hidden="1">
      <c r="A2927" t="s">
        <v>3914</v>
      </c>
      <c r="G2927" s="50" t="s">
        <v>4365</v>
      </c>
      <c r="P2927" t="s">
        <v>60</v>
      </c>
      <c r="R2927" t="s">
        <v>4357</v>
      </c>
      <c r="S2927" s="50" t="s">
        <v>1785</v>
      </c>
      <c r="V2927" t="s">
        <v>3956</v>
      </c>
      <c r="Z2927" s="50">
        <v>15</v>
      </c>
      <c r="AA2927" s="50">
        <v>15</v>
      </c>
      <c r="AC2927">
        <v>525.70000000000005</v>
      </c>
      <c r="AD2927">
        <v>26</v>
      </c>
      <c r="AE2927">
        <v>1891.5</v>
      </c>
      <c r="AF2927">
        <v>26</v>
      </c>
      <c r="AJ2927" s="50" t="s">
        <v>4431</v>
      </c>
      <c r="AK2927" t="s">
        <v>4244</v>
      </c>
      <c r="AN2927">
        <v>1780</v>
      </c>
      <c r="AO2927">
        <v>193.64916731037084</v>
      </c>
      <c r="AP2927">
        <v>800</v>
      </c>
      <c r="AQ2927">
        <v>193.64916731037084</v>
      </c>
      <c r="AW2927" s="28">
        <f t="shared" si="303"/>
        <v>-5.060698239044358</v>
      </c>
      <c r="AX2927">
        <f t="shared" si="304"/>
        <v>0.97297297297297303</v>
      </c>
      <c r="AY2927" s="62">
        <f t="shared" si="305"/>
        <v>-4.9239226109620784</v>
      </c>
      <c r="AZ2927" s="68" t="str">
        <f t="shared" si="306"/>
        <v>No</v>
      </c>
      <c r="BA2927" s="68" t="str">
        <f t="shared" si="307"/>
        <v>No</v>
      </c>
    </row>
    <row r="2928" spans="1:55" ht="15" hidden="1">
      <c r="A2928" t="s">
        <v>3914</v>
      </c>
      <c r="G2928" t="s">
        <v>4999</v>
      </c>
      <c r="P2928" t="s">
        <v>60</v>
      </c>
      <c r="R2928" t="s">
        <v>4346</v>
      </c>
      <c r="S2928" t="s">
        <v>1783</v>
      </c>
      <c r="V2928" t="s">
        <v>3956</v>
      </c>
      <c r="Z2928">
        <v>3</v>
      </c>
      <c r="AA2928">
        <v>3</v>
      </c>
      <c r="AC2928">
        <v>326.60000000000002</v>
      </c>
      <c r="AD2928">
        <v>-0.5</v>
      </c>
      <c r="AE2928">
        <v>691.2</v>
      </c>
      <c r="AF2928">
        <v>-0.5</v>
      </c>
      <c r="AJ2928" t="s">
        <v>2020</v>
      </c>
      <c r="AK2928" t="s">
        <v>4093</v>
      </c>
      <c r="AN2928">
        <v>98</v>
      </c>
      <c r="AO2928">
        <v>1.7320508075688772</v>
      </c>
      <c r="AP2928">
        <v>93</v>
      </c>
      <c r="AQ2928">
        <v>4.3301270189221928</v>
      </c>
      <c r="AW2928" s="28">
        <f t="shared" si="303"/>
        <v>-1.5161960871578071</v>
      </c>
      <c r="AX2928">
        <f t="shared" si="304"/>
        <v>0.8</v>
      </c>
      <c r="AY2928" s="73">
        <f t="shared" si="305"/>
        <v>-1.2129568697262458</v>
      </c>
      <c r="AZ2928" s="74" t="str">
        <f t="shared" si="306"/>
        <v>No</v>
      </c>
      <c r="BA2928" s="74" t="str">
        <f t="shared" si="307"/>
        <v>No</v>
      </c>
      <c r="BB2928" s="56"/>
      <c r="BC2928" s="56"/>
    </row>
    <row r="2929" spans="1:55" ht="15" hidden="1">
      <c r="A2929" t="s">
        <v>3914</v>
      </c>
      <c r="G2929" t="s">
        <v>4348</v>
      </c>
      <c r="P2929" t="s">
        <v>60</v>
      </c>
      <c r="R2929" t="s">
        <v>4346</v>
      </c>
      <c r="S2929" t="s">
        <v>1783</v>
      </c>
      <c r="V2929" t="s">
        <v>3956</v>
      </c>
      <c r="Z2929">
        <v>3</v>
      </c>
      <c r="AA2929">
        <v>3</v>
      </c>
      <c r="AC2929">
        <v>326.60000000000002</v>
      </c>
      <c r="AD2929">
        <v>-0.5</v>
      </c>
      <c r="AE2929">
        <v>1129.5999999999999</v>
      </c>
      <c r="AF2929">
        <v>-0.5</v>
      </c>
      <c r="AJ2929" t="s">
        <v>2020</v>
      </c>
      <c r="AK2929" t="s">
        <v>4093</v>
      </c>
      <c r="AN2929">
        <v>98</v>
      </c>
      <c r="AO2929">
        <v>1.7320508075688772</v>
      </c>
      <c r="AP2929">
        <v>96</v>
      </c>
      <c r="AQ2929">
        <v>5.196152422706632</v>
      </c>
      <c r="AW2929" s="28">
        <f t="shared" si="303"/>
        <v>-0.5163977794943222</v>
      </c>
      <c r="AX2929">
        <f t="shared" si="304"/>
        <v>0.8</v>
      </c>
      <c r="AY2929" s="73">
        <f t="shared" si="305"/>
        <v>-0.4131182235954578</v>
      </c>
      <c r="AZ2929" s="74" t="str">
        <f t="shared" si="306"/>
        <v>No</v>
      </c>
      <c r="BA2929" s="74" t="str">
        <f t="shared" si="307"/>
        <v>No</v>
      </c>
      <c r="BB2929" s="56"/>
      <c r="BC2929" s="56"/>
    </row>
    <row r="2930" spans="1:55" hidden="1">
      <c r="A2930" t="s">
        <v>3914</v>
      </c>
      <c r="G2930" s="50" t="s">
        <v>4348</v>
      </c>
      <c r="P2930" t="s">
        <v>60</v>
      </c>
      <c r="R2930" t="s">
        <v>4346</v>
      </c>
      <c r="S2930" t="s">
        <v>1783</v>
      </c>
      <c r="V2930" t="s">
        <v>3956</v>
      </c>
      <c r="Z2930">
        <v>3</v>
      </c>
      <c r="AA2930">
        <v>3</v>
      </c>
      <c r="AC2930">
        <v>326.60000000000002</v>
      </c>
      <c r="AD2930">
        <v>-0.5</v>
      </c>
      <c r="AE2930">
        <v>691.2</v>
      </c>
      <c r="AF2930">
        <v>-0.5</v>
      </c>
      <c r="AJ2930" t="s">
        <v>1827</v>
      </c>
      <c r="AK2930" t="s">
        <v>4244</v>
      </c>
      <c r="AN2930">
        <v>1069.7</v>
      </c>
      <c r="AO2930">
        <v>36.373066958946424</v>
      </c>
      <c r="AP2930">
        <v>1189.5</v>
      </c>
      <c r="AQ2930">
        <v>26.327172275046934</v>
      </c>
      <c r="AW2930" s="28">
        <f t="shared" si="303"/>
        <v>3.7732330252779014</v>
      </c>
      <c r="AX2930">
        <f t="shared" si="304"/>
        <v>0.8</v>
      </c>
      <c r="AY2930" s="62">
        <f t="shared" si="305"/>
        <v>3.0185864202223214</v>
      </c>
      <c r="AZ2930" s="68" t="str">
        <f t="shared" si="306"/>
        <v>No</v>
      </c>
      <c r="BA2930" s="68" t="str">
        <f t="shared" si="307"/>
        <v>No</v>
      </c>
    </row>
    <row r="2931" spans="1:55" hidden="1">
      <c r="A2931" t="s">
        <v>3914</v>
      </c>
      <c r="G2931" s="50" t="s">
        <v>4348</v>
      </c>
      <c r="P2931" t="s">
        <v>60</v>
      </c>
      <c r="R2931" t="s">
        <v>4346</v>
      </c>
      <c r="S2931" t="s">
        <v>1783</v>
      </c>
      <c r="V2931" t="s">
        <v>3956</v>
      </c>
      <c r="Z2931">
        <v>3</v>
      </c>
      <c r="AA2931">
        <v>3</v>
      </c>
      <c r="AC2931">
        <v>326.60000000000002</v>
      </c>
      <c r="AD2931">
        <v>-0.5</v>
      </c>
      <c r="AE2931">
        <v>1129.5999999999999</v>
      </c>
      <c r="AF2931">
        <v>-0.5</v>
      </c>
      <c r="AJ2931" s="50" t="s">
        <v>1827</v>
      </c>
      <c r="AK2931" t="s">
        <v>4244</v>
      </c>
      <c r="AN2931">
        <v>1069.7</v>
      </c>
      <c r="AO2931">
        <v>36.373066958946424</v>
      </c>
      <c r="AP2931">
        <v>1032.5999999999999</v>
      </c>
      <c r="AQ2931">
        <v>92.145102962664268</v>
      </c>
      <c r="AW2931" s="28">
        <f t="shared" si="303"/>
        <v>-0.52962938909608304</v>
      </c>
      <c r="AX2931">
        <f t="shared" si="304"/>
        <v>0.8</v>
      </c>
      <c r="AY2931" s="62">
        <f t="shared" si="305"/>
        <v>-0.42370351127686645</v>
      </c>
      <c r="AZ2931" s="68" t="str">
        <f t="shared" si="306"/>
        <v>No</v>
      </c>
      <c r="BA2931" s="68" t="str">
        <f t="shared" si="307"/>
        <v>No</v>
      </c>
    </row>
    <row r="2932" spans="1:55" hidden="1">
      <c r="A2932" t="s">
        <v>3914</v>
      </c>
      <c r="G2932" t="s">
        <v>4544</v>
      </c>
      <c r="P2932" t="s">
        <v>4596</v>
      </c>
      <c r="R2932" t="s">
        <v>4623</v>
      </c>
      <c r="S2932" t="s">
        <v>1764</v>
      </c>
      <c r="V2932" t="s">
        <v>4598</v>
      </c>
      <c r="Z2932">
        <v>8</v>
      </c>
      <c r="AA2932">
        <v>8</v>
      </c>
      <c r="AC2932">
        <v>484</v>
      </c>
      <c r="AD2932" s="54">
        <v>30</v>
      </c>
      <c r="AE2932">
        <v>568.70000000000005</v>
      </c>
      <c r="AF2932" s="54">
        <v>32</v>
      </c>
      <c r="AJ2932" t="s">
        <v>4876</v>
      </c>
      <c r="AK2932" t="s">
        <v>770</v>
      </c>
      <c r="AN2932">
        <v>5.75</v>
      </c>
      <c r="AO2932">
        <f>0.2*SQRT(8)</f>
        <v>0.56568542494923812</v>
      </c>
      <c r="AP2932">
        <v>5.25</v>
      </c>
      <c r="AQ2932">
        <f>0.2*SQRT(8)</f>
        <v>0.56568542494923812</v>
      </c>
      <c r="AW2932" s="28">
        <f t="shared" si="303"/>
        <v>-0.88388347648318422</v>
      </c>
      <c r="AX2932">
        <f t="shared" si="304"/>
        <v>0.94545454545454544</v>
      </c>
      <c r="AY2932" s="62">
        <f t="shared" si="305"/>
        <v>-0.83567165049319236</v>
      </c>
      <c r="AZ2932" s="68" t="str">
        <f t="shared" si="306"/>
        <v>No</v>
      </c>
      <c r="BA2932" s="68" t="str">
        <f t="shared" si="307"/>
        <v>No</v>
      </c>
    </row>
    <row r="2933" spans="1:55" hidden="1">
      <c r="A2933" t="s">
        <v>3914</v>
      </c>
      <c r="G2933" t="s">
        <v>4544</v>
      </c>
      <c r="P2933" t="s">
        <v>4596</v>
      </c>
      <c r="R2933" t="s">
        <v>4623</v>
      </c>
      <c r="S2933" t="s">
        <v>1764</v>
      </c>
      <c r="V2933" t="s">
        <v>4600</v>
      </c>
      <c r="Z2933">
        <v>8</v>
      </c>
      <c r="AA2933">
        <v>8</v>
      </c>
      <c r="AC2933">
        <v>484</v>
      </c>
      <c r="AD2933" s="54">
        <v>30</v>
      </c>
      <c r="AE2933">
        <v>1085</v>
      </c>
      <c r="AF2933" s="54">
        <v>32</v>
      </c>
      <c r="AJ2933" t="s">
        <v>4876</v>
      </c>
      <c r="AK2933" t="s">
        <v>4844</v>
      </c>
      <c r="AN2933">
        <v>5.75</v>
      </c>
      <c r="AO2933">
        <f>0.2*SQRT(8)</f>
        <v>0.56568542494923812</v>
      </c>
      <c r="AP2933">
        <v>5.2</v>
      </c>
      <c r="AQ2933">
        <f>0.2*SQRT(8)</f>
        <v>0.56568542494923812</v>
      </c>
      <c r="AW2933" s="28">
        <f t="shared" si="303"/>
        <v>-0.97227182413150237</v>
      </c>
      <c r="AX2933">
        <f t="shared" si="304"/>
        <v>0.94545454545454544</v>
      </c>
      <c r="AY2933" s="62">
        <f t="shared" si="305"/>
        <v>-0.9192388155425113</v>
      </c>
      <c r="AZ2933" s="68" t="str">
        <f t="shared" si="306"/>
        <v>No</v>
      </c>
      <c r="BA2933" s="68" t="str">
        <f t="shared" si="307"/>
        <v>No</v>
      </c>
    </row>
    <row r="2934" spans="1:55" hidden="1">
      <c r="A2934" t="s">
        <v>3914</v>
      </c>
      <c r="G2934" s="50" t="s">
        <v>5093</v>
      </c>
      <c r="P2934" t="s">
        <v>60</v>
      </c>
      <c r="R2934" t="s">
        <v>4509</v>
      </c>
      <c r="S2934" s="50" t="s">
        <v>1764</v>
      </c>
      <c r="V2934" t="s">
        <v>3956</v>
      </c>
      <c r="Z2934" s="50">
        <v>8</v>
      </c>
      <c r="AA2934" s="50">
        <v>8</v>
      </c>
      <c r="AC2934">
        <v>484</v>
      </c>
      <c r="AD2934">
        <v>30</v>
      </c>
      <c r="AE2934">
        <v>1149</v>
      </c>
      <c r="AF2934">
        <v>30</v>
      </c>
      <c r="AJ2934" s="50" t="s">
        <v>4256</v>
      </c>
      <c r="AK2934" t="s">
        <v>4491</v>
      </c>
      <c r="AN2934">
        <v>51</v>
      </c>
      <c r="AO2934">
        <v>8.6584503818760936</v>
      </c>
      <c r="AP2934">
        <v>68</v>
      </c>
      <c r="AQ2934">
        <v>7.2153753182300768</v>
      </c>
      <c r="AW2934" s="28">
        <f t="shared" si="303"/>
        <v>2.1330944196820467</v>
      </c>
      <c r="AX2934">
        <f t="shared" si="304"/>
        <v>0.94545454545454544</v>
      </c>
      <c r="AY2934" s="62">
        <f t="shared" si="305"/>
        <v>2.0167438149721169</v>
      </c>
      <c r="AZ2934" s="68" t="str">
        <f t="shared" si="306"/>
        <v>No</v>
      </c>
      <c r="BA2934" s="68" t="str">
        <f t="shared" si="307"/>
        <v>No</v>
      </c>
    </row>
    <row r="2935" spans="1:55" hidden="1">
      <c r="A2935" t="s">
        <v>3914</v>
      </c>
      <c r="G2935" t="s">
        <v>4874</v>
      </c>
      <c r="P2935" t="s">
        <v>4596</v>
      </c>
      <c r="R2935" t="s">
        <v>4623</v>
      </c>
      <c r="S2935" t="s">
        <v>1764</v>
      </c>
      <c r="V2935" t="s">
        <v>4598</v>
      </c>
      <c r="Z2935">
        <v>8</v>
      </c>
      <c r="AA2935">
        <v>8</v>
      </c>
      <c r="AC2935">
        <v>484</v>
      </c>
      <c r="AD2935" s="54">
        <v>30</v>
      </c>
      <c r="AE2935">
        <v>568.70000000000005</v>
      </c>
      <c r="AF2935" s="54">
        <v>32</v>
      </c>
      <c r="AJ2935" t="s">
        <v>4875</v>
      </c>
      <c r="AK2935" t="s">
        <v>4848</v>
      </c>
      <c r="AN2935">
        <v>49</v>
      </c>
      <c r="AO2935" s="63" t="s">
        <v>4970</v>
      </c>
      <c r="AP2935">
        <v>8</v>
      </c>
      <c r="AQ2935" s="63" t="s">
        <v>4970</v>
      </c>
      <c r="AU2935" s="57" t="s">
        <v>4878</v>
      </c>
      <c r="AW2935" s="28" t="e">
        <f t="shared" si="303"/>
        <v>#VALUE!</v>
      </c>
      <c r="AX2935">
        <f t="shared" si="304"/>
        <v>0.94545454545454544</v>
      </c>
      <c r="AY2935" s="62" t="e">
        <f t="shared" si="305"/>
        <v>#VALUE!</v>
      </c>
      <c r="AZ2935" s="68" t="e">
        <f t="shared" si="306"/>
        <v>#VALUE!</v>
      </c>
      <c r="BA2935" s="68" t="e">
        <f t="shared" si="307"/>
        <v>#VALUE!</v>
      </c>
    </row>
    <row r="2936" spans="1:55" hidden="1">
      <c r="A2936" t="s">
        <v>3914</v>
      </c>
      <c r="G2936" t="s">
        <v>4544</v>
      </c>
      <c r="P2936" t="s">
        <v>4596</v>
      </c>
      <c r="R2936" t="s">
        <v>4623</v>
      </c>
      <c r="S2936" t="s">
        <v>1764</v>
      </c>
      <c r="V2936" t="s">
        <v>4600</v>
      </c>
      <c r="Z2936">
        <v>8</v>
      </c>
      <c r="AA2936">
        <v>8</v>
      </c>
      <c r="AC2936">
        <v>484</v>
      </c>
      <c r="AD2936" s="54">
        <v>30</v>
      </c>
      <c r="AE2936">
        <v>1085</v>
      </c>
      <c r="AF2936" s="54">
        <v>32</v>
      </c>
      <c r="AJ2936" t="s">
        <v>4256</v>
      </c>
      <c r="AK2936" t="s">
        <v>4848</v>
      </c>
      <c r="AN2936">
        <v>49</v>
      </c>
      <c r="AO2936" s="63" t="s">
        <v>4970</v>
      </c>
      <c r="AP2936">
        <v>6</v>
      </c>
      <c r="AQ2936" s="63" t="s">
        <v>4970</v>
      </c>
      <c r="AU2936" s="57" t="s">
        <v>4878</v>
      </c>
      <c r="AW2936" s="28" t="e">
        <f t="shared" si="303"/>
        <v>#VALUE!</v>
      </c>
      <c r="AX2936">
        <f t="shared" si="304"/>
        <v>0.94545454545454544</v>
      </c>
      <c r="AY2936" s="62" t="e">
        <f t="shared" si="305"/>
        <v>#VALUE!</v>
      </c>
      <c r="AZ2936" s="68" t="e">
        <f t="shared" si="306"/>
        <v>#VALUE!</v>
      </c>
      <c r="BA2936" s="68" t="e">
        <f t="shared" si="307"/>
        <v>#VALUE!</v>
      </c>
    </row>
    <row r="2937" spans="1:55" hidden="1">
      <c r="A2937" t="s">
        <v>3914</v>
      </c>
      <c r="G2937" t="s">
        <v>5079</v>
      </c>
      <c r="P2937" t="s">
        <v>60</v>
      </c>
      <c r="R2937" t="s">
        <v>4509</v>
      </c>
      <c r="S2937" t="s">
        <v>1764</v>
      </c>
      <c r="V2937" t="s">
        <v>3956</v>
      </c>
      <c r="Z2937">
        <v>8</v>
      </c>
      <c r="AA2937">
        <v>8</v>
      </c>
      <c r="AC2937">
        <v>550.4</v>
      </c>
      <c r="AD2937">
        <v>26.7</v>
      </c>
      <c r="AE2937">
        <v>2116.1</v>
      </c>
      <c r="AF2937">
        <v>26.6</v>
      </c>
      <c r="AJ2937" t="s">
        <v>677</v>
      </c>
      <c r="AK2937" t="s">
        <v>4516</v>
      </c>
      <c r="AN2937">
        <v>74.7</v>
      </c>
      <c r="AO2937">
        <v>5.0999999999999996</v>
      </c>
      <c r="AP2937">
        <v>46.3</v>
      </c>
      <c r="AQ2937">
        <v>16.05</v>
      </c>
      <c r="AW2937" s="28">
        <f t="shared" si="303"/>
        <v>-2.3849026371807285</v>
      </c>
      <c r="AX2937">
        <f t="shared" si="304"/>
        <v>0.94545454545454544</v>
      </c>
      <c r="AY2937" s="62">
        <f t="shared" si="305"/>
        <v>-2.2548170387890525</v>
      </c>
      <c r="AZ2937" s="68" t="str">
        <f t="shared" si="306"/>
        <v>No</v>
      </c>
      <c r="BA2937" s="68" t="str">
        <f t="shared" si="307"/>
        <v>No</v>
      </c>
    </row>
    <row r="2938" spans="1:55" hidden="1">
      <c r="A2938" t="s">
        <v>3914</v>
      </c>
      <c r="G2938" t="s">
        <v>4198</v>
      </c>
      <c r="P2938" t="s">
        <v>60</v>
      </c>
      <c r="R2938" t="s">
        <v>4116</v>
      </c>
      <c r="S2938" t="s">
        <v>1069</v>
      </c>
      <c r="V2938" t="s">
        <v>3956</v>
      </c>
      <c r="Z2938">
        <v>4</v>
      </c>
      <c r="AA2938">
        <v>4</v>
      </c>
      <c r="AC2938">
        <v>644.59</v>
      </c>
      <c r="AD2938">
        <v>24</v>
      </c>
      <c r="AE2938">
        <v>2539.66</v>
      </c>
      <c r="AF2938">
        <v>24</v>
      </c>
      <c r="AJ2938" t="s">
        <v>4065</v>
      </c>
      <c r="AK2938" t="s">
        <v>4258</v>
      </c>
      <c r="AN2938">
        <v>4.3</v>
      </c>
      <c r="AO2938">
        <v>2</v>
      </c>
      <c r="AP2938">
        <v>1</v>
      </c>
      <c r="AQ2938">
        <v>0.5</v>
      </c>
      <c r="AW2938" s="28">
        <f t="shared" si="303"/>
        <v>-2.2637813238811164</v>
      </c>
      <c r="AX2938">
        <f t="shared" si="304"/>
        <v>0.86956521739130432</v>
      </c>
      <c r="AY2938" s="62">
        <f t="shared" si="305"/>
        <v>-1.9685054990270576</v>
      </c>
      <c r="AZ2938" s="68" t="str">
        <f t="shared" si="306"/>
        <v>No</v>
      </c>
      <c r="BA2938" s="68" t="str">
        <f t="shared" si="307"/>
        <v>No</v>
      </c>
    </row>
    <row r="2939" spans="1:55" hidden="1">
      <c r="A2939" t="s">
        <v>3914</v>
      </c>
      <c r="G2939" t="s">
        <v>4198</v>
      </c>
      <c r="P2939" t="s">
        <v>60</v>
      </c>
      <c r="R2939" t="s">
        <v>4116</v>
      </c>
      <c r="S2939" t="s">
        <v>1070</v>
      </c>
      <c r="V2939" t="s">
        <v>3956</v>
      </c>
      <c r="Z2939">
        <v>4</v>
      </c>
      <c r="AA2939">
        <v>4</v>
      </c>
      <c r="AC2939">
        <v>644.59</v>
      </c>
      <c r="AD2939">
        <v>24</v>
      </c>
      <c r="AE2939">
        <v>2539.66</v>
      </c>
      <c r="AF2939">
        <v>24</v>
      </c>
      <c r="AJ2939" t="s">
        <v>4216</v>
      </c>
      <c r="AK2939" t="s">
        <v>4244</v>
      </c>
      <c r="AN2939">
        <v>215</v>
      </c>
      <c r="AO2939">
        <v>6</v>
      </c>
      <c r="AP2939">
        <v>155</v>
      </c>
      <c r="AQ2939">
        <v>7</v>
      </c>
      <c r="AW2939" s="28">
        <f t="shared" si="303"/>
        <v>-9.2035798661684449</v>
      </c>
      <c r="AX2939">
        <f t="shared" si="304"/>
        <v>0.86956521739130432</v>
      </c>
      <c r="AY2939" s="62">
        <f t="shared" si="305"/>
        <v>-8.003112927102995</v>
      </c>
      <c r="AZ2939" s="68" t="str">
        <f t="shared" si="306"/>
        <v>No</v>
      </c>
      <c r="BA2939" s="68" t="str">
        <f t="shared" si="307"/>
        <v>No</v>
      </c>
    </row>
    <row r="2940" spans="1:55" hidden="1">
      <c r="A2940" t="s">
        <v>3914</v>
      </c>
      <c r="G2940" t="s">
        <v>4198</v>
      </c>
      <c r="P2940" t="s">
        <v>60</v>
      </c>
      <c r="R2940" t="s">
        <v>4116</v>
      </c>
      <c r="S2940" t="s">
        <v>1070</v>
      </c>
      <c r="V2940" t="s">
        <v>3956</v>
      </c>
      <c r="Z2940">
        <v>4</v>
      </c>
      <c r="AA2940">
        <v>4</v>
      </c>
      <c r="AC2940">
        <v>644.59</v>
      </c>
      <c r="AD2940">
        <v>24</v>
      </c>
      <c r="AE2940">
        <v>2539.66</v>
      </c>
      <c r="AF2940">
        <v>24</v>
      </c>
      <c r="AJ2940" t="s">
        <v>4065</v>
      </c>
      <c r="AK2940" t="s">
        <v>4258</v>
      </c>
      <c r="AN2940">
        <v>37.5</v>
      </c>
      <c r="AO2940">
        <v>7</v>
      </c>
      <c r="AP2940">
        <v>12.5</v>
      </c>
      <c r="AQ2940">
        <v>7</v>
      </c>
      <c r="AW2940" s="28">
        <f t="shared" si="303"/>
        <v>-3.5714285714285716</v>
      </c>
      <c r="AX2940">
        <f t="shared" si="304"/>
        <v>0.86956521739130432</v>
      </c>
      <c r="AY2940" s="62">
        <f t="shared" si="305"/>
        <v>-3.1055900621118013</v>
      </c>
      <c r="AZ2940" s="68" t="str">
        <f t="shared" si="306"/>
        <v>No</v>
      </c>
      <c r="BA2940" s="68" t="str">
        <f t="shared" si="307"/>
        <v>No</v>
      </c>
    </row>
    <row r="2941" spans="1:55" hidden="1">
      <c r="A2941" t="s">
        <v>3914</v>
      </c>
      <c r="G2941" t="s">
        <v>4198</v>
      </c>
      <c r="P2941" t="s">
        <v>60</v>
      </c>
      <c r="R2941" t="s">
        <v>4116</v>
      </c>
      <c r="S2941" t="s">
        <v>1070</v>
      </c>
      <c r="V2941" t="s">
        <v>3956</v>
      </c>
      <c r="Z2941">
        <v>4</v>
      </c>
      <c r="AA2941">
        <v>4</v>
      </c>
      <c r="AC2941">
        <v>644.59</v>
      </c>
      <c r="AD2941">
        <v>24</v>
      </c>
      <c r="AE2941">
        <v>2539.66</v>
      </c>
      <c r="AF2941">
        <v>24</v>
      </c>
      <c r="AJ2941" t="s">
        <v>1202</v>
      </c>
      <c r="AK2941" t="s">
        <v>4093</v>
      </c>
      <c r="AN2941">
        <v>88</v>
      </c>
      <c r="AO2941">
        <v>1</v>
      </c>
      <c r="AP2941">
        <v>14</v>
      </c>
      <c r="AQ2941">
        <v>11</v>
      </c>
      <c r="AW2941" s="28">
        <f t="shared" si="303"/>
        <v>-9.474729115034302</v>
      </c>
      <c r="AX2941">
        <f t="shared" si="304"/>
        <v>0.86956521739130432</v>
      </c>
      <c r="AY2941" s="62">
        <f t="shared" si="305"/>
        <v>-8.2388948826385224</v>
      </c>
      <c r="AZ2941" s="68" t="str">
        <f t="shared" si="306"/>
        <v>No</v>
      </c>
      <c r="BA2941" s="68" t="str">
        <f t="shared" si="307"/>
        <v>No</v>
      </c>
    </row>
    <row r="2942" spans="1:55" hidden="1">
      <c r="A2942" t="s">
        <v>3914</v>
      </c>
      <c r="G2942" t="s">
        <v>4198</v>
      </c>
      <c r="P2942" t="s">
        <v>60</v>
      </c>
      <c r="R2942" t="s">
        <v>4116</v>
      </c>
      <c r="S2942" t="s">
        <v>1069</v>
      </c>
      <c r="V2942" t="s">
        <v>3956</v>
      </c>
      <c r="Z2942">
        <v>4</v>
      </c>
      <c r="AA2942">
        <v>4</v>
      </c>
      <c r="AC2942">
        <v>644.59</v>
      </c>
      <c r="AD2942">
        <v>24</v>
      </c>
      <c r="AE2942">
        <v>2539.66</v>
      </c>
      <c r="AF2942">
        <v>24</v>
      </c>
      <c r="AJ2942" t="s">
        <v>1202</v>
      </c>
      <c r="AK2942" t="s">
        <v>4093</v>
      </c>
      <c r="AN2942">
        <v>56</v>
      </c>
      <c r="AO2942">
        <v>19</v>
      </c>
      <c r="AP2942">
        <v>87.5</v>
      </c>
      <c r="AQ2942">
        <v>12.5</v>
      </c>
      <c r="AW2942" s="28">
        <f t="shared" si="303"/>
        <v>1.9587332784393419</v>
      </c>
      <c r="AX2942">
        <f t="shared" si="304"/>
        <v>0.86956521739130432</v>
      </c>
      <c r="AY2942" s="62">
        <f t="shared" si="305"/>
        <v>1.7032463290776885</v>
      </c>
      <c r="AZ2942" s="68" t="str">
        <f t="shared" si="306"/>
        <v>No</v>
      </c>
      <c r="BA2942" s="68" t="str">
        <f t="shared" si="307"/>
        <v>No</v>
      </c>
    </row>
    <row r="2943" spans="1:55" hidden="1">
      <c r="A2943" t="s">
        <v>3914</v>
      </c>
      <c r="G2943" t="s">
        <v>4198</v>
      </c>
      <c r="P2943" t="s">
        <v>60</v>
      </c>
      <c r="R2943" t="s">
        <v>4116</v>
      </c>
      <c r="S2943" t="s">
        <v>1069</v>
      </c>
      <c r="V2943" t="s">
        <v>3956</v>
      </c>
      <c r="Z2943">
        <v>4</v>
      </c>
      <c r="AA2943">
        <v>4</v>
      </c>
      <c r="AC2943">
        <v>644.59</v>
      </c>
      <c r="AD2943">
        <v>24</v>
      </c>
      <c r="AE2943">
        <v>2539.66</v>
      </c>
      <c r="AF2943">
        <v>24</v>
      </c>
      <c r="AJ2943" t="s">
        <v>4216</v>
      </c>
      <c r="AK2943" t="s">
        <v>4244</v>
      </c>
      <c r="AN2943">
        <v>330</v>
      </c>
      <c r="AO2943">
        <v>40</v>
      </c>
      <c r="AP2943">
        <v>280</v>
      </c>
      <c r="AQ2943">
        <v>20</v>
      </c>
      <c r="AW2943" s="28">
        <f t="shared" si="303"/>
        <v>-1.5811388300841898</v>
      </c>
      <c r="AX2943">
        <f t="shared" si="304"/>
        <v>0.86956521739130432</v>
      </c>
      <c r="AY2943" s="62">
        <f t="shared" si="305"/>
        <v>-1.374903330507991</v>
      </c>
      <c r="AZ2943" s="68" t="str">
        <f t="shared" si="306"/>
        <v>No</v>
      </c>
      <c r="BA2943" s="68" t="str">
        <f t="shared" si="307"/>
        <v>No</v>
      </c>
    </row>
    <row r="2944" spans="1:55" hidden="1">
      <c r="A2944" t="s">
        <v>3914</v>
      </c>
      <c r="G2944" t="s">
        <v>3931</v>
      </c>
      <c r="P2944" t="s">
        <v>60</v>
      </c>
      <c r="R2944" t="s">
        <v>3942</v>
      </c>
      <c r="S2944" t="s">
        <v>3943</v>
      </c>
      <c r="V2944" t="s">
        <v>3956</v>
      </c>
      <c r="Z2944">
        <v>227</v>
      </c>
      <c r="AA2944">
        <v>32</v>
      </c>
      <c r="AC2944">
        <v>885.01</v>
      </c>
      <c r="AD2944">
        <v>13.2</v>
      </c>
      <c r="AE2944">
        <v>2484.36</v>
      </c>
      <c r="AF2944">
        <v>13.2</v>
      </c>
      <c r="AJ2944" t="s">
        <v>3940</v>
      </c>
      <c r="AK2944" t="s">
        <v>904</v>
      </c>
      <c r="AN2944">
        <v>16.07</v>
      </c>
      <c r="AO2944">
        <v>5.29</v>
      </c>
      <c r="AP2944">
        <v>12.21</v>
      </c>
      <c r="AQ2944">
        <v>4.09</v>
      </c>
      <c r="AW2944" s="28">
        <f t="shared" si="303"/>
        <v>-0.74805116559368701</v>
      </c>
      <c r="AX2944">
        <f t="shared" si="304"/>
        <v>0.99707887049659205</v>
      </c>
      <c r="AY2944" s="62">
        <f t="shared" si="305"/>
        <v>-0.74586601126381258</v>
      </c>
      <c r="AZ2944" s="68" t="str">
        <f t="shared" si="306"/>
        <v>No</v>
      </c>
      <c r="BA2944" s="68" t="str">
        <f t="shared" si="307"/>
        <v>No</v>
      </c>
    </row>
    <row r="2945" spans="1:55" hidden="1">
      <c r="A2945" t="s">
        <v>3914</v>
      </c>
      <c r="G2945" t="s">
        <v>3931</v>
      </c>
      <c r="P2945" t="s">
        <v>60</v>
      </c>
      <c r="R2945" t="s">
        <v>3942</v>
      </c>
      <c r="S2945" t="s">
        <v>3943</v>
      </c>
      <c r="V2945" t="s">
        <v>3956</v>
      </c>
      <c r="Z2945">
        <v>227</v>
      </c>
      <c r="AA2945">
        <v>107</v>
      </c>
      <c r="AC2945">
        <v>380.7</v>
      </c>
      <c r="AD2945">
        <v>13.17</v>
      </c>
      <c r="AE2945">
        <v>578.35</v>
      </c>
      <c r="AF2945">
        <v>13.2</v>
      </c>
      <c r="AJ2945" t="s">
        <v>3940</v>
      </c>
      <c r="AK2945" t="s">
        <v>904</v>
      </c>
      <c r="AN2945">
        <v>16.07</v>
      </c>
      <c r="AO2945">
        <v>5.29</v>
      </c>
      <c r="AP2945">
        <v>13.39</v>
      </c>
      <c r="AQ2945">
        <v>4.12</v>
      </c>
      <c r="AW2945" s="28">
        <f t="shared" si="303"/>
        <v>-0.5417851342696548</v>
      </c>
      <c r="AX2945">
        <f t="shared" si="304"/>
        <v>0.99773926149208747</v>
      </c>
      <c r="AY2945" s="62">
        <f t="shared" si="305"/>
        <v>-0.54056029975359687</v>
      </c>
      <c r="AZ2945" s="68" t="str">
        <f t="shared" si="306"/>
        <v>No</v>
      </c>
      <c r="BA2945" s="68" t="str">
        <f t="shared" si="307"/>
        <v>No</v>
      </c>
    </row>
    <row r="2946" spans="1:55" hidden="1">
      <c r="A2946" t="s">
        <v>3914</v>
      </c>
      <c r="G2946" t="s">
        <v>3931</v>
      </c>
      <c r="P2946" t="s">
        <v>60</v>
      </c>
      <c r="R2946" t="s">
        <v>3942</v>
      </c>
      <c r="S2946" t="s">
        <v>3943</v>
      </c>
      <c r="V2946" t="s">
        <v>3956</v>
      </c>
      <c r="Z2946">
        <v>227</v>
      </c>
      <c r="AA2946">
        <v>32</v>
      </c>
      <c r="AC2946">
        <v>885.01</v>
      </c>
      <c r="AD2946">
        <v>13.2</v>
      </c>
      <c r="AE2946">
        <v>2484.36</v>
      </c>
      <c r="AF2946">
        <v>13.2</v>
      </c>
      <c r="AJ2946" t="s">
        <v>3978</v>
      </c>
      <c r="AK2946" t="s">
        <v>40</v>
      </c>
      <c r="AN2946">
        <v>454.8</v>
      </c>
      <c r="AO2946">
        <v>45.39</v>
      </c>
      <c r="AP2946">
        <v>439.8</v>
      </c>
      <c r="AQ2946">
        <v>39.299999999999997</v>
      </c>
      <c r="AW2946" s="28">
        <f t="shared" si="303"/>
        <v>-0.33557470622553465</v>
      </c>
      <c r="AX2946">
        <f t="shared" si="304"/>
        <v>0.99707887049659205</v>
      </c>
      <c r="AY2946" s="62">
        <f t="shared" si="305"/>
        <v>-0.33459444905058178</v>
      </c>
      <c r="AZ2946" s="68" t="str">
        <f t="shared" si="306"/>
        <v>No</v>
      </c>
      <c r="BA2946" s="68" t="str">
        <f t="shared" si="307"/>
        <v>No</v>
      </c>
    </row>
    <row r="2947" spans="1:55" hidden="1">
      <c r="A2947" t="s">
        <v>3914</v>
      </c>
      <c r="G2947" t="s">
        <v>3931</v>
      </c>
      <c r="P2947" t="s">
        <v>60</v>
      </c>
      <c r="R2947" t="s">
        <v>3942</v>
      </c>
      <c r="S2947" t="s">
        <v>3943</v>
      </c>
      <c r="V2947" t="s">
        <v>3956</v>
      </c>
      <c r="Z2947">
        <v>227</v>
      </c>
      <c r="AA2947">
        <v>107</v>
      </c>
      <c r="AC2947">
        <v>380.7</v>
      </c>
      <c r="AD2947">
        <v>13.17</v>
      </c>
      <c r="AE2947">
        <v>578.35</v>
      </c>
      <c r="AF2947">
        <v>13.2</v>
      </c>
      <c r="AJ2947" t="s">
        <v>3978</v>
      </c>
      <c r="AK2947" t="s">
        <v>40</v>
      </c>
      <c r="AN2947">
        <v>454.8</v>
      </c>
      <c r="AO2947">
        <v>45.39</v>
      </c>
      <c r="AP2947">
        <v>427.4</v>
      </c>
      <c r="AQ2947">
        <v>42.41</v>
      </c>
      <c r="AW2947" s="28">
        <f t="shared" si="303"/>
        <v>-0.61628062777298609</v>
      </c>
      <c r="AX2947">
        <f t="shared" si="304"/>
        <v>0.99773926149208747</v>
      </c>
      <c r="AY2947" s="62">
        <f t="shared" si="305"/>
        <v>-0.6148873784260992</v>
      </c>
      <c r="AZ2947" s="68" t="str">
        <f t="shared" si="306"/>
        <v>No</v>
      </c>
      <c r="BA2947" s="68" t="str">
        <f t="shared" si="307"/>
        <v>No</v>
      </c>
    </row>
    <row r="2948" spans="1:55" hidden="1">
      <c r="A2948" t="s">
        <v>3914</v>
      </c>
      <c r="G2948" t="s">
        <v>4100</v>
      </c>
      <c r="P2948" t="s">
        <v>60</v>
      </c>
      <c r="R2948" t="s">
        <v>4286</v>
      </c>
      <c r="S2948" t="s">
        <v>4290</v>
      </c>
      <c r="V2948" t="s">
        <v>3956</v>
      </c>
      <c r="Z2948">
        <v>3</v>
      </c>
      <c r="AA2948">
        <v>3</v>
      </c>
      <c r="AC2948">
        <v>447.5</v>
      </c>
      <c r="AD2948">
        <v>23.8</v>
      </c>
      <c r="AE2948">
        <v>1401.3</v>
      </c>
      <c r="AF2948">
        <v>23.2</v>
      </c>
      <c r="AJ2948" t="s">
        <v>4163</v>
      </c>
      <c r="AK2948" t="s">
        <v>4151</v>
      </c>
      <c r="AN2948">
        <v>4</v>
      </c>
      <c r="AO2948">
        <v>0.5</v>
      </c>
      <c r="AP2948">
        <v>8</v>
      </c>
      <c r="AQ2948">
        <v>0.5</v>
      </c>
      <c r="AW2948" s="28">
        <f t="shared" si="303"/>
        <v>8</v>
      </c>
      <c r="AX2948">
        <f t="shared" si="304"/>
        <v>0.8</v>
      </c>
      <c r="AY2948" s="62">
        <f t="shared" si="305"/>
        <v>6.4</v>
      </c>
      <c r="AZ2948" s="68" t="str">
        <f t="shared" si="306"/>
        <v>No</v>
      </c>
      <c r="BA2948" s="68" t="str">
        <f t="shared" si="307"/>
        <v>No</v>
      </c>
    </row>
    <row r="2949" spans="1:55" hidden="1">
      <c r="A2949" t="s">
        <v>3914</v>
      </c>
      <c r="G2949" t="s">
        <v>4100</v>
      </c>
      <c r="P2949" t="s">
        <v>60</v>
      </c>
      <c r="R2949" t="s">
        <v>4286</v>
      </c>
      <c r="S2949" s="50" t="s">
        <v>4290</v>
      </c>
      <c r="V2949" t="s">
        <v>3956</v>
      </c>
      <c r="Z2949">
        <v>3</v>
      </c>
      <c r="AA2949">
        <v>3</v>
      </c>
      <c r="AC2949">
        <v>447.5</v>
      </c>
      <c r="AD2949">
        <v>23.8</v>
      </c>
      <c r="AE2949">
        <v>1401.3</v>
      </c>
      <c r="AF2949">
        <v>23.2</v>
      </c>
      <c r="AJ2949" s="50" t="s">
        <v>4327</v>
      </c>
      <c r="AK2949" t="s">
        <v>4151</v>
      </c>
      <c r="AN2949">
        <v>9</v>
      </c>
      <c r="AO2949">
        <v>1</v>
      </c>
      <c r="AP2949">
        <v>7</v>
      </c>
      <c r="AQ2949">
        <v>0.5</v>
      </c>
      <c r="AW2949" s="28">
        <f t="shared" si="303"/>
        <v>-2.5298221281347035</v>
      </c>
      <c r="AX2949">
        <f t="shared" si="304"/>
        <v>0.8</v>
      </c>
      <c r="AY2949" s="62">
        <f t="shared" si="305"/>
        <v>-2.0238577025077631</v>
      </c>
      <c r="AZ2949" s="68" t="str">
        <f t="shared" si="306"/>
        <v>No</v>
      </c>
      <c r="BA2949" s="68" t="str">
        <f t="shared" si="307"/>
        <v>No</v>
      </c>
    </row>
    <row r="2950" spans="1:55" hidden="1">
      <c r="A2950" t="s">
        <v>3914</v>
      </c>
      <c r="G2950" t="s">
        <v>4100</v>
      </c>
      <c r="P2950" t="s">
        <v>60</v>
      </c>
      <c r="R2950" t="s">
        <v>4116</v>
      </c>
      <c r="S2950" t="s">
        <v>4110</v>
      </c>
      <c r="V2950" t="s">
        <v>3956</v>
      </c>
      <c r="Z2950">
        <v>3</v>
      </c>
      <c r="AA2950">
        <v>3</v>
      </c>
      <c r="AC2950">
        <v>447.5</v>
      </c>
      <c r="AD2950">
        <v>23.8</v>
      </c>
      <c r="AE2950">
        <v>1794.5</v>
      </c>
      <c r="AF2950">
        <v>23.3</v>
      </c>
      <c r="AJ2950" t="s">
        <v>4218</v>
      </c>
      <c r="AK2950" t="s">
        <v>4244</v>
      </c>
      <c r="AN2950">
        <v>79</v>
      </c>
      <c r="AO2950">
        <v>1</v>
      </c>
      <c r="AP2950">
        <v>72</v>
      </c>
      <c r="AQ2950">
        <v>1</v>
      </c>
      <c r="AW2950" s="28">
        <f t="shared" si="303"/>
        <v>-7</v>
      </c>
      <c r="AX2950">
        <f t="shared" si="304"/>
        <v>0.8</v>
      </c>
      <c r="AY2950" s="62">
        <f t="shared" si="305"/>
        <v>-5.6000000000000005</v>
      </c>
      <c r="AZ2950" s="68" t="str">
        <f t="shared" si="306"/>
        <v>No</v>
      </c>
      <c r="BA2950" s="68" t="str">
        <f t="shared" si="307"/>
        <v>No</v>
      </c>
    </row>
    <row r="2951" spans="1:55" ht="15" hidden="1">
      <c r="A2951" t="s">
        <v>3914</v>
      </c>
      <c r="G2951" t="s">
        <v>4100</v>
      </c>
      <c r="P2951" t="s">
        <v>60</v>
      </c>
      <c r="R2951" t="s">
        <v>4286</v>
      </c>
      <c r="S2951" t="s">
        <v>4290</v>
      </c>
      <c r="V2951" t="s">
        <v>3956</v>
      </c>
      <c r="Z2951">
        <v>3</v>
      </c>
      <c r="AA2951">
        <v>3</v>
      </c>
      <c r="AC2951">
        <v>447.5</v>
      </c>
      <c r="AD2951">
        <v>23.8</v>
      </c>
      <c r="AE2951">
        <v>1401.3</v>
      </c>
      <c r="AF2951">
        <v>23.2</v>
      </c>
      <c r="AJ2951" t="s">
        <v>2020</v>
      </c>
      <c r="AK2951" t="s">
        <v>4093</v>
      </c>
      <c r="AN2951">
        <v>93</v>
      </c>
      <c r="AO2951">
        <v>2</v>
      </c>
      <c r="AP2951">
        <v>94</v>
      </c>
      <c r="AQ2951">
        <v>1</v>
      </c>
      <c r="AW2951" s="28">
        <f t="shared" si="303"/>
        <v>0.63245553203367588</v>
      </c>
      <c r="AX2951">
        <f t="shared" si="304"/>
        <v>0.8</v>
      </c>
      <c r="AY2951" s="73">
        <f t="shared" si="305"/>
        <v>0.50596442562694077</v>
      </c>
      <c r="AZ2951" s="74" t="str">
        <f t="shared" si="306"/>
        <v>No</v>
      </c>
      <c r="BA2951" s="74" t="str">
        <f t="shared" si="307"/>
        <v>No</v>
      </c>
      <c r="BB2951" s="56"/>
      <c r="BC2951" s="56"/>
    </row>
    <row r="2952" spans="1:55" hidden="1">
      <c r="A2952" t="s">
        <v>3914</v>
      </c>
      <c r="G2952" s="50" t="s">
        <v>4100</v>
      </c>
      <c r="P2952" t="s">
        <v>60</v>
      </c>
      <c r="R2952" t="s">
        <v>4286</v>
      </c>
      <c r="S2952" s="50" t="s">
        <v>4290</v>
      </c>
      <c r="V2952" t="s">
        <v>3956</v>
      </c>
      <c r="Z2952">
        <v>3</v>
      </c>
      <c r="AA2952">
        <v>3</v>
      </c>
      <c r="AC2952">
        <v>447.5</v>
      </c>
      <c r="AD2952">
        <v>23.8</v>
      </c>
      <c r="AE2952">
        <v>1794.5</v>
      </c>
      <c r="AF2952">
        <v>23.3</v>
      </c>
      <c r="AJ2952" s="50" t="s">
        <v>4327</v>
      </c>
      <c r="AK2952" t="s">
        <v>4093</v>
      </c>
      <c r="AN2952">
        <v>9</v>
      </c>
      <c r="AO2952">
        <v>1</v>
      </c>
      <c r="AP2952">
        <v>5</v>
      </c>
      <c r="AQ2952">
        <v>1</v>
      </c>
      <c r="AW2952" s="28">
        <f t="shared" si="303"/>
        <v>-4</v>
      </c>
      <c r="AX2952">
        <f t="shared" si="304"/>
        <v>0.8</v>
      </c>
      <c r="AY2952" s="62">
        <f t="shared" si="305"/>
        <v>-3.2</v>
      </c>
      <c r="AZ2952" s="68" t="str">
        <f t="shared" si="306"/>
        <v>No</v>
      </c>
      <c r="BA2952" s="68" t="str">
        <f t="shared" si="307"/>
        <v>No</v>
      </c>
    </row>
    <row r="2953" spans="1:55" hidden="1">
      <c r="A2953" t="s">
        <v>3914</v>
      </c>
      <c r="G2953" t="s">
        <v>4100</v>
      </c>
      <c r="P2953" t="s">
        <v>60</v>
      </c>
      <c r="R2953" t="s">
        <v>4286</v>
      </c>
      <c r="S2953" t="s">
        <v>4289</v>
      </c>
      <c r="V2953" t="s">
        <v>3956</v>
      </c>
      <c r="Z2953">
        <v>3</v>
      </c>
      <c r="AA2953">
        <v>3</v>
      </c>
      <c r="AC2953">
        <v>447.5</v>
      </c>
      <c r="AD2953">
        <v>23.8</v>
      </c>
      <c r="AE2953">
        <v>1401.3</v>
      </c>
      <c r="AF2953">
        <v>23.2</v>
      </c>
      <c r="AJ2953" t="s">
        <v>4065</v>
      </c>
      <c r="AK2953" t="s">
        <v>4258</v>
      </c>
      <c r="AN2953">
        <v>66</v>
      </c>
      <c r="AO2953">
        <v>3</v>
      </c>
      <c r="AP2953">
        <v>57</v>
      </c>
      <c r="AQ2953">
        <v>1</v>
      </c>
      <c r="AW2953" s="28">
        <f t="shared" si="303"/>
        <v>-4.0249223594996213</v>
      </c>
      <c r="AX2953">
        <f t="shared" si="304"/>
        <v>0.8</v>
      </c>
      <c r="AY2953" s="62">
        <f t="shared" si="305"/>
        <v>-3.2199378875996971</v>
      </c>
      <c r="AZ2953" s="68" t="str">
        <f t="shared" si="306"/>
        <v>No</v>
      </c>
      <c r="BA2953" s="68" t="str">
        <f t="shared" si="307"/>
        <v>No</v>
      </c>
    </row>
    <row r="2954" spans="1:55" hidden="1">
      <c r="A2954" t="s">
        <v>3914</v>
      </c>
      <c r="G2954" t="s">
        <v>4100</v>
      </c>
      <c r="P2954" t="s">
        <v>60</v>
      </c>
      <c r="R2954" t="s">
        <v>4116</v>
      </c>
      <c r="S2954" t="s">
        <v>4110</v>
      </c>
      <c r="V2954" t="s">
        <v>3956</v>
      </c>
      <c r="Z2954">
        <v>3</v>
      </c>
      <c r="AA2954">
        <v>3</v>
      </c>
      <c r="AC2954">
        <v>447.5</v>
      </c>
      <c r="AD2954">
        <v>23.8</v>
      </c>
      <c r="AE2954">
        <v>1794.5</v>
      </c>
      <c r="AF2954">
        <v>23.3</v>
      </c>
      <c r="AJ2954" t="s">
        <v>2020</v>
      </c>
      <c r="AK2954" t="s">
        <v>4093</v>
      </c>
      <c r="AN2954">
        <v>88</v>
      </c>
      <c r="AO2954">
        <v>0.1</v>
      </c>
      <c r="AP2954">
        <v>81</v>
      </c>
      <c r="AQ2954">
        <v>2</v>
      </c>
      <c r="AW2954" s="28">
        <f t="shared" si="303"/>
        <v>-4.9435718608251413</v>
      </c>
      <c r="AX2954">
        <f t="shared" si="304"/>
        <v>0.8</v>
      </c>
      <c r="AY2954" s="62">
        <f t="shared" si="305"/>
        <v>-3.9548574886601133</v>
      </c>
      <c r="AZ2954" s="68" t="str">
        <f t="shared" si="306"/>
        <v>No</v>
      </c>
      <c r="BA2954" s="68" t="str">
        <f t="shared" si="307"/>
        <v>No</v>
      </c>
    </row>
    <row r="2955" spans="1:55" hidden="1">
      <c r="A2955" t="s">
        <v>3914</v>
      </c>
      <c r="G2955" t="s">
        <v>4100</v>
      </c>
      <c r="P2955" t="s">
        <v>60</v>
      </c>
      <c r="R2955" t="s">
        <v>4116</v>
      </c>
      <c r="S2955" t="s">
        <v>4110</v>
      </c>
      <c r="V2955" t="s">
        <v>3956</v>
      </c>
      <c r="Z2955">
        <v>3</v>
      </c>
      <c r="AA2955">
        <v>3</v>
      </c>
      <c r="AC2955">
        <v>447.5</v>
      </c>
      <c r="AD2955">
        <v>23.8</v>
      </c>
      <c r="AE2955">
        <v>1401.3</v>
      </c>
      <c r="AF2955">
        <v>23.2</v>
      </c>
      <c r="AJ2955" t="s">
        <v>4218</v>
      </c>
      <c r="AK2955" t="s">
        <v>4244</v>
      </c>
      <c r="AN2955">
        <v>79</v>
      </c>
      <c r="AO2955">
        <v>1</v>
      </c>
      <c r="AP2955">
        <v>76</v>
      </c>
      <c r="AQ2955">
        <v>2</v>
      </c>
      <c r="AW2955" s="28">
        <f t="shared" si="303"/>
        <v>-1.8973665961010275</v>
      </c>
      <c r="AX2955">
        <f t="shared" si="304"/>
        <v>0.8</v>
      </c>
      <c r="AY2955" s="62">
        <f t="shared" si="305"/>
        <v>-1.5178932768808222</v>
      </c>
      <c r="AZ2955" s="68" t="str">
        <f t="shared" si="306"/>
        <v>No</v>
      </c>
      <c r="BA2955" s="68" t="str">
        <f t="shared" si="307"/>
        <v>No</v>
      </c>
    </row>
    <row r="2956" spans="1:55" hidden="1">
      <c r="A2956" t="s">
        <v>3914</v>
      </c>
      <c r="G2956" t="s">
        <v>4100</v>
      </c>
      <c r="P2956" t="s">
        <v>60</v>
      </c>
      <c r="R2956" t="s">
        <v>4286</v>
      </c>
      <c r="S2956" t="s">
        <v>4290</v>
      </c>
      <c r="V2956" t="s">
        <v>3956</v>
      </c>
      <c r="Z2956">
        <v>3</v>
      </c>
      <c r="AA2956">
        <v>3</v>
      </c>
      <c r="AC2956">
        <v>447.5</v>
      </c>
      <c r="AD2956">
        <v>23.8</v>
      </c>
      <c r="AE2956">
        <v>1794.5</v>
      </c>
      <c r="AF2956">
        <v>23.3</v>
      </c>
      <c r="AJ2956" t="s">
        <v>2020</v>
      </c>
      <c r="AK2956" t="s">
        <v>4093</v>
      </c>
      <c r="AN2956">
        <v>93</v>
      </c>
      <c r="AO2956">
        <v>2</v>
      </c>
      <c r="AP2956">
        <v>90</v>
      </c>
      <c r="AQ2956">
        <v>2</v>
      </c>
      <c r="AW2956" s="28">
        <f t="shared" si="303"/>
        <v>-1.5</v>
      </c>
      <c r="AX2956">
        <f t="shared" si="304"/>
        <v>0.8</v>
      </c>
      <c r="AY2956" s="62">
        <f t="shared" si="305"/>
        <v>-1.2000000000000002</v>
      </c>
      <c r="AZ2956" s="68" t="str">
        <f t="shared" si="306"/>
        <v>No</v>
      </c>
      <c r="BA2956" s="68" t="str">
        <f t="shared" si="307"/>
        <v>No</v>
      </c>
    </row>
    <row r="2957" spans="1:55" hidden="1">
      <c r="A2957" t="s">
        <v>3914</v>
      </c>
      <c r="G2957" t="s">
        <v>4987</v>
      </c>
      <c r="P2957" t="s">
        <v>60</v>
      </c>
      <c r="R2957" t="s">
        <v>4286</v>
      </c>
      <c r="S2957" t="s">
        <v>4290</v>
      </c>
      <c r="V2957" t="s">
        <v>3956</v>
      </c>
      <c r="Z2957">
        <v>3</v>
      </c>
      <c r="AA2957">
        <v>3</v>
      </c>
      <c r="AC2957">
        <v>447.5</v>
      </c>
      <c r="AD2957">
        <v>23.8</v>
      </c>
      <c r="AE2957">
        <v>1401.3</v>
      </c>
      <c r="AF2957">
        <v>23.2</v>
      </c>
      <c r="AJ2957" t="s">
        <v>4065</v>
      </c>
      <c r="AK2957" t="s">
        <v>4258</v>
      </c>
      <c r="AN2957">
        <v>68</v>
      </c>
      <c r="AO2957">
        <v>2</v>
      </c>
      <c r="AP2957">
        <v>58</v>
      </c>
      <c r="AQ2957">
        <v>2</v>
      </c>
      <c r="AW2957" s="28">
        <f t="shared" si="303"/>
        <v>-5</v>
      </c>
      <c r="AX2957">
        <f t="shared" si="304"/>
        <v>0.8</v>
      </c>
      <c r="AY2957" s="62">
        <f t="shared" si="305"/>
        <v>-4</v>
      </c>
      <c r="AZ2957" s="68" t="str">
        <f t="shared" si="306"/>
        <v>No</v>
      </c>
      <c r="BA2957" s="68" t="str">
        <f t="shared" si="307"/>
        <v>No</v>
      </c>
    </row>
    <row r="2958" spans="1:55" ht="15" hidden="1">
      <c r="A2958" t="s">
        <v>3914</v>
      </c>
      <c r="G2958" t="s">
        <v>4100</v>
      </c>
      <c r="P2958" t="s">
        <v>60</v>
      </c>
      <c r="R2958" t="s">
        <v>4286</v>
      </c>
      <c r="S2958" t="s">
        <v>4289</v>
      </c>
      <c r="V2958" t="s">
        <v>3956</v>
      </c>
      <c r="Z2958">
        <v>3</v>
      </c>
      <c r="AA2958">
        <v>3</v>
      </c>
      <c r="AC2958">
        <v>447.5</v>
      </c>
      <c r="AD2958">
        <v>23.8</v>
      </c>
      <c r="AE2958">
        <v>1401.3</v>
      </c>
      <c r="AF2958">
        <v>23.2</v>
      </c>
      <c r="AJ2958" t="s">
        <v>4122</v>
      </c>
      <c r="AK2958" t="s">
        <v>4093</v>
      </c>
      <c r="AN2958">
        <v>87</v>
      </c>
      <c r="AO2958">
        <v>3</v>
      </c>
      <c r="AP2958">
        <v>85</v>
      </c>
      <c r="AQ2958">
        <v>2.5</v>
      </c>
      <c r="AW2958" s="28">
        <f t="shared" ref="AW2958:AW3021" si="308">(AP2958-$AN2958)/SQRT(((AA2958-1)*AQ2958*AQ2958+($Z2958-1)*$AO2958*$AO2958)/(AA2958+$Z2958-2))</f>
        <v>-0.72428596834014825</v>
      </c>
      <c r="AX2958">
        <f t="shared" ref="AX2958:AX3021" si="309">1-(3/(4*(AA2958+$Z2958-2)-1))</f>
        <v>0.8</v>
      </c>
      <c r="AY2958" s="73">
        <f t="shared" ref="AY2958:AY3021" si="310">AX2958*AW2958</f>
        <v>-0.57942877467211862</v>
      </c>
      <c r="AZ2958" s="74" t="str">
        <f t="shared" ref="AZ2958:AZ3021" si="311">IF(AY2958&gt;10,"Yes","No")</f>
        <v>No</v>
      </c>
      <c r="BA2958" s="74" t="str">
        <f t="shared" ref="BA2958:BA3021" si="312">IF(AY2958&lt;-10,"Yes","No")</f>
        <v>No</v>
      </c>
      <c r="BB2958" s="56"/>
      <c r="BC2958" s="56"/>
    </row>
    <row r="2959" spans="1:55" hidden="1">
      <c r="A2959" t="s">
        <v>3914</v>
      </c>
      <c r="G2959" t="s">
        <v>4100</v>
      </c>
      <c r="P2959" t="s">
        <v>60</v>
      </c>
      <c r="R2959" t="s">
        <v>4116</v>
      </c>
      <c r="S2959" t="s">
        <v>4110</v>
      </c>
      <c r="V2959" t="s">
        <v>3956</v>
      </c>
      <c r="Z2959">
        <v>3</v>
      </c>
      <c r="AA2959">
        <v>3</v>
      </c>
      <c r="AC2959">
        <v>447.5</v>
      </c>
      <c r="AD2959">
        <v>23.8</v>
      </c>
      <c r="AE2959">
        <v>1401.3</v>
      </c>
      <c r="AF2959">
        <v>23.2</v>
      </c>
      <c r="AJ2959" t="s">
        <v>2020</v>
      </c>
      <c r="AK2959" t="s">
        <v>4093</v>
      </c>
      <c r="AN2959">
        <v>88</v>
      </c>
      <c r="AO2959">
        <v>0.1</v>
      </c>
      <c r="AP2959">
        <v>83</v>
      </c>
      <c r="AQ2959">
        <v>3</v>
      </c>
      <c r="AW2959" s="28">
        <f t="shared" si="308"/>
        <v>-2.3557142371577271</v>
      </c>
      <c r="AX2959">
        <f t="shared" si="309"/>
        <v>0.8</v>
      </c>
      <c r="AY2959" s="62">
        <f t="shared" si="310"/>
        <v>-1.8845713897261818</v>
      </c>
      <c r="AZ2959" s="68" t="str">
        <f t="shared" si="311"/>
        <v>No</v>
      </c>
      <c r="BA2959" s="68" t="str">
        <f t="shared" si="312"/>
        <v>No</v>
      </c>
    </row>
    <row r="2960" spans="1:55" hidden="1">
      <c r="A2960" t="s">
        <v>3914</v>
      </c>
      <c r="G2960" t="s">
        <v>4100</v>
      </c>
      <c r="P2960" t="s">
        <v>60</v>
      </c>
      <c r="R2960" t="s">
        <v>4286</v>
      </c>
      <c r="S2960" t="s">
        <v>4289</v>
      </c>
      <c r="V2960" t="s">
        <v>3956</v>
      </c>
      <c r="Z2960">
        <v>3</v>
      </c>
      <c r="AA2960">
        <v>3</v>
      </c>
      <c r="AC2960">
        <v>447.5</v>
      </c>
      <c r="AD2960">
        <v>23.8</v>
      </c>
      <c r="AE2960">
        <v>1401.3</v>
      </c>
      <c r="AF2960">
        <v>23.2</v>
      </c>
      <c r="AJ2960" t="s">
        <v>2020</v>
      </c>
      <c r="AK2960" t="s">
        <v>4093</v>
      </c>
      <c r="AN2960">
        <v>70</v>
      </c>
      <c r="AO2960">
        <v>3</v>
      </c>
      <c r="AP2960">
        <v>70</v>
      </c>
      <c r="AQ2960">
        <v>3</v>
      </c>
      <c r="AW2960" s="28">
        <f t="shared" si="308"/>
        <v>0</v>
      </c>
      <c r="AX2960">
        <f t="shared" si="309"/>
        <v>0.8</v>
      </c>
      <c r="AY2960" s="78">
        <f t="shared" si="310"/>
        <v>0</v>
      </c>
      <c r="AZ2960" s="79" t="str">
        <f t="shared" si="311"/>
        <v>No</v>
      </c>
      <c r="BA2960" s="79" t="str">
        <f t="shared" si="312"/>
        <v>No</v>
      </c>
      <c r="BB2960" s="50" t="s">
        <v>5112</v>
      </c>
      <c r="BC2960" s="82" t="s">
        <v>5129</v>
      </c>
    </row>
    <row r="2961" spans="1:55" ht="15" hidden="1">
      <c r="A2961" t="s">
        <v>3914</v>
      </c>
      <c r="G2961" t="s">
        <v>4100</v>
      </c>
      <c r="P2961" t="s">
        <v>60</v>
      </c>
      <c r="R2961" t="s">
        <v>4286</v>
      </c>
      <c r="S2961" t="s">
        <v>4290</v>
      </c>
      <c r="V2961" t="s">
        <v>3956</v>
      </c>
      <c r="Z2961">
        <v>3</v>
      </c>
      <c r="AA2961">
        <v>3</v>
      </c>
      <c r="AC2961">
        <v>447.5</v>
      </c>
      <c r="AD2961">
        <v>23.8</v>
      </c>
      <c r="AE2961">
        <v>1401.3</v>
      </c>
      <c r="AF2961">
        <v>23.2</v>
      </c>
      <c r="AJ2961" t="s">
        <v>4122</v>
      </c>
      <c r="AK2961" t="s">
        <v>4093</v>
      </c>
      <c r="AN2961">
        <v>78</v>
      </c>
      <c r="AO2961">
        <v>3</v>
      </c>
      <c r="AP2961">
        <v>73</v>
      </c>
      <c r="AQ2961">
        <v>3</v>
      </c>
      <c r="AW2961" s="28">
        <f t="shared" si="308"/>
        <v>-1.6666666666666667</v>
      </c>
      <c r="AX2961">
        <f t="shared" si="309"/>
        <v>0.8</v>
      </c>
      <c r="AY2961" s="73">
        <f t="shared" si="310"/>
        <v>-1.3333333333333335</v>
      </c>
      <c r="AZ2961" s="74" t="str">
        <f t="shared" si="311"/>
        <v>No</v>
      </c>
      <c r="BA2961" s="74" t="str">
        <f t="shared" si="312"/>
        <v>No</v>
      </c>
      <c r="BB2961" s="56"/>
      <c r="BC2961" s="56"/>
    </row>
    <row r="2962" spans="1:55" hidden="1">
      <c r="A2962" t="s">
        <v>3914</v>
      </c>
      <c r="G2962" t="s">
        <v>4100</v>
      </c>
      <c r="P2962" t="s">
        <v>60</v>
      </c>
      <c r="R2962" t="s">
        <v>4286</v>
      </c>
      <c r="S2962" t="s">
        <v>4290</v>
      </c>
      <c r="V2962" t="s">
        <v>3956</v>
      </c>
      <c r="Z2962">
        <v>3</v>
      </c>
      <c r="AA2962">
        <v>3</v>
      </c>
      <c r="AC2962">
        <v>447.5</v>
      </c>
      <c r="AD2962">
        <v>23.8</v>
      </c>
      <c r="AE2962">
        <v>1794.5</v>
      </c>
      <c r="AF2962">
        <v>23.3</v>
      </c>
      <c r="AJ2962" t="s">
        <v>4122</v>
      </c>
      <c r="AK2962" t="s">
        <v>4093</v>
      </c>
      <c r="AN2962">
        <v>78</v>
      </c>
      <c r="AO2962">
        <v>3</v>
      </c>
      <c r="AP2962">
        <v>63</v>
      </c>
      <c r="AQ2962">
        <v>3</v>
      </c>
      <c r="AW2962" s="28">
        <f t="shared" si="308"/>
        <v>-5</v>
      </c>
      <c r="AX2962">
        <f t="shared" si="309"/>
        <v>0.8</v>
      </c>
      <c r="AY2962" s="62">
        <f t="shared" si="310"/>
        <v>-4</v>
      </c>
      <c r="AZ2962" s="68" t="str">
        <f t="shared" si="311"/>
        <v>No</v>
      </c>
      <c r="BA2962" s="68" t="str">
        <f t="shared" si="312"/>
        <v>No</v>
      </c>
    </row>
    <row r="2963" spans="1:55" hidden="1">
      <c r="A2963" t="s">
        <v>3914</v>
      </c>
      <c r="G2963" t="s">
        <v>4996</v>
      </c>
      <c r="P2963" t="s">
        <v>60</v>
      </c>
      <c r="R2963" t="s">
        <v>4286</v>
      </c>
      <c r="S2963" t="s">
        <v>4290</v>
      </c>
      <c r="V2963" t="s">
        <v>3956</v>
      </c>
      <c r="Z2963">
        <v>3</v>
      </c>
      <c r="AA2963">
        <v>3</v>
      </c>
      <c r="AC2963">
        <v>447.5</v>
      </c>
      <c r="AD2963">
        <v>23.8</v>
      </c>
      <c r="AE2963">
        <v>1401.3</v>
      </c>
      <c r="AF2963">
        <v>23.2</v>
      </c>
      <c r="AJ2963" t="s">
        <v>4065</v>
      </c>
      <c r="AK2963" t="s">
        <v>4258</v>
      </c>
      <c r="AN2963">
        <v>68</v>
      </c>
      <c r="AO2963">
        <v>2</v>
      </c>
      <c r="AP2963">
        <v>57</v>
      </c>
      <c r="AQ2963">
        <v>3</v>
      </c>
      <c r="AW2963" s="28">
        <f t="shared" si="308"/>
        <v>-4.3145549730400488</v>
      </c>
      <c r="AX2963">
        <f t="shared" si="309"/>
        <v>0.8</v>
      </c>
      <c r="AY2963" s="62">
        <f t="shared" si="310"/>
        <v>-3.4516439784320392</v>
      </c>
      <c r="AZ2963" s="68" t="str">
        <f t="shared" si="311"/>
        <v>No</v>
      </c>
      <c r="BA2963" s="68" t="str">
        <f t="shared" si="312"/>
        <v>No</v>
      </c>
    </row>
    <row r="2964" spans="1:55" hidden="1">
      <c r="A2964" t="s">
        <v>3914</v>
      </c>
      <c r="G2964" t="s">
        <v>4100</v>
      </c>
      <c r="P2964" t="s">
        <v>60</v>
      </c>
      <c r="R2964" t="s">
        <v>4116</v>
      </c>
      <c r="S2964" t="s">
        <v>4110</v>
      </c>
      <c r="V2964" t="s">
        <v>3956</v>
      </c>
      <c r="Z2964">
        <v>3</v>
      </c>
      <c r="AA2964">
        <v>3</v>
      </c>
      <c r="AC2964">
        <v>447.5</v>
      </c>
      <c r="AD2964">
        <v>23.8</v>
      </c>
      <c r="AE2964">
        <v>1794.5</v>
      </c>
      <c r="AF2964">
        <v>23.3</v>
      </c>
      <c r="AJ2964" t="s">
        <v>4122</v>
      </c>
      <c r="AK2964" t="s">
        <v>4093</v>
      </c>
      <c r="AN2964">
        <v>84</v>
      </c>
      <c r="AO2964">
        <v>1</v>
      </c>
      <c r="AP2964">
        <v>92</v>
      </c>
      <c r="AQ2964">
        <v>4</v>
      </c>
      <c r="AW2964" s="28">
        <f t="shared" si="308"/>
        <v>2.7439773622801411</v>
      </c>
      <c r="AX2964">
        <f t="shared" si="309"/>
        <v>0.8</v>
      </c>
      <c r="AY2964" s="62">
        <f t="shared" si="310"/>
        <v>2.1951818898241129</v>
      </c>
      <c r="AZ2964" s="68" t="str">
        <f t="shared" si="311"/>
        <v>No</v>
      </c>
      <c r="BA2964" s="68" t="str">
        <f t="shared" si="312"/>
        <v>No</v>
      </c>
    </row>
    <row r="2965" spans="1:55" hidden="1">
      <c r="A2965" t="s">
        <v>3914</v>
      </c>
      <c r="G2965" t="s">
        <v>4100</v>
      </c>
      <c r="P2965" t="s">
        <v>60</v>
      </c>
      <c r="R2965" t="s">
        <v>4116</v>
      </c>
      <c r="S2965" t="s">
        <v>4110</v>
      </c>
      <c r="V2965" t="s">
        <v>3956</v>
      </c>
      <c r="Z2965">
        <v>3</v>
      </c>
      <c r="AA2965">
        <v>3</v>
      </c>
      <c r="AC2965">
        <v>447.5</v>
      </c>
      <c r="AD2965">
        <v>23.8</v>
      </c>
      <c r="AE2965">
        <v>1794.5</v>
      </c>
      <c r="AF2965">
        <v>23.3</v>
      </c>
      <c r="AJ2965" t="s">
        <v>4163</v>
      </c>
      <c r="AK2965" t="s">
        <v>4151</v>
      </c>
      <c r="AN2965">
        <v>2</v>
      </c>
      <c r="AO2965">
        <v>0.4</v>
      </c>
      <c r="AP2965">
        <v>22</v>
      </c>
      <c r="AQ2965">
        <v>4</v>
      </c>
      <c r="AW2965" s="28">
        <f t="shared" si="308"/>
        <v>7.0359754473029188</v>
      </c>
      <c r="AX2965">
        <f t="shared" si="309"/>
        <v>0.8</v>
      </c>
      <c r="AY2965" s="62">
        <f t="shared" si="310"/>
        <v>5.6287803578423352</v>
      </c>
      <c r="AZ2965" s="68" t="str">
        <f t="shared" si="311"/>
        <v>No</v>
      </c>
      <c r="BA2965" s="68" t="str">
        <f t="shared" si="312"/>
        <v>No</v>
      </c>
    </row>
    <row r="2966" spans="1:55" hidden="1">
      <c r="A2966" t="s">
        <v>3914</v>
      </c>
      <c r="G2966" s="50" t="s">
        <v>4100</v>
      </c>
      <c r="P2966" t="s">
        <v>60</v>
      </c>
      <c r="R2966" t="s">
        <v>4286</v>
      </c>
      <c r="S2966" s="50" t="s">
        <v>4290</v>
      </c>
      <c r="V2966" t="s">
        <v>3956</v>
      </c>
      <c r="Z2966">
        <v>3</v>
      </c>
      <c r="AA2966">
        <v>3</v>
      </c>
      <c r="AC2966">
        <v>447.5</v>
      </c>
      <c r="AD2966">
        <v>23.8</v>
      </c>
      <c r="AE2966">
        <v>1401.3</v>
      </c>
      <c r="AF2966">
        <v>23.2</v>
      </c>
      <c r="AJ2966" s="50" t="s">
        <v>4143</v>
      </c>
      <c r="AK2966" t="s">
        <v>4151</v>
      </c>
      <c r="AN2966">
        <v>96</v>
      </c>
      <c r="AO2966">
        <v>1</v>
      </c>
      <c r="AP2966">
        <v>88</v>
      </c>
      <c r="AQ2966">
        <v>4</v>
      </c>
      <c r="AW2966" s="28">
        <f t="shared" si="308"/>
        <v>-2.7439773622801411</v>
      </c>
      <c r="AX2966">
        <f t="shared" si="309"/>
        <v>0.8</v>
      </c>
      <c r="AY2966" s="62">
        <f t="shared" si="310"/>
        <v>-2.1951818898241129</v>
      </c>
      <c r="AZ2966" s="68" t="str">
        <f t="shared" si="311"/>
        <v>No</v>
      </c>
      <c r="BA2966" s="68" t="str">
        <f t="shared" si="312"/>
        <v>No</v>
      </c>
    </row>
    <row r="2967" spans="1:55" hidden="1">
      <c r="A2967" t="s">
        <v>3914</v>
      </c>
      <c r="G2967" s="50" t="s">
        <v>4100</v>
      </c>
      <c r="P2967" t="s">
        <v>60</v>
      </c>
      <c r="R2967" t="s">
        <v>4286</v>
      </c>
      <c r="S2967" s="50" t="s">
        <v>4289</v>
      </c>
      <c r="V2967" t="s">
        <v>3956</v>
      </c>
      <c r="Z2967">
        <v>3</v>
      </c>
      <c r="AA2967">
        <v>3</v>
      </c>
      <c r="AC2967">
        <v>447.5</v>
      </c>
      <c r="AD2967">
        <v>23.8</v>
      </c>
      <c r="AE2967">
        <v>1401.3</v>
      </c>
      <c r="AF2967">
        <v>23.2</v>
      </c>
      <c r="AJ2967" s="50" t="s">
        <v>4143</v>
      </c>
      <c r="AK2967" t="s">
        <v>4151</v>
      </c>
      <c r="AN2967">
        <v>95</v>
      </c>
      <c r="AO2967">
        <v>2.5</v>
      </c>
      <c r="AP2967">
        <v>96</v>
      </c>
      <c r="AQ2967">
        <v>4</v>
      </c>
      <c r="AW2967" s="28">
        <f t="shared" si="308"/>
        <v>0.29981267559834457</v>
      </c>
      <c r="AX2967">
        <f t="shared" si="309"/>
        <v>0.8</v>
      </c>
      <c r="AY2967" s="62">
        <f t="shared" si="310"/>
        <v>0.23985014047867567</v>
      </c>
      <c r="AZ2967" s="68" t="str">
        <f t="shared" si="311"/>
        <v>No</v>
      </c>
      <c r="BA2967" s="68" t="str">
        <f t="shared" si="312"/>
        <v>No</v>
      </c>
    </row>
    <row r="2968" spans="1:55" hidden="1">
      <c r="A2968" t="s">
        <v>3914</v>
      </c>
      <c r="G2968" t="s">
        <v>4100</v>
      </c>
      <c r="P2968" t="s">
        <v>60</v>
      </c>
      <c r="R2968" t="s">
        <v>4286</v>
      </c>
      <c r="S2968" t="s">
        <v>4289</v>
      </c>
      <c r="V2968" t="s">
        <v>3956</v>
      </c>
      <c r="Z2968">
        <v>3</v>
      </c>
      <c r="AA2968">
        <v>3</v>
      </c>
      <c r="AC2968">
        <v>447.5</v>
      </c>
      <c r="AD2968">
        <v>23.8</v>
      </c>
      <c r="AE2968">
        <v>1401.3</v>
      </c>
      <c r="AF2968">
        <v>23.2</v>
      </c>
      <c r="AJ2968" t="s">
        <v>4163</v>
      </c>
      <c r="AK2968" t="s">
        <v>4151</v>
      </c>
      <c r="AN2968">
        <v>2.5</v>
      </c>
      <c r="AO2968">
        <v>1.5</v>
      </c>
      <c r="AP2968">
        <v>4</v>
      </c>
      <c r="AQ2968">
        <v>4</v>
      </c>
      <c r="AW2968" s="28">
        <f t="shared" si="308"/>
        <v>0.49656353316142077</v>
      </c>
      <c r="AX2968">
        <f t="shared" si="309"/>
        <v>0.8</v>
      </c>
      <c r="AY2968" s="62">
        <f t="shared" si="310"/>
        <v>0.39725082652913662</v>
      </c>
      <c r="AZ2968" s="68" t="str">
        <f t="shared" si="311"/>
        <v>No</v>
      </c>
      <c r="BA2968" s="68" t="str">
        <f t="shared" si="312"/>
        <v>No</v>
      </c>
    </row>
    <row r="2969" spans="1:55" hidden="1">
      <c r="A2969" t="s">
        <v>3914</v>
      </c>
      <c r="G2969" t="s">
        <v>4100</v>
      </c>
      <c r="P2969" t="s">
        <v>60</v>
      </c>
      <c r="R2969" t="s">
        <v>4286</v>
      </c>
      <c r="S2969" t="s">
        <v>4289</v>
      </c>
      <c r="V2969" t="s">
        <v>3956</v>
      </c>
      <c r="Z2969">
        <v>3</v>
      </c>
      <c r="AA2969">
        <v>3</v>
      </c>
      <c r="AC2969">
        <v>447.5</v>
      </c>
      <c r="AD2969">
        <v>23.8</v>
      </c>
      <c r="AE2969">
        <v>1401.3</v>
      </c>
      <c r="AF2969">
        <v>23.2</v>
      </c>
      <c r="AJ2969" t="s">
        <v>4065</v>
      </c>
      <c r="AK2969" t="s">
        <v>4258</v>
      </c>
      <c r="AN2969">
        <v>66</v>
      </c>
      <c r="AO2969">
        <v>3</v>
      </c>
      <c r="AP2969">
        <v>59</v>
      </c>
      <c r="AQ2969">
        <v>4</v>
      </c>
      <c r="AW2969" s="28">
        <f t="shared" si="308"/>
        <v>-1.9798989873223329</v>
      </c>
      <c r="AX2969">
        <f t="shared" si="309"/>
        <v>0.8</v>
      </c>
      <c r="AY2969" s="62">
        <f t="shared" si="310"/>
        <v>-1.5839191898578664</v>
      </c>
      <c r="AZ2969" s="68" t="str">
        <f t="shared" si="311"/>
        <v>No</v>
      </c>
      <c r="BA2969" s="68" t="str">
        <f t="shared" si="312"/>
        <v>No</v>
      </c>
    </row>
    <row r="2970" spans="1:55" hidden="1">
      <c r="A2970" t="s">
        <v>3914</v>
      </c>
      <c r="G2970" s="50" t="s">
        <v>4100</v>
      </c>
      <c r="P2970" t="s">
        <v>60</v>
      </c>
      <c r="R2970" t="s">
        <v>4286</v>
      </c>
      <c r="S2970" s="50" t="s">
        <v>4289</v>
      </c>
      <c r="V2970" t="s">
        <v>3956</v>
      </c>
      <c r="Z2970">
        <v>3</v>
      </c>
      <c r="AA2970">
        <v>3</v>
      </c>
      <c r="AC2970">
        <v>447.5</v>
      </c>
      <c r="AD2970">
        <v>23.8</v>
      </c>
      <c r="AE2970">
        <v>1794.5</v>
      </c>
      <c r="AF2970">
        <v>23.3</v>
      </c>
      <c r="AJ2970" s="50" t="s">
        <v>4143</v>
      </c>
      <c r="AK2970" t="s">
        <v>4151</v>
      </c>
      <c r="AN2970">
        <v>95</v>
      </c>
      <c r="AO2970">
        <v>2.5</v>
      </c>
      <c r="AP2970">
        <v>79.5</v>
      </c>
      <c r="AQ2970">
        <v>4.5</v>
      </c>
      <c r="AW2970" s="28">
        <f t="shared" si="308"/>
        <v>-4.2581774824093594</v>
      </c>
      <c r="AX2970">
        <f t="shared" si="309"/>
        <v>0.8</v>
      </c>
      <c r="AY2970" s="62">
        <f t="shared" si="310"/>
        <v>-3.4065419859274879</v>
      </c>
      <c r="AZ2970" s="68" t="str">
        <f t="shared" si="311"/>
        <v>No</v>
      </c>
      <c r="BA2970" s="68" t="str">
        <f t="shared" si="312"/>
        <v>No</v>
      </c>
    </row>
    <row r="2971" spans="1:55" hidden="1">
      <c r="A2971" t="s">
        <v>3914</v>
      </c>
      <c r="G2971" t="s">
        <v>4100</v>
      </c>
      <c r="P2971" t="s">
        <v>60</v>
      </c>
      <c r="R2971" t="s">
        <v>4116</v>
      </c>
      <c r="S2971" t="s">
        <v>4110</v>
      </c>
      <c r="V2971" t="s">
        <v>3956</v>
      </c>
      <c r="Z2971">
        <v>3</v>
      </c>
      <c r="AA2971">
        <v>3</v>
      </c>
      <c r="AC2971">
        <v>447.5</v>
      </c>
      <c r="AD2971">
        <v>23.8</v>
      </c>
      <c r="AE2971">
        <v>1401.3</v>
      </c>
      <c r="AF2971">
        <v>23.2</v>
      </c>
      <c r="AJ2971" t="s">
        <v>4163</v>
      </c>
      <c r="AK2971" t="s">
        <v>4151</v>
      </c>
      <c r="AN2971">
        <v>2</v>
      </c>
      <c r="AO2971">
        <v>0.4</v>
      </c>
      <c r="AP2971">
        <v>7</v>
      </c>
      <c r="AQ2971">
        <v>5</v>
      </c>
      <c r="AW2971" s="28">
        <f t="shared" si="308"/>
        <v>1.4097096860865024</v>
      </c>
      <c r="AX2971">
        <f t="shared" si="309"/>
        <v>0.8</v>
      </c>
      <c r="AY2971" s="62">
        <f t="shared" si="310"/>
        <v>1.1277677488692019</v>
      </c>
      <c r="AZ2971" s="68" t="str">
        <f t="shared" si="311"/>
        <v>No</v>
      </c>
      <c r="BA2971" s="68" t="str">
        <f t="shared" si="312"/>
        <v>No</v>
      </c>
    </row>
    <row r="2972" spans="1:55" hidden="1">
      <c r="A2972" t="s">
        <v>3914</v>
      </c>
      <c r="G2972" t="s">
        <v>4100</v>
      </c>
      <c r="P2972" t="s">
        <v>60</v>
      </c>
      <c r="R2972" t="s">
        <v>4286</v>
      </c>
      <c r="S2972" t="s">
        <v>4290</v>
      </c>
      <c r="V2972" t="s">
        <v>3956</v>
      </c>
      <c r="Z2972">
        <v>3</v>
      </c>
      <c r="AA2972">
        <v>3</v>
      </c>
      <c r="AC2972">
        <v>447.5</v>
      </c>
      <c r="AD2972">
        <v>23.8</v>
      </c>
      <c r="AE2972">
        <v>1794.5</v>
      </c>
      <c r="AF2972">
        <v>23.3</v>
      </c>
      <c r="AJ2972" t="s">
        <v>4163</v>
      </c>
      <c r="AK2972" t="s">
        <v>4151</v>
      </c>
      <c r="AN2972">
        <v>4</v>
      </c>
      <c r="AO2972">
        <v>0.5</v>
      </c>
      <c r="AP2972">
        <v>34</v>
      </c>
      <c r="AQ2972">
        <v>5</v>
      </c>
      <c r="AW2972" s="28">
        <f t="shared" si="308"/>
        <v>8.4431705367635033</v>
      </c>
      <c r="AX2972">
        <f t="shared" si="309"/>
        <v>0.8</v>
      </c>
      <c r="AY2972" s="62">
        <f t="shared" si="310"/>
        <v>6.7545364294108028</v>
      </c>
      <c r="AZ2972" s="68" t="str">
        <f t="shared" si="311"/>
        <v>No</v>
      </c>
      <c r="BA2972" s="68" t="str">
        <f t="shared" si="312"/>
        <v>No</v>
      </c>
    </row>
    <row r="2973" spans="1:55" hidden="1">
      <c r="A2973" t="s">
        <v>3914</v>
      </c>
      <c r="G2973" t="s">
        <v>4100</v>
      </c>
      <c r="P2973" t="s">
        <v>60</v>
      </c>
      <c r="R2973" t="s">
        <v>4286</v>
      </c>
      <c r="S2973" t="s">
        <v>4289</v>
      </c>
      <c r="V2973" t="s">
        <v>3956</v>
      </c>
      <c r="Z2973">
        <v>3</v>
      </c>
      <c r="AA2973">
        <v>3</v>
      </c>
      <c r="AC2973">
        <v>447.5</v>
      </c>
      <c r="AD2973">
        <v>23.8</v>
      </c>
      <c r="AE2973">
        <v>1794.5</v>
      </c>
      <c r="AF2973">
        <v>23.3</v>
      </c>
      <c r="AJ2973" t="s">
        <v>4163</v>
      </c>
      <c r="AK2973" t="s">
        <v>4151</v>
      </c>
      <c r="AN2973">
        <v>2.5</v>
      </c>
      <c r="AO2973">
        <v>1.5</v>
      </c>
      <c r="AP2973">
        <v>20</v>
      </c>
      <c r="AQ2973">
        <v>5</v>
      </c>
      <c r="AW2973" s="28">
        <f t="shared" si="308"/>
        <v>4.7409982303501748</v>
      </c>
      <c r="AX2973">
        <f t="shared" si="309"/>
        <v>0.8</v>
      </c>
      <c r="AY2973" s="62">
        <f t="shared" si="310"/>
        <v>3.7927985842801402</v>
      </c>
      <c r="AZ2973" s="68" t="str">
        <f t="shared" si="311"/>
        <v>No</v>
      </c>
      <c r="BA2973" s="68" t="str">
        <f t="shared" si="312"/>
        <v>No</v>
      </c>
    </row>
    <row r="2974" spans="1:55" hidden="1">
      <c r="A2974" t="s">
        <v>3914</v>
      </c>
      <c r="G2974" t="s">
        <v>4100</v>
      </c>
      <c r="P2974" t="s">
        <v>60</v>
      </c>
      <c r="R2974" t="s">
        <v>4286</v>
      </c>
      <c r="S2974" t="s">
        <v>4289</v>
      </c>
      <c r="V2974" t="s">
        <v>3956</v>
      </c>
      <c r="Z2974">
        <v>3</v>
      </c>
      <c r="AA2974">
        <v>3</v>
      </c>
      <c r="AC2974">
        <v>447.5</v>
      </c>
      <c r="AD2974">
        <v>23.8</v>
      </c>
      <c r="AE2974">
        <v>1794.5</v>
      </c>
      <c r="AF2974">
        <v>23.3</v>
      </c>
      <c r="AJ2974" t="s">
        <v>4122</v>
      </c>
      <c r="AK2974" t="s">
        <v>4093</v>
      </c>
      <c r="AN2974">
        <v>87</v>
      </c>
      <c r="AO2974">
        <v>3</v>
      </c>
      <c r="AP2974">
        <v>60</v>
      </c>
      <c r="AQ2974">
        <v>6</v>
      </c>
      <c r="AW2974" s="28">
        <f t="shared" si="308"/>
        <v>-5.6920997883030831</v>
      </c>
      <c r="AX2974">
        <f t="shared" si="309"/>
        <v>0.8</v>
      </c>
      <c r="AY2974" s="62">
        <f t="shared" si="310"/>
        <v>-4.5536798306424666</v>
      </c>
      <c r="AZ2974" s="68" t="str">
        <f t="shared" si="311"/>
        <v>No</v>
      </c>
      <c r="BA2974" s="68" t="str">
        <f t="shared" si="312"/>
        <v>No</v>
      </c>
    </row>
    <row r="2975" spans="1:55" hidden="1">
      <c r="A2975" t="s">
        <v>3914</v>
      </c>
      <c r="G2975" s="50" t="s">
        <v>4100</v>
      </c>
      <c r="P2975" t="s">
        <v>60</v>
      </c>
      <c r="R2975" t="s">
        <v>4286</v>
      </c>
      <c r="S2975" s="50" t="s">
        <v>4290</v>
      </c>
      <c r="V2975" t="s">
        <v>3956</v>
      </c>
      <c r="Z2975">
        <v>3</v>
      </c>
      <c r="AA2975">
        <v>3</v>
      </c>
      <c r="AC2975">
        <v>447.5</v>
      </c>
      <c r="AD2975">
        <v>23.8</v>
      </c>
      <c r="AE2975">
        <v>1794.5</v>
      </c>
      <c r="AF2975">
        <v>23.3</v>
      </c>
      <c r="AJ2975" s="50" t="s">
        <v>4143</v>
      </c>
      <c r="AK2975" t="s">
        <v>4151</v>
      </c>
      <c r="AN2975">
        <v>96</v>
      </c>
      <c r="AO2975">
        <v>1</v>
      </c>
      <c r="AP2975">
        <v>12</v>
      </c>
      <c r="AQ2975">
        <v>7.5</v>
      </c>
      <c r="AW2975" s="28">
        <f t="shared" si="308"/>
        <v>-15.700248934137525</v>
      </c>
      <c r="AX2975">
        <f t="shared" si="309"/>
        <v>0.8</v>
      </c>
      <c r="AY2975" s="62">
        <f t="shared" si="310"/>
        <v>-12.560199147310021</v>
      </c>
      <c r="AZ2975" s="68" t="str">
        <f t="shared" si="311"/>
        <v>No</v>
      </c>
      <c r="BA2975" s="68" t="str">
        <f t="shared" si="312"/>
        <v>Yes</v>
      </c>
    </row>
    <row r="2976" spans="1:55" hidden="1">
      <c r="A2976" t="s">
        <v>3914</v>
      </c>
      <c r="G2976" t="s">
        <v>4100</v>
      </c>
      <c r="P2976" t="s">
        <v>60</v>
      </c>
      <c r="R2976" t="s">
        <v>4286</v>
      </c>
      <c r="S2976" t="s">
        <v>4289</v>
      </c>
      <c r="V2976" t="s">
        <v>3956</v>
      </c>
      <c r="Z2976">
        <v>3</v>
      </c>
      <c r="AA2976">
        <v>3</v>
      </c>
      <c r="AC2976">
        <v>447.5</v>
      </c>
      <c r="AD2976">
        <v>23.8</v>
      </c>
      <c r="AE2976">
        <v>1794.5</v>
      </c>
      <c r="AF2976">
        <v>23.3</v>
      </c>
      <c r="AJ2976" t="s">
        <v>2020</v>
      </c>
      <c r="AK2976" t="s">
        <v>4093</v>
      </c>
      <c r="AN2976">
        <v>70</v>
      </c>
      <c r="AO2976">
        <v>3</v>
      </c>
      <c r="AP2976">
        <v>55</v>
      </c>
      <c r="AQ2976">
        <v>8</v>
      </c>
      <c r="AW2976" s="28">
        <f t="shared" si="308"/>
        <v>-2.4828176658071039</v>
      </c>
      <c r="AX2976">
        <f t="shared" si="309"/>
        <v>0.8</v>
      </c>
      <c r="AY2976" s="62">
        <f t="shared" si="310"/>
        <v>-1.9862541326456833</v>
      </c>
      <c r="AZ2976" s="68" t="str">
        <f t="shared" si="311"/>
        <v>No</v>
      </c>
      <c r="BA2976" s="68" t="str">
        <f t="shared" si="312"/>
        <v>No</v>
      </c>
    </row>
    <row r="2977" spans="1:55" hidden="1">
      <c r="A2977" t="s">
        <v>3914</v>
      </c>
      <c r="G2977" t="s">
        <v>4100</v>
      </c>
      <c r="P2977" t="s">
        <v>60</v>
      </c>
      <c r="R2977" t="s">
        <v>4116</v>
      </c>
      <c r="S2977" t="s">
        <v>4110</v>
      </c>
      <c r="V2977" t="s">
        <v>3956</v>
      </c>
      <c r="Z2977">
        <v>3</v>
      </c>
      <c r="AA2977">
        <v>3</v>
      </c>
      <c r="AC2977">
        <v>447.5</v>
      </c>
      <c r="AD2977">
        <v>23.8</v>
      </c>
      <c r="AE2977">
        <v>1401.3</v>
      </c>
      <c r="AF2977">
        <v>23.2</v>
      </c>
      <c r="AJ2977" t="s">
        <v>4122</v>
      </c>
      <c r="AK2977" t="s">
        <v>4093</v>
      </c>
      <c r="AN2977">
        <v>84</v>
      </c>
      <c r="AO2977">
        <v>1</v>
      </c>
      <c r="AP2977">
        <v>88</v>
      </c>
      <c r="AQ2977">
        <v>9</v>
      </c>
      <c r="AW2977" s="28">
        <f t="shared" si="308"/>
        <v>0.62469504755442429</v>
      </c>
      <c r="AX2977">
        <f t="shared" si="309"/>
        <v>0.8</v>
      </c>
      <c r="AY2977" s="62">
        <f t="shared" si="310"/>
        <v>0.49975603804353946</v>
      </c>
      <c r="AZ2977" s="68" t="str">
        <f t="shared" si="311"/>
        <v>No</v>
      </c>
      <c r="BA2977" s="68" t="str">
        <f t="shared" si="312"/>
        <v>No</v>
      </c>
    </row>
    <row r="2978" spans="1:55" hidden="1">
      <c r="A2978" t="s">
        <v>3914</v>
      </c>
      <c r="G2978" t="s">
        <v>4100</v>
      </c>
      <c r="P2978" t="s">
        <v>60</v>
      </c>
      <c r="R2978" t="s">
        <v>4286</v>
      </c>
      <c r="S2978" s="50" t="s">
        <v>4289</v>
      </c>
      <c r="V2978" t="s">
        <v>3956</v>
      </c>
      <c r="Z2978">
        <v>3</v>
      </c>
      <c r="AA2978">
        <v>3</v>
      </c>
      <c r="AC2978">
        <v>447.5</v>
      </c>
      <c r="AD2978">
        <v>23.8</v>
      </c>
      <c r="AE2978">
        <v>1401.3</v>
      </c>
      <c r="AF2978">
        <v>23.2</v>
      </c>
      <c r="AJ2978" s="50" t="s">
        <v>4327</v>
      </c>
      <c r="AK2978" t="s">
        <v>4151</v>
      </c>
      <c r="AN2978">
        <v>44</v>
      </c>
      <c r="AO2978">
        <v>9</v>
      </c>
      <c r="AP2978">
        <v>45</v>
      </c>
      <c r="AQ2978">
        <v>9</v>
      </c>
      <c r="AW2978" s="28">
        <f t="shared" si="308"/>
        <v>0.1111111111111111</v>
      </c>
      <c r="AX2978">
        <f t="shared" si="309"/>
        <v>0.8</v>
      </c>
      <c r="AY2978" s="62">
        <f t="shared" si="310"/>
        <v>8.8888888888888892E-2</v>
      </c>
      <c r="AZ2978" s="68" t="str">
        <f t="shared" si="311"/>
        <v>No</v>
      </c>
      <c r="BA2978" s="68" t="str">
        <f t="shared" si="312"/>
        <v>No</v>
      </c>
    </row>
    <row r="2979" spans="1:55" hidden="1">
      <c r="A2979" t="s">
        <v>3914</v>
      </c>
      <c r="G2979" s="50" t="s">
        <v>4100</v>
      </c>
      <c r="P2979" t="s">
        <v>60</v>
      </c>
      <c r="R2979" t="s">
        <v>4286</v>
      </c>
      <c r="S2979" s="50" t="s">
        <v>4289</v>
      </c>
      <c r="V2979" t="s">
        <v>3956</v>
      </c>
      <c r="Z2979">
        <v>3</v>
      </c>
      <c r="AA2979">
        <v>3</v>
      </c>
      <c r="AC2979">
        <v>447.5</v>
      </c>
      <c r="AD2979">
        <v>23.8</v>
      </c>
      <c r="AE2979">
        <v>1794.5</v>
      </c>
      <c r="AF2979">
        <v>23.3</v>
      </c>
      <c r="AJ2979" s="50" t="s">
        <v>4327</v>
      </c>
      <c r="AK2979" t="s">
        <v>4093</v>
      </c>
      <c r="AN2979">
        <v>44</v>
      </c>
      <c r="AO2979">
        <v>9</v>
      </c>
      <c r="AP2979">
        <v>23</v>
      </c>
      <c r="AQ2979">
        <v>9.5</v>
      </c>
      <c r="AW2979" s="28">
        <f t="shared" si="308"/>
        <v>-2.2694415532248566</v>
      </c>
      <c r="AX2979">
        <f t="shared" si="309"/>
        <v>0.8</v>
      </c>
      <c r="AY2979" s="62">
        <f t="shared" si="310"/>
        <v>-1.8155532425798855</v>
      </c>
      <c r="AZ2979" s="68" t="str">
        <f t="shared" si="311"/>
        <v>No</v>
      </c>
      <c r="BA2979" s="68" t="str">
        <f t="shared" si="312"/>
        <v>No</v>
      </c>
    </row>
    <row r="2980" spans="1:55" ht="15" hidden="1">
      <c r="A2980" t="s">
        <v>3914</v>
      </c>
      <c r="G2980" t="s">
        <v>4119</v>
      </c>
      <c r="P2980" t="s">
        <v>60</v>
      </c>
      <c r="R2980" t="s">
        <v>4116</v>
      </c>
      <c r="S2980" t="s">
        <v>1071</v>
      </c>
      <c r="V2980" t="s">
        <v>3956</v>
      </c>
      <c r="Z2980">
        <v>3</v>
      </c>
      <c r="AA2980">
        <v>3</v>
      </c>
      <c r="AC2980">
        <v>419.9</v>
      </c>
      <c r="AD2980">
        <v>25.1</v>
      </c>
      <c r="AE2980">
        <v>886.3</v>
      </c>
      <c r="AF2980">
        <v>25.6</v>
      </c>
      <c r="AJ2980" t="s">
        <v>4159</v>
      </c>
      <c r="AK2980" t="s">
        <v>4151</v>
      </c>
      <c r="AN2980">
        <v>0</v>
      </c>
      <c r="AO2980">
        <v>0.1</v>
      </c>
      <c r="AP2980">
        <v>0</v>
      </c>
      <c r="AQ2980">
        <v>0.1</v>
      </c>
      <c r="AW2980" s="28">
        <f t="shared" si="308"/>
        <v>0</v>
      </c>
      <c r="AX2980">
        <f t="shared" si="309"/>
        <v>0.8</v>
      </c>
      <c r="AY2980" s="73">
        <f t="shared" si="310"/>
        <v>0</v>
      </c>
      <c r="AZ2980" s="74" t="str">
        <f t="shared" si="311"/>
        <v>No</v>
      </c>
      <c r="BA2980" s="74" t="str">
        <f t="shared" si="312"/>
        <v>No</v>
      </c>
      <c r="BB2980" s="56"/>
      <c r="BC2980" s="56"/>
    </row>
    <row r="2981" spans="1:55" hidden="1">
      <c r="A2981" t="s">
        <v>3914</v>
      </c>
      <c r="G2981" t="s">
        <v>4119</v>
      </c>
      <c r="P2981" t="s">
        <v>60</v>
      </c>
      <c r="R2981" t="s">
        <v>4116</v>
      </c>
      <c r="S2981" t="s">
        <v>1071</v>
      </c>
      <c r="V2981" t="s">
        <v>3956</v>
      </c>
      <c r="Z2981">
        <v>3</v>
      </c>
      <c r="AA2981">
        <v>3</v>
      </c>
      <c r="AC2981">
        <v>419.9</v>
      </c>
      <c r="AD2981">
        <v>25.1</v>
      </c>
      <c r="AE2981">
        <v>886.3</v>
      </c>
      <c r="AF2981">
        <v>25.6</v>
      </c>
      <c r="AJ2981" t="s">
        <v>4122</v>
      </c>
      <c r="AK2981" t="s">
        <v>4093</v>
      </c>
      <c r="AN2981">
        <v>98</v>
      </c>
      <c r="AO2981">
        <v>0.5</v>
      </c>
      <c r="AP2981">
        <v>98.5</v>
      </c>
      <c r="AQ2981">
        <v>0.5</v>
      </c>
      <c r="AW2981" s="28">
        <f t="shared" si="308"/>
        <v>1</v>
      </c>
      <c r="AX2981">
        <f t="shared" si="309"/>
        <v>0.8</v>
      </c>
      <c r="AY2981" s="62">
        <f t="shared" si="310"/>
        <v>0.8</v>
      </c>
      <c r="AZ2981" s="68" t="str">
        <f t="shared" si="311"/>
        <v>No</v>
      </c>
      <c r="BA2981" s="68" t="str">
        <f t="shared" si="312"/>
        <v>No</v>
      </c>
    </row>
    <row r="2982" spans="1:55" hidden="1">
      <c r="A2982" t="s">
        <v>3914</v>
      </c>
      <c r="G2982" t="s">
        <v>4119</v>
      </c>
      <c r="P2982" t="s">
        <v>60</v>
      </c>
      <c r="R2982" t="s">
        <v>4116</v>
      </c>
      <c r="S2982" t="s">
        <v>1071</v>
      </c>
      <c r="V2982" t="s">
        <v>3956</v>
      </c>
      <c r="Z2982">
        <v>3</v>
      </c>
      <c r="AA2982">
        <v>3</v>
      </c>
      <c r="AC2982">
        <v>419.9</v>
      </c>
      <c r="AD2982">
        <v>25.1</v>
      </c>
      <c r="AE2982">
        <v>1581.1</v>
      </c>
      <c r="AF2982">
        <v>25.6</v>
      </c>
      <c r="AJ2982" t="s">
        <v>4218</v>
      </c>
      <c r="AK2982" t="s">
        <v>4244</v>
      </c>
      <c r="AN2982">
        <v>248</v>
      </c>
      <c r="AO2982">
        <v>7</v>
      </c>
      <c r="AP2982">
        <v>225</v>
      </c>
      <c r="AQ2982">
        <v>4</v>
      </c>
      <c r="AW2982" s="28">
        <f t="shared" si="308"/>
        <v>-4.034466888812335</v>
      </c>
      <c r="AX2982">
        <f t="shared" si="309"/>
        <v>0.8</v>
      </c>
      <c r="AY2982" s="62">
        <f t="shared" si="310"/>
        <v>-3.2275735110498682</v>
      </c>
      <c r="AZ2982" s="68" t="str">
        <f t="shared" si="311"/>
        <v>No</v>
      </c>
      <c r="BA2982" s="68" t="str">
        <f t="shared" si="312"/>
        <v>No</v>
      </c>
    </row>
    <row r="2983" spans="1:55" hidden="1">
      <c r="A2983" t="s">
        <v>3914</v>
      </c>
      <c r="G2983" t="s">
        <v>4119</v>
      </c>
      <c r="P2983" t="s">
        <v>60</v>
      </c>
      <c r="R2983" t="s">
        <v>4116</v>
      </c>
      <c r="S2983" t="s">
        <v>1071</v>
      </c>
      <c r="V2983" t="s">
        <v>3956</v>
      </c>
      <c r="Z2983">
        <v>3</v>
      </c>
      <c r="AA2983">
        <v>3</v>
      </c>
      <c r="AC2983">
        <v>419.9</v>
      </c>
      <c r="AD2983">
        <v>25.1</v>
      </c>
      <c r="AE2983">
        <v>1581.1</v>
      </c>
      <c r="AF2983">
        <v>25.6</v>
      </c>
      <c r="AJ2983" t="s">
        <v>1202</v>
      </c>
      <c r="AK2983" t="s">
        <v>4093</v>
      </c>
      <c r="AN2983">
        <v>41.5</v>
      </c>
      <c r="AO2983">
        <v>21.5</v>
      </c>
      <c r="AP2983">
        <v>33</v>
      </c>
      <c r="AQ2983">
        <v>5</v>
      </c>
      <c r="AW2983" s="28">
        <f t="shared" si="308"/>
        <v>-0.54457537555545499</v>
      </c>
      <c r="AX2983">
        <f t="shared" si="309"/>
        <v>0.8</v>
      </c>
      <c r="AY2983" s="62">
        <f t="shared" si="310"/>
        <v>-0.43566030044436399</v>
      </c>
      <c r="AZ2983" s="68" t="str">
        <f t="shared" si="311"/>
        <v>No</v>
      </c>
      <c r="BA2983" s="68" t="str">
        <f t="shared" si="312"/>
        <v>No</v>
      </c>
    </row>
    <row r="2984" spans="1:55" s="56" customFormat="1" ht="15" hidden="1">
      <c r="A2984" t="s">
        <v>3914</v>
      </c>
      <c r="B2984"/>
      <c r="C2984"/>
      <c r="D2984" s="25"/>
      <c r="E2984" s="25"/>
      <c r="F2984"/>
      <c r="G2984" t="s">
        <v>4119</v>
      </c>
      <c r="H2984"/>
      <c r="I2984"/>
      <c r="J2984"/>
      <c r="K2984"/>
      <c r="L2984"/>
      <c r="M2984" s="25"/>
      <c r="N2984"/>
      <c r="O2984"/>
      <c r="P2984" t="s">
        <v>60</v>
      </c>
      <c r="Q2984"/>
      <c r="R2984" t="s">
        <v>4116</v>
      </c>
      <c r="S2984" t="s">
        <v>1071</v>
      </c>
      <c r="T2984"/>
      <c r="U2984"/>
      <c r="V2984" t="s">
        <v>3956</v>
      </c>
      <c r="W2984" s="25"/>
      <c r="X2984"/>
      <c r="Y2984"/>
      <c r="Z2984">
        <v>3</v>
      </c>
      <c r="AA2984">
        <v>3</v>
      </c>
      <c r="AB2984"/>
      <c r="AC2984">
        <v>419.9</v>
      </c>
      <c r="AD2984">
        <v>25.1</v>
      </c>
      <c r="AE2984">
        <v>886.3</v>
      </c>
      <c r="AF2984">
        <v>25.6</v>
      </c>
      <c r="AG2984"/>
      <c r="AH2984"/>
      <c r="AI2984"/>
      <c r="AJ2984" t="s">
        <v>4065</v>
      </c>
      <c r="AK2984" t="s">
        <v>4258</v>
      </c>
      <c r="AL2984" s="25"/>
      <c r="AM2984" s="35"/>
      <c r="AN2984">
        <v>68</v>
      </c>
      <c r="AO2984">
        <v>5</v>
      </c>
      <c r="AP2984">
        <v>71</v>
      </c>
      <c r="AQ2984">
        <v>5</v>
      </c>
      <c r="AR2984"/>
      <c r="AS2984"/>
      <c r="AT2984"/>
      <c r="AU2984"/>
      <c r="AV2984"/>
      <c r="AW2984" s="28">
        <f t="shared" si="308"/>
        <v>0.6</v>
      </c>
      <c r="AX2984">
        <f t="shared" si="309"/>
        <v>0.8</v>
      </c>
      <c r="AY2984" s="62">
        <f t="shared" si="310"/>
        <v>0.48</v>
      </c>
      <c r="AZ2984" s="68" t="str">
        <f t="shared" si="311"/>
        <v>No</v>
      </c>
      <c r="BA2984" s="68" t="str">
        <f t="shared" si="312"/>
        <v>No</v>
      </c>
      <c r="BB2984"/>
      <c r="BC2984"/>
    </row>
    <row r="2985" spans="1:55" hidden="1">
      <c r="A2985" t="s">
        <v>3914</v>
      </c>
      <c r="G2985" t="s">
        <v>4119</v>
      </c>
      <c r="P2985" t="s">
        <v>60</v>
      </c>
      <c r="R2985" t="s">
        <v>4116</v>
      </c>
      <c r="S2985" t="s">
        <v>1071</v>
      </c>
      <c r="V2985" t="s">
        <v>3956</v>
      </c>
      <c r="Z2985">
        <v>3</v>
      </c>
      <c r="AA2985">
        <v>3</v>
      </c>
      <c r="AC2985">
        <v>419.9</v>
      </c>
      <c r="AD2985">
        <v>25.1</v>
      </c>
      <c r="AE2985">
        <v>1581.1</v>
      </c>
      <c r="AF2985">
        <v>25.6</v>
      </c>
      <c r="AJ2985" t="s">
        <v>4159</v>
      </c>
      <c r="AK2985" t="s">
        <v>4151</v>
      </c>
      <c r="AN2985">
        <v>0</v>
      </c>
      <c r="AO2985">
        <v>0.1</v>
      </c>
      <c r="AP2985">
        <v>10</v>
      </c>
      <c r="AQ2985">
        <v>6</v>
      </c>
      <c r="AW2985" s="28">
        <f t="shared" si="308"/>
        <v>2.3566953078897117</v>
      </c>
      <c r="AX2985">
        <f t="shared" si="309"/>
        <v>0.8</v>
      </c>
      <c r="AY2985" s="62">
        <f t="shared" si="310"/>
        <v>1.8853562463117695</v>
      </c>
      <c r="AZ2985" s="68" t="str">
        <f t="shared" si="311"/>
        <v>No</v>
      </c>
      <c r="BA2985" s="68" t="str">
        <f t="shared" si="312"/>
        <v>No</v>
      </c>
      <c r="BB2985" t="s">
        <v>5112</v>
      </c>
      <c r="BC2985" s="82" t="s">
        <v>5129</v>
      </c>
    </row>
    <row r="2986" spans="1:55" hidden="1">
      <c r="A2986" t="s">
        <v>3914</v>
      </c>
      <c r="G2986" t="s">
        <v>4119</v>
      </c>
      <c r="P2986" t="s">
        <v>60</v>
      </c>
      <c r="R2986" t="s">
        <v>4116</v>
      </c>
      <c r="S2986" t="s">
        <v>1071</v>
      </c>
      <c r="V2986" t="s">
        <v>3956</v>
      </c>
      <c r="Z2986">
        <v>3</v>
      </c>
      <c r="AA2986">
        <v>3</v>
      </c>
      <c r="AC2986">
        <v>419.9</v>
      </c>
      <c r="AD2986">
        <v>25.1</v>
      </c>
      <c r="AE2986">
        <v>1581.1</v>
      </c>
      <c r="AF2986">
        <v>25.6</v>
      </c>
      <c r="AJ2986" t="s">
        <v>4065</v>
      </c>
      <c r="AK2986" t="s">
        <v>4258</v>
      </c>
      <c r="AN2986">
        <v>68</v>
      </c>
      <c r="AO2986">
        <v>5</v>
      </c>
      <c r="AP2986">
        <v>77</v>
      </c>
      <c r="AQ2986">
        <v>6</v>
      </c>
      <c r="AW2986" s="28">
        <f t="shared" si="308"/>
        <v>1.6296434287653334</v>
      </c>
      <c r="AX2986">
        <f t="shared" si="309"/>
        <v>0.8</v>
      </c>
      <c r="AY2986" s="62">
        <f t="shared" si="310"/>
        <v>1.3037147430122669</v>
      </c>
      <c r="AZ2986" s="68" t="str">
        <f t="shared" si="311"/>
        <v>No</v>
      </c>
      <c r="BA2986" s="68" t="str">
        <f t="shared" si="312"/>
        <v>No</v>
      </c>
    </row>
    <row r="2987" spans="1:55" hidden="1">
      <c r="A2987" t="s">
        <v>3914</v>
      </c>
      <c r="G2987" t="s">
        <v>4119</v>
      </c>
      <c r="P2987" t="s">
        <v>60</v>
      </c>
      <c r="R2987" t="s">
        <v>4116</v>
      </c>
      <c r="S2987" t="s">
        <v>1071</v>
      </c>
      <c r="V2987" t="s">
        <v>3956</v>
      </c>
      <c r="Z2987">
        <v>3</v>
      </c>
      <c r="AA2987">
        <v>3</v>
      </c>
      <c r="AC2987">
        <v>419.9</v>
      </c>
      <c r="AD2987">
        <v>25.1</v>
      </c>
      <c r="AE2987">
        <v>1581.1</v>
      </c>
      <c r="AF2987">
        <v>25.6</v>
      </c>
      <c r="AJ2987" t="s">
        <v>4122</v>
      </c>
      <c r="AK2987" t="s">
        <v>4093</v>
      </c>
      <c r="AN2987">
        <v>98</v>
      </c>
      <c r="AO2987">
        <v>0.5</v>
      </c>
      <c r="AP2987">
        <v>72</v>
      </c>
      <c r="AQ2987">
        <v>15</v>
      </c>
      <c r="AW2987" s="28">
        <f t="shared" si="308"/>
        <v>-2.4499428066440365</v>
      </c>
      <c r="AX2987">
        <f t="shared" si="309"/>
        <v>0.8</v>
      </c>
      <c r="AY2987" s="62">
        <f t="shared" si="310"/>
        <v>-1.9599542453152292</v>
      </c>
      <c r="AZ2987" s="68" t="str">
        <f t="shared" si="311"/>
        <v>No</v>
      </c>
      <c r="BA2987" s="68" t="str">
        <f t="shared" si="312"/>
        <v>No</v>
      </c>
    </row>
    <row r="2988" spans="1:55" s="56" customFormat="1" ht="15" hidden="1">
      <c r="A2988" t="s">
        <v>3914</v>
      </c>
      <c r="B2988"/>
      <c r="C2988"/>
      <c r="D2988" s="25"/>
      <c r="E2988" s="25"/>
      <c r="F2988"/>
      <c r="G2988" t="s">
        <v>4119</v>
      </c>
      <c r="H2988"/>
      <c r="I2988"/>
      <c r="J2988"/>
      <c r="K2988"/>
      <c r="L2988"/>
      <c r="M2988" s="25"/>
      <c r="N2988"/>
      <c r="O2988"/>
      <c r="P2988" t="s">
        <v>60</v>
      </c>
      <c r="Q2988"/>
      <c r="R2988" t="s">
        <v>4116</v>
      </c>
      <c r="S2988" t="s">
        <v>1071</v>
      </c>
      <c r="T2988"/>
      <c r="U2988"/>
      <c r="V2988" t="s">
        <v>3956</v>
      </c>
      <c r="W2988" s="25"/>
      <c r="X2988"/>
      <c r="Y2988"/>
      <c r="Z2988">
        <v>3</v>
      </c>
      <c r="AA2988">
        <v>3</v>
      </c>
      <c r="AB2988"/>
      <c r="AC2988">
        <v>419.9</v>
      </c>
      <c r="AD2988">
        <v>25.1</v>
      </c>
      <c r="AE2988">
        <v>886.3</v>
      </c>
      <c r="AF2988">
        <v>25.6</v>
      </c>
      <c r="AG2988"/>
      <c r="AH2988"/>
      <c r="AI2988"/>
      <c r="AJ2988" t="s">
        <v>4218</v>
      </c>
      <c r="AK2988" t="s">
        <v>4244</v>
      </c>
      <c r="AL2988" s="25"/>
      <c r="AM2988" s="35"/>
      <c r="AN2988">
        <v>248</v>
      </c>
      <c r="AO2988">
        <v>7</v>
      </c>
      <c r="AP2988">
        <v>250</v>
      </c>
      <c r="AQ2988">
        <v>15</v>
      </c>
      <c r="AR2988"/>
      <c r="AS2988"/>
      <c r="AT2988"/>
      <c r="AU2988"/>
      <c r="AV2988"/>
      <c r="AW2988" s="28">
        <f t="shared" si="308"/>
        <v>0.17087153154335219</v>
      </c>
      <c r="AX2988">
        <f t="shared" si="309"/>
        <v>0.8</v>
      </c>
      <c r="AY2988" s="62">
        <f t="shared" si="310"/>
        <v>0.13669722523468175</v>
      </c>
      <c r="AZ2988" s="68" t="str">
        <f t="shared" si="311"/>
        <v>No</v>
      </c>
      <c r="BA2988" s="68" t="str">
        <f t="shared" si="312"/>
        <v>No</v>
      </c>
      <c r="BB2988"/>
      <c r="BC2988"/>
    </row>
    <row r="2989" spans="1:55" ht="15" hidden="1">
      <c r="A2989" t="s">
        <v>3914</v>
      </c>
      <c r="G2989" t="s">
        <v>4119</v>
      </c>
      <c r="P2989" t="s">
        <v>60</v>
      </c>
      <c r="R2989" t="s">
        <v>4116</v>
      </c>
      <c r="S2989" t="s">
        <v>1071</v>
      </c>
      <c r="V2989" t="s">
        <v>3956</v>
      </c>
      <c r="Z2989">
        <v>3</v>
      </c>
      <c r="AA2989">
        <v>3</v>
      </c>
      <c r="AC2989">
        <v>419.9</v>
      </c>
      <c r="AD2989">
        <v>25.1</v>
      </c>
      <c r="AE2989">
        <v>886.3</v>
      </c>
      <c r="AF2989">
        <v>25.6</v>
      </c>
      <c r="AJ2989" t="s">
        <v>1202</v>
      </c>
      <c r="AK2989" t="s">
        <v>4093</v>
      </c>
      <c r="AN2989">
        <v>41.5</v>
      </c>
      <c r="AO2989">
        <v>21.5</v>
      </c>
      <c r="AP2989">
        <v>47</v>
      </c>
      <c r="AQ2989">
        <v>16</v>
      </c>
      <c r="AW2989" s="28">
        <f t="shared" si="308"/>
        <v>0.29022837485655345</v>
      </c>
      <c r="AX2989">
        <f t="shared" si="309"/>
        <v>0.8</v>
      </c>
      <c r="AY2989" s="73">
        <f t="shared" si="310"/>
        <v>0.23218269988524276</v>
      </c>
      <c r="AZ2989" s="74" t="str">
        <f t="shared" si="311"/>
        <v>No</v>
      </c>
      <c r="BA2989" s="74" t="str">
        <f t="shared" si="312"/>
        <v>No</v>
      </c>
      <c r="BB2989" s="56"/>
      <c r="BC2989" s="56"/>
    </row>
    <row r="2990" spans="1:55" hidden="1">
      <c r="A2990" t="s">
        <v>3914</v>
      </c>
      <c r="G2990" t="s">
        <v>4457</v>
      </c>
      <c r="P2990" t="s">
        <v>60</v>
      </c>
      <c r="R2990" t="s">
        <v>4357</v>
      </c>
      <c r="S2990" t="s">
        <v>1756</v>
      </c>
      <c r="V2990" t="s">
        <v>3956</v>
      </c>
      <c r="Z2990">
        <v>9</v>
      </c>
      <c r="AA2990">
        <v>9</v>
      </c>
      <c r="AC2990">
        <v>291.2</v>
      </c>
      <c r="AD2990">
        <v>20</v>
      </c>
      <c r="AE2990">
        <v>767.6</v>
      </c>
      <c r="AF2990">
        <v>20</v>
      </c>
      <c r="AJ2990" t="s">
        <v>4481</v>
      </c>
      <c r="AK2990" t="s">
        <v>4151</v>
      </c>
      <c r="AN2990">
        <v>96</v>
      </c>
      <c r="AO2990">
        <v>4.5</v>
      </c>
      <c r="AP2990">
        <v>91</v>
      </c>
      <c r="AQ2990">
        <v>4.5</v>
      </c>
      <c r="AW2990" s="28">
        <f t="shared" si="308"/>
        <v>-1.1111111111111112</v>
      </c>
      <c r="AX2990">
        <f t="shared" si="309"/>
        <v>0.95238095238095233</v>
      </c>
      <c r="AY2990" s="62">
        <f t="shared" si="310"/>
        <v>-1.0582010582010581</v>
      </c>
      <c r="AZ2990" s="68" t="str">
        <f t="shared" si="311"/>
        <v>No</v>
      </c>
      <c r="BA2990" s="68" t="str">
        <f t="shared" si="312"/>
        <v>No</v>
      </c>
    </row>
    <row r="2991" spans="1:55" hidden="1">
      <c r="A2991" t="s">
        <v>3914</v>
      </c>
      <c r="G2991" t="s">
        <v>4457</v>
      </c>
      <c r="P2991" t="s">
        <v>4596</v>
      </c>
      <c r="R2991" t="s">
        <v>4357</v>
      </c>
      <c r="S2991" t="s">
        <v>1756</v>
      </c>
      <c r="V2991" t="s">
        <v>4626</v>
      </c>
      <c r="Z2991">
        <v>9</v>
      </c>
      <c r="AA2991">
        <v>9</v>
      </c>
      <c r="AC2991">
        <v>291.2</v>
      </c>
      <c r="AD2991">
        <v>20</v>
      </c>
      <c r="AE2991">
        <v>751.6</v>
      </c>
      <c r="AF2991">
        <v>24</v>
      </c>
      <c r="AJ2991" t="s">
        <v>4466</v>
      </c>
      <c r="AK2991" t="s">
        <v>4637</v>
      </c>
      <c r="AL2991" s="59"/>
      <c r="AM2991" s="60"/>
      <c r="AN2991">
        <v>96</v>
      </c>
      <c r="AO2991" s="61">
        <v>3.1978680879413872</v>
      </c>
      <c r="AP2991">
        <v>91</v>
      </c>
      <c r="AQ2991" s="61">
        <v>6.0959360426382148</v>
      </c>
      <c r="AR2991" s="37"/>
      <c r="AS2991" s="37"/>
      <c r="AT2991" s="37"/>
      <c r="AU2991" s="37"/>
      <c r="AV2991" s="37"/>
      <c r="AW2991" s="28">
        <f t="shared" si="308"/>
        <v>-1.0272031132175248</v>
      </c>
      <c r="AX2991">
        <f t="shared" si="309"/>
        <v>0.95238095238095233</v>
      </c>
      <c r="AY2991" s="62">
        <f t="shared" si="310"/>
        <v>-0.97828867925478546</v>
      </c>
      <c r="AZ2991" s="68" t="str">
        <f t="shared" si="311"/>
        <v>No</v>
      </c>
      <c r="BA2991" s="68" t="str">
        <f t="shared" si="312"/>
        <v>No</v>
      </c>
    </row>
    <row r="2992" spans="1:55" hidden="1">
      <c r="A2992" t="s">
        <v>3914</v>
      </c>
      <c r="G2992" t="s">
        <v>4457</v>
      </c>
      <c r="P2992" t="s">
        <v>60</v>
      </c>
      <c r="R2992" t="s">
        <v>4357</v>
      </c>
      <c r="S2992" t="s">
        <v>956</v>
      </c>
      <c r="V2992" t="s">
        <v>3956</v>
      </c>
      <c r="Z2992">
        <v>9</v>
      </c>
      <c r="AA2992">
        <v>9</v>
      </c>
      <c r="AC2992">
        <v>291.2</v>
      </c>
      <c r="AD2992">
        <v>20</v>
      </c>
      <c r="AE2992">
        <v>767.6</v>
      </c>
      <c r="AF2992">
        <v>20</v>
      </c>
      <c r="AJ2992" t="s">
        <v>4466</v>
      </c>
      <c r="AK2992" t="s">
        <v>4151</v>
      </c>
      <c r="AN2992">
        <v>88</v>
      </c>
      <c r="AO2992">
        <v>9</v>
      </c>
      <c r="AP2992">
        <v>85</v>
      </c>
      <c r="AQ2992">
        <v>7.5</v>
      </c>
      <c r="AW2992" s="28">
        <f t="shared" si="308"/>
        <v>-0.36214298417007412</v>
      </c>
      <c r="AX2992">
        <f t="shared" si="309"/>
        <v>0.95238095238095233</v>
      </c>
      <c r="AY2992" s="62">
        <f t="shared" si="310"/>
        <v>-0.34489808016197532</v>
      </c>
      <c r="AZ2992" s="68" t="str">
        <f t="shared" si="311"/>
        <v>No</v>
      </c>
      <c r="BA2992" s="68" t="str">
        <f t="shared" si="312"/>
        <v>No</v>
      </c>
    </row>
    <row r="2993" spans="1:55" hidden="1">
      <c r="A2993" t="s">
        <v>3914</v>
      </c>
      <c r="G2993" t="s">
        <v>4457</v>
      </c>
      <c r="P2993" t="s">
        <v>60</v>
      </c>
      <c r="R2993" t="s">
        <v>4357</v>
      </c>
      <c r="S2993" t="s">
        <v>956</v>
      </c>
      <c r="V2993" t="s">
        <v>3956</v>
      </c>
      <c r="Z2993">
        <v>9</v>
      </c>
      <c r="AA2993">
        <v>9</v>
      </c>
      <c r="AC2993">
        <v>291.2</v>
      </c>
      <c r="AD2993">
        <v>20</v>
      </c>
      <c r="AE2993">
        <v>767.6</v>
      </c>
      <c r="AF2993">
        <v>20</v>
      </c>
      <c r="AJ2993" t="s">
        <v>4481</v>
      </c>
      <c r="AK2993" t="s">
        <v>4151</v>
      </c>
      <c r="AN2993">
        <v>88.5</v>
      </c>
      <c r="AO2993">
        <v>7.5</v>
      </c>
      <c r="AP2993">
        <v>85</v>
      </c>
      <c r="AQ2993">
        <v>7.5</v>
      </c>
      <c r="AW2993" s="28">
        <f t="shared" si="308"/>
        <v>-0.46666666666666667</v>
      </c>
      <c r="AX2993">
        <f t="shared" si="309"/>
        <v>0.95238095238095233</v>
      </c>
      <c r="AY2993" s="62">
        <f t="shared" si="310"/>
        <v>-0.44444444444444442</v>
      </c>
      <c r="AZ2993" s="68" t="str">
        <f t="shared" si="311"/>
        <v>No</v>
      </c>
      <c r="BA2993" s="68" t="str">
        <f t="shared" si="312"/>
        <v>No</v>
      </c>
    </row>
    <row r="2994" spans="1:55" hidden="1">
      <c r="A2994" t="s">
        <v>3914</v>
      </c>
      <c r="G2994" t="s">
        <v>4457</v>
      </c>
      <c r="P2994" t="s">
        <v>4596</v>
      </c>
      <c r="R2994" t="s">
        <v>4357</v>
      </c>
      <c r="S2994" t="s">
        <v>1756</v>
      </c>
      <c r="V2994" t="s">
        <v>4626</v>
      </c>
      <c r="Z2994">
        <v>9</v>
      </c>
      <c r="AA2994">
        <v>9</v>
      </c>
      <c r="AC2994">
        <v>291.2</v>
      </c>
      <c r="AD2994">
        <v>20</v>
      </c>
      <c r="AE2994">
        <v>751.6</v>
      </c>
      <c r="AF2994">
        <v>24</v>
      </c>
      <c r="AJ2994" t="s">
        <v>4741</v>
      </c>
      <c r="AK2994" t="s">
        <v>4637</v>
      </c>
      <c r="AL2994" s="59"/>
      <c r="AM2994" s="60"/>
      <c r="AN2994">
        <v>96</v>
      </c>
      <c r="AO2994">
        <v>3.59477124182997</v>
      </c>
      <c r="AP2994">
        <v>90</v>
      </c>
      <c r="AQ2994" s="61">
        <v>7.6797385620915009</v>
      </c>
      <c r="AR2994" s="37"/>
      <c r="AS2994" s="37"/>
      <c r="AT2994" s="37"/>
      <c r="AU2994" s="37"/>
      <c r="AV2994" s="37"/>
      <c r="AW2994" s="28">
        <f t="shared" si="308"/>
        <v>-1.0006898474618544</v>
      </c>
      <c r="AX2994">
        <f t="shared" si="309"/>
        <v>0.95238095238095233</v>
      </c>
      <c r="AY2994" s="62">
        <f t="shared" si="310"/>
        <v>-0.95303794996367086</v>
      </c>
      <c r="AZ2994" s="68" t="str">
        <f t="shared" si="311"/>
        <v>No</v>
      </c>
      <c r="BA2994" s="68" t="str">
        <f t="shared" si="312"/>
        <v>No</v>
      </c>
    </row>
    <row r="2995" spans="1:55" hidden="1">
      <c r="A2995" t="s">
        <v>3914</v>
      </c>
      <c r="G2995" t="s">
        <v>4457</v>
      </c>
      <c r="P2995" t="s">
        <v>4596</v>
      </c>
      <c r="R2995" t="s">
        <v>4357</v>
      </c>
      <c r="S2995" t="s">
        <v>1756</v>
      </c>
      <c r="V2995" t="s">
        <v>4598</v>
      </c>
      <c r="Z2995">
        <v>9</v>
      </c>
      <c r="AA2995">
        <v>9</v>
      </c>
      <c r="AC2995">
        <v>291.2</v>
      </c>
      <c r="AD2995">
        <v>20</v>
      </c>
      <c r="AE2995">
        <v>266.89999999999998</v>
      </c>
      <c r="AF2995">
        <v>24</v>
      </c>
      <c r="AJ2995" t="s">
        <v>4466</v>
      </c>
      <c r="AK2995" t="s">
        <v>4637</v>
      </c>
      <c r="AL2995" s="59"/>
      <c r="AM2995" s="60"/>
      <c r="AN2995">
        <v>96</v>
      </c>
      <c r="AO2995" s="61">
        <v>3.1978680879413872</v>
      </c>
      <c r="AP2995">
        <v>91.5</v>
      </c>
      <c r="AQ2995" s="61">
        <v>8.5942704863423955</v>
      </c>
      <c r="AR2995" s="37"/>
      <c r="AS2995" s="37"/>
      <c r="AT2995" s="37"/>
      <c r="AU2995" s="37"/>
      <c r="AV2995" s="37"/>
      <c r="AW2995" s="28">
        <f t="shared" si="308"/>
        <v>-0.69400228288247334</v>
      </c>
      <c r="AX2995">
        <f t="shared" si="309"/>
        <v>0.95238095238095233</v>
      </c>
      <c r="AY2995" s="62">
        <f t="shared" si="310"/>
        <v>-0.66095455512616508</v>
      </c>
      <c r="AZ2995" s="68" t="str">
        <f t="shared" si="311"/>
        <v>No</v>
      </c>
      <c r="BA2995" s="68" t="str">
        <f t="shared" si="312"/>
        <v>No</v>
      </c>
    </row>
    <row r="2996" spans="1:55" hidden="1">
      <c r="A2996" t="s">
        <v>3914</v>
      </c>
      <c r="G2996" t="s">
        <v>4941</v>
      </c>
      <c r="P2996" t="s">
        <v>4596</v>
      </c>
      <c r="R2996" t="s">
        <v>4357</v>
      </c>
      <c r="S2996" t="s">
        <v>1756</v>
      </c>
      <c r="V2996" t="s">
        <v>4598</v>
      </c>
      <c r="Z2996">
        <v>9</v>
      </c>
      <c r="AA2996">
        <v>9</v>
      </c>
      <c r="AC2996">
        <v>291.2</v>
      </c>
      <c r="AD2996">
        <v>20</v>
      </c>
      <c r="AE2996">
        <v>266.89999999999998</v>
      </c>
      <c r="AF2996">
        <v>24</v>
      </c>
      <c r="AJ2996" t="s">
        <v>4741</v>
      </c>
      <c r="AK2996" t="s">
        <v>4637</v>
      </c>
      <c r="AL2996" s="59"/>
      <c r="AM2996" s="60"/>
      <c r="AN2996">
        <v>96</v>
      </c>
      <c r="AO2996">
        <v>3.59477124182997</v>
      </c>
      <c r="AP2996">
        <v>91</v>
      </c>
      <c r="AQ2996" s="61">
        <v>8.6601307189542212</v>
      </c>
      <c r="AR2996" s="37"/>
      <c r="AS2996" s="37"/>
      <c r="AT2996" s="37"/>
      <c r="AU2996" s="37"/>
      <c r="AV2996" s="37"/>
      <c r="AW2996" s="28">
        <f t="shared" si="308"/>
        <v>-0.75412017382007002</v>
      </c>
      <c r="AX2996">
        <f t="shared" si="309"/>
        <v>0.95238095238095233</v>
      </c>
      <c r="AY2996" s="62">
        <f t="shared" si="310"/>
        <v>-0.71820968935244756</v>
      </c>
      <c r="AZ2996" s="68" t="str">
        <f t="shared" si="311"/>
        <v>No</v>
      </c>
      <c r="BA2996" s="68" t="str">
        <f t="shared" si="312"/>
        <v>No</v>
      </c>
    </row>
    <row r="2997" spans="1:55" hidden="1">
      <c r="A2997" t="s">
        <v>3914</v>
      </c>
      <c r="G2997" t="s">
        <v>4457</v>
      </c>
      <c r="P2997" t="s">
        <v>4596</v>
      </c>
      <c r="R2997" t="s">
        <v>4357</v>
      </c>
      <c r="S2997" t="s">
        <v>1756</v>
      </c>
      <c r="V2997" t="s">
        <v>4627</v>
      </c>
      <c r="Z2997">
        <v>9</v>
      </c>
      <c r="AA2997">
        <v>9</v>
      </c>
      <c r="AC2997">
        <v>291.2</v>
      </c>
      <c r="AD2997">
        <v>20</v>
      </c>
      <c r="AE2997">
        <v>1260.7</v>
      </c>
      <c r="AF2997">
        <v>24</v>
      </c>
      <c r="AJ2997" t="s">
        <v>4466</v>
      </c>
      <c r="AK2997" t="s">
        <v>4637</v>
      </c>
      <c r="AL2997" s="59"/>
      <c r="AM2997" s="60"/>
      <c r="AN2997">
        <v>96</v>
      </c>
      <c r="AO2997" s="61">
        <v>3.1978680879413872</v>
      </c>
      <c r="AP2997">
        <v>79</v>
      </c>
      <c r="AQ2997" s="61">
        <v>8.794137241838996</v>
      </c>
      <c r="AR2997" s="37"/>
      <c r="AS2997" s="37"/>
      <c r="AT2997" s="37"/>
      <c r="AU2997" s="37"/>
      <c r="AV2997" s="37"/>
      <c r="AW2997" s="28">
        <f t="shared" si="308"/>
        <v>-2.5692305759176288</v>
      </c>
      <c r="AX2997">
        <f t="shared" si="309"/>
        <v>0.95238095238095233</v>
      </c>
      <c r="AY2997" s="62">
        <f t="shared" si="310"/>
        <v>-2.446886262778694</v>
      </c>
      <c r="AZ2997" s="68" t="str">
        <f t="shared" si="311"/>
        <v>No</v>
      </c>
      <c r="BA2997" s="68" t="str">
        <f t="shared" si="312"/>
        <v>No</v>
      </c>
    </row>
    <row r="2998" spans="1:55" hidden="1">
      <c r="A2998" t="s">
        <v>3914</v>
      </c>
      <c r="G2998" t="s">
        <v>4457</v>
      </c>
      <c r="P2998" t="s">
        <v>4596</v>
      </c>
      <c r="R2998" t="s">
        <v>4357</v>
      </c>
      <c r="S2998" t="s">
        <v>1756</v>
      </c>
      <c r="V2998" t="s">
        <v>4627</v>
      </c>
      <c r="Z2998">
        <v>9</v>
      </c>
      <c r="AA2998">
        <v>9</v>
      </c>
      <c r="AC2998">
        <v>291.2</v>
      </c>
      <c r="AD2998">
        <v>20</v>
      </c>
      <c r="AE2998">
        <v>1260.7</v>
      </c>
      <c r="AF2998">
        <v>24</v>
      </c>
      <c r="AJ2998" t="s">
        <v>4741</v>
      </c>
      <c r="AK2998" t="s">
        <v>4637</v>
      </c>
      <c r="AL2998" s="59"/>
      <c r="AM2998" s="60"/>
      <c r="AN2998">
        <v>96</v>
      </c>
      <c r="AO2998">
        <v>3.59477124182997</v>
      </c>
      <c r="AP2998">
        <v>79</v>
      </c>
      <c r="AQ2998" s="61">
        <v>8.8235294117646106</v>
      </c>
      <c r="AR2998" s="37"/>
      <c r="AS2998" s="37"/>
      <c r="AT2998" s="37"/>
      <c r="AU2998" s="37"/>
      <c r="AV2998" s="37"/>
      <c r="AW2998" s="28">
        <f t="shared" si="308"/>
        <v>-2.5233406428780412</v>
      </c>
      <c r="AX2998">
        <f t="shared" si="309"/>
        <v>0.95238095238095233</v>
      </c>
      <c r="AY2998" s="62">
        <f t="shared" si="310"/>
        <v>-2.4031815646457533</v>
      </c>
      <c r="AZ2998" s="68" t="str">
        <f t="shared" si="311"/>
        <v>No</v>
      </c>
      <c r="BA2998" s="68" t="str">
        <f t="shared" si="312"/>
        <v>No</v>
      </c>
    </row>
    <row r="2999" spans="1:55" hidden="1">
      <c r="A2999" t="s">
        <v>3914</v>
      </c>
      <c r="G2999" t="s">
        <v>4457</v>
      </c>
      <c r="P2999" t="s">
        <v>60</v>
      </c>
      <c r="R2999" t="s">
        <v>4357</v>
      </c>
      <c r="S2999" t="s">
        <v>1756</v>
      </c>
      <c r="V2999" t="s">
        <v>3956</v>
      </c>
      <c r="Z2999">
        <v>9</v>
      </c>
      <c r="AA2999">
        <v>9</v>
      </c>
      <c r="AC2999">
        <v>291.2</v>
      </c>
      <c r="AD2999">
        <v>20</v>
      </c>
      <c r="AE2999">
        <v>2088.5</v>
      </c>
      <c r="AF2999">
        <v>20</v>
      </c>
      <c r="AJ2999" t="s">
        <v>4481</v>
      </c>
      <c r="AK2999" t="s">
        <v>4151</v>
      </c>
      <c r="AN2999">
        <v>96</v>
      </c>
      <c r="AO2999">
        <v>4.5</v>
      </c>
      <c r="AP2999">
        <v>78.5</v>
      </c>
      <c r="AQ2999">
        <v>9</v>
      </c>
      <c r="AW2999" s="28">
        <f t="shared" si="308"/>
        <v>-2.4595492912420727</v>
      </c>
      <c r="AX2999">
        <f t="shared" si="309"/>
        <v>0.95238095238095233</v>
      </c>
      <c r="AY2999" s="62">
        <f t="shared" si="310"/>
        <v>-2.3424278964210217</v>
      </c>
      <c r="AZ2999" s="68" t="str">
        <f t="shared" si="311"/>
        <v>No</v>
      </c>
      <c r="BA2999" s="68" t="str">
        <f t="shared" si="312"/>
        <v>No</v>
      </c>
    </row>
    <row r="3000" spans="1:55" ht="15" hidden="1">
      <c r="A3000" t="s">
        <v>3914</v>
      </c>
      <c r="G3000" t="s">
        <v>5069</v>
      </c>
      <c r="P3000" t="s">
        <v>60</v>
      </c>
      <c r="R3000" t="s">
        <v>4357</v>
      </c>
      <c r="S3000" t="s">
        <v>1756</v>
      </c>
      <c r="V3000" t="s">
        <v>3956</v>
      </c>
      <c r="Z3000">
        <v>9</v>
      </c>
      <c r="AA3000">
        <v>9</v>
      </c>
      <c r="AC3000">
        <v>291.2</v>
      </c>
      <c r="AD3000">
        <v>20</v>
      </c>
      <c r="AE3000">
        <v>767.6</v>
      </c>
      <c r="AF3000">
        <v>20</v>
      </c>
      <c r="AJ3000" t="s">
        <v>4466</v>
      </c>
      <c r="AK3000" t="s">
        <v>4151</v>
      </c>
      <c r="AN3000">
        <v>91</v>
      </c>
      <c r="AO3000">
        <v>9</v>
      </c>
      <c r="AP3000">
        <v>90</v>
      </c>
      <c r="AQ3000">
        <v>10.5</v>
      </c>
      <c r="AW3000" s="28">
        <f t="shared" si="308"/>
        <v>-0.10226199851298273</v>
      </c>
      <c r="AX3000">
        <f t="shared" si="309"/>
        <v>0.95238095238095233</v>
      </c>
      <c r="AY3000" s="73">
        <f t="shared" si="310"/>
        <v>-9.7392379536174023E-2</v>
      </c>
      <c r="AZ3000" s="74" t="str">
        <f t="shared" si="311"/>
        <v>No</v>
      </c>
      <c r="BA3000" s="74" t="str">
        <f t="shared" si="312"/>
        <v>No</v>
      </c>
      <c r="BB3000" s="56"/>
      <c r="BC3000" s="56"/>
    </row>
    <row r="3001" spans="1:55" hidden="1">
      <c r="A3001" t="s">
        <v>3914</v>
      </c>
      <c r="G3001" t="s">
        <v>4457</v>
      </c>
      <c r="P3001" t="s">
        <v>4596</v>
      </c>
      <c r="R3001" t="s">
        <v>4357</v>
      </c>
      <c r="S3001" t="s">
        <v>1756</v>
      </c>
      <c r="V3001" t="s">
        <v>4626</v>
      </c>
      <c r="Z3001">
        <v>9</v>
      </c>
      <c r="AA3001">
        <v>9</v>
      </c>
      <c r="AC3001">
        <v>291.2</v>
      </c>
      <c r="AD3001">
        <v>20</v>
      </c>
      <c r="AE3001">
        <v>751.6</v>
      </c>
      <c r="AF3001">
        <v>24</v>
      </c>
      <c r="AJ3001" t="s">
        <v>4466</v>
      </c>
      <c r="AK3001" t="s">
        <v>4637</v>
      </c>
      <c r="AL3001" s="59"/>
      <c r="AM3001" s="60"/>
      <c r="AN3001">
        <v>88.5</v>
      </c>
      <c r="AO3001" s="61">
        <v>6.9953364423716806</v>
      </c>
      <c r="AP3001">
        <v>76</v>
      </c>
      <c r="AQ3001" s="61">
        <v>10.792804796802272</v>
      </c>
      <c r="AR3001" s="37"/>
      <c r="AS3001" s="37"/>
      <c r="AT3001" s="37"/>
      <c r="AU3001" s="37"/>
      <c r="AV3001" s="37"/>
      <c r="AW3001" s="28">
        <f t="shared" si="308"/>
        <v>-1.374459138329915</v>
      </c>
      <c r="AX3001">
        <f t="shared" si="309"/>
        <v>0.95238095238095233</v>
      </c>
      <c r="AY3001" s="62">
        <f t="shared" si="310"/>
        <v>-1.3090087031713475</v>
      </c>
      <c r="AZ3001" s="68" t="str">
        <f t="shared" si="311"/>
        <v>No</v>
      </c>
      <c r="BA3001" s="68" t="str">
        <f t="shared" si="312"/>
        <v>No</v>
      </c>
    </row>
    <row r="3002" spans="1:55" hidden="1">
      <c r="A3002" t="s">
        <v>3914</v>
      </c>
      <c r="G3002" t="s">
        <v>4457</v>
      </c>
      <c r="P3002" t="s">
        <v>4596</v>
      </c>
      <c r="R3002" t="s">
        <v>4357</v>
      </c>
      <c r="S3002" t="s">
        <v>1756</v>
      </c>
      <c r="V3002" t="s">
        <v>4626</v>
      </c>
      <c r="Z3002">
        <v>9</v>
      </c>
      <c r="AA3002">
        <v>9</v>
      </c>
      <c r="AC3002">
        <v>291.2</v>
      </c>
      <c r="AD3002">
        <v>20</v>
      </c>
      <c r="AE3002">
        <v>751.6</v>
      </c>
      <c r="AF3002">
        <v>24</v>
      </c>
      <c r="AJ3002" t="s">
        <v>4466</v>
      </c>
      <c r="AK3002" t="s">
        <v>4637</v>
      </c>
      <c r="AL3002" s="59"/>
      <c r="AM3002" s="60"/>
      <c r="AN3002">
        <v>89</v>
      </c>
      <c r="AO3002" s="61">
        <v>7.5520833333333002</v>
      </c>
      <c r="AP3002">
        <v>76.5</v>
      </c>
      <c r="AQ3002" s="61">
        <v>11.1979166666667</v>
      </c>
      <c r="AR3002" s="37"/>
      <c r="AS3002" s="37"/>
      <c r="AT3002" s="37"/>
      <c r="AU3002" s="37"/>
      <c r="AV3002" s="37"/>
      <c r="AW3002" s="28">
        <f t="shared" si="308"/>
        <v>-1.3088205195581075</v>
      </c>
      <c r="AX3002">
        <f t="shared" si="309"/>
        <v>0.95238095238095233</v>
      </c>
      <c r="AY3002" s="62">
        <f t="shared" si="310"/>
        <v>-1.2464957329124833</v>
      </c>
      <c r="AZ3002" s="68" t="str">
        <f t="shared" si="311"/>
        <v>No</v>
      </c>
      <c r="BA3002" s="68" t="str">
        <f t="shared" si="312"/>
        <v>No</v>
      </c>
    </row>
    <row r="3003" spans="1:55" hidden="1">
      <c r="A3003" t="s">
        <v>3914</v>
      </c>
      <c r="G3003" t="s">
        <v>4457</v>
      </c>
      <c r="P3003" t="s">
        <v>60</v>
      </c>
      <c r="R3003" t="s">
        <v>4357</v>
      </c>
      <c r="S3003" t="s">
        <v>1756</v>
      </c>
      <c r="V3003" t="s">
        <v>3956</v>
      </c>
      <c r="Z3003">
        <v>9</v>
      </c>
      <c r="AA3003">
        <v>9</v>
      </c>
      <c r="AC3003">
        <v>291.2</v>
      </c>
      <c r="AD3003">
        <v>20</v>
      </c>
      <c r="AE3003">
        <v>2088.5</v>
      </c>
      <c r="AF3003">
        <v>20</v>
      </c>
      <c r="AJ3003" t="s">
        <v>4466</v>
      </c>
      <c r="AK3003" t="s">
        <v>4151</v>
      </c>
      <c r="AN3003">
        <v>91</v>
      </c>
      <c r="AO3003">
        <v>9</v>
      </c>
      <c r="AP3003">
        <v>78</v>
      </c>
      <c r="AQ3003">
        <v>12</v>
      </c>
      <c r="AW3003" s="28">
        <f t="shared" si="308"/>
        <v>-1.2256517540566823</v>
      </c>
      <c r="AX3003">
        <f t="shared" si="309"/>
        <v>0.95238095238095233</v>
      </c>
      <c r="AY3003" s="62">
        <f t="shared" si="310"/>
        <v>-1.1672873848158878</v>
      </c>
      <c r="AZ3003" s="68" t="str">
        <f t="shared" si="311"/>
        <v>No</v>
      </c>
      <c r="BA3003" s="68" t="str">
        <f t="shared" si="312"/>
        <v>No</v>
      </c>
    </row>
    <row r="3004" spans="1:55" s="77" customFormat="1" hidden="1">
      <c r="A3004" t="s">
        <v>3914</v>
      </c>
      <c r="B3004"/>
      <c r="C3004"/>
      <c r="D3004" s="25"/>
      <c r="E3004" s="25"/>
      <c r="F3004"/>
      <c r="G3004" t="s">
        <v>4457</v>
      </c>
      <c r="H3004"/>
      <c r="I3004"/>
      <c r="J3004"/>
      <c r="K3004"/>
      <c r="L3004"/>
      <c r="M3004" s="25"/>
      <c r="N3004"/>
      <c r="O3004"/>
      <c r="P3004" t="s">
        <v>4596</v>
      </c>
      <c r="Q3004"/>
      <c r="R3004" t="s">
        <v>4357</v>
      </c>
      <c r="S3004" t="s">
        <v>1756</v>
      </c>
      <c r="T3004"/>
      <c r="U3004"/>
      <c r="V3004" t="s">
        <v>4598</v>
      </c>
      <c r="W3004" s="25"/>
      <c r="X3004"/>
      <c r="Y3004"/>
      <c r="Z3004">
        <v>9</v>
      </c>
      <c r="AA3004">
        <v>9</v>
      </c>
      <c r="AB3004"/>
      <c r="AC3004">
        <v>291.2</v>
      </c>
      <c r="AD3004">
        <v>20</v>
      </c>
      <c r="AE3004">
        <v>266.89999999999998</v>
      </c>
      <c r="AF3004">
        <v>24</v>
      </c>
      <c r="AG3004"/>
      <c r="AH3004"/>
      <c r="AI3004"/>
      <c r="AJ3004" t="s">
        <v>4466</v>
      </c>
      <c r="AK3004" t="s">
        <v>4637</v>
      </c>
      <c r="AL3004" s="59"/>
      <c r="AM3004" s="60"/>
      <c r="AN3004">
        <v>88.5</v>
      </c>
      <c r="AO3004" s="61">
        <v>6.9953364423716806</v>
      </c>
      <c r="AP3004">
        <v>78</v>
      </c>
      <c r="AQ3004" s="61">
        <v>12.591605596268991</v>
      </c>
      <c r="AR3004" s="37"/>
      <c r="AS3004" s="37"/>
      <c r="AT3004" s="37"/>
      <c r="AU3004" s="37"/>
      <c r="AV3004" s="37"/>
      <c r="AW3004" s="28">
        <f t="shared" si="308"/>
        <v>-1.0308910324349236</v>
      </c>
      <c r="AX3004">
        <f t="shared" si="309"/>
        <v>0.95238095238095233</v>
      </c>
      <c r="AY3004" s="62">
        <f t="shared" si="310"/>
        <v>-0.98180098327135579</v>
      </c>
      <c r="AZ3004" s="68" t="str">
        <f t="shared" si="311"/>
        <v>No</v>
      </c>
      <c r="BA3004" s="68" t="str">
        <f t="shared" si="312"/>
        <v>No</v>
      </c>
      <c r="BB3004"/>
      <c r="BC3004"/>
    </row>
    <row r="3005" spans="1:55" hidden="1">
      <c r="A3005" t="s">
        <v>3914</v>
      </c>
      <c r="G3005" t="s">
        <v>4457</v>
      </c>
      <c r="P3005" t="s">
        <v>4596</v>
      </c>
      <c r="R3005" t="s">
        <v>4357</v>
      </c>
      <c r="S3005" t="s">
        <v>1756</v>
      </c>
      <c r="V3005" t="s">
        <v>4598</v>
      </c>
      <c r="Z3005">
        <v>9</v>
      </c>
      <c r="AA3005">
        <v>9</v>
      </c>
      <c r="AC3005">
        <v>291.2</v>
      </c>
      <c r="AD3005">
        <v>20</v>
      </c>
      <c r="AE3005">
        <v>266.89999999999998</v>
      </c>
      <c r="AF3005">
        <v>24</v>
      </c>
      <c r="AJ3005" t="s">
        <v>4466</v>
      </c>
      <c r="AK3005" t="s">
        <v>4637</v>
      </c>
      <c r="AL3005" s="59"/>
      <c r="AM3005" s="60"/>
      <c r="AN3005">
        <v>89</v>
      </c>
      <c r="AO3005" s="61">
        <v>7.5520833333333002</v>
      </c>
      <c r="AP3005">
        <v>78.5</v>
      </c>
      <c r="AQ3005" s="61">
        <v>12.760416666666899</v>
      </c>
      <c r="AR3005" s="37"/>
      <c r="AS3005" s="37"/>
      <c r="AT3005" s="37"/>
      <c r="AU3005" s="37"/>
      <c r="AV3005" s="37"/>
      <c r="AW3005" s="28">
        <f t="shared" si="308"/>
        <v>-1.0014494122793696</v>
      </c>
      <c r="AX3005">
        <f t="shared" si="309"/>
        <v>0.95238095238095233</v>
      </c>
      <c r="AY3005" s="62">
        <f t="shared" si="310"/>
        <v>-0.95376134502797094</v>
      </c>
      <c r="AZ3005" s="68" t="str">
        <f t="shared" si="311"/>
        <v>No</v>
      </c>
      <c r="BA3005" s="68" t="str">
        <f t="shared" si="312"/>
        <v>No</v>
      </c>
    </row>
    <row r="3006" spans="1:55" hidden="1">
      <c r="A3006" t="s">
        <v>3914</v>
      </c>
      <c r="G3006" t="s">
        <v>4457</v>
      </c>
      <c r="P3006" t="s">
        <v>4596</v>
      </c>
      <c r="R3006" t="s">
        <v>4357</v>
      </c>
      <c r="S3006" t="s">
        <v>1756</v>
      </c>
      <c r="V3006" t="s">
        <v>4598</v>
      </c>
      <c r="Z3006">
        <v>9</v>
      </c>
      <c r="AA3006">
        <v>9</v>
      </c>
      <c r="AC3006">
        <v>291.2</v>
      </c>
      <c r="AD3006">
        <v>20</v>
      </c>
      <c r="AE3006">
        <v>266.89999999999998</v>
      </c>
      <c r="AF3006">
        <v>24</v>
      </c>
      <c r="AJ3006" t="s">
        <v>4742</v>
      </c>
      <c r="AK3006" t="s">
        <v>4637</v>
      </c>
      <c r="AL3006" s="59"/>
      <c r="AM3006" s="60"/>
      <c r="AN3006">
        <v>10</v>
      </c>
      <c r="AO3006" s="61">
        <v>9.7674418604651976</v>
      </c>
      <c r="AP3006">
        <v>72.5</v>
      </c>
      <c r="AQ3006" s="61">
        <v>13.130699088145832</v>
      </c>
      <c r="AR3006" s="37"/>
      <c r="AS3006" s="37"/>
      <c r="AT3006" s="37"/>
      <c r="AU3006" s="37"/>
      <c r="AV3006" s="37"/>
      <c r="AW3006" s="28">
        <f t="shared" si="308"/>
        <v>5.4010100916931094</v>
      </c>
      <c r="AX3006">
        <f t="shared" si="309"/>
        <v>0.95238095238095233</v>
      </c>
      <c r="AY3006" s="62">
        <f t="shared" si="310"/>
        <v>5.1438191349458178</v>
      </c>
      <c r="AZ3006" s="68" t="str">
        <f t="shared" si="311"/>
        <v>No</v>
      </c>
      <c r="BA3006" s="68" t="str">
        <f t="shared" si="312"/>
        <v>No</v>
      </c>
    </row>
    <row r="3007" spans="1:55" hidden="1">
      <c r="A3007" t="s">
        <v>3914</v>
      </c>
      <c r="G3007" t="s">
        <v>4457</v>
      </c>
      <c r="P3007" t="s">
        <v>60</v>
      </c>
      <c r="R3007" t="s">
        <v>4357</v>
      </c>
      <c r="S3007" t="s">
        <v>956</v>
      </c>
      <c r="V3007" t="s">
        <v>3956</v>
      </c>
      <c r="Z3007">
        <v>9</v>
      </c>
      <c r="AA3007">
        <v>9</v>
      </c>
      <c r="AC3007">
        <v>291.2</v>
      </c>
      <c r="AD3007">
        <v>20</v>
      </c>
      <c r="AE3007">
        <v>2088.5</v>
      </c>
      <c r="AF3007">
        <v>20</v>
      </c>
      <c r="AJ3007" t="s">
        <v>4466</v>
      </c>
      <c r="AK3007" t="s">
        <v>4151</v>
      </c>
      <c r="AN3007">
        <v>88</v>
      </c>
      <c r="AO3007">
        <v>9</v>
      </c>
      <c r="AP3007">
        <v>81</v>
      </c>
      <c r="AQ3007">
        <v>13.5</v>
      </c>
      <c r="AW3007" s="28">
        <f t="shared" si="308"/>
        <v>-0.61013908709657261</v>
      </c>
      <c r="AX3007">
        <f t="shared" si="309"/>
        <v>0.95238095238095233</v>
      </c>
      <c r="AY3007" s="62">
        <f t="shared" si="310"/>
        <v>-0.58108484485387868</v>
      </c>
      <c r="AZ3007" s="68" t="str">
        <f t="shared" si="311"/>
        <v>No</v>
      </c>
      <c r="BA3007" s="68" t="str">
        <f t="shared" si="312"/>
        <v>No</v>
      </c>
    </row>
    <row r="3008" spans="1:55" hidden="1">
      <c r="A3008" t="s">
        <v>3914</v>
      </c>
      <c r="G3008" t="s">
        <v>4457</v>
      </c>
      <c r="P3008" t="s">
        <v>60</v>
      </c>
      <c r="R3008" t="s">
        <v>4357</v>
      </c>
      <c r="S3008" t="s">
        <v>956</v>
      </c>
      <c r="V3008" t="s">
        <v>3956</v>
      </c>
      <c r="Z3008">
        <v>9</v>
      </c>
      <c r="AA3008">
        <v>9</v>
      </c>
      <c r="AC3008">
        <v>291.2</v>
      </c>
      <c r="AD3008">
        <v>20</v>
      </c>
      <c r="AE3008">
        <v>2088.5</v>
      </c>
      <c r="AF3008">
        <v>20</v>
      </c>
      <c r="AJ3008" t="s">
        <v>4481</v>
      </c>
      <c r="AK3008" t="s">
        <v>4151</v>
      </c>
      <c r="AN3008">
        <v>88.5</v>
      </c>
      <c r="AO3008">
        <v>7.5</v>
      </c>
      <c r="AP3008">
        <v>80.5</v>
      </c>
      <c r="AQ3008">
        <v>13.5</v>
      </c>
      <c r="AW3008" s="28">
        <f t="shared" si="308"/>
        <v>-0.73258967439300815</v>
      </c>
      <c r="AX3008">
        <f t="shared" si="309"/>
        <v>0.95238095238095233</v>
      </c>
      <c r="AY3008" s="62">
        <f t="shared" si="310"/>
        <v>-0.69770445180286489</v>
      </c>
      <c r="AZ3008" s="68" t="str">
        <f t="shared" si="311"/>
        <v>No</v>
      </c>
      <c r="BA3008" s="68" t="str">
        <f t="shared" si="312"/>
        <v>No</v>
      </c>
    </row>
    <row r="3009" spans="1:55" ht="15" hidden="1">
      <c r="A3009" t="s">
        <v>3914</v>
      </c>
      <c r="G3009" t="s">
        <v>4457</v>
      </c>
      <c r="P3009" t="s">
        <v>4596</v>
      </c>
      <c r="R3009" t="s">
        <v>4357</v>
      </c>
      <c r="S3009" t="s">
        <v>1756</v>
      </c>
      <c r="V3009" t="s">
        <v>4626</v>
      </c>
      <c r="Z3009">
        <v>9</v>
      </c>
      <c r="AA3009">
        <v>9</v>
      </c>
      <c r="AC3009">
        <v>291.2</v>
      </c>
      <c r="AD3009">
        <v>20</v>
      </c>
      <c r="AE3009">
        <v>751.6</v>
      </c>
      <c r="AF3009">
        <v>24</v>
      </c>
      <c r="AJ3009" t="s">
        <v>4742</v>
      </c>
      <c r="AK3009" t="s">
        <v>4637</v>
      </c>
      <c r="AL3009" s="59"/>
      <c r="AM3009" s="60"/>
      <c r="AN3009">
        <v>10</v>
      </c>
      <c r="AO3009" s="61">
        <v>9.7674418604651976</v>
      </c>
      <c r="AP3009">
        <v>67.5</v>
      </c>
      <c r="AQ3009" s="61">
        <v>13.902439024390475</v>
      </c>
      <c r="AR3009" s="37"/>
      <c r="AS3009" s="37"/>
      <c r="AT3009" s="37"/>
      <c r="AU3009" s="37"/>
      <c r="AV3009" s="37"/>
      <c r="AW3009" s="28">
        <f t="shared" si="308"/>
        <v>4.7860137732992953</v>
      </c>
      <c r="AX3009">
        <f t="shared" si="309"/>
        <v>0.95238095238095233</v>
      </c>
      <c r="AY3009" s="73">
        <f t="shared" si="310"/>
        <v>4.5581083555231379</v>
      </c>
      <c r="AZ3009" s="74" t="str">
        <f t="shared" si="311"/>
        <v>No</v>
      </c>
      <c r="BA3009" s="74" t="str">
        <f t="shared" si="312"/>
        <v>No</v>
      </c>
      <c r="BB3009" s="56"/>
      <c r="BC3009" s="56"/>
    </row>
    <row r="3010" spans="1:55" hidden="1">
      <c r="A3010" t="s">
        <v>3914</v>
      </c>
      <c r="G3010" t="s">
        <v>4457</v>
      </c>
      <c r="P3010" t="s">
        <v>4596</v>
      </c>
      <c r="R3010" t="s">
        <v>4357</v>
      </c>
      <c r="S3010" t="s">
        <v>1756</v>
      </c>
      <c r="V3010" t="s">
        <v>4627</v>
      </c>
      <c r="Z3010">
        <v>9</v>
      </c>
      <c r="AA3010">
        <v>9</v>
      </c>
      <c r="AC3010">
        <v>291.2</v>
      </c>
      <c r="AD3010">
        <v>20</v>
      </c>
      <c r="AE3010">
        <v>1260.7</v>
      </c>
      <c r="AF3010">
        <v>24</v>
      </c>
      <c r="AJ3010" t="s">
        <v>4466</v>
      </c>
      <c r="AK3010" t="s">
        <v>4637</v>
      </c>
      <c r="AL3010" s="59"/>
      <c r="AM3010" s="60"/>
      <c r="AN3010">
        <v>89</v>
      </c>
      <c r="AO3010" s="61">
        <v>7.5520833333333002</v>
      </c>
      <c r="AP3010">
        <v>71</v>
      </c>
      <c r="AQ3010" s="61">
        <v>14.0625</v>
      </c>
      <c r="AR3010" s="37"/>
      <c r="AS3010" s="37"/>
      <c r="AT3010" s="37"/>
      <c r="AU3010" s="37"/>
      <c r="AV3010" s="37"/>
      <c r="AW3010" s="28">
        <f t="shared" si="308"/>
        <v>-1.5947702659707403</v>
      </c>
      <c r="AX3010">
        <f t="shared" si="309"/>
        <v>0.95238095238095233</v>
      </c>
      <c r="AY3010" s="62">
        <f t="shared" si="310"/>
        <v>-1.5188288247340382</v>
      </c>
      <c r="AZ3010" s="68" t="str">
        <f t="shared" si="311"/>
        <v>No</v>
      </c>
      <c r="BA3010" s="68" t="str">
        <f t="shared" si="312"/>
        <v>No</v>
      </c>
    </row>
    <row r="3011" spans="1:55" hidden="1">
      <c r="A3011" t="s">
        <v>3914</v>
      </c>
      <c r="G3011" t="s">
        <v>4457</v>
      </c>
      <c r="P3011" t="s">
        <v>4596</v>
      </c>
      <c r="R3011" t="s">
        <v>4357</v>
      </c>
      <c r="S3011" t="s">
        <v>1756</v>
      </c>
      <c r="V3011" t="s">
        <v>4627</v>
      </c>
      <c r="Z3011">
        <v>9</v>
      </c>
      <c r="AA3011">
        <v>9</v>
      </c>
      <c r="AC3011">
        <v>291.2</v>
      </c>
      <c r="AD3011">
        <v>20</v>
      </c>
      <c r="AE3011">
        <v>1260.7</v>
      </c>
      <c r="AF3011">
        <v>24</v>
      </c>
      <c r="AJ3011" t="s">
        <v>4466</v>
      </c>
      <c r="AK3011" t="s">
        <v>4637</v>
      </c>
      <c r="AL3011" s="59"/>
      <c r="AM3011" s="60"/>
      <c r="AN3011">
        <v>88.5</v>
      </c>
      <c r="AO3011" s="61">
        <v>6.9953364423716806</v>
      </c>
      <c r="AP3011">
        <v>70</v>
      </c>
      <c r="AQ3011" s="61">
        <v>14.59027315123231</v>
      </c>
      <c r="AR3011" s="37"/>
      <c r="AS3011" s="37"/>
      <c r="AT3011" s="37"/>
      <c r="AU3011" s="37"/>
      <c r="AV3011" s="37"/>
      <c r="AW3011" s="28">
        <f t="shared" si="308"/>
        <v>-1.6169364274671871</v>
      </c>
      <c r="AX3011">
        <f t="shared" si="309"/>
        <v>0.95238095238095233</v>
      </c>
      <c r="AY3011" s="62">
        <f t="shared" si="310"/>
        <v>-1.5399394547306544</v>
      </c>
      <c r="AZ3011" s="68" t="str">
        <f t="shared" si="311"/>
        <v>No</v>
      </c>
      <c r="BA3011" s="68" t="str">
        <f t="shared" si="312"/>
        <v>No</v>
      </c>
    </row>
    <row r="3012" spans="1:55" hidden="1">
      <c r="A3012" t="s">
        <v>3914</v>
      </c>
      <c r="G3012" t="s">
        <v>4457</v>
      </c>
      <c r="P3012" t="s">
        <v>4596</v>
      </c>
      <c r="R3012" t="s">
        <v>4357</v>
      </c>
      <c r="S3012" t="s">
        <v>1756</v>
      </c>
      <c r="V3012" t="s">
        <v>4627</v>
      </c>
      <c r="Z3012">
        <v>9</v>
      </c>
      <c r="AA3012">
        <v>9</v>
      </c>
      <c r="AC3012">
        <v>291.2</v>
      </c>
      <c r="AD3012">
        <v>20</v>
      </c>
      <c r="AE3012">
        <v>1260.7</v>
      </c>
      <c r="AF3012">
        <v>24</v>
      </c>
      <c r="AJ3012" t="s">
        <v>4742</v>
      </c>
      <c r="AK3012" t="s">
        <v>4637</v>
      </c>
      <c r="AL3012" s="59"/>
      <c r="AM3012" s="60"/>
      <c r="AN3012">
        <v>10</v>
      </c>
      <c r="AO3012" s="61">
        <v>9.7674418604651976</v>
      </c>
      <c r="AP3012">
        <v>55</v>
      </c>
      <c r="AQ3012" s="61">
        <v>16.048632218844894</v>
      </c>
      <c r="AR3012" s="37"/>
      <c r="AS3012" s="37"/>
      <c r="AT3012" s="37"/>
      <c r="AU3012" s="37"/>
      <c r="AV3012" s="37"/>
      <c r="AW3012" s="28">
        <f t="shared" si="308"/>
        <v>3.3873793306727693</v>
      </c>
      <c r="AX3012">
        <f t="shared" si="309"/>
        <v>0.95238095238095233</v>
      </c>
      <c r="AY3012" s="62">
        <f t="shared" si="310"/>
        <v>3.2260755530216847</v>
      </c>
      <c r="AZ3012" s="68" t="str">
        <f t="shared" si="311"/>
        <v>No</v>
      </c>
      <c r="BA3012" s="68" t="str">
        <f t="shared" si="312"/>
        <v>No</v>
      </c>
    </row>
    <row r="3013" spans="1:55" hidden="1">
      <c r="A3013" t="s">
        <v>3914</v>
      </c>
      <c r="G3013" t="s">
        <v>4457</v>
      </c>
      <c r="P3013" t="s">
        <v>4596</v>
      </c>
      <c r="R3013" t="s">
        <v>4357</v>
      </c>
      <c r="S3013" t="s">
        <v>1756</v>
      </c>
      <c r="V3013" t="s">
        <v>4626</v>
      </c>
      <c r="Z3013">
        <v>9</v>
      </c>
      <c r="AA3013">
        <v>9</v>
      </c>
      <c r="AC3013">
        <v>291.2</v>
      </c>
      <c r="AD3013">
        <v>20</v>
      </c>
      <c r="AE3013">
        <v>751.6</v>
      </c>
      <c r="AF3013">
        <v>24</v>
      </c>
      <c r="AJ3013" t="s">
        <v>4742</v>
      </c>
      <c r="AK3013" t="s">
        <v>4637</v>
      </c>
      <c r="AL3013" s="59"/>
      <c r="AM3013" s="60"/>
      <c r="AN3013">
        <v>42.5</v>
      </c>
      <c r="AO3013" s="61">
        <v>24.360902255639111</v>
      </c>
      <c r="AP3013">
        <v>54</v>
      </c>
      <c r="AQ3013" s="61">
        <v>21.901140684411004</v>
      </c>
      <c r="AR3013" s="37"/>
      <c r="AS3013" s="37"/>
      <c r="AT3013" s="37"/>
      <c r="AU3013" s="37"/>
      <c r="AV3013" s="37"/>
      <c r="AW3013" s="28">
        <f t="shared" si="308"/>
        <v>0.49646656348304591</v>
      </c>
      <c r="AX3013">
        <f t="shared" si="309"/>
        <v>0.95238095238095233</v>
      </c>
      <c r="AY3013" s="62">
        <f t="shared" si="310"/>
        <v>0.47282529855528177</v>
      </c>
      <c r="AZ3013" s="68" t="str">
        <f t="shared" si="311"/>
        <v>No</v>
      </c>
      <c r="BA3013" s="68" t="str">
        <f t="shared" si="312"/>
        <v>No</v>
      </c>
    </row>
    <row r="3014" spans="1:55" hidden="1">
      <c r="A3014" t="s">
        <v>3914</v>
      </c>
      <c r="G3014" t="s">
        <v>4457</v>
      </c>
      <c r="P3014" t="s">
        <v>4596</v>
      </c>
      <c r="R3014" t="s">
        <v>4357</v>
      </c>
      <c r="S3014" t="s">
        <v>1756</v>
      </c>
      <c r="V3014" t="s">
        <v>4598</v>
      </c>
      <c r="Z3014">
        <v>9</v>
      </c>
      <c r="AA3014">
        <v>9</v>
      </c>
      <c r="AC3014">
        <v>291.2</v>
      </c>
      <c r="AD3014">
        <v>20</v>
      </c>
      <c r="AE3014">
        <v>266.89999999999998</v>
      </c>
      <c r="AF3014">
        <v>24</v>
      </c>
      <c r="AJ3014" t="s">
        <v>4742</v>
      </c>
      <c r="AK3014" t="s">
        <v>4637</v>
      </c>
      <c r="AL3014" s="59"/>
      <c r="AM3014" s="60"/>
      <c r="AN3014">
        <v>42.5</v>
      </c>
      <c r="AO3014" s="61">
        <v>24.360902255639111</v>
      </c>
      <c r="AP3014">
        <v>60</v>
      </c>
      <c r="AQ3014" s="61">
        <v>24.360902255639111</v>
      </c>
      <c r="AR3014" s="37"/>
      <c r="AS3014" s="37"/>
      <c r="AT3014" s="37"/>
      <c r="AU3014" s="37"/>
      <c r="AV3014" s="37"/>
      <c r="AW3014" s="28">
        <f t="shared" si="308"/>
        <v>0.71836419753086378</v>
      </c>
      <c r="AX3014">
        <f t="shared" si="309"/>
        <v>0.95238095238095233</v>
      </c>
      <c r="AY3014" s="62">
        <f t="shared" si="310"/>
        <v>0.68415637860082257</v>
      </c>
      <c r="AZ3014" s="68" t="str">
        <f t="shared" si="311"/>
        <v>No</v>
      </c>
      <c r="BA3014" s="68" t="str">
        <f t="shared" si="312"/>
        <v>No</v>
      </c>
    </row>
    <row r="3015" spans="1:55" hidden="1">
      <c r="A3015" t="s">
        <v>3914</v>
      </c>
      <c r="G3015" t="s">
        <v>4457</v>
      </c>
      <c r="P3015" t="s">
        <v>4596</v>
      </c>
      <c r="R3015" t="s">
        <v>4357</v>
      </c>
      <c r="S3015" t="s">
        <v>1756</v>
      </c>
      <c r="V3015" t="s">
        <v>4627</v>
      </c>
      <c r="Z3015">
        <v>9</v>
      </c>
      <c r="AA3015">
        <v>9</v>
      </c>
      <c r="AC3015">
        <v>291.2</v>
      </c>
      <c r="AD3015">
        <v>20</v>
      </c>
      <c r="AE3015">
        <v>1260.7</v>
      </c>
      <c r="AF3015">
        <v>24</v>
      </c>
      <c r="AJ3015" t="s">
        <v>4742</v>
      </c>
      <c r="AK3015" t="s">
        <v>4637</v>
      </c>
      <c r="AL3015" s="59"/>
      <c r="AM3015" s="60"/>
      <c r="AN3015">
        <v>42.5</v>
      </c>
      <c r="AO3015" s="61">
        <v>24.360902255639111</v>
      </c>
      <c r="AP3015">
        <v>57.5</v>
      </c>
      <c r="AQ3015" s="61">
        <v>26.307692307692406</v>
      </c>
      <c r="AR3015" s="37"/>
      <c r="AS3015" s="37"/>
      <c r="AT3015" s="37"/>
      <c r="AU3015" s="37"/>
      <c r="AV3015" s="37"/>
      <c r="AW3015" s="28">
        <f t="shared" si="308"/>
        <v>0.59164618565961669</v>
      </c>
      <c r="AX3015">
        <f t="shared" si="309"/>
        <v>0.95238095238095233</v>
      </c>
      <c r="AY3015" s="62">
        <f t="shared" si="310"/>
        <v>0.56347255777106353</v>
      </c>
      <c r="AZ3015" s="68" t="str">
        <f t="shared" si="311"/>
        <v>No</v>
      </c>
      <c r="BA3015" s="68" t="str">
        <f t="shared" si="312"/>
        <v>No</v>
      </c>
    </row>
    <row r="3016" spans="1:55" hidden="1">
      <c r="A3016" t="s">
        <v>3914</v>
      </c>
      <c r="G3016" t="s">
        <v>4190</v>
      </c>
      <c r="P3016" t="s">
        <v>4596</v>
      </c>
      <c r="R3016" t="s">
        <v>4664</v>
      </c>
      <c r="S3016" t="s">
        <v>1759</v>
      </c>
      <c r="V3016" t="s">
        <v>4598</v>
      </c>
      <c r="Z3016">
        <v>3</v>
      </c>
      <c r="AA3016">
        <v>3</v>
      </c>
      <c r="AC3016">
        <v>376</v>
      </c>
      <c r="AD3016">
        <v>20</v>
      </c>
      <c r="AE3016">
        <v>351.5</v>
      </c>
      <c r="AF3016">
        <v>22</v>
      </c>
      <c r="AJ3016" t="s">
        <v>4793</v>
      </c>
      <c r="AK3016" t="s">
        <v>4650</v>
      </c>
      <c r="AL3016" s="59"/>
      <c r="AM3016" s="60"/>
      <c r="AN3016">
        <v>22.75</v>
      </c>
      <c r="AO3016">
        <v>0.25966</v>
      </c>
      <c r="AP3016">
        <v>22.53</v>
      </c>
      <c r="AQ3016">
        <v>0.132997</v>
      </c>
      <c r="AR3016" s="37"/>
      <c r="AS3016" s="37"/>
      <c r="AT3016" s="37"/>
      <c r="AU3016" s="37"/>
      <c r="AV3016" s="37"/>
      <c r="AW3016" s="28">
        <f t="shared" si="308"/>
        <v>-1.0664573984131784</v>
      </c>
      <c r="AX3016">
        <f t="shared" si="309"/>
        <v>0.8</v>
      </c>
      <c r="AY3016" s="62">
        <f t="shared" si="310"/>
        <v>-0.85316591873054282</v>
      </c>
      <c r="AZ3016" s="68" t="str">
        <f t="shared" si="311"/>
        <v>No</v>
      </c>
      <c r="BA3016" s="68" t="str">
        <f t="shared" si="312"/>
        <v>No</v>
      </c>
    </row>
    <row r="3017" spans="1:55" hidden="1">
      <c r="A3017" t="s">
        <v>3914</v>
      </c>
      <c r="G3017" t="s">
        <v>4190</v>
      </c>
      <c r="P3017" t="s">
        <v>4596</v>
      </c>
      <c r="R3017" t="s">
        <v>4664</v>
      </c>
      <c r="S3017" t="s">
        <v>1759</v>
      </c>
      <c r="V3017" t="s">
        <v>4600</v>
      </c>
      <c r="Z3017">
        <v>3</v>
      </c>
      <c r="AA3017">
        <v>3</v>
      </c>
      <c r="AC3017">
        <v>376</v>
      </c>
      <c r="AD3017">
        <v>20</v>
      </c>
      <c r="AE3017">
        <v>655.8</v>
      </c>
      <c r="AF3017">
        <v>22</v>
      </c>
      <c r="AJ3017" t="s">
        <v>4793</v>
      </c>
      <c r="AK3017" t="s">
        <v>4650</v>
      </c>
      <c r="AL3017" s="59"/>
      <c r="AM3017" s="60"/>
      <c r="AN3017">
        <v>22.75</v>
      </c>
      <c r="AO3017">
        <v>0.25966</v>
      </c>
      <c r="AP3017">
        <v>23.35</v>
      </c>
      <c r="AQ3017">
        <v>0.16245999999999999</v>
      </c>
      <c r="AR3017" s="37"/>
      <c r="AS3017" s="37"/>
      <c r="AT3017" s="37"/>
      <c r="AU3017" s="37"/>
      <c r="AV3017" s="37"/>
      <c r="AW3017" s="28">
        <f t="shared" si="308"/>
        <v>2.7702979414249653</v>
      </c>
      <c r="AX3017">
        <f t="shared" si="309"/>
        <v>0.8</v>
      </c>
      <c r="AY3017" s="62">
        <f t="shared" si="310"/>
        <v>2.2162383531399725</v>
      </c>
      <c r="AZ3017" s="68" t="str">
        <f t="shared" si="311"/>
        <v>No</v>
      </c>
      <c r="BA3017" s="68" t="str">
        <f t="shared" si="312"/>
        <v>No</v>
      </c>
    </row>
    <row r="3018" spans="1:55" hidden="1">
      <c r="A3018" t="s">
        <v>3914</v>
      </c>
      <c r="G3018" t="s">
        <v>4190</v>
      </c>
      <c r="P3018" t="s">
        <v>4596</v>
      </c>
      <c r="R3018" t="s">
        <v>4664</v>
      </c>
      <c r="S3018" t="s">
        <v>1759</v>
      </c>
      <c r="V3018" t="s">
        <v>4600</v>
      </c>
      <c r="Z3018">
        <v>3</v>
      </c>
      <c r="AA3018">
        <v>3</v>
      </c>
      <c r="AC3018">
        <v>376</v>
      </c>
      <c r="AD3018">
        <v>20</v>
      </c>
      <c r="AE3018">
        <v>655.8</v>
      </c>
      <c r="AF3018">
        <v>22</v>
      </c>
      <c r="AJ3018" t="s">
        <v>4794</v>
      </c>
      <c r="AK3018" t="s">
        <v>4650</v>
      </c>
      <c r="AL3018" s="59"/>
      <c r="AM3018" s="60"/>
      <c r="AN3018">
        <v>21.43</v>
      </c>
      <c r="AO3018">
        <v>6.7690614368625113E-2</v>
      </c>
      <c r="AP3018">
        <v>21.93</v>
      </c>
      <c r="AQ3018">
        <v>0.34985991594960186</v>
      </c>
      <c r="AR3018" s="37"/>
      <c r="AS3018" s="37"/>
      <c r="AT3018" s="37"/>
      <c r="AU3018" s="37"/>
      <c r="AV3018" s="37"/>
      <c r="AW3018" s="28">
        <f t="shared" si="308"/>
        <v>1.9843146312375064</v>
      </c>
      <c r="AX3018">
        <f t="shared" si="309"/>
        <v>0.8</v>
      </c>
      <c r="AY3018" s="62">
        <f t="shared" si="310"/>
        <v>1.5874517049900052</v>
      </c>
      <c r="AZ3018" s="68" t="str">
        <f t="shared" si="311"/>
        <v>No</v>
      </c>
      <c r="BA3018" s="68" t="str">
        <f t="shared" si="312"/>
        <v>No</v>
      </c>
    </row>
    <row r="3019" spans="1:55" hidden="1">
      <c r="A3019" t="s">
        <v>3914</v>
      </c>
      <c r="G3019" t="s">
        <v>4190</v>
      </c>
      <c r="P3019" t="s">
        <v>4596</v>
      </c>
      <c r="R3019" t="s">
        <v>4664</v>
      </c>
      <c r="S3019" t="s">
        <v>1759</v>
      </c>
      <c r="V3019" t="s">
        <v>4598</v>
      </c>
      <c r="Z3019">
        <v>3</v>
      </c>
      <c r="AA3019">
        <v>3</v>
      </c>
      <c r="AC3019">
        <v>376</v>
      </c>
      <c r="AD3019">
        <v>20</v>
      </c>
      <c r="AE3019">
        <v>351.5</v>
      </c>
      <c r="AF3019">
        <v>22</v>
      </c>
      <c r="AJ3019" t="s">
        <v>4794</v>
      </c>
      <c r="AK3019" t="s">
        <v>4650</v>
      </c>
      <c r="AL3019" s="59"/>
      <c r="AM3019" s="60"/>
      <c r="AN3019">
        <v>21.43</v>
      </c>
      <c r="AO3019">
        <v>6.7690614368625113E-2</v>
      </c>
      <c r="AP3019">
        <v>21.78</v>
      </c>
      <c r="AQ3019">
        <v>0.37942765659389988</v>
      </c>
      <c r="AR3019" s="37"/>
      <c r="AS3019" s="37"/>
      <c r="AT3019" s="37"/>
      <c r="AU3019" s="37"/>
      <c r="AV3019" s="37"/>
      <c r="AW3019" s="28">
        <f t="shared" si="308"/>
        <v>1.2842529283474964</v>
      </c>
      <c r="AX3019">
        <f t="shared" si="309"/>
        <v>0.8</v>
      </c>
      <c r="AY3019" s="62">
        <f t="shared" si="310"/>
        <v>1.0274023426779972</v>
      </c>
      <c r="AZ3019" s="68" t="str">
        <f t="shared" si="311"/>
        <v>No</v>
      </c>
      <c r="BA3019" s="68" t="str">
        <f t="shared" si="312"/>
        <v>No</v>
      </c>
    </row>
    <row r="3020" spans="1:55" ht="15" hidden="1">
      <c r="A3020" t="s">
        <v>3914</v>
      </c>
      <c r="G3020" t="s">
        <v>4190</v>
      </c>
      <c r="P3020" t="s">
        <v>4596</v>
      </c>
      <c r="R3020" t="s">
        <v>4664</v>
      </c>
      <c r="S3020" t="s">
        <v>1759</v>
      </c>
      <c r="V3020" t="s">
        <v>4600</v>
      </c>
      <c r="Z3020">
        <v>3</v>
      </c>
      <c r="AA3020">
        <v>3</v>
      </c>
      <c r="AC3020">
        <v>376</v>
      </c>
      <c r="AD3020">
        <v>20</v>
      </c>
      <c r="AE3020">
        <v>655.8</v>
      </c>
      <c r="AF3020">
        <v>22</v>
      </c>
      <c r="AJ3020" t="s">
        <v>4792</v>
      </c>
      <c r="AK3020" t="s">
        <v>4650</v>
      </c>
      <c r="AL3020" s="59"/>
      <c r="AM3020" s="60"/>
      <c r="AN3020">
        <v>24.25</v>
      </c>
      <c r="AO3020">
        <v>5.2660999999999999E-2</v>
      </c>
      <c r="AP3020">
        <v>22.78</v>
      </c>
      <c r="AQ3020">
        <v>0.429037</v>
      </c>
      <c r="AR3020" s="37"/>
      <c r="AS3020" s="37"/>
      <c r="AT3020" s="37"/>
      <c r="AU3020" s="37"/>
      <c r="AV3020" s="37"/>
      <c r="AW3020" s="28">
        <f t="shared" si="308"/>
        <v>-4.8093957300597632</v>
      </c>
      <c r="AX3020">
        <f t="shared" si="309"/>
        <v>0.8</v>
      </c>
      <c r="AY3020" s="73">
        <f t="shared" si="310"/>
        <v>-3.8475165840478107</v>
      </c>
      <c r="AZ3020" s="74" t="str">
        <f t="shared" si="311"/>
        <v>No</v>
      </c>
      <c r="BA3020" s="74" t="str">
        <f t="shared" si="312"/>
        <v>No</v>
      </c>
      <c r="BB3020" s="56"/>
      <c r="BC3020" s="56"/>
    </row>
    <row r="3021" spans="1:55" hidden="1">
      <c r="A3021" t="s">
        <v>3914</v>
      </c>
      <c r="G3021" t="s">
        <v>4190</v>
      </c>
      <c r="P3021" t="s">
        <v>4596</v>
      </c>
      <c r="R3021" t="s">
        <v>4664</v>
      </c>
      <c r="S3021" t="s">
        <v>1759</v>
      </c>
      <c r="V3021" t="s">
        <v>4598</v>
      </c>
      <c r="Z3021">
        <v>3</v>
      </c>
      <c r="AA3021">
        <v>3</v>
      </c>
      <c r="AC3021">
        <v>376</v>
      </c>
      <c r="AD3021">
        <v>20</v>
      </c>
      <c r="AE3021">
        <v>351.5</v>
      </c>
      <c r="AF3021">
        <v>22</v>
      </c>
      <c r="AJ3021" t="s">
        <v>4792</v>
      </c>
      <c r="AK3021" t="s">
        <v>4650</v>
      </c>
      <c r="AL3021" s="59"/>
      <c r="AM3021" s="60"/>
      <c r="AN3021">
        <v>24.25</v>
      </c>
      <c r="AO3021">
        <v>5.2660999999999999E-2</v>
      </c>
      <c r="AP3021">
        <v>24.9</v>
      </c>
      <c r="AQ3021">
        <v>0.55231699999999995</v>
      </c>
      <c r="AR3021" s="37"/>
      <c r="AS3021" s="37"/>
      <c r="AT3021" s="37"/>
      <c r="AU3021" s="37"/>
      <c r="AV3021" s="37"/>
      <c r="AW3021" s="28">
        <f t="shared" si="308"/>
        <v>1.6568180741921548</v>
      </c>
      <c r="AX3021">
        <f t="shared" si="309"/>
        <v>0.8</v>
      </c>
      <c r="AY3021" s="62">
        <f t="shared" si="310"/>
        <v>1.3254544593537239</v>
      </c>
      <c r="AZ3021" s="68" t="str">
        <f t="shared" si="311"/>
        <v>No</v>
      </c>
      <c r="BA3021" s="68" t="str">
        <f t="shared" si="312"/>
        <v>No</v>
      </c>
    </row>
    <row r="3022" spans="1:55" hidden="1">
      <c r="A3022" t="s">
        <v>3914</v>
      </c>
      <c r="G3022" t="s">
        <v>4190</v>
      </c>
      <c r="P3022" t="s">
        <v>4596</v>
      </c>
      <c r="R3022" t="s">
        <v>4664</v>
      </c>
      <c r="S3022" t="s">
        <v>1759</v>
      </c>
      <c r="V3022" t="s">
        <v>4600</v>
      </c>
      <c r="Z3022">
        <v>3</v>
      </c>
      <c r="AA3022">
        <v>3</v>
      </c>
      <c r="AC3022">
        <v>376</v>
      </c>
      <c r="AD3022">
        <v>20</v>
      </c>
      <c r="AE3022">
        <v>655.8</v>
      </c>
      <c r="AF3022">
        <v>22</v>
      </c>
      <c r="AJ3022" t="s">
        <v>4263</v>
      </c>
      <c r="AK3022" t="s">
        <v>4681</v>
      </c>
      <c r="AL3022" s="59"/>
      <c r="AM3022" s="60"/>
      <c r="AN3022">
        <v>100</v>
      </c>
      <c r="AO3022">
        <v>6.9339829999999996</v>
      </c>
      <c r="AP3022">
        <v>107.5</v>
      </c>
      <c r="AQ3022">
        <v>6.3093000000000004</v>
      </c>
      <c r="AR3022" s="37"/>
      <c r="AS3022" s="37"/>
      <c r="AT3022" s="37"/>
      <c r="AU3022" s="37"/>
      <c r="AV3022" s="37"/>
      <c r="AW3022" s="28">
        <f t="shared" ref="AW3022:AW3085" si="313">(AP3022-$AN3022)/SQRT(((AA3022-1)*AQ3022*AQ3022+($Z3022-1)*$AO3022*$AO3022)/(AA3022+$Z3022-2))</f>
        <v>1.1313916927396319</v>
      </c>
      <c r="AX3022">
        <f t="shared" ref="AX3022:AX3085" si="314">1-(3/(4*(AA3022+$Z3022-2)-1))</f>
        <v>0.8</v>
      </c>
      <c r="AY3022" s="62">
        <f t="shared" ref="AY3022:AY3085" si="315">AX3022*AW3022</f>
        <v>0.90511335419170558</v>
      </c>
      <c r="AZ3022" s="68" t="str">
        <f t="shared" ref="AZ3022:AZ3085" si="316">IF(AY3022&gt;10,"Yes","No")</f>
        <v>No</v>
      </c>
      <c r="BA3022" s="68" t="str">
        <f t="shared" ref="BA3022:BA3085" si="317">IF(AY3022&lt;-10,"Yes","No")</f>
        <v>No</v>
      </c>
    </row>
    <row r="3023" spans="1:55" ht="15" hidden="1">
      <c r="A3023" t="s">
        <v>3914</v>
      </c>
      <c r="G3023" t="s">
        <v>4190</v>
      </c>
      <c r="P3023" t="s">
        <v>4596</v>
      </c>
      <c r="R3023" t="s">
        <v>4664</v>
      </c>
      <c r="S3023" t="s">
        <v>1759</v>
      </c>
      <c r="V3023" t="s">
        <v>4598</v>
      </c>
      <c r="Z3023">
        <v>3</v>
      </c>
      <c r="AA3023">
        <v>3</v>
      </c>
      <c r="AC3023">
        <v>376</v>
      </c>
      <c r="AD3023">
        <v>20</v>
      </c>
      <c r="AE3023">
        <v>351.5</v>
      </c>
      <c r="AF3023">
        <v>22</v>
      </c>
      <c r="AJ3023" s="56" t="s">
        <v>4791</v>
      </c>
      <c r="AK3023" t="s">
        <v>4681</v>
      </c>
      <c r="AL3023" s="59"/>
      <c r="AM3023" s="60"/>
      <c r="AN3023">
        <v>100</v>
      </c>
      <c r="AO3023">
        <v>6.9339829999999996</v>
      </c>
      <c r="AP3023">
        <v>110</v>
      </c>
      <c r="AQ3023">
        <v>7.1213879999999996</v>
      </c>
      <c r="AR3023" s="37"/>
      <c r="AS3023" s="37"/>
      <c r="AT3023" s="37"/>
      <c r="AU3023" s="37"/>
      <c r="AV3023" s="37"/>
      <c r="AW3023" s="28">
        <f t="shared" si="313"/>
        <v>1.4228171179695328</v>
      </c>
      <c r="AX3023">
        <f t="shared" si="314"/>
        <v>0.8</v>
      </c>
      <c r="AY3023" s="62">
        <f t="shared" si="315"/>
        <v>1.1382536943756263</v>
      </c>
      <c r="AZ3023" s="68" t="str">
        <f t="shared" si="316"/>
        <v>No</v>
      </c>
      <c r="BA3023" s="68" t="str">
        <f t="shared" si="317"/>
        <v>No</v>
      </c>
    </row>
    <row r="3024" spans="1:55" hidden="1">
      <c r="A3024" t="s">
        <v>3914</v>
      </c>
      <c r="G3024" t="s">
        <v>4190</v>
      </c>
      <c r="P3024" t="s">
        <v>60</v>
      </c>
      <c r="R3024" t="s">
        <v>4116</v>
      </c>
      <c r="S3024" t="s">
        <v>1759</v>
      </c>
      <c r="V3024" t="s">
        <v>3956</v>
      </c>
      <c r="Z3024">
        <v>3</v>
      </c>
      <c r="AA3024">
        <v>3</v>
      </c>
      <c r="AC3024">
        <v>376</v>
      </c>
      <c r="AD3024">
        <v>19.86</v>
      </c>
      <c r="AE3024">
        <v>639.79999999999995</v>
      </c>
      <c r="AF3024">
        <v>19.79</v>
      </c>
      <c r="AJ3024" t="s">
        <v>4263</v>
      </c>
      <c r="AK3024" t="s">
        <v>4266</v>
      </c>
      <c r="AN3024">
        <v>100</v>
      </c>
      <c r="AO3024">
        <v>7.125</v>
      </c>
      <c r="AP3024">
        <v>103</v>
      </c>
      <c r="AQ3024">
        <v>10.5</v>
      </c>
      <c r="AW3024" s="28">
        <f t="shared" si="313"/>
        <v>0.33435070362285835</v>
      </c>
      <c r="AX3024">
        <f t="shared" si="314"/>
        <v>0.8</v>
      </c>
      <c r="AY3024" s="62">
        <f t="shared" si="315"/>
        <v>0.2674805628982867</v>
      </c>
      <c r="AZ3024" s="68" t="str">
        <f t="shared" si="316"/>
        <v>No</v>
      </c>
      <c r="BA3024" s="68" t="str">
        <f t="shared" si="317"/>
        <v>No</v>
      </c>
    </row>
    <row r="3025" spans="1:55" hidden="1">
      <c r="A3025" t="s">
        <v>3914</v>
      </c>
      <c r="G3025" t="s">
        <v>4190</v>
      </c>
      <c r="P3025" t="s">
        <v>4596</v>
      </c>
      <c r="R3025" t="s">
        <v>4664</v>
      </c>
      <c r="S3025" t="s">
        <v>1759</v>
      </c>
      <c r="V3025" t="s">
        <v>4598</v>
      </c>
      <c r="Z3025">
        <v>3</v>
      </c>
      <c r="AA3025">
        <v>3</v>
      </c>
      <c r="AC3025">
        <v>376</v>
      </c>
      <c r="AD3025">
        <v>20</v>
      </c>
      <c r="AE3025">
        <v>351.5</v>
      </c>
      <c r="AF3025">
        <v>22</v>
      </c>
      <c r="AJ3025" t="s">
        <v>4796</v>
      </c>
      <c r="AK3025" t="s">
        <v>4642</v>
      </c>
      <c r="AL3025" s="59"/>
      <c r="AM3025" s="60"/>
      <c r="AN3025">
        <v>4000</v>
      </c>
      <c r="AO3025">
        <v>233.77459999999999</v>
      </c>
      <c r="AP3025">
        <v>4100</v>
      </c>
      <c r="AQ3025">
        <v>257.79250000000002</v>
      </c>
      <c r="AR3025" s="37"/>
      <c r="AS3025" s="37"/>
      <c r="AT3025" s="37"/>
      <c r="AU3025" s="37"/>
      <c r="AV3025" s="37"/>
      <c r="AW3025" s="28">
        <f t="shared" si="313"/>
        <v>0.40637727380118771</v>
      </c>
      <c r="AX3025">
        <f t="shared" si="314"/>
        <v>0.8</v>
      </c>
      <c r="AY3025" s="62">
        <f t="shared" si="315"/>
        <v>0.3251018190409502</v>
      </c>
      <c r="AZ3025" s="68" t="str">
        <f t="shared" si="316"/>
        <v>No</v>
      </c>
      <c r="BA3025" s="68" t="str">
        <f t="shared" si="317"/>
        <v>No</v>
      </c>
    </row>
    <row r="3026" spans="1:55" hidden="1">
      <c r="A3026" t="s">
        <v>3914</v>
      </c>
      <c r="G3026" t="s">
        <v>4190</v>
      </c>
      <c r="P3026" t="s">
        <v>4596</v>
      </c>
      <c r="R3026" t="s">
        <v>4664</v>
      </c>
      <c r="S3026" t="s">
        <v>1759</v>
      </c>
      <c r="V3026" t="s">
        <v>4600</v>
      </c>
      <c r="Z3026">
        <v>3</v>
      </c>
      <c r="AA3026">
        <v>3</v>
      </c>
      <c r="AC3026">
        <v>376</v>
      </c>
      <c r="AD3026">
        <v>20</v>
      </c>
      <c r="AE3026">
        <v>655.8</v>
      </c>
      <c r="AF3026">
        <v>22</v>
      </c>
      <c r="AJ3026" t="s">
        <v>4071</v>
      </c>
      <c r="AK3026" t="s">
        <v>40</v>
      </c>
      <c r="AL3026" s="59"/>
      <c r="AM3026" s="60"/>
      <c r="AN3026">
        <v>4000</v>
      </c>
      <c r="AO3026">
        <v>233.77459999999999</v>
      </c>
      <c r="AP3026">
        <v>4030</v>
      </c>
      <c r="AQ3026">
        <v>289.81639999999999</v>
      </c>
      <c r="AR3026" s="37"/>
      <c r="AS3026" s="37"/>
      <c r="AT3026" s="37"/>
      <c r="AU3026" s="37"/>
      <c r="AV3026" s="37"/>
      <c r="AW3026" s="28">
        <f t="shared" si="313"/>
        <v>0.11394244686595019</v>
      </c>
      <c r="AX3026">
        <f t="shared" si="314"/>
        <v>0.8</v>
      </c>
      <c r="AY3026" s="62">
        <f t="shared" si="315"/>
        <v>9.115395749276016E-2</v>
      </c>
      <c r="AZ3026" s="68" t="str">
        <f t="shared" si="316"/>
        <v>No</v>
      </c>
      <c r="BA3026" s="68" t="str">
        <f t="shared" si="317"/>
        <v>No</v>
      </c>
    </row>
    <row r="3027" spans="1:55" ht="15" hidden="1">
      <c r="A3027" t="s">
        <v>3914</v>
      </c>
      <c r="G3027" t="s">
        <v>4190</v>
      </c>
      <c r="P3027" t="s">
        <v>60</v>
      </c>
      <c r="R3027" t="s">
        <v>4116</v>
      </c>
      <c r="S3027" t="s">
        <v>1759</v>
      </c>
      <c r="V3027" t="s">
        <v>3956</v>
      </c>
      <c r="Z3027">
        <v>3</v>
      </c>
      <c r="AA3027">
        <v>3</v>
      </c>
      <c r="AC3027">
        <v>376</v>
      </c>
      <c r="AD3027">
        <v>19.86</v>
      </c>
      <c r="AE3027">
        <v>639.79999999999995</v>
      </c>
      <c r="AF3027">
        <v>19.79</v>
      </c>
      <c r="AJ3027" t="s">
        <v>4071</v>
      </c>
      <c r="AK3027" t="s">
        <v>4244</v>
      </c>
      <c r="AN3027">
        <v>3900</v>
      </c>
      <c r="AO3027">
        <v>112.5</v>
      </c>
      <c r="AP3027">
        <v>3540</v>
      </c>
      <c r="AQ3027">
        <v>300</v>
      </c>
      <c r="AW3027" s="28">
        <f t="shared" si="313"/>
        <v>-1.5890033061165465</v>
      </c>
      <c r="AX3027">
        <f t="shared" si="314"/>
        <v>0.8</v>
      </c>
      <c r="AY3027" s="73">
        <f t="shared" si="315"/>
        <v>-1.2712026448932372</v>
      </c>
      <c r="AZ3027" s="74" t="str">
        <f t="shared" si="316"/>
        <v>No</v>
      </c>
      <c r="BA3027" s="74" t="str">
        <f t="shared" si="317"/>
        <v>No</v>
      </c>
      <c r="BB3027" s="56"/>
      <c r="BC3027" s="56"/>
    </row>
    <row r="3028" spans="1:55" hidden="1">
      <c r="A3028" t="s">
        <v>3914</v>
      </c>
      <c r="G3028" t="s">
        <v>4095</v>
      </c>
      <c r="P3028" t="s">
        <v>60</v>
      </c>
      <c r="R3028" t="s">
        <v>4116</v>
      </c>
      <c r="S3028" t="s">
        <v>1759</v>
      </c>
      <c r="V3028" t="s">
        <v>3956</v>
      </c>
      <c r="Z3028">
        <v>17</v>
      </c>
      <c r="AA3028">
        <v>17</v>
      </c>
      <c r="AC3028">
        <v>423</v>
      </c>
      <c r="AD3028">
        <v>20.100000000000001</v>
      </c>
      <c r="AE3028">
        <v>1000.3</v>
      </c>
      <c r="AF3028">
        <v>20.100000000000001</v>
      </c>
      <c r="AJ3028" t="s">
        <v>2020</v>
      </c>
      <c r="AK3028" t="s">
        <v>4093</v>
      </c>
      <c r="AN3028">
        <v>63.38</v>
      </c>
      <c r="AO3028">
        <v>17.976740527693</v>
      </c>
      <c r="AP3028">
        <v>64.13</v>
      </c>
      <c r="AQ3028">
        <v>16.492422502470642</v>
      </c>
      <c r="AW3028" s="28">
        <f t="shared" si="313"/>
        <v>4.3476865541177218E-2</v>
      </c>
      <c r="AX3028">
        <f t="shared" si="314"/>
        <v>0.97637795275590555</v>
      </c>
      <c r="AY3028" s="62">
        <f t="shared" si="315"/>
        <v>4.2449852969338391E-2</v>
      </c>
      <c r="AZ3028" s="68" t="str">
        <f t="shared" si="316"/>
        <v>No</v>
      </c>
      <c r="BA3028" s="68" t="str">
        <f t="shared" si="317"/>
        <v>No</v>
      </c>
    </row>
    <row r="3029" spans="1:55" hidden="1">
      <c r="A3029" s="77" t="s">
        <v>3914</v>
      </c>
      <c r="G3029" s="77" t="s">
        <v>5007</v>
      </c>
      <c r="P3029" s="77" t="s">
        <v>60</v>
      </c>
      <c r="Q3029" s="77"/>
      <c r="R3029" s="77" t="s">
        <v>4357</v>
      </c>
      <c r="S3029" s="77" t="s">
        <v>956</v>
      </c>
      <c r="T3029" s="77"/>
      <c r="U3029" s="77"/>
      <c r="V3029" s="77" t="s">
        <v>3956</v>
      </c>
      <c r="W3029" s="77"/>
      <c r="X3029" s="77"/>
      <c r="Y3029" s="77"/>
      <c r="Z3029" s="77">
        <v>5</v>
      </c>
      <c r="AA3029" s="77">
        <v>5</v>
      </c>
      <c r="AB3029" s="77"/>
      <c r="AC3029" s="77">
        <v>370</v>
      </c>
      <c r="AD3029" s="77">
        <v>20.5</v>
      </c>
      <c r="AE3029" s="77">
        <v>1000</v>
      </c>
      <c r="AF3029" s="77">
        <v>20.5</v>
      </c>
      <c r="AG3029" s="77"/>
      <c r="AH3029" s="77"/>
      <c r="AI3029" s="77"/>
      <c r="AJ3029" s="77" t="s">
        <v>2020</v>
      </c>
      <c r="AK3029" s="77" t="s">
        <v>4093</v>
      </c>
      <c r="AN3029" s="77">
        <v>62</v>
      </c>
      <c r="AO3029" s="77">
        <v>17.441330224498358</v>
      </c>
      <c r="AP3029" s="77">
        <v>50.7</v>
      </c>
      <c r="AQ3029" s="77">
        <v>18.782971010998235</v>
      </c>
      <c r="AW3029" s="28">
        <f t="shared" si="313"/>
        <v>-0.62346310274711703</v>
      </c>
      <c r="AX3029">
        <f t="shared" si="314"/>
        <v>0.90322580645161288</v>
      </c>
      <c r="AY3029" s="62">
        <f t="shared" si="315"/>
        <v>-0.56312796377158958</v>
      </c>
      <c r="AZ3029" s="68" t="str">
        <f t="shared" si="316"/>
        <v>No</v>
      </c>
      <c r="BA3029" s="68" t="str">
        <f t="shared" si="317"/>
        <v>No</v>
      </c>
    </row>
    <row r="3030" spans="1:55" hidden="1">
      <c r="A3030" s="77" t="s">
        <v>3914</v>
      </c>
      <c r="G3030" s="77" t="s">
        <v>4359</v>
      </c>
      <c r="P3030" s="77" t="s">
        <v>60</v>
      </c>
      <c r="Q3030" s="77"/>
      <c r="R3030" s="77" t="s">
        <v>4357</v>
      </c>
      <c r="S3030" s="77" t="s">
        <v>956</v>
      </c>
      <c r="T3030" s="77"/>
      <c r="U3030" s="77"/>
      <c r="V3030" s="77" t="s">
        <v>3956</v>
      </c>
      <c r="W3030" s="77"/>
      <c r="X3030" s="77"/>
      <c r="Y3030" s="77"/>
      <c r="Z3030" s="77">
        <v>5</v>
      </c>
      <c r="AA3030" s="77">
        <v>5</v>
      </c>
      <c r="AB3030" s="77"/>
      <c r="AC3030" s="77">
        <v>370</v>
      </c>
      <c r="AD3030" s="77">
        <v>20.5</v>
      </c>
      <c r="AE3030" s="77">
        <v>1000</v>
      </c>
      <c r="AF3030" s="77">
        <v>20.5</v>
      </c>
      <c r="AG3030" s="77"/>
      <c r="AH3030" s="77"/>
      <c r="AI3030" s="77"/>
      <c r="AJ3030" s="77" t="s">
        <v>4475</v>
      </c>
      <c r="AK3030" s="77" t="s">
        <v>4151</v>
      </c>
      <c r="AN3030" s="77">
        <v>51.7</v>
      </c>
      <c r="AO3030" s="77">
        <v>26.609208932247501</v>
      </c>
      <c r="AP3030" s="77">
        <v>46.1</v>
      </c>
      <c r="AQ3030" s="77">
        <v>27.503636123247418</v>
      </c>
      <c r="AW3030" s="28">
        <f t="shared" si="313"/>
        <v>-0.20694661963896191</v>
      </c>
      <c r="AX3030">
        <f t="shared" si="314"/>
        <v>0.90322580645161288</v>
      </c>
      <c r="AY3030" s="62">
        <f t="shared" si="315"/>
        <v>-0.18691952741583656</v>
      </c>
      <c r="AZ3030" s="68" t="str">
        <f t="shared" si="316"/>
        <v>No</v>
      </c>
      <c r="BA3030" s="68" t="str">
        <f t="shared" si="317"/>
        <v>No</v>
      </c>
    </row>
    <row r="3031" spans="1:55" s="77" customFormat="1" hidden="1">
      <c r="A3031" t="s">
        <v>3914</v>
      </c>
      <c r="B3031"/>
      <c r="C3031"/>
      <c r="D3031" s="25"/>
      <c r="E3031" s="25"/>
      <c r="F3031"/>
      <c r="G3031" t="s">
        <v>3921</v>
      </c>
      <c r="H3031"/>
      <c r="I3031"/>
      <c r="J3031"/>
      <c r="K3031"/>
      <c r="L3031"/>
      <c r="M3031" s="25"/>
      <c r="N3031"/>
      <c r="O3031"/>
      <c r="P3031" t="s">
        <v>60</v>
      </c>
      <c r="Q3031"/>
      <c r="R3031" t="s">
        <v>3942</v>
      </c>
      <c r="S3031" t="s">
        <v>3965</v>
      </c>
      <c r="T3031"/>
      <c r="U3031"/>
      <c r="V3031" t="s">
        <v>3956</v>
      </c>
      <c r="W3031" s="25"/>
      <c r="X3031"/>
      <c r="Y3031"/>
      <c r="Z3031">
        <v>3</v>
      </c>
      <c r="AA3031">
        <v>3</v>
      </c>
      <c r="AB3031"/>
      <c r="AC3031">
        <v>406</v>
      </c>
      <c r="AD3031">
        <v>16.7</v>
      </c>
      <c r="AE3031">
        <v>866</v>
      </c>
      <c r="AF3031">
        <v>16.600000000000001</v>
      </c>
      <c r="AG3031"/>
      <c r="AH3031"/>
      <c r="AI3031"/>
      <c r="AJ3031" t="s">
        <v>3977</v>
      </c>
      <c r="AK3031" t="s">
        <v>40</v>
      </c>
      <c r="AL3031" s="25"/>
      <c r="AM3031" s="35"/>
      <c r="AN3031">
        <v>252</v>
      </c>
      <c r="AO3031">
        <v>4.2300000000000004</v>
      </c>
      <c r="AP3031">
        <v>261</v>
      </c>
      <c r="AQ3031">
        <v>0.66</v>
      </c>
      <c r="AR3031"/>
      <c r="AS3031"/>
      <c r="AT3031"/>
      <c r="AU3031"/>
      <c r="AV3031"/>
      <c r="AW3031" s="28">
        <f t="shared" si="313"/>
        <v>2.9729940863490194</v>
      </c>
      <c r="AX3031">
        <f t="shared" si="314"/>
        <v>0.8</v>
      </c>
      <c r="AY3031" s="62">
        <f t="shared" si="315"/>
        <v>2.3783952690792156</v>
      </c>
      <c r="AZ3031" s="68" t="str">
        <f t="shared" si="316"/>
        <v>No</v>
      </c>
      <c r="BA3031" s="68" t="str">
        <f t="shared" si="317"/>
        <v>No</v>
      </c>
      <c r="BB3031"/>
      <c r="BC3031"/>
    </row>
    <row r="3032" spans="1:55" hidden="1">
      <c r="A3032" t="s">
        <v>3914</v>
      </c>
      <c r="G3032" t="s">
        <v>3921</v>
      </c>
      <c r="P3032" t="s">
        <v>60</v>
      </c>
      <c r="R3032" t="s">
        <v>3942</v>
      </c>
      <c r="S3032" t="s">
        <v>3965</v>
      </c>
      <c r="V3032" t="s">
        <v>3956</v>
      </c>
      <c r="Z3032">
        <v>3</v>
      </c>
      <c r="AA3032">
        <v>3</v>
      </c>
      <c r="AC3032">
        <v>406</v>
      </c>
      <c r="AD3032">
        <v>16.7</v>
      </c>
      <c r="AE3032">
        <v>1607</v>
      </c>
      <c r="AF3032">
        <v>16.7</v>
      </c>
      <c r="AJ3032" t="s">
        <v>3977</v>
      </c>
      <c r="AK3032" t="s">
        <v>40</v>
      </c>
      <c r="AN3032">
        <v>252</v>
      </c>
      <c r="AO3032">
        <v>4.2300000000000004</v>
      </c>
      <c r="AP3032">
        <v>267</v>
      </c>
      <c r="AQ3032">
        <v>10.7</v>
      </c>
      <c r="AW3032" s="28">
        <f t="shared" si="313"/>
        <v>1.8437002373696589</v>
      </c>
      <c r="AX3032">
        <f t="shared" si="314"/>
        <v>0.8</v>
      </c>
      <c r="AY3032" s="62">
        <f t="shared" si="315"/>
        <v>1.4749601898957272</v>
      </c>
      <c r="AZ3032" s="68" t="str">
        <f t="shared" si="316"/>
        <v>No</v>
      </c>
      <c r="BA3032" s="68" t="str">
        <f t="shared" si="317"/>
        <v>No</v>
      </c>
    </row>
    <row r="3033" spans="1:55" hidden="1">
      <c r="A3033" t="s">
        <v>3914</v>
      </c>
      <c r="G3033" s="50" t="s">
        <v>3921</v>
      </c>
      <c r="P3033" t="s">
        <v>60</v>
      </c>
      <c r="R3033" t="s">
        <v>3942</v>
      </c>
      <c r="S3033" t="s">
        <v>3946</v>
      </c>
      <c r="V3033" t="s">
        <v>3956</v>
      </c>
      <c r="Z3033">
        <v>3</v>
      </c>
      <c r="AA3033">
        <v>3</v>
      </c>
      <c r="AC3033">
        <v>406</v>
      </c>
      <c r="AD3033">
        <v>16.7</v>
      </c>
      <c r="AE3033">
        <v>1607</v>
      </c>
      <c r="AF3033">
        <v>16.7</v>
      </c>
      <c r="AJ3033" s="50" t="s">
        <v>3934</v>
      </c>
      <c r="AK3033" t="s">
        <v>904</v>
      </c>
      <c r="AN3033">
        <v>595</v>
      </c>
      <c r="AO3033">
        <v>818</v>
      </c>
      <c r="AP3033">
        <v>886</v>
      </c>
      <c r="AQ3033">
        <v>728</v>
      </c>
      <c r="AW3033" s="28">
        <f t="shared" si="313"/>
        <v>0.37581908997730668</v>
      </c>
      <c r="AX3033">
        <f t="shared" si="314"/>
        <v>0.8</v>
      </c>
      <c r="AY3033" s="62">
        <f t="shared" si="315"/>
        <v>0.30065527198184538</v>
      </c>
      <c r="AZ3033" s="68" t="str">
        <f t="shared" si="316"/>
        <v>No</v>
      </c>
      <c r="BA3033" s="68" t="str">
        <f t="shared" si="317"/>
        <v>No</v>
      </c>
    </row>
    <row r="3034" spans="1:55" hidden="1">
      <c r="A3034" t="s">
        <v>3914</v>
      </c>
      <c r="G3034" t="s">
        <v>3921</v>
      </c>
      <c r="P3034" t="s">
        <v>60</v>
      </c>
      <c r="R3034" t="s">
        <v>3942</v>
      </c>
      <c r="S3034" t="s">
        <v>3946</v>
      </c>
      <c r="V3034" t="s">
        <v>3956</v>
      </c>
      <c r="Z3034">
        <v>3</v>
      </c>
      <c r="AA3034">
        <v>3</v>
      </c>
      <c r="AC3034">
        <v>406</v>
      </c>
      <c r="AD3034">
        <v>16.7</v>
      </c>
      <c r="AE3034">
        <v>866</v>
      </c>
      <c r="AF3034">
        <v>16.600000000000001</v>
      </c>
      <c r="AJ3034" t="s">
        <v>3934</v>
      </c>
      <c r="AK3034" t="s">
        <v>904</v>
      </c>
      <c r="AN3034">
        <v>595</v>
      </c>
      <c r="AO3034">
        <v>818</v>
      </c>
      <c r="AP3034">
        <v>1269</v>
      </c>
      <c r="AQ3034">
        <v>821</v>
      </c>
      <c r="AW3034" s="28">
        <f t="shared" si="313"/>
        <v>0.82245133733909004</v>
      </c>
      <c r="AX3034">
        <f t="shared" si="314"/>
        <v>0.8</v>
      </c>
      <c r="AY3034" s="62">
        <f t="shared" si="315"/>
        <v>0.65796106987127212</v>
      </c>
      <c r="AZ3034" s="68" t="str">
        <f t="shared" si="316"/>
        <v>No</v>
      </c>
      <c r="BA3034" s="68" t="str">
        <f t="shared" si="317"/>
        <v>No</v>
      </c>
    </row>
    <row r="3035" spans="1:55" hidden="1">
      <c r="A3035" t="s">
        <v>3914</v>
      </c>
      <c r="G3035" t="s">
        <v>4422</v>
      </c>
      <c r="P3035" t="s">
        <v>4596</v>
      </c>
      <c r="R3035" t="s">
        <v>4357</v>
      </c>
      <c r="S3035" t="s">
        <v>1782</v>
      </c>
      <c r="V3035" t="s">
        <v>4627</v>
      </c>
      <c r="W3035"/>
      <c r="Z3035">
        <v>5</v>
      </c>
      <c r="AA3035">
        <v>5</v>
      </c>
      <c r="AC3035">
        <v>310.60000000000002</v>
      </c>
      <c r="AD3035" s="54">
        <v>23</v>
      </c>
      <c r="AE3035">
        <v>1879.6</v>
      </c>
      <c r="AF3035" s="54">
        <v>26</v>
      </c>
      <c r="AJ3035" t="s">
        <v>4899</v>
      </c>
      <c r="AK3035" t="s">
        <v>4849</v>
      </c>
      <c r="AL3035" s="59"/>
      <c r="AM3035" s="60"/>
      <c r="AN3035">
        <v>225</v>
      </c>
      <c r="AO3035" s="61">
        <v>19.27644808189601</v>
      </c>
      <c r="AP3035">
        <v>25</v>
      </c>
      <c r="AQ3035" s="61">
        <v>13.768891487067679</v>
      </c>
      <c r="AR3035" s="37"/>
      <c r="AS3035" s="37"/>
      <c r="AT3035" s="37"/>
      <c r="AU3035" s="37"/>
      <c r="AV3035" s="37"/>
      <c r="AW3035" s="28">
        <f t="shared" si="313"/>
        <v>-11.939885462802915</v>
      </c>
      <c r="AX3035">
        <f t="shared" si="314"/>
        <v>0.90322580645161288</v>
      </c>
      <c r="AY3035" s="62">
        <f t="shared" si="315"/>
        <v>-10.784412676080052</v>
      </c>
      <c r="AZ3035" s="68" t="str">
        <f t="shared" si="316"/>
        <v>No</v>
      </c>
      <c r="BA3035" s="68" t="str">
        <f t="shared" si="317"/>
        <v>Yes</v>
      </c>
    </row>
    <row r="3036" spans="1:55" hidden="1">
      <c r="A3036" t="s">
        <v>3914</v>
      </c>
      <c r="G3036" s="50" t="s">
        <v>4422</v>
      </c>
      <c r="P3036" t="s">
        <v>60</v>
      </c>
      <c r="R3036" t="s">
        <v>4357</v>
      </c>
      <c r="S3036" s="50" t="s">
        <v>1782</v>
      </c>
      <c r="V3036" t="s">
        <v>3956</v>
      </c>
      <c r="Z3036" s="50">
        <v>5</v>
      </c>
      <c r="AA3036" s="50">
        <v>5</v>
      </c>
      <c r="AC3036">
        <v>310.60000000000002</v>
      </c>
      <c r="AD3036">
        <v>23</v>
      </c>
      <c r="AE3036">
        <v>885.4</v>
      </c>
      <c r="AF3036">
        <v>23</v>
      </c>
      <c r="AJ3036" s="50" t="s">
        <v>4444</v>
      </c>
      <c r="AK3036" t="s">
        <v>4244</v>
      </c>
      <c r="AN3036">
        <v>225</v>
      </c>
      <c r="AO3036">
        <v>26.832815729997478</v>
      </c>
      <c r="AP3036">
        <v>122</v>
      </c>
      <c r="AQ3036">
        <v>26.832815729997478</v>
      </c>
      <c r="AW3036" s="28">
        <f t="shared" si="313"/>
        <v>-3.838583361374639</v>
      </c>
      <c r="AX3036">
        <f t="shared" si="314"/>
        <v>0.90322580645161288</v>
      </c>
      <c r="AY3036" s="62">
        <f t="shared" si="315"/>
        <v>-3.4671075522093511</v>
      </c>
      <c r="AZ3036" s="68" t="str">
        <f t="shared" si="316"/>
        <v>No</v>
      </c>
      <c r="BA3036" s="68" t="str">
        <f t="shared" si="317"/>
        <v>No</v>
      </c>
    </row>
    <row r="3037" spans="1:55" hidden="1">
      <c r="A3037" t="s">
        <v>3914</v>
      </c>
      <c r="G3037" s="50" t="s">
        <v>4422</v>
      </c>
      <c r="P3037" t="s">
        <v>60</v>
      </c>
      <c r="R3037" t="s">
        <v>4357</v>
      </c>
      <c r="S3037" s="50" t="s">
        <v>1782</v>
      </c>
      <c r="V3037" t="s">
        <v>3956</v>
      </c>
      <c r="Z3037">
        <v>5</v>
      </c>
      <c r="AA3037">
        <v>5</v>
      </c>
      <c r="AC3037">
        <v>310.60000000000002</v>
      </c>
      <c r="AD3037">
        <v>23</v>
      </c>
      <c r="AE3037">
        <v>1849.9</v>
      </c>
      <c r="AF3037">
        <v>23</v>
      </c>
      <c r="AJ3037" s="50" t="s">
        <v>4444</v>
      </c>
      <c r="AK3037" t="s">
        <v>4244</v>
      </c>
      <c r="AN3037">
        <v>225</v>
      </c>
      <c r="AO3037">
        <v>26.832815729997478</v>
      </c>
      <c r="AP3037">
        <v>105</v>
      </c>
      <c r="AQ3037">
        <v>26.832815729997478</v>
      </c>
      <c r="AW3037" s="28">
        <f t="shared" si="313"/>
        <v>-4.4721359549995796</v>
      </c>
      <c r="AX3037">
        <f t="shared" si="314"/>
        <v>0.90322580645161288</v>
      </c>
      <c r="AY3037" s="62">
        <f t="shared" si="315"/>
        <v>-4.039348604515749</v>
      </c>
      <c r="AZ3037" s="68" t="str">
        <f t="shared" si="316"/>
        <v>No</v>
      </c>
      <c r="BA3037" s="68" t="str">
        <f t="shared" si="317"/>
        <v>No</v>
      </c>
    </row>
    <row r="3038" spans="1:55" hidden="1">
      <c r="A3038" t="s">
        <v>3914</v>
      </c>
      <c r="G3038" t="s">
        <v>4422</v>
      </c>
      <c r="P3038" t="s">
        <v>4596</v>
      </c>
      <c r="R3038" t="s">
        <v>4357</v>
      </c>
      <c r="S3038" t="s">
        <v>1782</v>
      </c>
      <c r="V3038" t="s">
        <v>4598</v>
      </c>
      <c r="W3038"/>
      <c r="Z3038">
        <v>5</v>
      </c>
      <c r="AA3038">
        <v>5</v>
      </c>
      <c r="AC3038">
        <v>310.60000000000002</v>
      </c>
      <c r="AD3038" s="54">
        <v>23</v>
      </c>
      <c r="AE3038">
        <v>313.60000000000002</v>
      </c>
      <c r="AF3038" s="54">
        <v>26</v>
      </c>
      <c r="AJ3038" t="s">
        <v>4899</v>
      </c>
      <c r="AK3038" t="s">
        <v>4849</v>
      </c>
      <c r="AL3038" s="59"/>
      <c r="AM3038" s="60"/>
      <c r="AN3038">
        <v>225</v>
      </c>
      <c r="AO3038" s="61">
        <v>19.27644808189601</v>
      </c>
      <c r="AP3038">
        <v>250</v>
      </c>
      <c r="AQ3038" s="61">
        <v>27.537782974136245</v>
      </c>
      <c r="AR3038" s="37"/>
      <c r="AS3038" s="37"/>
      <c r="AT3038" s="37"/>
      <c r="AU3038" s="37"/>
      <c r="AV3038" s="37"/>
      <c r="AW3038" s="28">
        <f t="shared" si="313"/>
        <v>1.0517993531061589</v>
      </c>
      <c r="AX3038">
        <f t="shared" si="314"/>
        <v>0.90322580645161288</v>
      </c>
      <c r="AY3038" s="62">
        <f t="shared" si="315"/>
        <v>0.95001231893459515</v>
      </c>
      <c r="AZ3038" s="68" t="str">
        <f t="shared" si="316"/>
        <v>No</v>
      </c>
      <c r="BA3038" s="68" t="str">
        <f t="shared" si="317"/>
        <v>No</v>
      </c>
    </row>
    <row r="3039" spans="1:55" hidden="1">
      <c r="A3039" t="s">
        <v>3914</v>
      </c>
      <c r="G3039" t="s">
        <v>4422</v>
      </c>
      <c r="P3039" t="s">
        <v>4596</v>
      </c>
      <c r="R3039" t="s">
        <v>4357</v>
      </c>
      <c r="S3039" t="s">
        <v>1782</v>
      </c>
      <c r="V3039" t="s">
        <v>4626</v>
      </c>
      <c r="W3039"/>
      <c r="Z3039">
        <v>5</v>
      </c>
      <c r="AA3039">
        <v>5</v>
      </c>
      <c r="AC3039">
        <v>310.60000000000002</v>
      </c>
      <c r="AD3039" s="54">
        <v>23</v>
      </c>
      <c r="AE3039">
        <v>915.6</v>
      </c>
      <c r="AF3039" s="54">
        <v>26</v>
      </c>
      <c r="AJ3039" t="s">
        <v>4899</v>
      </c>
      <c r="AK3039" t="s">
        <v>4849</v>
      </c>
      <c r="AL3039" s="59"/>
      <c r="AM3039" s="60"/>
      <c r="AN3039">
        <v>225</v>
      </c>
      <c r="AO3039" s="61">
        <v>19.27644808189601</v>
      </c>
      <c r="AP3039">
        <v>150</v>
      </c>
      <c r="AQ3039" s="61">
        <v>52.321787650856898</v>
      </c>
      <c r="AR3039" s="37"/>
      <c r="AS3039" s="37"/>
      <c r="AT3039" s="37"/>
      <c r="AU3039" s="37"/>
      <c r="AV3039" s="37"/>
      <c r="AW3039" s="28">
        <f t="shared" si="313"/>
        <v>-1.9021964198032149</v>
      </c>
      <c r="AX3039">
        <f t="shared" si="314"/>
        <v>0.90322580645161288</v>
      </c>
      <c r="AY3039" s="62">
        <f t="shared" si="315"/>
        <v>-1.7181128953061295</v>
      </c>
      <c r="AZ3039" s="68" t="str">
        <f t="shared" si="316"/>
        <v>No</v>
      </c>
      <c r="BA3039" s="68" t="str">
        <f t="shared" si="317"/>
        <v>No</v>
      </c>
    </row>
    <row r="3040" spans="1:55" hidden="1">
      <c r="A3040" t="s">
        <v>3914</v>
      </c>
      <c r="G3040" t="s">
        <v>4422</v>
      </c>
      <c r="P3040" t="s">
        <v>60</v>
      </c>
      <c r="R3040" t="s">
        <v>4357</v>
      </c>
      <c r="S3040" t="s">
        <v>1782</v>
      </c>
      <c r="V3040" t="s">
        <v>3956</v>
      </c>
      <c r="Z3040">
        <v>5</v>
      </c>
      <c r="AA3040">
        <v>5</v>
      </c>
      <c r="AC3040">
        <v>310.60000000000002</v>
      </c>
      <c r="AD3040">
        <v>23</v>
      </c>
      <c r="AE3040">
        <v>885.4</v>
      </c>
      <c r="AF3040">
        <v>23</v>
      </c>
      <c r="AJ3040" t="s">
        <v>1827</v>
      </c>
      <c r="AK3040" t="s">
        <v>4244</v>
      </c>
      <c r="AN3040">
        <v>160</v>
      </c>
      <c r="AO3040">
        <v>44.721359549995796</v>
      </c>
      <c r="AP3040">
        <v>140</v>
      </c>
      <c r="AQ3040">
        <v>55.901699437494742</v>
      </c>
      <c r="AW3040" s="28">
        <f t="shared" si="313"/>
        <v>-0.39509183865983583</v>
      </c>
      <c r="AX3040">
        <f t="shared" si="314"/>
        <v>0.90322580645161288</v>
      </c>
      <c r="AY3040" s="62">
        <f t="shared" si="315"/>
        <v>-0.35685714459598072</v>
      </c>
      <c r="AZ3040" s="68" t="str">
        <f t="shared" si="316"/>
        <v>No</v>
      </c>
      <c r="BA3040" s="68" t="str">
        <f t="shared" si="317"/>
        <v>No</v>
      </c>
    </row>
    <row r="3041" spans="1:55" hidden="1">
      <c r="A3041" t="s">
        <v>3914</v>
      </c>
      <c r="G3041" t="s">
        <v>5062</v>
      </c>
      <c r="P3041" t="s">
        <v>60</v>
      </c>
      <c r="R3041" t="s">
        <v>4357</v>
      </c>
      <c r="S3041" t="s">
        <v>1782</v>
      </c>
      <c r="V3041" t="s">
        <v>3956</v>
      </c>
      <c r="Z3041">
        <v>5</v>
      </c>
      <c r="AA3041">
        <v>5</v>
      </c>
      <c r="AC3041">
        <v>310.60000000000002</v>
      </c>
      <c r="AD3041">
        <v>23</v>
      </c>
      <c r="AE3041">
        <v>1849.9</v>
      </c>
      <c r="AF3041">
        <v>23</v>
      </c>
      <c r="AJ3041" t="s">
        <v>1827</v>
      </c>
      <c r="AK3041" t="s">
        <v>4244</v>
      </c>
      <c r="AN3041">
        <v>160</v>
      </c>
      <c r="AO3041">
        <v>44.721359549995796</v>
      </c>
      <c r="AP3041">
        <v>115</v>
      </c>
      <c r="AQ3041">
        <v>55.901699437494742</v>
      </c>
      <c r="AW3041" s="28">
        <f t="shared" si="313"/>
        <v>-0.88895663698463057</v>
      </c>
      <c r="AX3041">
        <f t="shared" si="314"/>
        <v>0.90322580645161288</v>
      </c>
      <c r="AY3041" s="62">
        <f t="shared" si="315"/>
        <v>-0.80292857534095663</v>
      </c>
      <c r="AZ3041" s="68" t="str">
        <f t="shared" si="316"/>
        <v>No</v>
      </c>
      <c r="BA3041" s="68" t="str">
        <f t="shared" si="317"/>
        <v>No</v>
      </c>
    </row>
    <row r="3042" spans="1:55" hidden="1">
      <c r="A3042" t="s">
        <v>3914</v>
      </c>
      <c r="G3042" t="s">
        <v>4174</v>
      </c>
      <c r="P3042" t="s">
        <v>60</v>
      </c>
      <c r="R3042" t="s">
        <v>4116</v>
      </c>
      <c r="S3042" t="s">
        <v>4209</v>
      </c>
      <c r="V3042" t="s">
        <v>3956</v>
      </c>
      <c r="Z3042">
        <v>2</v>
      </c>
      <c r="AA3042">
        <v>2</v>
      </c>
      <c r="AC3042">
        <v>714</v>
      </c>
      <c r="AD3042">
        <v>20</v>
      </c>
      <c r="AE3042">
        <v>1161</v>
      </c>
      <c r="AF3042">
        <v>20</v>
      </c>
      <c r="AJ3042" t="s">
        <v>4222</v>
      </c>
      <c r="AK3042" t="s">
        <v>4244</v>
      </c>
      <c r="AN3042">
        <v>3.2000000000000002E-3</v>
      </c>
      <c r="AO3042">
        <v>7.0710678118654754E-5</v>
      </c>
      <c r="AP3042">
        <v>2.7499999999999998E-3</v>
      </c>
      <c r="AQ3042">
        <v>7.0710678118654754E-5</v>
      </c>
      <c r="AW3042" s="28">
        <f t="shared" si="313"/>
        <v>-6.363961030678932</v>
      </c>
      <c r="AX3042">
        <f t="shared" si="314"/>
        <v>0.5714285714285714</v>
      </c>
      <c r="AY3042" s="62">
        <f t="shared" si="315"/>
        <v>-3.6365491603879612</v>
      </c>
      <c r="AZ3042" s="68" t="str">
        <f t="shared" si="316"/>
        <v>No</v>
      </c>
      <c r="BA3042" s="68" t="str">
        <f t="shared" si="317"/>
        <v>No</v>
      </c>
    </row>
    <row r="3043" spans="1:55" hidden="1">
      <c r="A3043" t="s">
        <v>3914</v>
      </c>
      <c r="G3043" t="s">
        <v>4181</v>
      </c>
      <c r="P3043" t="s">
        <v>60</v>
      </c>
      <c r="R3043" t="s">
        <v>4116</v>
      </c>
      <c r="S3043" t="s">
        <v>4209</v>
      </c>
      <c r="V3043" t="s">
        <v>3956</v>
      </c>
      <c r="Z3043">
        <v>5</v>
      </c>
      <c r="AA3043">
        <v>5</v>
      </c>
      <c r="AC3043">
        <v>539</v>
      </c>
      <c r="AD3043">
        <v>19.399999999999999</v>
      </c>
      <c r="AE3043">
        <v>1094</v>
      </c>
      <c r="AF3043">
        <v>19.399999999999999</v>
      </c>
      <c r="AJ3043" t="s">
        <v>4228</v>
      </c>
      <c r="AK3043" t="s">
        <v>4244</v>
      </c>
      <c r="AN3043">
        <v>3.5000000000000003E-2</v>
      </c>
      <c r="AO3043">
        <v>2.2360679774997899E-3</v>
      </c>
      <c r="AP3043">
        <v>3.3000000000000002E-2</v>
      </c>
      <c r="AQ3043">
        <v>6.7082039324993688E-4</v>
      </c>
      <c r="AW3043" s="28">
        <f t="shared" si="313"/>
        <v>-1.2115650656307664</v>
      </c>
      <c r="AX3043">
        <f t="shared" si="314"/>
        <v>0.90322580645161288</v>
      </c>
      <c r="AY3043" s="62">
        <f t="shared" si="315"/>
        <v>-1.0943168334729503</v>
      </c>
      <c r="AZ3043" s="68" t="str">
        <f t="shared" si="316"/>
        <v>No</v>
      </c>
      <c r="BA3043" s="68" t="str">
        <f t="shared" si="317"/>
        <v>No</v>
      </c>
    </row>
    <row r="3044" spans="1:55" hidden="1">
      <c r="A3044" t="s">
        <v>3914</v>
      </c>
      <c r="G3044" t="s">
        <v>4181</v>
      </c>
      <c r="P3044" t="s">
        <v>60</v>
      </c>
      <c r="R3044" t="s">
        <v>4116</v>
      </c>
      <c r="S3044" t="s">
        <v>4209</v>
      </c>
      <c r="V3044" t="s">
        <v>3956</v>
      </c>
      <c r="Z3044">
        <v>5</v>
      </c>
      <c r="AA3044">
        <v>5</v>
      </c>
      <c r="AC3044">
        <v>539</v>
      </c>
      <c r="AD3044">
        <v>19.399999999999999</v>
      </c>
      <c r="AE3044">
        <v>1094</v>
      </c>
      <c r="AF3044">
        <v>19.399999999999999</v>
      </c>
      <c r="AJ3044" t="s">
        <v>1202</v>
      </c>
      <c r="AK3044" t="s">
        <v>4093</v>
      </c>
      <c r="AN3044">
        <v>20</v>
      </c>
      <c r="AO3044">
        <v>6.7082039324993694</v>
      </c>
      <c r="AP3044">
        <v>7</v>
      </c>
      <c r="AQ3044">
        <v>4.4721359549995796</v>
      </c>
      <c r="AW3044" s="28">
        <f t="shared" si="313"/>
        <v>-2.2803508501982757</v>
      </c>
      <c r="AX3044">
        <f t="shared" si="314"/>
        <v>0.90322580645161288</v>
      </c>
      <c r="AY3044" s="62">
        <f t="shared" si="315"/>
        <v>-2.0596717356629588</v>
      </c>
      <c r="AZ3044" s="68" t="str">
        <f t="shared" si="316"/>
        <v>No</v>
      </c>
      <c r="BA3044" s="68" t="str">
        <f t="shared" si="317"/>
        <v>No</v>
      </c>
    </row>
    <row r="3045" spans="1:55" hidden="1">
      <c r="A3045" t="s">
        <v>3914</v>
      </c>
      <c r="G3045" t="s">
        <v>4245</v>
      </c>
      <c r="P3045" t="s">
        <v>60</v>
      </c>
      <c r="R3045" t="s">
        <v>4116</v>
      </c>
      <c r="S3045" t="s">
        <v>4209</v>
      </c>
      <c r="V3045" t="s">
        <v>3956</v>
      </c>
      <c r="Z3045">
        <v>18</v>
      </c>
      <c r="AA3045">
        <v>18</v>
      </c>
      <c r="AC3045">
        <v>485</v>
      </c>
      <c r="AD3045">
        <v>19</v>
      </c>
      <c r="AE3045">
        <v>1060</v>
      </c>
      <c r="AF3045">
        <v>19</v>
      </c>
      <c r="AJ3045" t="s">
        <v>1202</v>
      </c>
      <c r="AK3045" t="s">
        <v>4093</v>
      </c>
      <c r="AN3045">
        <v>27</v>
      </c>
      <c r="AO3045">
        <v>16.970562748477139</v>
      </c>
      <c r="AP3045">
        <v>4.8</v>
      </c>
      <c r="AQ3045">
        <v>7.2124891681027838</v>
      </c>
      <c r="AW3045" s="28">
        <f t="shared" si="313"/>
        <v>-1.702612199148178</v>
      </c>
      <c r="AX3045">
        <f t="shared" si="314"/>
        <v>0.97777777777777775</v>
      </c>
      <c r="AY3045" s="62">
        <f t="shared" si="315"/>
        <v>-1.6647763725004405</v>
      </c>
      <c r="AZ3045" s="68" t="str">
        <f t="shared" si="316"/>
        <v>No</v>
      </c>
      <c r="BA3045" s="68" t="str">
        <f t="shared" si="317"/>
        <v>No</v>
      </c>
    </row>
    <row r="3046" spans="1:55" hidden="1">
      <c r="A3046" t="s">
        <v>3914</v>
      </c>
      <c r="G3046" t="s">
        <v>3930</v>
      </c>
      <c r="P3046" t="s">
        <v>60</v>
      </c>
      <c r="R3046" t="s">
        <v>3942</v>
      </c>
      <c r="S3046" t="s">
        <v>3953</v>
      </c>
      <c r="V3046" t="s">
        <v>3956</v>
      </c>
      <c r="Z3046">
        <v>2</v>
      </c>
      <c r="AA3046">
        <v>2</v>
      </c>
      <c r="AC3046">
        <v>375</v>
      </c>
      <c r="AD3046">
        <v>25</v>
      </c>
      <c r="AE3046">
        <v>907</v>
      </c>
      <c r="AF3046">
        <v>25</v>
      </c>
      <c r="AJ3046" t="s">
        <v>3939</v>
      </c>
      <c r="AK3046" t="s">
        <v>904</v>
      </c>
      <c r="AN3046">
        <v>2.67</v>
      </c>
      <c r="AO3046">
        <v>3.5355339059327383E-2</v>
      </c>
      <c r="AP3046">
        <v>2.82</v>
      </c>
      <c r="AQ3046">
        <v>3.5355339059327383E-2</v>
      </c>
      <c r="AW3046" s="28">
        <f t="shared" si="313"/>
        <v>4.2426406871192821</v>
      </c>
      <c r="AX3046">
        <f t="shared" si="314"/>
        <v>0.5714285714285714</v>
      </c>
      <c r="AY3046" s="62">
        <f t="shared" si="315"/>
        <v>2.4243661069253037</v>
      </c>
      <c r="AZ3046" s="68" t="str">
        <f t="shared" si="316"/>
        <v>No</v>
      </c>
      <c r="BA3046" s="68" t="str">
        <f t="shared" si="317"/>
        <v>No</v>
      </c>
    </row>
    <row r="3047" spans="1:55" hidden="1">
      <c r="A3047" t="s">
        <v>3914</v>
      </c>
      <c r="G3047" t="s">
        <v>3930</v>
      </c>
      <c r="P3047" t="s">
        <v>60</v>
      </c>
      <c r="R3047" t="s">
        <v>3942</v>
      </c>
      <c r="S3047" t="s">
        <v>3955</v>
      </c>
      <c r="V3047" t="s">
        <v>3956</v>
      </c>
      <c r="Z3047">
        <v>2</v>
      </c>
      <c r="AA3047">
        <v>2</v>
      </c>
      <c r="AC3047">
        <v>375</v>
      </c>
      <c r="AD3047">
        <v>25</v>
      </c>
      <c r="AE3047">
        <v>907</v>
      </c>
      <c r="AF3047">
        <v>25</v>
      </c>
      <c r="AJ3047" t="s">
        <v>3939</v>
      </c>
      <c r="AK3047" t="s">
        <v>904</v>
      </c>
      <c r="AN3047">
        <v>6.35</v>
      </c>
      <c r="AO3047">
        <v>0.14142135623730953</v>
      </c>
      <c r="AP3047">
        <v>6.05</v>
      </c>
      <c r="AQ3047">
        <v>0.14142135623730953</v>
      </c>
      <c r="AW3047" s="28">
        <f t="shared" si="313"/>
        <v>-2.1213203435596411</v>
      </c>
      <c r="AX3047">
        <f t="shared" si="314"/>
        <v>0.5714285714285714</v>
      </c>
      <c r="AY3047" s="62">
        <f t="shared" si="315"/>
        <v>-1.2121830534626519</v>
      </c>
      <c r="AZ3047" s="68" t="str">
        <f t="shared" si="316"/>
        <v>No</v>
      </c>
      <c r="BA3047" s="68" t="str">
        <f t="shared" si="317"/>
        <v>No</v>
      </c>
    </row>
    <row r="3048" spans="1:55" hidden="1">
      <c r="A3048" t="s">
        <v>3914</v>
      </c>
      <c r="G3048" t="s">
        <v>4367</v>
      </c>
      <c r="P3048" t="s">
        <v>4596</v>
      </c>
      <c r="R3048" t="s">
        <v>4357</v>
      </c>
      <c r="S3048" t="s">
        <v>948</v>
      </c>
      <c r="V3048" t="s">
        <v>4627</v>
      </c>
      <c r="Z3048">
        <v>6</v>
      </c>
      <c r="AA3048">
        <v>6</v>
      </c>
      <c r="AC3048">
        <v>436</v>
      </c>
      <c r="AD3048">
        <v>1</v>
      </c>
      <c r="AE3048">
        <v>1225</v>
      </c>
      <c r="AF3048">
        <v>5</v>
      </c>
      <c r="AJ3048" t="s">
        <v>2020</v>
      </c>
      <c r="AK3048" t="s">
        <v>59</v>
      </c>
      <c r="AN3048">
        <v>85</v>
      </c>
      <c r="AO3048">
        <v>3.7751796348455833</v>
      </c>
      <c r="AP3048">
        <v>86</v>
      </c>
      <c r="AQ3048">
        <v>3.7339782664379255</v>
      </c>
      <c r="AW3048" s="28">
        <f t="shared" si="313"/>
        <v>0.2663374404721271</v>
      </c>
      <c r="AX3048">
        <f t="shared" si="314"/>
        <v>0.92307692307692313</v>
      </c>
      <c r="AY3048" s="62">
        <f t="shared" si="315"/>
        <v>0.24584994505119426</v>
      </c>
      <c r="AZ3048" s="68" t="str">
        <f t="shared" si="316"/>
        <v>No</v>
      </c>
      <c r="BA3048" s="68" t="str">
        <f t="shared" si="317"/>
        <v>No</v>
      </c>
    </row>
    <row r="3049" spans="1:55" hidden="1">
      <c r="A3049" t="s">
        <v>3914</v>
      </c>
      <c r="G3049" t="s">
        <v>4367</v>
      </c>
      <c r="P3049" t="s">
        <v>4596</v>
      </c>
      <c r="R3049" t="s">
        <v>4357</v>
      </c>
      <c r="S3049" t="s">
        <v>948</v>
      </c>
      <c r="V3049" t="s">
        <v>4626</v>
      </c>
      <c r="Z3049">
        <v>6</v>
      </c>
      <c r="AA3049">
        <v>6</v>
      </c>
      <c r="AC3049">
        <v>436</v>
      </c>
      <c r="AD3049">
        <v>1</v>
      </c>
      <c r="AE3049">
        <v>751</v>
      </c>
      <c r="AF3049">
        <v>5</v>
      </c>
      <c r="AJ3049" t="s">
        <v>2020</v>
      </c>
      <c r="AK3049" t="s">
        <v>59</v>
      </c>
      <c r="AN3049">
        <v>85</v>
      </c>
      <c r="AO3049">
        <v>3.7751796348455833</v>
      </c>
      <c r="AP3049">
        <v>88</v>
      </c>
      <c r="AQ3049">
        <v>5.9743652263004305</v>
      </c>
      <c r="AW3049" s="28">
        <f t="shared" si="313"/>
        <v>0.60033014549485886</v>
      </c>
      <c r="AX3049">
        <f t="shared" si="314"/>
        <v>0.92307692307692313</v>
      </c>
      <c r="AY3049" s="62">
        <f t="shared" si="315"/>
        <v>0.55415090353371588</v>
      </c>
      <c r="AZ3049" s="68" t="str">
        <f t="shared" si="316"/>
        <v>No</v>
      </c>
      <c r="BA3049" s="68" t="str">
        <f t="shared" si="317"/>
        <v>No</v>
      </c>
    </row>
    <row r="3050" spans="1:55" hidden="1">
      <c r="A3050" t="s">
        <v>3914</v>
      </c>
      <c r="G3050" t="s">
        <v>5014</v>
      </c>
      <c r="P3050" t="s">
        <v>60</v>
      </c>
      <c r="R3050" t="s">
        <v>4357</v>
      </c>
      <c r="S3050" t="s">
        <v>948</v>
      </c>
      <c r="V3050" t="s">
        <v>3956</v>
      </c>
      <c r="Z3050">
        <v>6</v>
      </c>
      <c r="AA3050">
        <v>6</v>
      </c>
      <c r="AC3050">
        <v>433</v>
      </c>
      <c r="AD3050">
        <v>1</v>
      </c>
      <c r="AE3050">
        <v>1417</v>
      </c>
      <c r="AF3050">
        <v>1</v>
      </c>
      <c r="AJ3050" t="s">
        <v>2020</v>
      </c>
      <c r="AK3050" t="s">
        <v>4093</v>
      </c>
      <c r="AN3050">
        <v>85</v>
      </c>
      <c r="AO3050">
        <v>4.8989794855663558</v>
      </c>
      <c r="AP3050">
        <v>81</v>
      </c>
      <c r="AQ3050">
        <v>7.3484692283495336</v>
      </c>
      <c r="AW3050" s="28">
        <f t="shared" si="313"/>
        <v>-0.64051261522034864</v>
      </c>
      <c r="AX3050">
        <f t="shared" si="314"/>
        <v>0.92307692307692313</v>
      </c>
      <c r="AY3050" s="62">
        <f t="shared" si="315"/>
        <v>-0.59124241404955258</v>
      </c>
      <c r="AZ3050" s="68" t="str">
        <f t="shared" si="316"/>
        <v>No</v>
      </c>
      <c r="BA3050" s="68" t="str">
        <f t="shared" si="317"/>
        <v>No</v>
      </c>
    </row>
    <row r="3051" spans="1:55" hidden="1">
      <c r="A3051" t="s">
        <v>3914</v>
      </c>
      <c r="G3051" t="s">
        <v>4367</v>
      </c>
      <c r="P3051" t="s">
        <v>4596</v>
      </c>
      <c r="R3051" t="s">
        <v>4357</v>
      </c>
      <c r="S3051" t="s">
        <v>948</v>
      </c>
      <c r="V3051" t="s">
        <v>4598</v>
      </c>
      <c r="Z3051">
        <v>6</v>
      </c>
      <c r="AA3051">
        <v>6</v>
      </c>
      <c r="AC3051">
        <v>436</v>
      </c>
      <c r="AD3051">
        <v>1</v>
      </c>
      <c r="AE3051">
        <v>464.4</v>
      </c>
      <c r="AF3051">
        <v>5</v>
      </c>
      <c r="AJ3051" t="s">
        <v>4694</v>
      </c>
      <c r="AK3051" t="s">
        <v>4721</v>
      </c>
      <c r="AN3051">
        <v>85</v>
      </c>
      <c r="AO3051">
        <v>3.7751796348455833</v>
      </c>
      <c r="AP3051">
        <v>85</v>
      </c>
      <c r="AQ3051">
        <v>8.9940172156804561</v>
      </c>
      <c r="AW3051" s="28">
        <f t="shared" si="313"/>
        <v>0</v>
      </c>
      <c r="AX3051">
        <f t="shared" si="314"/>
        <v>0.92307692307692313</v>
      </c>
      <c r="AY3051" s="62">
        <f t="shared" si="315"/>
        <v>0</v>
      </c>
      <c r="AZ3051" s="68" t="str">
        <f t="shared" si="316"/>
        <v>No</v>
      </c>
      <c r="BA3051" s="68" t="str">
        <f t="shared" si="317"/>
        <v>No</v>
      </c>
    </row>
    <row r="3052" spans="1:55" hidden="1">
      <c r="A3052" t="s">
        <v>3914</v>
      </c>
      <c r="G3052" t="s">
        <v>4367</v>
      </c>
      <c r="P3052" t="s">
        <v>60</v>
      </c>
      <c r="R3052" t="s">
        <v>4357</v>
      </c>
      <c r="S3052" t="s">
        <v>948</v>
      </c>
      <c r="V3052" t="s">
        <v>3956</v>
      </c>
      <c r="Z3052">
        <v>6</v>
      </c>
      <c r="AA3052">
        <v>6</v>
      </c>
      <c r="AC3052">
        <v>433</v>
      </c>
      <c r="AD3052">
        <v>1</v>
      </c>
      <c r="AE3052">
        <v>927</v>
      </c>
      <c r="AF3052">
        <v>1</v>
      </c>
      <c r="AJ3052" t="s">
        <v>2020</v>
      </c>
      <c r="AK3052" t="s">
        <v>4093</v>
      </c>
      <c r="AN3052">
        <v>85</v>
      </c>
      <c r="AO3052">
        <v>4.8989794855663558</v>
      </c>
      <c r="AP3052">
        <v>82</v>
      </c>
      <c r="AQ3052">
        <v>14.696938456699067</v>
      </c>
      <c r="AW3052" s="28">
        <f t="shared" si="313"/>
        <v>-0.27386127875258309</v>
      </c>
      <c r="AX3052">
        <f t="shared" si="314"/>
        <v>0.92307692307692313</v>
      </c>
      <c r="AY3052" s="78">
        <f t="shared" si="315"/>
        <v>-0.25279502654084596</v>
      </c>
      <c r="AZ3052" s="79" t="str">
        <f t="shared" si="316"/>
        <v>No</v>
      </c>
      <c r="BA3052" s="79" t="str">
        <f t="shared" si="317"/>
        <v>No</v>
      </c>
      <c r="BB3052" s="77"/>
      <c r="BC3052" s="77"/>
    </row>
    <row r="3053" spans="1:55" hidden="1">
      <c r="A3053" t="s">
        <v>3914</v>
      </c>
      <c r="G3053" t="s">
        <v>4341</v>
      </c>
      <c r="P3053" t="s">
        <v>60</v>
      </c>
      <c r="R3053" t="s">
        <v>4286</v>
      </c>
      <c r="S3053" t="s">
        <v>1775</v>
      </c>
      <c r="V3053" t="s">
        <v>3956</v>
      </c>
      <c r="Z3053">
        <v>4</v>
      </c>
      <c r="AA3053">
        <v>4</v>
      </c>
      <c r="AC3053">
        <v>466.3</v>
      </c>
      <c r="AD3053">
        <v>27.85</v>
      </c>
      <c r="AE3053">
        <v>1658.33</v>
      </c>
      <c r="AF3053">
        <v>27.99</v>
      </c>
      <c r="AJ3053" t="s">
        <v>4345</v>
      </c>
      <c r="AK3053" t="s">
        <v>4266</v>
      </c>
      <c r="AN3053">
        <v>0.19</v>
      </c>
      <c r="AO3053">
        <v>0.02</v>
      </c>
      <c r="AP3053">
        <v>0.21</v>
      </c>
      <c r="AQ3053">
        <v>1.2999999999999999E-2</v>
      </c>
      <c r="AW3053" s="28">
        <f t="shared" si="313"/>
        <v>1.185738333457504</v>
      </c>
      <c r="AX3053">
        <f t="shared" si="314"/>
        <v>0.86956521739130432</v>
      </c>
      <c r="AY3053" s="62">
        <f t="shared" si="315"/>
        <v>1.0310768117021774</v>
      </c>
      <c r="AZ3053" s="68" t="str">
        <f t="shared" si="316"/>
        <v>No</v>
      </c>
      <c r="BA3053" s="68" t="str">
        <f t="shared" si="317"/>
        <v>No</v>
      </c>
    </row>
    <row r="3054" spans="1:55" hidden="1">
      <c r="A3054" t="s">
        <v>3914</v>
      </c>
      <c r="G3054" t="s">
        <v>4995</v>
      </c>
      <c r="P3054" t="s">
        <v>60</v>
      </c>
      <c r="R3054" t="s">
        <v>4286</v>
      </c>
      <c r="S3054" t="s">
        <v>1775</v>
      </c>
      <c r="V3054" t="s">
        <v>3956</v>
      </c>
      <c r="Z3054">
        <v>4</v>
      </c>
      <c r="AA3054">
        <v>4</v>
      </c>
      <c r="AC3054">
        <v>466.3</v>
      </c>
      <c r="AD3054">
        <v>27.85</v>
      </c>
      <c r="AE3054">
        <v>1015.36</v>
      </c>
      <c r="AF3054">
        <v>27.89</v>
      </c>
      <c r="AJ3054" t="s">
        <v>4345</v>
      </c>
      <c r="AK3054" t="s">
        <v>4266</v>
      </c>
      <c r="AN3054">
        <v>0.19</v>
      </c>
      <c r="AO3054">
        <v>0.02</v>
      </c>
      <c r="AP3054">
        <v>0.16</v>
      </c>
      <c r="AQ3054">
        <v>1.4999999999999999E-2</v>
      </c>
      <c r="AW3054" s="28">
        <f t="shared" si="313"/>
        <v>-1.697056274847714</v>
      </c>
      <c r="AX3054">
        <f t="shared" si="314"/>
        <v>0.86956521739130432</v>
      </c>
      <c r="AY3054" s="62">
        <f t="shared" si="315"/>
        <v>-1.4757011085632297</v>
      </c>
      <c r="AZ3054" s="68" t="str">
        <f t="shared" si="316"/>
        <v>No</v>
      </c>
      <c r="BA3054" s="68" t="str">
        <f t="shared" si="317"/>
        <v>No</v>
      </c>
    </row>
    <row r="3055" spans="1:55" hidden="1">
      <c r="A3055" t="s">
        <v>3914</v>
      </c>
      <c r="G3055" t="s">
        <v>4002</v>
      </c>
      <c r="P3055" t="s">
        <v>4596</v>
      </c>
      <c r="R3055" t="s">
        <v>4858</v>
      </c>
      <c r="S3055" t="s">
        <v>4006</v>
      </c>
      <c r="V3055" t="s">
        <v>4626</v>
      </c>
      <c r="Z3055">
        <v>3</v>
      </c>
      <c r="AA3055">
        <v>3</v>
      </c>
      <c r="AC3055">
        <v>315</v>
      </c>
      <c r="AD3055" s="54">
        <v>-0.8</v>
      </c>
      <c r="AE3055">
        <v>513</v>
      </c>
      <c r="AF3055" s="54">
        <v>4</v>
      </c>
      <c r="AJ3055" t="s">
        <v>4020</v>
      </c>
      <c r="AK3055" t="s">
        <v>4849</v>
      </c>
      <c r="AN3055">
        <v>0.14499999999999999</v>
      </c>
      <c r="AO3055">
        <f>0.006*0.75</f>
        <v>4.5000000000000005E-3</v>
      </c>
      <c r="AP3055">
        <v>0.115</v>
      </c>
      <c r="AQ3055">
        <f>0.003*0.75</f>
        <v>2.2500000000000003E-3</v>
      </c>
      <c r="AU3055" s="53" t="s">
        <v>4861</v>
      </c>
      <c r="AW3055" s="28">
        <f t="shared" si="313"/>
        <v>-8.4327404271156734</v>
      </c>
      <c r="AX3055">
        <f t="shared" si="314"/>
        <v>0.8</v>
      </c>
      <c r="AY3055" s="62">
        <f t="shared" si="315"/>
        <v>-6.7461923416925389</v>
      </c>
      <c r="AZ3055" s="68" t="str">
        <f t="shared" si="316"/>
        <v>No</v>
      </c>
      <c r="BA3055" s="68" t="str">
        <f t="shared" si="317"/>
        <v>No</v>
      </c>
    </row>
    <row r="3056" spans="1:55" hidden="1">
      <c r="A3056" t="s">
        <v>3914</v>
      </c>
      <c r="G3056" t="s">
        <v>4002</v>
      </c>
      <c r="P3056" t="s">
        <v>60</v>
      </c>
      <c r="R3056" t="s">
        <v>4005</v>
      </c>
      <c r="S3056" t="s">
        <v>4006</v>
      </c>
      <c r="V3056" t="s">
        <v>3956</v>
      </c>
      <c r="Z3056">
        <v>3</v>
      </c>
      <c r="AA3056">
        <v>3</v>
      </c>
      <c r="AC3056">
        <v>315</v>
      </c>
      <c r="AD3056">
        <v>-0.8</v>
      </c>
      <c r="AE3056">
        <v>901</v>
      </c>
      <c r="AF3056">
        <v>-0.8</v>
      </c>
      <c r="AJ3056" t="s">
        <v>108</v>
      </c>
      <c r="AK3056" t="s">
        <v>904</v>
      </c>
      <c r="AN3056">
        <v>1.6E-2</v>
      </c>
      <c r="AO3056">
        <v>3.0000000000000001E-3</v>
      </c>
      <c r="AP3056">
        <v>1.7999999999999999E-2</v>
      </c>
      <c r="AQ3056">
        <v>3.7499999999999999E-3</v>
      </c>
      <c r="AW3056" s="28">
        <f t="shared" si="313"/>
        <v>0.58896813906584777</v>
      </c>
      <c r="AX3056">
        <f t="shared" si="314"/>
        <v>0.8</v>
      </c>
      <c r="AY3056" s="62">
        <f t="shared" si="315"/>
        <v>0.47117451125267823</v>
      </c>
      <c r="AZ3056" s="68" t="str">
        <f t="shared" si="316"/>
        <v>No</v>
      </c>
      <c r="BA3056" s="68" t="str">
        <f t="shared" si="317"/>
        <v>No</v>
      </c>
    </row>
    <row r="3057" spans="1:55" hidden="1">
      <c r="A3057" t="s">
        <v>3914</v>
      </c>
      <c r="G3057" t="s">
        <v>4002</v>
      </c>
      <c r="P3057" t="s">
        <v>4596</v>
      </c>
      <c r="R3057" t="s">
        <v>4858</v>
      </c>
      <c r="S3057" t="s">
        <v>4006</v>
      </c>
      <c r="V3057" t="s">
        <v>4627</v>
      </c>
      <c r="Z3057">
        <v>3</v>
      </c>
      <c r="AA3057">
        <v>3</v>
      </c>
      <c r="AC3057">
        <v>315</v>
      </c>
      <c r="AD3057" s="54">
        <v>-0.8</v>
      </c>
      <c r="AE3057">
        <v>961</v>
      </c>
      <c r="AF3057" s="54">
        <v>4</v>
      </c>
      <c r="AJ3057" t="s">
        <v>4020</v>
      </c>
      <c r="AK3057" t="s">
        <v>4849</v>
      </c>
      <c r="AN3057">
        <v>0.14499999999999999</v>
      </c>
      <c r="AO3057">
        <f>0.006*0.75</f>
        <v>4.5000000000000005E-3</v>
      </c>
      <c r="AP3057">
        <v>0.11</v>
      </c>
      <c r="AQ3057">
        <f>0.005*0.75</f>
        <v>3.7499999999999999E-3</v>
      </c>
      <c r="AU3057" s="53" t="s">
        <v>4861</v>
      </c>
      <c r="AW3057" s="28">
        <f t="shared" si="313"/>
        <v>-8.4500029639683945</v>
      </c>
      <c r="AX3057">
        <f t="shared" si="314"/>
        <v>0.8</v>
      </c>
      <c r="AY3057" s="62">
        <f t="shared" si="315"/>
        <v>-6.7600023711747159</v>
      </c>
      <c r="AZ3057" s="68" t="str">
        <f t="shared" si="316"/>
        <v>No</v>
      </c>
      <c r="BA3057" s="68" t="str">
        <f t="shared" si="317"/>
        <v>No</v>
      </c>
    </row>
    <row r="3058" spans="1:55" hidden="1">
      <c r="A3058" t="s">
        <v>3914</v>
      </c>
      <c r="G3058" t="s">
        <v>4002</v>
      </c>
      <c r="P3058" t="s">
        <v>4596</v>
      </c>
      <c r="R3058" t="s">
        <v>4858</v>
      </c>
      <c r="S3058" t="s">
        <v>4006</v>
      </c>
      <c r="V3058" t="s">
        <v>4625</v>
      </c>
      <c r="Z3058">
        <v>3</v>
      </c>
      <c r="AA3058">
        <v>3</v>
      </c>
      <c r="AC3058">
        <v>315</v>
      </c>
      <c r="AD3058" s="54">
        <v>-0.8</v>
      </c>
      <c r="AE3058">
        <v>400</v>
      </c>
      <c r="AF3058" s="54">
        <v>4</v>
      </c>
      <c r="AJ3058" t="s">
        <v>4860</v>
      </c>
      <c r="AK3058" t="s">
        <v>4849</v>
      </c>
      <c r="AN3058">
        <v>0.14499999999999999</v>
      </c>
      <c r="AO3058">
        <f>0.006*0.75</f>
        <v>4.5000000000000005E-3</v>
      </c>
      <c r="AP3058">
        <v>0.15</v>
      </c>
      <c r="AQ3058">
        <f>0.0055*0.75</f>
        <v>4.1250000000000002E-3</v>
      </c>
      <c r="AU3058" s="53" t="s">
        <v>4861</v>
      </c>
      <c r="AW3058" s="28">
        <f t="shared" si="313"/>
        <v>1.1583259807015194</v>
      </c>
      <c r="AX3058">
        <f t="shared" si="314"/>
        <v>0.8</v>
      </c>
      <c r="AY3058" s="62">
        <f t="shared" si="315"/>
        <v>0.92666078456121559</v>
      </c>
      <c r="AZ3058" s="68" t="str">
        <f t="shared" si="316"/>
        <v>No</v>
      </c>
      <c r="BA3058" s="68" t="str">
        <f t="shared" si="317"/>
        <v>No</v>
      </c>
    </row>
    <row r="3059" spans="1:55" hidden="1">
      <c r="A3059" t="s">
        <v>3914</v>
      </c>
      <c r="G3059" t="s">
        <v>4857</v>
      </c>
      <c r="P3059" t="s">
        <v>4596</v>
      </c>
      <c r="R3059" t="s">
        <v>822</v>
      </c>
      <c r="S3059" t="s">
        <v>4006</v>
      </c>
      <c r="V3059" t="s">
        <v>4625</v>
      </c>
      <c r="Z3059">
        <v>3</v>
      </c>
      <c r="AA3059">
        <v>3</v>
      </c>
      <c r="AC3059">
        <v>315</v>
      </c>
      <c r="AD3059" s="54">
        <v>-0.8</v>
      </c>
      <c r="AE3059">
        <v>400</v>
      </c>
      <c r="AF3059" s="54">
        <v>4</v>
      </c>
      <c r="AJ3059" t="s">
        <v>4859</v>
      </c>
      <c r="AK3059" t="s">
        <v>904</v>
      </c>
      <c r="AN3059">
        <v>1.35E-2</v>
      </c>
      <c r="AO3059">
        <f>0.002*0.75</f>
        <v>1.5E-3</v>
      </c>
      <c r="AP3059">
        <v>2.1999999999999999E-2</v>
      </c>
      <c r="AQ3059">
        <f>0.006*0.75</f>
        <v>4.5000000000000005E-3</v>
      </c>
      <c r="AW3059" s="28">
        <f t="shared" si="313"/>
        <v>2.5342103744997613</v>
      </c>
      <c r="AX3059">
        <f t="shared" si="314"/>
        <v>0.8</v>
      </c>
      <c r="AY3059" s="62">
        <f t="shared" si="315"/>
        <v>2.027368299599809</v>
      </c>
      <c r="AZ3059" s="68" t="str">
        <f t="shared" si="316"/>
        <v>No</v>
      </c>
      <c r="BA3059" s="68" t="str">
        <f t="shared" si="317"/>
        <v>No</v>
      </c>
    </row>
    <row r="3060" spans="1:55" hidden="1">
      <c r="A3060" t="s">
        <v>3914</v>
      </c>
      <c r="G3060" t="s">
        <v>4002</v>
      </c>
      <c r="P3060" t="s">
        <v>4596</v>
      </c>
      <c r="R3060" t="s">
        <v>822</v>
      </c>
      <c r="S3060" t="s">
        <v>4006</v>
      </c>
      <c r="V3060" t="s">
        <v>4627</v>
      </c>
      <c r="Z3060">
        <v>3</v>
      </c>
      <c r="AA3060">
        <v>3</v>
      </c>
      <c r="AC3060">
        <v>315</v>
      </c>
      <c r="AD3060" s="54">
        <v>-0.8</v>
      </c>
      <c r="AE3060">
        <v>961</v>
      </c>
      <c r="AF3060" s="54">
        <v>4</v>
      </c>
      <c r="AJ3060" t="s">
        <v>108</v>
      </c>
      <c r="AK3060" t="s">
        <v>904</v>
      </c>
      <c r="AN3060">
        <v>1.35E-2</v>
      </c>
      <c r="AO3060">
        <f>0.002*0.75</f>
        <v>1.5E-3</v>
      </c>
      <c r="AP3060">
        <v>2.35E-2</v>
      </c>
      <c r="AQ3060">
        <f>0.006*0.75</f>
        <v>4.5000000000000005E-3</v>
      </c>
      <c r="AU3060" s="53" t="s">
        <v>4861</v>
      </c>
      <c r="AW3060" s="28">
        <f t="shared" si="313"/>
        <v>2.9814239699997196</v>
      </c>
      <c r="AX3060">
        <f t="shared" si="314"/>
        <v>0.8</v>
      </c>
      <c r="AY3060" s="62">
        <f t="shared" si="315"/>
        <v>2.3851391759997758</v>
      </c>
      <c r="AZ3060" s="68" t="str">
        <f t="shared" si="316"/>
        <v>No</v>
      </c>
      <c r="BA3060" s="68" t="str">
        <f t="shared" si="317"/>
        <v>No</v>
      </c>
    </row>
    <row r="3061" spans="1:55" ht="15" hidden="1">
      <c r="A3061" t="s">
        <v>3914</v>
      </c>
      <c r="G3061" t="s">
        <v>4002</v>
      </c>
      <c r="P3061" t="s">
        <v>4596</v>
      </c>
      <c r="R3061" t="s">
        <v>822</v>
      </c>
      <c r="S3061" t="s">
        <v>4006</v>
      </c>
      <c r="V3061" t="s">
        <v>4626</v>
      </c>
      <c r="Z3061">
        <v>3</v>
      </c>
      <c r="AA3061">
        <v>3</v>
      </c>
      <c r="AC3061">
        <v>315</v>
      </c>
      <c r="AD3061" s="54">
        <v>-0.8</v>
      </c>
      <c r="AE3061">
        <v>513</v>
      </c>
      <c r="AF3061" s="54">
        <v>4</v>
      </c>
      <c r="AJ3061" t="s">
        <v>108</v>
      </c>
      <c r="AK3061" t="s">
        <v>904</v>
      </c>
      <c r="AN3061">
        <v>1.35E-2</v>
      </c>
      <c r="AO3061">
        <f>0.002*0.75</f>
        <v>1.5E-3</v>
      </c>
      <c r="AP3061">
        <v>1.7000000000000001E-2</v>
      </c>
      <c r="AQ3061">
        <f>0.009*0.75</f>
        <v>6.7499999999999991E-3</v>
      </c>
      <c r="AU3061" s="53" t="s">
        <v>4861</v>
      </c>
      <c r="AW3061" s="28">
        <f t="shared" si="313"/>
        <v>0.71583398959087952</v>
      </c>
      <c r="AX3061">
        <f t="shared" si="314"/>
        <v>0.8</v>
      </c>
      <c r="AY3061" s="73">
        <f t="shared" si="315"/>
        <v>0.57266719167270363</v>
      </c>
      <c r="AZ3061" s="74" t="str">
        <f t="shared" si="316"/>
        <v>No</v>
      </c>
      <c r="BA3061" s="74" t="str">
        <f t="shared" si="317"/>
        <v>No</v>
      </c>
      <c r="BB3061" s="56"/>
      <c r="BC3061" s="56"/>
    </row>
    <row r="3062" spans="1:55" hidden="1">
      <c r="A3062" t="s">
        <v>3914</v>
      </c>
      <c r="G3062" t="s">
        <v>4002</v>
      </c>
      <c r="P3062" t="s">
        <v>60</v>
      </c>
      <c r="R3062" t="s">
        <v>4005</v>
      </c>
      <c r="S3062" t="s">
        <v>4006</v>
      </c>
      <c r="V3062" t="s">
        <v>3956</v>
      </c>
      <c r="Z3062">
        <v>3</v>
      </c>
      <c r="AA3062">
        <v>3</v>
      </c>
      <c r="AC3062">
        <v>315</v>
      </c>
      <c r="AD3062">
        <v>-0.8</v>
      </c>
      <c r="AE3062">
        <v>901</v>
      </c>
      <c r="AF3062">
        <v>-0.8</v>
      </c>
      <c r="AJ3062" t="s">
        <v>4020</v>
      </c>
      <c r="AK3062" t="s">
        <v>3983</v>
      </c>
      <c r="AN3062">
        <v>0.13</v>
      </c>
      <c r="AO3062">
        <v>2.2499999999999999E-2</v>
      </c>
      <c r="AP3062">
        <v>0.13</v>
      </c>
      <c r="AQ3062">
        <v>3.3750000000000002E-2</v>
      </c>
      <c r="AW3062" s="28">
        <f t="shared" si="313"/>
        <v>0</v>
      </c>
      <c r="AX3062">
        <f t="shared" si="314"/>
        <v>0.8</v>
      </c>
      <c r="AY3062" s="62">
        <f t="shared" si="315"/>
        <v>0</v>
      </c>
      <c r="AZ3062" s="68" t="str">
        <f t="shared" si="316"/>
        <v>No</v>
      </c>
      <c r="BA3062" s="68" t="str">
        <f t="shared" si="317"/>
        <v>No</v>
      </c>
    </row>
    <row r="3063" spans="1:55" hidden="1">
      <c r="A3063" t="s">
        <v>3914</v>
      </c>
      <c r="G3063" t="s">
        <v>4395</v>
      </c>
      <c r="P3063" t="s">
        <v>60</v>
      </c>
      <c r="R3063" t="s">
        <v>4357</v>
      </c>
      <c r="S3063" t="s">
        <v>4400</v>
      </c>
      <c r="V3063" t="s">
        <v>3956</v>
      </c>
      <c r="Z3063">
        <v>3</v>
      </c>
      <c r="AA3063">
        <v>3</v>
      </c>
      <c r="AC3063">
        <v>350</v>
      </c>
      <c r="AD3063">
        <v>10.5</v>
      </c>
      <c r="AE3063">
        <v>1620</v>
      </c>
      <c r="AF3063">
        <v>10.5</v>
      </c>
      <c r="AJ3063" t="s">
        <v>4059</v>
      </c>
      <c r="AK3063" t="s">
        <v>4093</v>
      </c>
      <c r="AN3063">
        <v>75</v>
      </c>
      <c r="AO3063">
        <v>12.75</v>
      </c>
      <c r="AP3063">
        <v>60</v>
      </c>
      <c r="AQ3063">
        <v>11.25</v>
      </c>
      <c r="AW3063" s="28">
        <f t="shared" si="313"/>
        <v>-1.2475657231036106</v>
      </c>
      <c r="AX3063">
        <f t="shared" si="314"/>
        <v>0.8</v>
      </c>
      <c r="AY3063" s="62">
        <f t="shared" si="315"/>
        <v>-0.99805257848288853</v>
      </c>
      <c r="AZ3063" s="68" t="str">
        <f t="shared" si="316"/>
        <v>No</v>
      </c>
      <c r="BA3063" s="68" t="str">
        <f t="shared" si="317"/>
        <v>No</v>
      </c>
    </row>
    <row r="3064" spans="1:55" hidden="1">
      <c r="A3064" t="s">
        <v>3914</v>
      </c>
      <c r="G3064" t="s">
        <v>5033</v>
      </c>
      <c r="P3064" t="s">
        <v>60</v>
      </c>
      <c r="R3064" t="s">
        <v>4357</v>
      </c>
      <c r="S3064" t="s">
        <v>4400</v>
      </c>
      <c r="V3064" t="s">
        <v>3956</v>
      </c>
      <c r="Z3064">
        <v>3</v>
      </c>
      <c r="AA3064">
        <v>3</v>
      </c>
      <c r="AC3064">
        <v>350</v>
      </c>
      <c r="AD3064">
        <v>10.5</v>
      </c>
      <c r="AE3064">
        <v>999</v>
      </c>
      <c r="AF3064">
        <v>10.5</v>
      </c>
      <c r="AJ3064" t="s">
        <v>4059</v>
      </c>
      <c r="AK3064" t="s">
        <v>4093</v>
      </c>
      <c r="AN3064">
        <v>75</v>
      </c>
      <c r="AO3064">
        <v>12.75</v>
      </c>
      <c r="AP3064">
        <v>58</v>
      </c>
      <c r="AQ3064">
        <v>12.75</v>
      </c>
      <c r="AW3064" s="28">
        <f t="shared" si="313"/>
        <v>-1.3333333333333333</v>
      </c>
      <c r="AX3064">
        <f t="shared" si="314"/>
        <v>0.8</v>
      </c>
      <c r="AY3064" s="62">
        <f t="shared" si="315"/>
        <v>-1.0666666666666667</v>
      </c>
      <c r="AZ3064" s="68" t="str">
        <f t="shared" si="316"/>
        <v>No</v>
      </c>
      <c r="BA3064" s="68" t="str">
        <f t="shared" si="317"/>
        <v>No</v>
      </c>
    </row>
    <row r="3065" spans="1:55" hidden="1">
      <c r="A3065" t="s">
        <v>3914</v>
      </c>
      <c r="G3065" s="50" t="s">
        <v>5104</v>
      </c>
      <c r="P3065" t="s">
        <v>60</v>
      </c>
      <c r="R3065" t="s">
        <v>4570</v>
      </c>
      <c r="S3065" s="50" t="s">
        <v>4572</v>
      </c>
      <c r="V3065" t="s">
        <v>3956</v>
      </c>
      <c r="Z3065" s="50">
        <v>15</v>
      </c>
      <c r="AA3065" s="50">
        <v>15</v>
      </c>
      <c r="AC3065">
        <v>710.1</v>
      </c>
      <c r="AD3065">
        <v>14.6</v>
      </c>
      <c r="AE3065">
        <v>1627.5</v>
      </c>
      <c r="AF3065">
        <v>14.62</v>
      </c>
      <c r="AJ3065" s="50" t="s">
        <v>4579</v>
      </c>
      <c r="AK3065" t="s">
        <v>4537</v>
      </c>
      <c r="AN3065">
        <v>0.16800000000000001</v>
      </c>
      <c r="AO3065">
        <v>3.4856850115866748E-2</v>
      </c>
      <c r="AP3065">
        <v>0.17</v>
      </c>
      <c r="AQ3065">
        <v>1.9364916731037084E-2</v>
      </c>
      <c r="AW3065" s="28">
        <f t="shared" si="313"/>
        <v>7.093269021319093E-2</v>
      </c>
      <c r="AX3065">
        <f t="shared" si="314"/>
        <v>0.97297297297297303</v>
      </c>
      <c r="AY3065" s="62">
        <f t="shared" si="315"/>
        <v>6.9015590477699285E-2</v>
      </c>
      <c r="AZ3065" s="68" t="str">
        <f t="shared" si="316"/>
        <v>No</v>
      </c>
      <c r="BA3065" s="68" t="str">
        <f t="shared" si="317"/>
        <v>No</v>
      </c>
    </row>
    <row r="3066" spans="1:55" hidden="1">
      <c r="A3066" t="s">
        <v>3914</v>
      </c>
      <c r="G3066" s="50" t="s">
        <v>4574</v>
      </c>
      <c r="P3066" t="s">
        <v>60</v>
      </c>
      <c r="R3066" t="s">
        <v>4570</v>
      </c>
      <c r="S3066" s="50" t="s">
        <v>4572</v>
      </c>
      <c r="V3066" t="s">
        <v>3956</v>
      </c>
      <c r="Z3066">
        <v>15</v>
      </c>
      <c r="AA3066">
        <v>15</v>
      </c>
      <c r="AC3066">
        <v>710.1</v>
      </c>
      <c r="AD3066">
        <v>14.6</v>
      </c>
      <c r="AE3066">
        <v>3734.2</v>
      </c>
      <c r="AF3066">
        <v>14.62</v>
      </c>
      <c r="AJ3066" s="50" t="s">
        <v>4579</v>
      </c>
      <c r="AK3066" t="s">
        <v>4537</v>
      </c>
      <c r="AN3066">
        <v>0.16800000000000001</v>
      </c>
      <c r="AO3066">
        <v>3.4856850115866748E-2</v>
      </c>
      <c r="AP3066">
        <v>0.16200000000000001</v>
      </c>
      <c r="AQ3066">
        <v>1.9364916731037084E-2</v>
      </c>
      <c r="AW3066" s="28">
        <f t="shared" si="313"/>
        <v>-0.21279807063957279</v>
      </c>
      <c r="AX3066">
        <f t="shared" si="314"/>
        <v>0.97297297297297303</v>
      </c>
      <c r="AY3066" s="62">
        <f t="shared" si="315"/>
        <v>-0.20704677143309785</v>
      </c>
      <c r="AZ3066" s="68" t="str">
        <f t="shared" si="316"/>
        <v>No</v>
      </c>
      <c r="BA3066" s="68" t="str">
        <f t="shared" si="317"/>
        <v>No</v>
      </c>
    </row>
    <row r="3067" spans="1:55" hidden="1">
      <c r="A3067" t="s">
        <v>3914</v>
      </c>
      <c r="G3067" t="s">
        <v>4574</v>
      </c>
      <c r="P3067" t="s">
        <v>60</v>
      </c>
      <c r="R3067" t="s">
        <v>4570</v>
      </c>
      <c r="S3067" t="s">
        <v>4572</v>
      </c>
      <c r="V3067" t="s">
        <v>3956</v>
      </c>
      <c r="Z3067">
        <v>15</v>
      </c>
      <c r="AA3067">
        <v>15</v>
      </c>
      <c r="AC3067">
        <v>710.1</v>
      </c>
      <c r="AD3067">
        <v>14.6</v>
      </c>
      <c r="AE3067">
        <v>3734.2</v>
      </c>
      <c r="AF3067">
        <v>14.62</v>
      </c>
      <c r="AJ3067" t="s">
        <v>4592</v>
      </c>
      <c r="AK3067" t="s">
        <v>4502</v>
      </c>
      <c r="AN3067">
        <v>7.35</v>
      </c>
      <c r="AO3067">
        <v>8.2500000000000004E-2</v>
      </c>
      <c r="AP3067">
        <v>7.05</v>
      </c>
      <c r="AQ3067">
        <v>0.06</v>
      </c>
      <c r="AW3067" s="28">
        <f t="shared" si="313"/>
        <v>-4.159001959280288</v>
      </c>
      <c r="AX3067">
        <f t="shared" si="314"/>
        <v>0.97297297297297303</v>
      </c>
      <c r="AY3067" s="62">
        <f t="shared" si="315"/>
        <v>-4.0465965009213614</v>
      </c>
      <c r="AZ3067" s="68" t="str">
        <f t="shared" si="316"/>
        <v>No</v>
      </c>
      <c r="BA3067" s="68" t="str">
        <f t="shared" si="317"/>
        <v>No</v>
      </c>
    </row>
    <row r="3068" spans="1:55" hidden="1">
      <c r="A3068" t="s">
        <v>3914</v>
      </c>
      <c r="G3068" s="50" t="s">
        <v>4574</v>
      </c>
      <c r="P3068" t="s">
        <v>60</v>
      </c>
      <c r="R3068" t="s">
        <v>4570</v>
      </c>
      <c r="S3068" s="50" t="s">
        <v>4572</v>
      </c>
      <c r="V3068" t="s">
        <v>3956</v>
      </c>
      <c r="Z3068" s="50">
        <v>15</v>
      </c>
      <c r="AA3068" s="50">
        <v>15</v>
      </c>
      <c r="AC3068">
        <v>710.1</v>
      </c>
      <c r="AD3068">
        <v>14.6</v>
      </c>
      <c r="AE3068">
        <v>1627.5</v>
      </c>
      <c r="AF3068">
        <v>14.62</v>
      </c>
      <c r="AJ3068" s="50" t="s">
        <v>4583</v>
      </c>
      <c r="AK3068" t="s">
        <v>4537</v>
      </c>
      <c r="AN3068">
        <v>6.91</v>
      </c>
      <c r="AO3068">
        <v>0.73586683577940926</v>
      </c>
      <c r="AP3068">
        <v>7</v>
      </c>
      <c r="AQ3068">
        <v>0.65840716885526096</v>
      </c>
      <c r="AW3068" s="28">
        <f t="shared" si="313"/>
        <v>0.1289006773270977</v>
      </c>
      <c r="AX3068">
        <f t="shared" si="314"/>
        <v>0.97297297297297303</v>
      </c>
      <c r="AY3068" s="62">
        <f t="shared" si="315"/>
        <v>0.12541687523717615</v>
      </c>
      <c r="AZ3068" s="68" t="str">
        <f t="shared" si="316"/>
        <v>No</v>
      </c>
      <c r="BA3068" s="68" t="str">
        <f t="shared" si="317"/>
        <v>No</v>
      </c>
    </row>
    <row r="3069" spans="1:55" hidden="1">
      <c r="A3069" s="77" t="s">
        <v>3914</v>
      </c>
      <c r="G3069" s="77" t="s">
        <v>4574</v>
      </c>
      <c r="P3069" s="77" t="s">
        <v>60</v>
      </c>
      <c r="Q3069" s="77"/>
      <c r="R3069" s="77" t="s">
        <v>4570</v>
      </c>
      <c r="S3069" s="77" t="s">
        <v>4572</v>
      </c>
      <c r="T3069" s="77"/>
      <c r="U3069" s="77"/>
      <c r="V3069" s="77" t="s">
        <v>3956</v>
      </c>
      <c r="W3069" s="77"/>
      <c r="X3069" s="77"/>
      <c r="Y3069" s="77"/>
      <c r="Z3069" s="77">
        <v>15</v>
      </c>
      <c r="AA3069" s="77">
        <v>15</v>
      </c>
      <c r="AB3069" s="77"/>
      <c r="AC3069" s="77">
        <v>710.1</v>
      </c>
      <c r="AD3069" s="77">
        <v>14.6</v>
      </c>
      <c r="AE3069" s="77">
        <v>3734.2</v>
      </c>
      <c r="AF3069" s="77">
        <v>14.62</v>
      </c>
      <c r="AG3069" s="77"/>
      <c r="AH3069" s="77"/>
      <c r="AI3069" s="77"/>
      <c r="AJ3069" s="77" t="s">
        <v>4583</v>
      </c>
      <c r="AK3069" s="77" t="s">
        <v>4537</v>
      </c>
      <c r="AN3069" s="77">
        <v>6.91</v>
      </c>
      <c r="AO3069" s="77">
        <v>0.73586683577940926</v>
      </c>
      <c r="AP3069" s="77">
        <v>6.33</v>
      </c>
      <c r="AQ3069" s="77">
        <v>0.65840716885526096</v>
      </c>
      <c r="AW3069" s="28">
        <f t="shared" si="313"/>
        <v>-0.83069325388574211</v>
      </c>
      <c r="AX3069">
        <f t="shared" si="314"/>
        <v>0.97297297297297303</v>
      </c>
      <c r="AY3069" s="62">
        <f t="shared" si="315"/>
        <v>-0.80824208486180316</v>
      </c>
      <c r="AZ3069" s="68" t="str">
        <f t="shared" si="316"/>
        <v>No</v>
      </c>
      <c r="BA3069" s="68" t="str">
        <f t="shared" si="317"/>
        <v>No</v>
      </c>
    </row>
    <row r="3070" spans="1:55" hidden="1">
      <c r="A3070" t="s">
        <v>3914</v>
      </c>
      <c r="G3070" t="s">
        <v>4575</v>
      </c>
      <c r="P3070" t="s">
        <v>60</v>
      </c>
      <c r="R3070" t="s">
        <v>4570</v>
      </c>
      <c r="S3070" t="s">
        <v>4578</v>
      </c>
      <c r="V3070" t="s">
        <v>3956</v>
      </c>
      <c r="Z3070">
        <v>3</v>
      </c>
      <c r="AA3070">
        <v>3</v>
      </c>
      <c r="AC3070">
        <v>565</v>
      </c>
      <c r="AD3070">
        <v>25.62</v>
      </c>
      <c r="AE3070">
        <v>4561</v>
      </c>
      <c r="AF3070">
        <v>25.61</v>
      </c>
      <c r="AJ3070" t="s">
        <v>4593</v>
      </c>
      <c r="AK3070" t="s">
        <v>4502</v>
      </c>
      <c r="AN3070">
        <v>7.52</v>
      </c>
      <c r="AO3070">
        <v>0.22499999999999998</v>
      </c>
      <c r="AP3070">
        <v>7.13</v>
      </c>
      <c r="AQ3070">
        <v>0.15000000000000002</v>
      </c>
      <c r="AW3070" s="28">
        <f t="shared" si="313"/>
        <v>-2.0396078054371123</v>
      </c>
      <c r="AX3070">
        <f t="shared" si="314"/>
        <v>0.8</v>
      </c>
      <c r="AY3070" s="62">
        <f t="shared" si="315"/>
        <v>-1.63168624434969</v>
      </c>
      <c r="AZ3070" s="68" t="str">
        <f t="shared" si="316"/>
        <v>No</v>
      </c>
      <c r="BA3070" s="68" t="str">
        <f t="shared" si="317"/>
        <v>No</v>
      </c>
    </row>
    <row r="3071" spans="1:55" hidden="1">
      <c r="A3071" t="s">
        <v>3914</v>
      </c>
      <c r="G3071" s="50" t="s">
        <v>5105</v>
      </c>
      <c r="P3071" t="s">
        <v>60</v>
      </c>
      <c r="R3071" t="s">
        <v>4570</v>
      </c>
      <c r="S3071" s="50" t="s">
        <v>4578</v>
      </c>
      <c r="V3071" t="s">
        <v>3956</v>
      </c>
      <c r="Z3071">
        <v>3</v>
      </c>
      <c r="AA3071">
        <v>3</v>
      </c>
      <c r="AC3071">
        <v>565</v>
      </c>
      <c r="AD3071">
        <v>25.62</v>
      </c>
      <c r="AE3071">
        <v>4561</v>
      </c>
      <c r="AF3071">
        <v>25.61</v>
      </c>
      <c r="AJ3071" s="50" t="s">
        <v>4580</v>
      </c>
      <c r="AK3071" t="s">
        <v>4537</v>
      </c>
      <c r="AN3071">
        <v>147</v>
      </c>
      <c r="AO3071">
        <v>5.196152422706632</v>
      </c>
      <c r="AP3071">
        <v>113</v>
      </c>
      <c r="AQ3071">
        <v>17.320508075688771</v>
      </c>
      <c r="AW3071" s="28">
        <f t="shared" si="313"/>
        <v>-2.659010415819635</v>
      </c>
      <c r="AX3071">
        <f t="shared" si="314"/>
        <v>0.8</v>
      </c>
      <c r="AY3071" s="62">
        <f t="shared" si="315"/>
        <v>-2.1272083326557083</v>
      </c>
      <c r="AZ3071" s="68" t="str">
        <f t="shared" si="316"/>
        <v>No</v>
      </c>
      <c r="BA3071" s="68" t="str">
        <f t="shared" si="317"/>
        <v>No</v>
      </c>
    </row>
    <row r="3072" spans="1:55" hidden="1">
      <c r="A3072" t="s">
        <v>3914</v>
      </c>
      <c r="G3072" s="50" t="s">
        <v>4352</v>
      </c>
      <c r="P3072" t="s">
        <v>60</v>
      </c>
      <c r="R3072" t="s">
        <v>4346</v>
      </c>
      <c r="S3072" t="s">
        <v>957</v>
      </c>
      <c r="V3072" t="s">
        <v>3956</v>
      </c>
      <c r="Z3072">
        <v>4</v>
      </c>
      <c r="AA3072">
        <v>4</v>
      </c>
      <c r="AC3072">
        <v>385.03</v>
      </c>
      <c r="AD3072">
        <v>16.95</v>
      </c>
      <c r="AE3072">
        <v>3387.76</v>
      </c>
      <c r="AF3072">
        <v>16.96</v>
      </c>
      <c r="AJ3072" s="50" t="s">
        <v>4216</v>
      </c>
      <c r="AK3072" t="s">
        <v>4244</v>
      </c>
      <c r="AN3072">
        <v>980</v>
      </c>
      <c r="AO3072">
        <v>240</v>
      </c>
      <c r="AP3072">
        <v>520</v>
      </c>
      <c r="AQ3072">
        <v>170</v>
      </c>
      <c r="AW3072" s="28">
        <f t="shared" si="313"/>
        <v>-2.2118963694379872</v>
      </c>
      <c r="AX3072">
        <f t="shared" si="314"/>
        <v>0.86956521739130432</v>
      </c>
      <c r="AY3072" s="62">
        <f t="shared" si="315"/>
        <v>-1.9233881473373802</v>
      </c>
      <c r="AZ3072" s="68" t="str">
        <f t="shared" si="316"/>
        <v>No</v>
      </c>
      <c r="BA3072" s="68" t="str">
        <f t="shared" si="317"/>
        <v>No</v>
      </c>
    </row>
    <row r="3073" spans="1:53" hidden="1">
      <c r="A3073" t="s">
        <v>3914</v>
      </c>
      <c r="G3073" s="50" t="s">
        <v>5004</v>
      </c>
      <c r="P3073" t="s">
        <v>60</v>
      </c>
      <c r="R3073" t="s">
        <v>4346</v>
      </c>
      <c r="S3073" t="s">
        <v>957</v>
      </c>
      <c r="V3073" t="s">
        <v>3956</v>
      </c>
      <c r="Z3073">
        <v>4</v>
      </c>
      <c r="AA3073">
        <v>4</v>
      </c>
      <c r="AC3073">
        <v>385.03</v>
      </c>
      <c r="AD3073">
        <v>16.95</v>
      </c>
      <c r="AE3073">
        <v>1792.88</v>
      </c>
      <c r="AF3073">
        <v>17</v>
      </c>
      <c r="AJ3073" t="s">
        <v>4216</v>
      </c>
      <c r="AK3073" t="s">
        <v>4244</v>
      </c>
      <c r="AN3073">
        <v>980</v>
      </c>
      <c r="AO3073">
        <v>240</v>
      </c>
      <c r="AP3073">
        <v>870</v>
      </c>
      <c r="AQ3073">
        <v>250</v>
      </c>
      <c r="AW3073" s="28">
        <f t="shared" si="313"/>
        <v>-0.44888612257542482</v>
      </c>
      <c r="AX3073">
        <f t="shared" si="314"/>
        <v>0.86956521739130432</v>
      </c>
      <c r="AY3073" s="62">
        <f t="shared" si="315"/>
        <v>-0.39033575876123894</v>
      </c>
      <c r="AZ3073" s="68" t="str">
        <f t="shared" si="316"/>
        <v>No</v>
      </c>
      <c r="BA3073" s="68" t="str">
        <f t="shared" si="317"/>
        <v>No</v>
      </c>
    </row>
    <row r="3074" spans="1:53" ht="15" hidden="1">
      <c r="A3074" s="56" t="s">
        <v>3914</v>
      </c>
      <c r="G3074" s="56" t="s">
        <v>4121</v>
      </c>
      <c r="P3074" s="56" t="s">
        <v>60</v>
      </c>
      <c r="Q3074" s="56"/>
      <c r="R3074" s="56" t="s">
        <v>4116</v>
      </c>
      <c r="S3074" s="56" t="s">
        <v>1073</v>
      </c>
      <c r="T3074" s="56"/>
      <c r="U3074" s="56"/>
      <c r="V3074" s="56" t="s">
        <v>3956</v>
      </c>
      <c r="W3074" s="56"/>
      <c r="X3074" s="56"/>
      <c r="Y3074" s="56"/>
      <c r="Z3074" s="56">
        <v>3</v>
      </c>
      <c r="AA3074" s="56">
        <v>3</v>
      </c>
      <c r="AB3074" s="56"/>
      <c r="AC3074" s="56">
        <v>443.4</v>
      </c>
      <c r="AD3074" s="56">
        <v>19</v>
      </c>
      <c r="AE3074" s="56">
        <v>3259.5</v>
      </c>
      <c r="AF3074" s="56">
        <v>19</v>
      </c>
      <c r="AG3074" s="56"/>
      <c r="AH3074" s="56"/>
      <c r="AI3074" s="56"/>
      <c r="AJ3074" s="56" t="s">
        <v>4065</v>
      </c>
      <c r="AK3074" s="56" t="s">
        <v>4258</v>
      </c>
      <c r="AN3074" s="56">
        <v>20.5</v>
      </c>
      <c r="AO3074" s="56">
        <v>2</v>
      </c>
      <c r="AP3074" s="56">
        <v>5</v>
      </c>
      <c r="AQ3074" s="56">
        <v>1.5</v>
      </c>
      <c r="AW3074" s="28">
        <f t="shared" si="313"/>
        <v>-8.7681240867131898</v>
      </c>
      <c r="AX3074">
        <f t="shared" si="314"/>
        <v>0.8</v>
      </c>
      <c r="AY3074" s="62">
        <f t="shared" si="315"/>
        <v>-7.0144992693705523</v>
      </c>
      <c r="AZ3074" s="68" t="str">
        <f t="shared" si="316"/>
        <v>No</v>
      </c>
      <c r="BA3074" s="68" t="str">
        <f t="shared" si="317"/>
        <v>No</v>
      </c>
    </row>
    <row r="3075" spans="1:53" ht="15" hidden="1">
      <c r="A3075" s="56" t="s">
        <v>3914</v>
      </c>
      <c r="G3075" s="56" t="s">
        <v>4121</v>
      </c>
      <c r="P3075" s="56" t="s">
        <v>60</v>
      </c>
      <c r="Q3075" s="56"/>
      <c r="R3075" s="56" t="s">
        <v>4116</v>
      </c>
      <c r="S3075" s="56" t="s">
        <v>1073</v>
      </c>
      <c r="T3075" s="56"/>
      <c r="U3075" s="56"/>
      <c r="V3075" s="56" t="s">
        <v>3956</v>
      </c>
      <c r="W3075" s="56"/>
      <c r="X3075" s="56"/>
      <c r="Y3075" s="56"/>
      <c r="Z3075" s="56">
        <v>3</v>
      </c>
      <c r="AA3075" s="56">
        <v>3</v>
      </c>
      <c r="AB3075" s="56"/>
      <c r="AC3075" s="56">
        <v>443.4</v>
      </c>
      <c r="AD3075" s="56">
        <v>19</v>
      </c>
      <c r="AE3075" s="56">
        <v>3259.5</v>
      </c>
      <c r="AF3075" s="56">
        <v>19</v>
      </c>
      <c r="AG3075" s="56"/>
      <c r="AH3075" s="56"/>
      <c r="AI3075" s="56"/>
      <c r="AJ3075" s="56" t="s">
        <v>4232</v>
      </c>
      <c r="AK3075" s="56" t="s">
        <v>4244</v>
      </c>
      <c r="AN3075" s="56">
        <v>47.5</v>
      </c>
      <c r="AO3075" s="56">
        <v>5</v>
      </c>
      <c r="AP3075" s="56">
        <v>30.2</v>
      </c>
      <c r="AQ3075" s="56">
        <v>2.2999999999999998</v>
      </c>
      <c r="AW3075" s="28">
        <f t="shared" si="313"/>
        <v>-4.4454063373472144</v>
      </c>
      <c r="AX3075">
        <f t="shared" si="314"/>
        <v>0.8</v>
      </c>
      <c r="AY3075" s="62">
        <f t="shared" si="315"/>
        <v>-3.5563250698777717</v>
      </c>
      <c r="AZ3075" s="68" t="str">
        <f t="shared" si="316"/>
        <v>No</v>
      </c>
      <c r="BA3075" s="68" t="str">
        <f t="shared" si="317"/>
        <v>No</v>
      </c>
    </row>
    <row r="3076" spans="1:53" ht="15" hidden="1">
      <c r="A3076" s="56" t="s">
        <v>3914</v>
      </c>
      <c r="G3076" s="56" t="s">
        <v>4121</v>
      </c>
      <c r="P3076" s="56" t="s">
        <v>60</v>
      </c>
      <c r="Q3076" s="56"/>
      <c r="R3076" s="56" t="s">
        <v>4116</v>
      </c>
      <c r="S3076" s="56" t="s">
        <v>1073</v>
      </c>
      <c r="T3076" s="56"/>
      <c r="U3076" s="56"/>
      <c r="V3076" s="56" t="s">
        <v>3956</v>
      </c>
      <c r="W3076" s="56"/>
      <c r="X3076" s="56"/>
      <c r="Y3076" s="56"/>
      <c r="Z3076" s="56">
        <v>3</v>
      </c>
      <c r="AA3076" s="56">
        <v>3</v>
      </c>
      <c r="AB3076" s="56"/>
      <c r="AC3076" s="56">
        <v>443.4</v>
      </c>
      <c r="AD3076" s="56">
        <v>19</v>
      </c>
      <c r="AE3076" s="56">
        <v>3259.5</v>
      </c>
      <c r="AF3076" s="56">
        <v>19</v>
      </c>
      <c r="AG3076" s="56"/>
      <c r="AH3076" s="56"/>
      <c r="AI3076" s="56"/>
      <c r="AJ3076" s="56" t="s">
        <v>1202</v>
      </c>
      <c r="AK3076" s="56" t="s">
        <v>4093</v>
      </c>
      <c r="AN3076" s="56">
        <v>35</v>
      </c>
      <c r="AO3076" s="56">
        <v>4.8</v>
      </c>
      <c r="AP3076" s="56">
        <v>7</v>
      </c>
      <c r="AQ3076" s="56">
        <v>3</v>
      </c>
      <c r="AW3076" s="28">
        <f t="shared" si="313"/>
        <v>-6.9956290972947066</v>
      </c>
      <c r="AX3076">
        <f t="shared" si="314"/>
        <v>0.8</v>
      </c>
      <c r="AY3076" s="62">
        <f t="shared" si="315"/>
        <v>-5.5965032778357653</v>
      </c>
      <c r="AZ3076" s="68" t="str">
        <f t="shared" si="316"/>
        <v>No</v>
      </c>
      <c r="BA3076" s="68" t="str">
        <f t="shared" si="317"/>
        <v>No</v>
      </c>
    </row>
    <row r="3077" spans="1:53" ht="15" hidden="1">
      <c r="A3077" s="56" t="s">
        <v>3914</v>
      </c>
      <c r="G3077" s="56" t="s">
        <v>4121</v>
      </c>
      <c r="P3077" s="56" t="s">
        <v>60</v>
      </c>
      <c r="Q3077" s="56"/>
      <c r="R3077" s="56" t="s">
        <v>4116</v>
      </c>
      <c r="S3077" s="56" t="s">
        <v>1073</v>
      </c>
      <c r="T3077" s="56"/>
      <c r="U3077" s="56"/>
      <c r="V3077" s="56" t="s">
        <v>3956</v>
      </c>
      <c r="W3077" s="56"/>
      <c r="X3077" s="56"/>
      <c r="Y3077" s="56"/>
      <c r="Z3077" s="56">
        <v>3</v>
      </c>
      <c r="AA3077" s="56">
        <v>3</v>
      </c>
      <c r="AB3077" s="56"/>
      <c r="AC3077" s="56">
        <v>443.4</v>
      </c>
      <c r="AD3077" s="56">
        <v>19</v>
      </c>
      <c r="AE3077" s="56">
        <v>1239.4000000000001</v>
      </c>
      <c r="AF3077" s="56">
        <v>19</v>
      </c>
      <c r="AG3077" s="56"/>
      <c r="AH3077" s="56"/>
      <c r="AI3077" s="56"/>
      <c r="AJ3077" s="56" t="s">
        <v>4065</v>
      </c>
      <c r="AK3077" s="56" t="s">
        <v>4258</v>
      </c>
      <c r="AN3077" s="56">
        <v>20.5</v>
      </c>
      <c r="AO3077" s="56">
        <v>2</v>
      </c>
      <c r="AP3077" s="56">
        <v>11.5</v>
      </c>
      <c r="AQ3077" s="56">
        <v>3.5</v>
      </c>
      <c r="AW3077" s="28">
        <f t="shared" si="313"/>
        <v>-3.1574088695053053</v>
      </c>
      <c r="AX3077">
        <f t="shared" si="314"/>
        <v>0.8</v>
      </c>
      <c r="AY3077" s="62">
        <f t="shared" si="315"/>
        <v>-2.5259270956042443</v>
      </c>
      <c r="AZ3077" s="68" t="str">
        <f t="shared" si="316"/>
        <v>No</v>
      </c>
      <c r="BA3077" s="68" t="str">
        <f t="shared" si="317"/>
        <v>No</v>
      </c>
    </row>
    <row r="3078" spans="1:53" ht="15" hidden="1">
      <c r="A3078" s="56" t="s">
        <v>3914</v>
      </c>
      <c r="G3078" s="56" t="s">
        <v>5121</v>
      </c>
      <c r="P3078" s="56" t="s">
        <v>60</v>
      </c>
      <c r="Q3078" s="56"/>
      <c r="R3078" s="56" t="s">
        <v>4116</v>
      </c>
      <c r="S3078" s="56" t="s">
        <v>1073</v>
      </c>
      <c r="T3078" s="56"/>
      <c r="U3078" s="56"/>
      <c r="V3078" s="56" t="s">
        <v>3956</v>
      </c>
      <c r="W3078" s="56"/>
      <c r="X3078" s="56"/>
      <c r="Y3078" s="56"/>
      <c r="Z3078" s="56">
        <v>3</v>
      </c>
      <c r="AA3078" s="56">
        <v>3</v>
      </c>
      <c r="AB3078" s="56"/>
      <c r="AC3078" s="56">
        <v>443.4</v>
      </c>
      <c r="AD3078" s="56">
        <v>19</v>
      </c>
      <c r="AE3078" s="56">
        <v>1239.4000000000001</v>
      </c>
      <c r="AF3078" s="56">
        <v>19</v>
      </c>
      <c r="AG3078" s="56"/>
      <c r="AH3078" s="56"/>
      <c r="AI3078" s="56"/>
      <c r="AJ3078" s="56" t="s">
        <v>4122</v>
      </c>
      <c r="AK3078" s="56" t="s">
        <v>4093</v>
      </c>
      <c r="AN3078" s="56">
        <v>92</v>
      </c>
      <c r="AO3078" s="56">
        <v>5</v>
      </c>
      <c r="AP3078" s="56">
        <v>71</v>
      </c>
      <c r="AQ3078" s="56">
        <v>4</v>
      </c>
      <c r="AW3078" s="28">
        <f t="shared" si="313"/>
        <v>-4.6381240951435547</v>
      </c>
      <c r="AX3078">
        <f t="shared" si="314"/>
        <v>0.8</v>
      </c>
      <c r="AY3078" s="62">
        <f t="shared" si="315"/>
        <v>-3.7104992761148439</v>
      </c>
      <c r="AZ3078" s="68" t="str">
        <f t="shared" si="316"/>
        <v>No</v>
      </c>
      <c r="BA3078" s="68" t="str">
        <f t="shared" si="317"/>
        <v>No</v>
      </c>
    </row>
    <row r="3079" spans="1:53" ht="15" hidden="1">
      <c r="A3079" s="56" t="s">
        <v>3914</v>
      </c>
      <c r="G3079" s="56" t="s">
        <v>4121</v>
      </c>
      <c r="P3079" s="56" t="s">
        <v>60</v>
      </c>
      <c r="Q3079" s="56"/>
      <c r="R3079" s="56" t="s">
        <v>4116</v>
      </c>
      <c r="S3079" s="56" t="s">
        <v>1073</v>
      </c>
      <c r="T3079" s="56"/>
      <c r="U3079" s="56"/>
      <c r="V3079" s="56" t="s">
        <v>3956</v>
      </c>
      <c r="W3079" s="56"/>
      <c r="X3079" s="56"/>
      <c r="Y3079" s="56"/>
      <c r="Z3079" s="56">
        <v>3</v>
      </c>
      <c r="AA3079" s="56">
        <v>3</v>
      </c>
      <c r="AB3079" s="56"/>
      <c r="AC3079" s="56">
        <v>443.4</v>
      </c>
      <c r="AD3079" s="56">
        <v>19</v>
      </c>
      <c r="AE3079" s="56">
        <v>1239.4000000000001</v>
      </c>
      <c r="AF3079" s="56">
        <v>19</v>
      </c>
      <c r="AG3079" s="56"/>
      <c r="AH3079" s="56"/>
      <c r="AI3079" s="56"/>
      <c r="AJ3079" s="56" t="s">
        <v>4232</v>
      </c>
      <c r="AK3079" s="56" t="s">
        <v>4244</v>
      </c>
      <c r="AN3079" s="56">
        <v>47.5</v>
      </c>
      <c r="AO3079" s="56">
        <v>5</v>
      </c>
      <c r="AP3079" s="56">
        <v>40</v>
      </c>
      <c r="AQ3079" s="56">
        <v>4</v>
      </c>
      <c r="AW3079" s="28">
        <f t="shared" si="313"/>
        <v>-1.656472891122698</v>
      </c>
      <c r="AX3079">
        <f t="shared" si="314"/>
        <v>0.8</v>
      </c>
      <c r="AY3079" s="62">
        <f t="shared" si="315"/>
        <v>-1.3251783128981585</v>
      </c>
      <c r="AZ3079" s="68" t="str">
        <f t="shared" si="316"/>
        <v>No</v>
      </c>
      <c r="BA3079" s="68" t="str">
        <f t="shared" si="317"/>
        <v>No</v>
      </c>
    </row>
    <row r="3080" spans="1:53" ht="15" hidden="1">
      <c r="A3080" s="56" t="s">
        <v>3914</v>
      </c>
      <c r="G3080" s="56" t="s">
        <v>4121</v>
      </c>
      <c r="P3080" s="56" t="s">
        <v>60</v>
      </c>
      <c r="Q3080" s="56"/>
      <c r="R3080" s="56" t="s">
        <v>4116</v>
      </c>
      <c r="S3080" s="56" t="s">
        <v>1073</v>
      </c>
      <c r="T3080" s="56"/>
      <c r="U3080" s="56"/>
      <c r="V3080" s="56" t="s">
        <v>3956</v>
      </c>
      <c r="W3080" s="56"/>
      <c r="X3080" s="56"/>
      <c r="Y3080" s="56"/>
      <c r="Z3080" s="56">
        <v>3</v>
      </c>
      <c r="AA3080" s="56">
        <v>3</v>
      </c>
      <c r="AB3080" s="56"/>
      <c r="AC3080" s="56">
        <v>443.4</v>
      </c>
      <c r="AD3080" s="56">
        <v>19</v>
      </c>
      <c r="AE3080" s="56">
        <v>1239.4000000000001</v>
      </c>
      <c r="AF3080" s="56">
        <v>19</v>
      </c>
      <c r="AG3080" s="56"/>
      <c r="AH3080" s="56"/>
      <c r="AI3080" s="56"/>
      <c r="AJ3080" s="56" t="s">
        <v>1202</v>
      </c>
      <c r="AK3080" s="56" t="s">
        <v>4093</v>
      </c>
      <c r="AN3080" s="56">
        <v>35</v>
      </c>
      <c r="AO3080" s="56">
        <v>4.8</v>
      </c>
      <c r="AP3080" s="56">
        <v>34</v>
      </c>
      <c r="AQ3080" s="56">
        <v>4</v>
      </c>
      <c r="AW3080" s="28">
        <f t="shared" si="313"/>
        <v>-0.22633936510629632</v>
      </c>
      <c r="AX3080">
        <f t="shared" si="314"/>
        <v>0.8</v>
      </c>
      <c r="AY3080" s="62">
        <f t="shared" si="315"/>
        <v>-0.18107149208503706</v>
      </c>
      <c r="AZ3080" s="68" t="str">
        <f t="shared" si="316"/>
        <v>No</v>
      </c>
      <c r="BA3080" s="68" t="str">
        <f t="shared" si="317"/>
        <v>No</v>
      </c>
    </row>
    <row r="3081" spans="1:53" ht="15" hidden="1">
      <c r="A3081" s="56" t="s">
        <v>3914</v>
      </c>
      <c r="G3081" s="56" t="s">
        <v>4121</v>
      </c>
      <c r="P3081" s="56" t="s">
        <v>60</v>
      </c>
      <c r="Q3081" s="56"/>
      <c r="R3081" s="56" t="s">
        <v>4116</v>
      </c>
      <c r="S3081" s="56" t="s">
        <v>1073</v>
      </c>
      <c r="T3081" s="56"/>
      <c r="U3081" s="56"/>
      <c r="V3081" s="56" t="s">
        <v>3956</v>
      </c>
      <c r="W3081" s="56"/>
      <c r="X3081" s="56"/>
      <c r="Y3081" s="56"/>
      <c r="Z3081" s="56">
        <v>3</v>
      </c>
      <c r="AA3081" s="56">
        <v>3</v>
      </c>
      <c r="AB3081" s="56"/>
      <c r="AC3081" s="56">
        <v>443.4</v>
      </c>
      <c r="AD3081" s="56">
        <v>19</v>
      </c>
      <c r="AE3081" s="56">
        <v>3259.5</v>
      </c>
      <c r="AF3081" s="56">
        <v>19</v>
      </c>
      <c r="AG3081" s="56"/>
      <c r="AH3081" s="56"/>
      <c r="AI3081" s="56"/>
      <c r="AJ3081" s="56" t="s">
        <v>4122</v>
      </c>
      <c r="AK3081" s="56" t="s">
        <v>4093</v>
      </c>
      <c r="AN3081" s="56">
        <v>92</v>
      </c>
      <c r="AO3081" s="56">
        <v>5</v>
      </c>
      <c r="AP3081" s="56">
        <v>43</v>
      </c>
      <c r="AQ3081" s="56">
        <v>6</v>
      </c>
      <c r="AW3081" s="28">
        <f t="shared" si="313"/>
        <v>-8.8725031121668163</v>
      </c>
      <c r="AX3081">
        <f t="shared" si="314"/>
        <v>0.8</v>
      </c>
      <c r="AY3081" s="62">
        <f t="shared" si="315"/>
        <v>-7.098002489733453</v>
      </c>
      <c r="AZ3081" s="68" t="str">
        <f t="shared" si="316"/>
        <v>No</v>
      </c>
      <c r="BA3081" s="68" t="str">
        <f t="shared" si="317"/>
        <v>No</v>
      </c>
    </row>
    <row r="3082" spans="1:53" ht="15" hidden="1">
      <c r="A3082" s="56" t="s">
        <v>3914</v>
      </c>
      <c r="G3082" s="56" t="s">
        <v>4121</v>
      </c>
      <c r="P3082" s="56" t="s">
        <v>60</v>
      </c>
      <c r="Q3082" s="56"/>
      <c r="R3082" s="56" t="s">
        <v>4116</v>
      </c>
      <c r="S3082" s="56" t="s">
        <v>1073</v>
      </c>
      <c r="T3082" s="56"/>
      <c r="U3082" s="56"/>
      <c r="V3082" s="56" t="s">
        <v>3956</v>
      </c>
      <c r="W3082" s="56"/>
      <c r="X3082" s="56"/>
      <c r="Y3082" s="56"/>
      <c r="Z3082" s="56">
        <v>3</v>
      </c>
      <c r="AA3082" s="56">
        <v>3</v>
      </c>
      <c r="AB3082" s="56"/>
      <c r="AC3082" s="56">
        <v>443.4</v>
      </c>
      <c r="AD3082" s="56">
        <v>19</v>
      </c>
      <c r="AE3082" s="56">
        <v>1239.4000000000001</v>
      </c>
      <c r="AF3082" s="56">
        <v>19</v>
      </c>
      <c r="AG3082" s="56"/>
      <c r="AH3082" s="56"/>
      <c r="AI3082" s="56"/>
      <c r="AJ3082" s="56" t="s">
        <v>4232</v>
      </c>
      <c r="AK3082" s="56" t="s">
        <v>4244</v>
      </c>
      <c r="AN3082" s="56">
        <v>47.5</v>
      </c>
      <c r="AO3082" s="56">
        <v>5</v>
      </c>
      <c r="AP3082" s="56">
        <v>21</v>
      </c>
      <c r="AQ3082" s="56">
        <v>9</v>
      </c>
      <c r="AW3082" s="28">
        <f t="shared" si="313"/>
        <v>-3.640054944640259</v>
      </c>
      <c r="AX3082">
        <f t="shared" si="314"/>
        <v>0.8</v>
      </c>
      <c r="AY3082" s="62">
        <f t="shared" si="315"/>
        <v>-2.9120439557122073</v>
      </c>
      <c r="AZ3082" s="68" t="str">
        <f t="shared" si="316"/>
        <v>No</v>
      </c>
      <c r="BA3082" s="68" t="str">
        <f t="shared" si="317"/>
        <v>No</v>
      </c>
    </row>
    <row r="3083" spans="1:53" hidden="1">
      <c r="A3083" t="s">
        <v>3914</v>
      </c>
      <c r="G3083" s="50" t="s">
        <v>4358</v>
      </c>
      <c r="P3083" t="s">
        <v>60</v>
      </c>
      <c r="R3083" t="s">
        <v>4357</v>
      </c>
      <c r="S3083" s="50" t="s">
        <v>1647</v>
      </c>
      <c r="V3083" t="s">
        <v>3956</v>
      </c>
      <c r="Z3083">
        <v>6</v>
      </c>
      <c r="AA3083">
        <v>6</v>
      </c>
      <c r="AC3083">
        <v>364.73</v>
      </c>
      <c r="AD3083">
        <v>24</v>
      </c>
      <c r="AE3083">
        <v>1364.01</v>
      </c>
      <c r="AF3083">
        <v>24</v>
      </c>
      <c r="AJ3083" s="50" t="s">
        <v>4472</v>
      </c>
      <c r="AK3083" t="s">
        <v>4151</v>
      </c>
      <c r="AN3083">
        <v>0.5</v>
      </c>
      <c r="AO3083">
        <v>0.9</v>
      </c>
      <c r="AP3083">
        <v>1</v>
      </c>
      <c r="AQ3083">
        <v>1.2</v>
      </c>
      <c r="AW3083" s="28">
        <f t="shared" si="313"/>
        <v>0.47140452079103173</v>
      </c>
      <c r="AX3083">
        <f t="shared" si="314"/>
        <v>0.92307692307692313</v>
      </c>
      <c r="AY3083" s="62">
        <f t="shared" si="315"/>
        <v>0.43514263457633701</v>
      </c>
      <c r="AZ3083" s="68" t="str">
        <f t="shared" si="316"/>
        <v>No</v>
      </c>
      <c r="BA3083" s="68" t="str">
        <f t="shared" si="317"/>
        <v>No</v>
      </c>
    </row>
    <row r="3084" spans="1:53" hidden="1">
      <c r="A3084" t="s">
        <v>3914</v>
      </c>
      <c r="G3084" s="50" t="s">
        <v>4358</v>
      </c>
      <c r="P3084" t="s">
        <v>60</v>
      </c>
      <c r="R3084" t="s">
        <v>4357</v>
      </c>
      <c r="S3084" s="50" t="s">
        <v>1647</v>
      </c>
      <c r="V3084" t="s">
        <v>3956</v>
      </c>
      <c r="Z3084" s="50">
        <v>6</v>
      </c>
      <c r="AA3084" s="50">
        <v>6</v>
      </c>
      <c r="AC3084">
        <v>364.73</v>
      </c>
      <c r="AD3084">
        <v>24</v>
      </c>
      <c r="AE3084">
        <v>2364.08</v>
      </c>
      <c r="AF3084">
        <v>24</v>
      </c>
      <c r="AJ3084" s="50" t="s">
        <v>4472</v>
      </c>
      <c r="AK3084" t="s">
        <v>4151</v>
      </c>
      <c r="AN3084">
        <v>0.5</v>
      </c>
      <c r="AO3084">
        <v>0.9</v>
      </c>
      <c r="AP3084">
        <v>2</v>
      </c>
      <c r="AQ3084">
        <v>3</v>
      </c>
      <c r="AW3084" s="28">
        <f t="shared" si="313"/>
        <v>0.67728546147859647</v>
      </c>
      <c r="AX3084">
        <f t="shared" si="314"/>
        <v>0.92307692307692313</v>
      </c>
      <c r="AY3084" s="62">
        <f t="shared" si="315"/>
        <v>0.6251865798263968</v>
      </c>
      <c r="AZ3084" s="68" t="str">
        <f t="shared" si="316"/>
        <v>No</v>
      </c>
      <c r="BA3084" s="68" t="str">
        <f t="shared" si="317"/>
        <v>No</v>
      </c>
    </row>
    <row r="3085" spans="1:53">
      <c r="A3085" t="s">
        <v>3914</v>
      </c>
      <c r="G3085" s="50" t="s">
        <v>4358</v>
      </c>
      <c r="P3085" t="s">
        <v>60</v>
      </c>
      <c r="R3085" t="s">
        <v>4357</v>
      </c>
      <c r="S3085" s="50" t="s">
        <v>1647</v>
      </c>
      <c r="V3085" t="s">
        <v>3956</v>
      </c>
      <c r="Z3085">
        <v>6</v>
      </c>
      <c r="AA3085">
        <v>6</v>
      </c>
      <c r="AC3085">
        <v>364.73</v>
      </c>
      <c r="AD3085">
        <v>24</v>
      </c>
      <c r="AE3085">
        <v>5362.74</v>
      </c>
      <c r="AF3085">
        <v>24</v>
      </c>
      <c r="AJ3085" s="50" t="s">
        <v>4472</v>
      </c>
      <c r="AK3085" t="s">
        <v>4151</v>
      </c>
      <c r="AN3085">
        <v>0.5</v>
      </c>
      <c r="AO3085">
        <v>0.9</v>
      </c>
      <c r="AP3085">
        <v>2</v>
      </c>
      <c r="AQ3085">
        <v>3</v>
      </c>
      <c r="AW3085" s="28">
        <f t="shared" si="313"/>
        <v>0.67728546147859647</v>
      </c>
      <c r="AX3085">
        <f t="shared" si="314"/>
        <v>0.92307692307692313</v>
      </c>
      <c r="AY3085" s="62">
        <f t="shared" si="315"/>
        <v>0.6251865798263968</v>
      </c>
      <c r="AZ3085" s="68" t="str">
        <f t="shared" si="316"/>
        <v>No</v>
      </c>
      <c r="BA3085" s="68" t="str">
        <f t="shared" si="317"/>
        <v>No</v>
      </c>
    </row>
    <row r="3086" spans="1:53" hidden="1">
      <c r="A3086" t="s">
        <v>3914</v>
      </c>
      <c r="G3086" t="s">
        <v>5006</v>
      </c>
      <c r="P3086" t="s">
        <v>60</v>
      </c>
      <c r="R3086" t="s">
        <v>4357</v>
      </c>
      <c r="S3086" t="s">
        <v>4380</v>
      </c>
      <c r="V3086" t="s">
        <v>3956</v>
      </c>
      <c r="Z3086">
        <v>6</v>
      </c>
      <c r="AA3086">
        <v>6</v>
      </c>
      <c r="AC3086">
        <v>364.67</v>
      </c>
      <c r="AD3086">
        <v>14</v>
      </c>
      <c r="AE3086">
        <v>1363.5</v>
      </c>
      <c r="AF3086">
        <v>14</v>
      </c>
      <c r="AJ3086" t="s">
        <v>2020</v>
      </c>
      <c r="AK3086" t="s">
        <v>4093</v>
      </c>
      <c r="AN3086">
        <v>100</v>
      </c>
      <c r="AO3086">
        <v>0</v>
      </c>
      <c r="AP3086">
        <v>96</v>
      </c>
      <c r="AQ3086">
        <v>6</v>
      </c>
      <c r="AW3086" s="28">
        <f t="shared" ref="AW3086:AW3149" si="318">(AP3086-$AN3086)/SQRT(((AA3086-1)*AQ3086*AQ3086+($Z3086-1)*$AO3086*$AO3086)/(AA3086+$Z3086-2))</f>
        <v>-0.94280904158206347</v>
      </c>
      <c r="AX3086">
        <f t="shared" ref="AX3086:AX3149" si="319">1-(3/(4*(AA3086+$Z3086-2)-1))</f>
        <v>0.92307692307692313</v>
      </c>
      <c r="AY3086" s="62">
        <f t="shared" ref="AY3086:AY3149" si="320">AX3086*AW3086</f>
        <v>-0.87028526915267401</v>
      </c>
      <c r="AZ3086" s="68" t="str">
        <f t="shared" ref="AZ3086:AZ3149" si="321">IF(AY3086&gt;10,"Yes","No")</f>
        <v>No</v>
      </c>
      <c r="BA3086" s="68" t="str">
        <f t="shared" ref="BA3086:BA3149" si="322">IF(AY3086&lt;-10,"Yes","No")</f>
        <v>No</v>
      </c>
    </row>
    <row r="3087" spans="1:53" hidden="1">
      <c r="A3087" t="s">
        <v>3914</v>
      </c>
      <c r="G3087" t="s">
        <v>4358</v>
      </c>
      <c r="P3087" t="s">
        <v>60</v>
      </c>
      <c r="R3087" t="s">
        <v>4357</v>
      </c>
      <c r="S3087" t="s">
        <v>1647</v>
      </c>
      <c r="V3087" t="s">
        <v>3956</v>
      </c>
      <c r="Z3087">
        <v>3</v>
      </c>
      <c r="AA3087">
        <v>3</v>
      </c>
      <c r="AC3087">
        <v>364.73</v>
      </c>
      <c r="AD3087">
        <v>24</v>
      </c>
      <c r="AE3087">
        <v>1364.01</v>
      </c>
      <c r="AF3087">
        <v>24</v>
      </c>
      <c r="AJ3087" t="s">
        <v>2020</v>
      </c>
      <c r="AK3087" t="s">
        <v>4093</v>
      </c>
      <c r="AN3087">
        <v>99</v>
      </c>
      <c r="AO3087">
        <v>0.5</v>
      </c>
      <c r="AP3087">
        <v>93</v>
      </c>
      <c r="AQ3087">
        <v>6</v>
      </c>
      <c r="AW3087" s="28">
        <f t="shared" si="318"/>
        <v>-1.4093285268352882</v>
      </c>
      <c r="AX3087">
        <f t="shared" si="319"/>
        <v>0.8</v>
      </c>
      <c r="AY3087" s="62">
        <f t="shared" si="320"/>
        <v>-1.1274628214682305</v>
      </c>
      <c r="AZ3087" s="68" t="str">
        <f t="shared" si="321"/>
        <v>No</v>
      </c>
      <c r="BA3087" s="68" t="str">
        <f t="shared" si="322"/>
        <v>No</v>
      </c>
    </row>
    <row r="3088" spans="1:53">
      <c r="A3088" t="s">
        <v>3914</v>
      </c>
      <c r="G3088" t="s">
        <v>4358</v>
      </c>
      <c r="P3088" t="s">
        <v>60</v>
      </c>
      <c r="R3088" t="s">
        <v>4357</v>
      </c>
      <c r="S3088" t="s">
        <v>4380</v>
      </c>
      <c r="V3088" t="s">
        <v>3956</v>
      </c>
      <c r="Z3088">
        <v>6</v>
      </c>
      <c r="AA3088">
        <v>6</v>
      </c>
      <c r="AC3088">
        <v>364.67</v>
      </c>
      <c r="AD3088">
        <v>14</v>
      </c>
      <c r="AE3088">
        <v>5361.71</v>
      </c>
      <c r="AF3088">
        <v>14</v>
      </c>
      <c r="AJ3088" t="s">
        <v>4459</v>
      </c>
      <c r="AK3088" t="s">
        <v>4151</v>
      </c>
      <c r="AN3088">
        <v>40</v>
      </c>
      <c r="AO3088">
        <v>48</v>
      </c>
      <c r="AP3088">
        <v>5</v>
      </c>
      <c r="AQ3088">
        <v>7</v>
      </c>
      <c r="AW3088" s="28">
        <f t="shared" si="318"/>
        <v>-1.0204038266298128</v>
      </c>
      <c r="AX3088">
        <f t="shared" si="319"/>
        <v>0.92307692307692313</v>
      </c>
      <c r="AY3088" s="62">
        <f t="shared" si="320"/>
        <v>-0.94191122458136567</v>
      </c>
      <c r="AZ3088" s="68" t="str">
        <f t="shared" si="321"/>
        <v>No</v>
      </c>
      <c r="BA3088" s="68" t="str">
        <f t="shared" si="322"/>
        <v>No</v>
      </c>
    </row>
    <row r="3089" spans="1:55" hidden="1">
      <c r="A3089" t="s">
        <v>3914</v>
      </c>
      <c r="G3089" t="s">
        <v>4358</v>
      </c>
      <c r="P3089" t="s">
        <v>60</v>
      </c>
      <c r="R3089" t="s">
        <v>4357</v>
      </c>
      <c r="S3089" t="s">
        <v>4380</v>
      </c>
      <c r="V3089" t="s">
        <v>3956</v>
      </c>
      <c r="Z3089">
        <v>6</v>
      </c>
      <c r="AA3089">
        <v>6</v>
      </c>
      <c r="AC3089">
        <v>364.67</v>
      </c>
      <c r="AD3089">
        <v>14</v>
      </c>
      <c r="AE3089">
        <v>2363.62</v>
      </c>
      <c r="AF3089">
        <v>14</v>
      </c>
      <c r="AJ3089" t="s">
        <v>2020</v>
      </c>
      <c r="AK3089" t="s">
        <v>4093</v>
      </c>
      <c r="AN3089">
        <v>100</v>
      </c>
      <c r="AO3089">
        <v>0</v>
      </c>
      <c r="AP3089">
        <v>88</v>
      </c>
      <c r="AQ3089">
        <v>21</v>
      </c>
      <c r="AW3089" s="28">
        <f t="shared" si="318"/>
        <v>-0.80812203564176865</v>
      </c>
      <c r="AX3089">
        <f t="shared" si="319"/>
        <v>0.92307692307692313</v>
      </c>
      <c r="AY3089" s="62">
        <f t="shared" si="320"/>
        <v>-0.74595880213086341</v>
      </c>
      <c r="AZ3089" s="68" t="str">
        <f t="shared" si="321"/>
        <v>No</v>
      </c>
      <c r="BA3089" s="68" t="str">
        <f t="shared" si="322"/>
        <v>No</v>
      </c>
    </row>
    <row r="3090" spans="1:55" hidden="1">
      <c r="A3090" t="s">
        <v>3914</v>
      </c>
      <c r="G3090" t="s">
        <v>4358</v>
      </c>
      <c r="P3090" t="s">
        <v>60</v>
      </c>
      <c r="R3090" t="s">
        <v>4357</v>
      </c>
      <c r="S3090" t="s">
        <v>1647</v>
      </c>
      <c r="V3090" t="s">
        <v>3956</v>
      </c>
      <c r="Z3090">
        <v>3</v>
      </c>
      <c r="AA3090">
        <v>3</v>
      </c>
      <c r="AC3090">
        <v>364.73</v>
      </c>
      <c r="AD3090">
        <v>24</v>
      </c>
      <c r="AE3090">
        <v>2364.08</v>
      </c>
      <c r="AF3090">
        <v>24</v>
      </c>
      <c r="AJ3090" t="s">
        <v>2020</v>
      </c>
      <c r="AK3090" t="s">
        <v>4093</v>
      </c>
      <c r="AN3090">
        <v>99</v>
      </c>
      <c r="AO3090">
        <v>0.5</v>
      </c>
      <c r="AP3090">
        <v>73</v>
      </c>
      <c r="AQ3090">
        <v>21</v>
      </c>
      <c r="AW3090" s="28">
        <f t="shared" si="318"/>
        <v>-1.7504349924774465</v>
      </c>
      <c r="AX3090">
        <f t="shared" si="319"/>
        <v>0.8</v>
      </c>
      <c r="AY3090" s="62">
        <f t="shared" si="320"/>
        <v>-1.4003479939819572</v>
      </c>
      <c r="AZ3090" s="68" t="str">
        <f t="shared" si="321"/>
        <v>No</v>
      </c>
      <c r="BA3090" s="68" t="str">
        <f t="shared" si="322"/>
        <v>No</v>
      </c>
    </row>
    <row r="3091" spans="1:55">
      <c r="A3091" t="s">
        <v>3914</v>
      </c>
      <c r="G3091" s="50" t="s">
        <v>4358</v>
      </c>
      <c r="P3091" t="s">
        <v>60</v>
      </c>
      <c r="R3091" t="s">
        <v>4357</v>
      </c>
      <c r="S3091" s="50" t="s">
        <v>4380</v>
      </c>
      <c r="V3091" t="s">
        <v>3956</v>
      </c>
      <c r="Z3091">
        <v>5</v>
      </c>
      <c r="AA3091">
        <v>5</v>
      </c>
      <c r="AC3091">
        <v>364.67</v>
      </c>
      <c r="AD3091">
        <v>14</v>
      </c>
      <c r="AE3091">
        <v>5361.71</v>
      </c>
      <c r="AF3091">
        <v>14</v>
      </c>
      <c r="AJ3091" s="50" t="s">
        <v>4444</v>
      </c>
      <c r="AK3091" t="s">
        <v>4244</v>
      </c>
      <c r="AN3091">
        <v>135</v>
      </c>
      <c r="AO3091">
        <v>32</v>
      </c>
      <c r="AP3091">
        <v>54</v>
      </c>
      <c r="AQ3091">
        <v>24</v>
      </c>
      <c r="AW3091" s="28">
        <f t="shared" si="318"/>
        <v>-2.8637824638055172</v>
      </c>
      <c r="AX3091">
        <f t="shared" si="319"/>
        <v>0.90322580645161288</v>
      </c>
      <c r="AY3091" s="62">
        <f t="shared" si="320"/>
        <v>-2.5866422253727253</v>
      </c>
      <c r="AZ3091" s="68" t="str">
        <f t="shared" si="321"/>
        <v>No</v>
      </c>
      <c r="BA3091" s="68" t="str">
        <f t="shared" si="322"/>
        <v>No</v>
      </c>
    </row>
    <row r="3092" spans="1:55" hidden="1">
      <c r="A3092" t="s">
        <v>3914</v>
      </c>
      <c r="G3092" s="50" t="s">
        <v>4358</v>
      </c>
      <c r="P3092" t="s">
        <v>60</v>
      </c>
      <c r="R3092" t="s">
        <v>4357</v>
      </c>
      <c r="S3092" s="50" t="s">
        <v>4380</v>
      </c>
      <c r="V3092" t="s">
        <v>3956</v>
      </c>
      <c r="Z3092" s="50">
        <v>5</v>
      </c>
      <c r="AA3092" s="50">
        <v>5</v>
      </c>
      <c r="AC3092">
        <v>364.67</v>
      </c>
      <c r="AD3092">
        <v>14</v>
      </c>
      <c r="AE3092">
        <v>1363.5</v>
      </c>
      <c r="AF3092">
        <v>14</v>
      </c>
      <c r="AJ3092" s="50" t="s">
        <v>4426</v>
      </c>
      <c r="AK3092" t="s">
        <v>4244</v>
      </c>
      <c r="AN3092">
        <v>315</v>
      </c>
      <c r="AO3092">
        <v>5</v>
      </c>
      <c r="AP3092">
        <v>265</v>
      </c>
      <c r="AQ3092">
        <v>25</v>
      </c>
      <c r="AW3092" s="28">
        <f t="shared" si="318"/>
        <v>-2.7735009811261455</v>
      </c>
      <c r="AX3092">
        <f t="shared" si="319"/>
        <v>0.90322580645161288</v>
      </c>
      <c r="AY3092" s="62">
        <f t="shared" si="320"/>
        <v>-2.5050976603720025</v>
      </c>
      <c r="AZ3092" s="68" t="str">
        <f t="shared" si="321"/>
        <v>No</v>
      </c>
      <c r="BA3092" s="68" t="str">
        <f t="shared" si="322"/>
        <v>No</v>
      </c>
    </row>
    <row r="3093" spans="1:55" hidden="1">
      <c r="A3093" t="s">
        <v>3914</v>
      </c>
      <c r="G3093" s="50" t="s">
        <v>4358</v>
      </c>
      <c r="P3093" t="s">
        <v>60</v>
      </c>
      <c r="R3093" t="s">
        <v>4357</v>
      </c>
      <c r="S3093" s="50" t="s">
        <v>4380</v>
      </c>
      <c r="V3093" t="s">
        <v>3956</v>
      </c>
      <c r="Z3093" s="50">
        <v>5</v>
      </c>
      <c r="AA3093" s="50">
        <v>5</v>
      </c>
      <c r="AC3093">
        <v>364.67</v>
      </c>
      <c r="AD3093">
        <v>14</v>
      </c>
      <c r="AE3093">
        <v>1363.5</v>
      </c>
      <c r="AF3093">
        <v>14</v>
      </c>
      <c r="AJ3093" s="50" t="s">
        <v>4444</v>
      </c>
      <c r="AK3093" t="s">
        <v>4244</v>
      </c>
      <c r="AN3093">
        <v>135</v>
      </c>
      <c r="AO3093">
        <v>32</v>
      </c>
      <c r="AP3093">
        <v>108</v>
      </c>
      <c r="AQ3093">
        <v>27</v>
      </c>
      <c r="AW3093" s="28">
        <f t="shared" si="318"/>
        <v>-0.91198522821075068</v>
      </c>
      <c r="AX3093">
        <f t="shared" si="319"/>
        <v>0.90322580645161288</v>
      </c>
      <c r="AY3093" s="62">
        <f t="shared" si="320"/>
        <v>-0.82372859322261349</v>
      </c>
      <c r="AZ3093" s="68" t="str">
        <f t="shared" si="321"/>
        <v>No</v>
      </c>
      <c r="BA3093" s="68" t="str">
        <f t="shared" si="322"/>
        <v>No</v>
      </c>
    </row>
    <row r="3094" spans="1:55" ht="15" hidden="1">
      <c r="A3094" t="s">
        <v>3914</v>
      </c>
      <c r="G3094" s="50" t="s">
        <v>4358</v>
      </c>
      <c r="P3094" t="s">
        <v>60</v>
      </c>
      <c r="R3094" t="s">
        <v>4357</v>
      </c>
      <c r="S3094" s="50" t="s">
        <v>4380</v>
      </c>
      <c r="V3094" t="s">
        <v>3956</v>
      </c>
      <c r="Z3094" s="50">
        <v>5</v>
      </c>
      <c r="AA3094" s="50">
        <v>5</v>
      </c>
      <c r="AC3094">
        <v>364.67</v>
      </c>
      <c r="AD3094">
        <v>14</v>
      </c>
      <c r="AE3094">
        <v>2363.62</v>
      </c>
      <c r="AF3094">
        <v>14</v>
      </c>
      <c r="AJ3094" s="50" t="s">
        <v>4426</v>
      </c>
      <c r="AK3094" t="s">
        <v>4244</v>
      </c>
      <c r="AN3094">
        <v>315</v>
      </c>
      <c r="AO3094">
        <v>5</v>
      </c>
      <c r="AP3094">
        <v>250</v>
      </c>
      <c r="AQ3094">
        <v>30</v>
      </c>
      <c r="AW3094" s="28">
        <f t="shared" si="318"/>
        <v>-3.0224386073393013</v>
      </c>
      <c r="AX3094">
        <f t="shared" si="319"/>
        <v>0.90322580645161288</v>
      </c>
      <c r="AY3094" s="73">
        <f t="shared" si="320"/>
        <v>-2.7299445485645299</v>
      </c>
      <c r="AZ3094" s="74" t="str">
        <f t="shared" si="321"/>
        <v>No</v>
      </c>
      <c r="BA3094" s="74" t="str">
        <f t="shared" si="322"/>
        <v>No</v>
      </c>
      <c r="BB3094" s="56"/>
      <c r="BC3094" s="56"/>
    </row>
    <row r="3095" spans="1:55" hidden="1">
      <c r="A3095" t="s">
        <v>3914</v>
      </c>
      <c r="G3095" s="50" t="s">
        <v>4358</v>
      </c>
      <c r="P3095" t="s">
        <v>60</v>
      </c>
      <c r="R3095" t="s">
        <v>4357</v>
      </c>
      <c r="S3095" s="50" t="s">
        <v>4380</v>
      </c>
      <c r="V3095" t="s">
        <v>3956</v>
      </c>
      <c r="Z3095">
        <v>5</v>
      </c>
      <c r="AA3095">
        <v>5</v>
      </c>
      <c r="AC3095">
        <v>364.67</v>
      </c>
      <c r="AD3095">
        <v>14</v>
      </c>
      <c r="AE3095">
        <v>2363.62</v>
      </c>
      <c r="AF3095">
        <v>14</v>
      </c>
      <c r="AJ3095" s="50" t="s">
        <v>4444</v>
      </c>
      <c r="AK3095" t="s">
        <v>4244</v>
      </c>
      <c r="AN3095">
        <v>135</v>
      </c>
      <c r="AO3095">
        <v>32</v>
      </c>
      <c r="AP3095">
        <v>90</v>
      </c>
      <c r="AQ3095">
        <v>30</v>
      </c>
      <c r="AW3095" s="28">
        <f t="shared" si="318"/>
        <v>-1.4508582304931124</v>
      </c>
      <c r="AX3095">
        <f t="shared" si="319"/>
        <v>0.90322580645161288</v>
      </c>
      <c r="AY3095" s="62">
        <f t="shared" si="320"/>
        <v>-1.3104525952841015</v>
      </c>
      <c r="AZ3095" s="68" t="str">
        <f t="shared" si="321"/>
        <v>No</v>
      </c>
      <c r="BA3095" s="68" t="str">
        <f t="shared" si="322"/>
        <v>No</v>
      </c>
    </row>
    <row r="3096" spans="1:55">
      <c r="A3096" t="s">
        <v>3914</v>
      </c>
      <c r="G3096" t="s">
        <v>4358</v>
      </c>
      <c r="P3096" t="s">
        <v>60</v>
      </c>
      <c r="R3096" t="s">
        <v>4357</v>
      </c>
      <c r="S3096" t="s">
        <v>1647</v>
      </c>
      <c r="V3096" t="s">
        <v>3956</v>
      </c>
      <c r="Z3096">
        <v>3</v>
      </c>
      <c r="AA3096">
        <v>3</v>
      </c>
      <c r="AC3096">
        <v>364.73</v>
      </c>
      <c r="AD3096">
        <v>24</v>
      </c>
      <c r="AE3096">
        <v>5362.74</v>
      </c>
      <c r="AF3096">
        <v>24</v>
      </c>
      <c r="AJ3096" t="s">
        <v>2020</v>
      </c>
      <c r="AK3096" t="s">
        <v>4093</v>
      </c>
      <c r="AN3096">
        <v>99</v>
      </c>
      <c r="AO3096">
        <v>0.5</v>
      </c>
      <c r="AP3096">
        <v>40</v>
      </c>
      <c r="AQ3096">
        <v>31</v>
      </c>
      <c r="AW3096" s="28">
        <f t="shared" si="318"/>
        <v>-2.6912177161721331</v>
      </c>
      <c r="AX3096">
        <f t="shared" si="319"/>
        <v>0.8</v>
      </c>
      <c r="AY3096" s="62">
        <f t="shared" si="320"/>
        <v>-2.1529741729377068</v>
      </c>
      <c r="AZ3096" s="68" t="str">
        <f t="shared" si="321"/>
        <v>No</v>
      </c>
      <c r="BA3096" s="68" t="str">
        <f t="shared" si="322"/>
        <v>No</v>
      </c>
    </row>
    <row r="3097" spans="1:55">
      <c r="A3097" t="s">
        <v>3914</v>
      </c>
      <c r="G3097" t="s">
        <v>4358</v>
      </c>
      <c r="P3097" t="s">
        <v>60</v>
      </c>
      <c r="R3097" t="s">
        <v>4357</v>
      </c>
      <c r="S3097" t="s">
        <v>4380</v>
      </c>
      <c r="V3097" t="s">
        <v>3956</v>
      </c>
      <c r="Z3097">
        <v>6</v>
      </c>
      <c r="AA3097">
        <v>6</v>
      </c>
      <c r="AC3097">
        <v>364.67</v>
      </c>
      <c r="AD3097">
        <v>14</v>
      </c>
      <c r="AE3097">
        <v>5361.71</v>
      </c>
      <c r="AF3097">
        <v>14</v>
      </c>
      <c r="AJ3097" t="s">
        <v>2020</v>
      </c>
      <c r="AK3097" t="s">
        <v>4093</v>
      </c>
      <c r="AN3097">
        <v>100</v>
      </c>
      <c r="AO3097">
        <v>0</v>
      </c>
      <c r="AP3097">
        <v>70</v>
      </c>
      <c r="AQ3097">
        <v>35</v>
      </c>
      <c r="AW3097" s="28">
        <f t="shared" si="318"/>
        <v>-1.2121830534626528</v>
      </c>
      <c r="AX3097">
        <f t="shared" si="319"/>
        <v>0.92307692307692313</v>
      </c>
      <c r="AY3097" s="62">
        <f t="shared" si="320"/>
        <v>-1.1189382031962949</v>
      </c>
      <c r="AZ3097" s="68" t="str">
        <f t="shared" si="321"/>
        <v>No</v>
      </c>
      <c r="BA3097" s="68" t="str">
        <f t="shared" si="322"/>
        <v>No</v>
      </c>
    </row>
    <row r="3098" spans="1:55" hidden="1">
      <c r="A3098" t="s">
        <v>3914</v>
      </c>
      <c r="G3098" t="s">
        <v>4358</v>
      </c>
      <c r="P3098" t="s">
        <v>60</v>
      </c>
      <c r="R3098" t="s">
        <v>4357</v>
      </c>
      <c r="S3098" t="s">
        <v>4380</v>
      </c>
      <c r="V3098" t="s">
        <v>3956</v>
      </c>
      <c r="Z3098">
        <v>6</v>
      </c>
      <c r="AA3098">
        <v>6</v>
      </c>
      <c r="AC3098">
        <v>364.67</v>
      </c>
      <c r="AD3098">
        <v>14</v>
      </c>
      <c r="AE3098">
        <v>2363.62</v>
      </c>
      <c r="AF3098">
        <v>14</v>
      </c>
      <c r="AJ3098" t="s">
        <v>4459</v>
      </c>
      <c r="AK3098" t="s">
        <v>4151</v>
      </c>
      <c r="AN3098">
        <v>40</v>
      </c>
      <c r="AO3098">
        <v>48</v>
      </c>
      <c r="AP3098">
        <v>22</v>
      </c>
      <c r="AQ3098">
        <v>38</v>
      </c>
      <c r="AW3098" s="28">
        <f t="shared" si="318"/>
        <v>-0.41580308942843175</v>
      </c>
      <c r="AX3098">
        <f t="shared" si="319"/>
        <v>0.92307692307692313</v>
      </c>
      <c r="AY3098" s="62">
        <f t="shared" si="320"/>
        <v>-0.38381823639547547</v>
      </c>
      <c r="AZ3098" s="68" t="str">
        <f t="shared" si="321"/>
        <v>No</v>
      </c>
      <c r="BA3098" s="68" t="str">
        <f t="shared" si="322"/>
        <v>No</v>
      </c>
    </row>
    <row r="3099" spans="1:55" hidden="1">
      <c r="A3099" t="s">
        <v>3914</v>
      </c>
      <c r="G3099" t="s">
        <v>4358</v>
      </c>
      <c r="P3099" t="s">
        <v>60</v>
      </c>
      <c r="R3099" t="s">
        <v>4357</v>
      </c>
      <c r="S3099" t="s">
        <v>4380</v>
      </c>
      <c r="V3099" t="s">
        <v>3956</v>
      </c>
      <c r="Z3099">
        <v>6</v>
      </c>
      <c r="AA3099">
        <v>6</v>
      </c>
      <c r="AC3099">
        <v>364.67</v>
      </c>
      <c r="AD3099">
        <v>14</v>
      </c>
      <c r="AE3099">
        <v>1363.5</v>
      </c>
      <c r="AF3099">
        <v>14</v>
      </c>
      <c r="AJ3099" t="s">
        <v>4459</v>
      </c>
      <c r="AK3099" t="s">
        <v>4151</v>
      </c>
      <c r="AN3099">
        <v>40</v>
      </c>
      <c r="AO3099">
        <v>48</v>
      </c>
      <c r="AP3099">
        <v>27</v>
      </c>
      <c r="AQ3099">
        <v>40</v>
      </c>
      <c r="AW3099" s="28">
        <f t="shared" si="318"/>
        <v>-0.29424117463818522</v>
      </c>
      <c r="AX3099">
        <f t="shared" si="319"/>
        <v>0.92307692307692313</v>
      </c>
      <c r="AY3099" s="62">
        <f t="shared" si="320"/>
        <v>-0.27160723812755561</v>
      </c>
      <c r="AZ3099" s="68" t="str">
        <f t="shared" si="321"/>
        <v>No</v>
      </c>
      <c r="BA3099" s="68" t="str">
        <f t="shared" si="322"/>
        <v>No</v>
      </c>
    </row>
    <row r="3100" spans="1:55">
      <c r="A3100" t="s">
        <v>3914</v>
      </c>
      <c r="G3100" s="50" t="s">
        <v>4358</v>
      </c>
      <c r="P3100" t="s">
        <v>60</v>
      </c>
      <c r="R3100" t="s">
        <v>4357</v>
      </c>
      <c r="S3100" s="50" t="s">
        <v>4380</v>
      </c>
      <c r="V3100" t="s">
        <v>3956</v>
      </c>
      <c r="Z3100">
        <v>5</v>
      </c>
      <c r="AA3100">
        <v>5</v>
      </c>
      <c r="AC3100">
        <v>364.67</v>
      </c>
      <c r="AD3100">
        <v>14</v>
      </c>
      <c r="AE3100">
        <v>5361.71</v>
      </c>
      <c r="AF3100">
        <v>14</v>
      </c>
      <c r="AJ3100" s="50" t="s">
        <v>4426</v>
      </c>
      <c r="AK3100" t="s">
        <v>4244</v>
      </c>
      <c r="AN3100">
        <v>315</v>
      </c>
      <c r="AO3100">
        <v>5</v>
      </c>
      <c r="AP3100">
        <v>180</v>
      </c>
      <c r="AQ3100">
        <v>50</v>
      </c>
      <c r="AW3100" s="28">
        <f t="shared" si="318"/>
        <v>-3.7994267415435763</v>
      </c>
      <c r="AX3100">
        <f t="shared" si="319"/>
        <v>0.90322580645161288</v>
      </c>
      <c r="AY3100" s="62">
        <f t="shared" si="320"/>
        <v>-3.4317402826845202</v>
      </c>
      <c r="AZ3100" s="68" t="str">
        <f t="shared" si="321"/>
        <v>No</v>
      </c>
      <c r="BA3100" s="68" t="str">
        <f t="shared" si="322"/>
        <v>No</v>
      </c>
    </row>
    <row r="3101" spans="1:55" hidden="1">
      <c r="A3101" t="s">
        <v>3914</v>
      </c>
      <c r="G3101" t="s">
        <v>4032</v>
      </c>
      <c r="P3101" t="s">
        <v>60</v>
      </c>
      <c r="R3101" t="s">
        <v>4035</v>
      </c>
      <c r="S3101" t="s">
        <v>4037</v>
      </c>
      <c r="V3101" t="s">
        <v>3956</v>
      </c>
      <c r="Z3101">
        <v>12</v>
      </c>
      <c r="AA3101">
        <v>12</v>
      </c>
      <c r="AC3101">
        <v>438</v>
      </c>
      <c r="AD3101">
        <v>27.2</v>
      </c>
      <c r="AE3101">
        <v>990</v>
      </c>
      <c r="AF3101">
        <v>27</v>
      </c>
      <c r="AJ3101" t="s">
        <v>2020</v>
      </c>
      <c r="AK3101" t="s">
        <v>4041</v>
      </c>
      <c r="AN3101">
        <v>93</v>
      </c>
      <c r="AO3101">
        <v>10.392304845413264</v>
      </c>
      <c r="AP3101">
        <v>98</v>
      </c>
      <c r="AQ3101">
        <v>0.69282032302755092</v>
      </c>
      <c r="AW3101" s="28">
        <f t="shared" si="318"/>
        <v>0.67890680824196048</v>
      </c>
      <c r="AX3101">
        <f t="shared" si="319"/>
        <v>0.96551724137931039</v>
      </c>
      <c r="AY3101" s="62">
        <f t="shared" si="320"/>
        <v>0.6554962286474102</v>
      </c>
      <c r="AZ3101" s="68" t="str">
        <f t="shared" si="321"/>
        <v>No</v>
      </c>
      <c r="BA3101" s="68" t="str">
        <f t="shared" si="322"/>
        <v>No</v>
      </c>
    </row>
    <row r="3102" spans="1:55" hidden="1">
      <c r="A3102" t="s">
        <v>3914</v>
      </c>
      <c r="G3102" t="s">
        <v>4747</v>
      </c>
      <c r="P3102" t="s">
        <v>4596</v>
      </c>
      <c r="R3102" t="s">
        <v>4035</v>
      </c>
      <c r="S3102" t="s">
        <v>4037</v>
      </c>
      <c r="V3102" t="s">
        <v>4598</v>
      </c>
      <c r="Z3102">
        <v>12</v>
      </c>
      <c r="AA3102">
        <v>12</v>
      </c>
      <c r="AC3102">
        <v>438</v>
      </c>
      <c r="AD3102">
        <v>27.2</v>
      </c>
      <c r="AE3102">
        <v>500</v>
      </c>
      <c r="AF3102">
        <v>31.6</v>
      </c>
      <c r="AJ3102" t="s">
        <v>4694</v>
      </c>
      <c r="AK3102" t="s">
        <v>59</v>
      </c>
      <c r="AL3102" s="59"/>
      <c r="AM3102" s="60"/>
      <c r="AN3102">
        <v>93</v>
      </c>
      <c r="AO3102" s="61">
        <v>11.559849661194106</v>
      </c>
      <c r="AP3102">
        <v>87</v>
      </c>
      <c r="AQ3102" s="61">
        <v>15.413132881591959</v>
      </c>
      <c r="AR3102" s="37"/>
      <c r="AS3102" s="37"/>
      <c r="AT3102" s="37"/>
      <c r="AU3102" s="37"/>
      <c r="AV3102" s="37"/>
      <c r="AW3102" s="28">
        <f t="shared" si="318"/>
        <v>-0.44041825575240867</v>
      </c>
      <c r="AX3102">
        <f t="shared" si="319"/>
        <v>0.96551724137931039</v>
      </c>
      <c r="AY3102" s="62">
        <f t="shared" si="320"/>
        <v>-0.42523141934715319</v>
      </c>
      <c r="AZ3102" s="68" t="str">
        <f t="shared" si="321"/>
        <v>No</v>
      </c>
      <c r="BA3102" s="68" t="str">
        <f t="shared" si="322"/>
        <v>No</v>
      </c>
    </row>
    <row r="3103" spans="1:55" hidden="1">
      <c r="A3103" t="s">
        <v>3914</v>
      </c>
      <c r="G3103" t="s">
        <v>4032</v>
      </c>
      <c r="P3103" t="s">
        <v>4596</v>
      </c>
      <c r="R3103" t="s">
        <v>4035</v>
      </c>
      <c r="S3103" t="s">
        <v>4037</v>
      </c>
      <c r="V3103" t="s">
        <v>4600</v>
      </c>
      <c r="Z3103">
        <v>12</v>
      </c>
      <c r="AA3103">
        <v>12</v>
      </c>
      <c r="AC3103">
        <v>438</v>
      </c>
      <c r="AD3103">
        <v>27.2</v>
      </c>
      <c r="AE3103">
        <v>1111</v>
      </c>
      <c r="AF3103">
        <v>31.6</v>
      </c>
      <c r="AJ3103" t="s">
        <v>2020</v>
      </c>
      <c r="AK3103" t="s">
        <v>59</v>
      </c>
      <c r="AL3103" s="59"/>
      <c r="AM3103" s="60"/>
      <c r="AN3103">
        <v>93</v>
      </c>
      <c r="AO3103" s="61">
        <v>11.559849661194106</v>
      </c>
      <c r="AP3103">
        <v>86</v>
      </c>
      <c r="AQ3103" s="61">
        <v>17.339774491790738</v>
      </c>
      <c r="AR3103" s="37"/>
      <c r="AS3103" s="37"/>
      <c r="AT3103" s="37"/>
      <c r="AU3103" s="37"/>
      <c r="AV3103" s="37"/>
      <c r="AW3103" s="28">
        <f t="shared" si="318"/>
        <v>-0.47502795839145984</v>
      </c>
      <c r="AX3103">
        <f t="shared" si="319"/>
        <v>0.96551724137931039</v>
      </c>
      <c r="AY3103" s="62">
        <f t="shared" si="320"/>
        <v>-0.45864768396416816</v>
      </c>
      <c r="AZ3103" s="68" t="str">
        <f t="shared" si="321"/>
        <v>No</v>
      </c>
      <c r="BA3103" s="68" t="str">
        <f t="shared" si="322"/>
        <v>No</v>
      </c>
    </row>
    <row r="3104" spans="1:55" hidden="1">
      <c r="A3104" t="s">
        <v>3914</v>
      </c>
      <c r="G3104" t="s">
        <v>4183</v>
      </c>
      <c r="P3104" t="s">
        <v>60</v>
      </c>
      <c r="R3104" t="s">
        <v>4116</v>
      </c>
      <c r="S3104" t="s">
        <v>1074</v>
      </c>
      <c r="V3104" t="s">
        <v>3956</v>
      </c>
      <c r="Z3104">
        <v>105</v>
      </c>
      <c r="AA3104">
        <v>105</v>
      </c>
      <c r="AC3104">
        <v>540</v>
      </c>
      <c r="AD3104">
        <v>25</v>
      </c>
      <c r="AE3104">
        <v>1700</v>
      </c>
      <c r="AF3104">
        <v>25</v>
      </c>
      <c r="AJ3104" t="s">
        <v>4071</v>
      </c>
      <c r="AK3104" t="s">
        <v>4244</v>
      </c>
      <c r="AN3104">
        <v>233</v>
      </c>
      <c r="AO3104">
        <v>17</v>
      </c>
      <c r="AP3104">
        <v>225</v>
      </c>
      <c r="AQ3104">
        <v>22</v>
      </c>
      <c r="AW3104" s="28">
        <f t="shared" si="318"/>
        <v>-0.40692581115316945</v>
      </c>
      <c r="AX3104">
        <f t="shared" si="319"/>
        <v>0.99638989169675085</v>
      </c>
      <c r="AY3104" s="62">
        <f t="shared" si="320"/>
        <v>-0.40545676490351901</v>
      </c>
      <c r="AZ3104" s="68" t="str">
        <f t="shared" si="321"/>
        <v>No</v>
      </c>
      <c r="BA3104" s="68" t="str">
        <f t="shared" si="322"/>
        <v>No</v>
      </c>
    </row>
    <row r="3105" spans="1:55" hidden="1">
      <c r="A3105" t="s">
        <v>3914</v>
      </c>
      <c r="G3105" t="s">
        <v>4183</v>
      </c>
      <c r="P3105" t="s">
        <v>60</v>
      </c>
      <c r="R3105" t="s">
        <v>4116</v>
      </c>
      <c r="S3105" t="s">
        <v>1074</v>
      </c>
      <c r="V3105" t="s">
        <v>3956</v>
      </c>
      <c r="Z3105">
        <v>105</v>
      </c>
      <c r="AA3105">
        <v>105</v>
      </c>
      <c r="AC3105">
        <v>540</v>
      </c>
      <c r="AD3105">
        <v>25</v>
      </c>
      <c r="AE3105">
        <v>1700</v>
      </c>
      <c r="AF3105">
        <v>25</v>
      </c>
      <c r="AJ3105" t="s">
        <v>4071</v>
      </c>
      <c r="AK3105" t="s">
        <v>4244</v>
      </c>
      <c r="AN3105">
        <v>233</v>
      </c>
      <c r="AO3105">
        <v>17</v>
      </c>
      <c r="AP3105">
        <v>223</v>
      </c>
      <c r="AQ3105">
        <v>24</v>
      </c>
      <c r="AW3105" s="28">
        <f t="shared" si="318"/>
        <v>-0.48084703683434499</v>
      </c>
      <c r="AX3105">
        <f t="shared" si="319"/>
        <v>0.99638989169675085</v>
      </c>
      <c r="AY3105" s="62">
        <f t="shared" si="320"/>
        <v>-0.47911112695407659</v>
      </c>
      <c r="AZ3105" s="68" t="str">
        <f t="shared" si="321"/>
        <v>No</v>
      </c>
      <c r="BA3105" s="68" t="str">
        <f t="shared" si="322"/>
        <v>No</v>
      </c>
    </row>
    <row r="3106" spans="1:55" hidden="1">
      <c r="A3106" t="s">
        <v>3914</v>
      </c>
      <c r="G3106" t="s">
        <v>4183</v>
      </c>
      <c r="P3106" t="s">
        <v>60</v>
      </c>
      <c r="R3106" t="s">
        <v>4116</v>
      </c>
      <c r="S3106" t="s">
        <v>1074</v>
      </c>
      <c r="V3106" t="s">
        <v>3956</v>
      </c>
      <c r="Z3106">
        <v>105</v>
      </c>
      <c r="AA3106">
        <v>105</v>
      </c>
      <c r="AC3106">
        <v>540</v>
      </c>
      <c r="AD3106">
        <v>25</v>
      </c>
      <c r="AE3106">
        <v>1700</v>
      </c>
      <c r="AF3106">
        <v>25</v>
      </c>
      <c r="AJ3106" t="s">
        <v>4071</v>
      </c>
      <c r="AK3106" t="s">
        <v>4244</v>
      </c>
      <c r="AN3106">
        <v>233</v>
      </c>
      <c r="AO3106">
        <v>17</v>
      </c>
      <c r="AP3106">
        <v>214</v>
      </c>
      <c r="AQ3106">
        <v>31</v>
      </c>
      <c r="AW3106" s="28">
        <f t="shared" si="318"/>
        <v>-0.76</v>
      </c>
      <c r="AX3106">
        <f t="shared" si="319"/>
        <v>0.99638989169675085</v>
      </c>
      <c r="AY3106" s="62">
        <f t="shared" si="320"/>
        <v>-0.75725631768953061</v>
      </c>
      <c r="AZ3106" s="68" t="str">
        <f t="shared" si="321"/>
        <v>No</v>
      </c>
      <c r="BA3106" s="68" t="str">
        <f t="shared" si="322"/>
        <v>No</v>
      </c>
    </row>
    <row r="3107" spans="1:55" ht="15" hidden="1">
      <c r="A3107" s="56" t="s">
        <v>3914</v>
      </c>
      <c r="G3107" s="56" t="s">
        <v>4194</v>
      </c>
      <c r="P3107" s="56" t="s">
        <v>60</v>
      </c>
      <c r="Q3107" s="56"/>
      <c r="R3107" s="56" t="s">
        <v>4116</v>
      </c>
      <c r="S3107" s="56" t="s">
        <v>1074</v>
      </c>
      <c r="T3107" s="56"/>
      <c r="U3107" s="56"/>
      <c r="V3107" s="56" t="s">
        <v>3956</v>
      </c>
      <c r="W3107" s="56"/>
      <c r="X3107" s="56"/>
      <c r="Y3107" s="56"/>
      <c r="Z3107" s="56">
        <v>70</v>
      </c>
      <c r="AA3107" s="56">
        <v>70</v>
      </c>
      <c r="AB3107" s="56"/>
      <c r="AC3107" s="56">
        <v>319</v>
      </c>
      <c r="AD3107" s="56">
        <v>8</v>
      </c>
      <c r="AE3107" s="56">
        <v>1072</v>
      </c>
      <c r="AF3107" s="56">
        <v>8</v>
      </c>
      <c r="AG3107" s="56"/>
      <c r="AH3107" s="56"/>
      <c r="AI3107" s="56"/>
      <c r="AJ3107" s="56" t="s">
        <v>4218</v>
      </c>
      <c r="AK3107" s="56" t="s">
        <v>4244</v>
      </c>
      <c r="AN3107" s="56">
        <v>299</v>
      </c>
      <c r="AO3107" s="56">
        <v>29.283100928692644</v>
      </c>
      <c r="AP3107" s="56">
        <v>313.5</v>
      </c>
      <c r="AQ3107" s="56">
        <v>3.5</v>
      </c>
      <c r="AW3107" s="28">
        <f t="shared" si="318"/>
        <v>0.69532169687439949</v>
      </c>
      <c r="AX3107">
        <f t="shared" si="319"/>
        <v>0.99455535390199634</v>
      </c>
      <c r="AY3107" s="73">
        <f t="shared" si="320"/>
        <v>0.69153591631065503</v>
      </c>
      <c r="AZ3107" s="74" t="str">
        <f t="shared" si="321"/>
        <v>No</v>
      </c>
      <c r="BA3107" s="74" t="str">
        <f t="shared" si="322"/>
        <v>No</v>
      </c>
      <c r="BB3107" s="56"/>
      <c r="BC3107" s="56"/>
    </row>
    <row r="3108" spans="1:55" ht="15" hidden="1">
      <c r="A3108" s="56" t="s">
        <v>3914</v>
      </c>
      <c r="G3108" s="56" t="s">
        <v>4194</v>
      </c>
      <c r="P3108" s="56" t="s">
        <v>60</v>
      </c>
      <c r="Q3108" s="56"/>
      <c r="R3108" s="56" t="s">
        <v>4116</v>
      </c>
      <c r="S3108" s="56" t="s">
        <v>1074</v>
      </c>
      <c r="T3108" s="56"/>
      <c r="U3108" s="56"/>
      <c r="V3108" s="56" t="s">
        <v>3956</v>
      </c>
      <c r="W3108" s="56"/>
      <c r="X3108" s="56"/>
      <c r="Y3108" s="56"/>
      <c r="Z3108" s="56">
        <v>70</v>
      </c>
      <c r="AA3108" s="56">
        <v>70</v>
      </c>
      <c r="AB3108" s="56"/>
      <c r="AC3108" s="56">
        <v>319</v>
      </c>
      <c r="AD3108" s="56">
        <v>8</v>
      </c>
      <c r="AE3108" s="56">
        <v>469</v>
      </c>
      <c r="AF3108" s="56">
        <v>8</v>
      </c>
      <c r="AG3108" s="56"/>
      <c r="AH3108" s="56"/>
      <c r="AI3108" s="56"/>
      <c r="AJ3108" s="56" t="s">
        <v>4218</v>
      </c>
      <c r="AK3108" s="56" t="s">
        <v>4244</v>
      </c>
      <c r="AN3108" s="56">
        <v>299</v>
      </c>
      <c r="AO3108" s="56">
        <v>29.283100928692644</v>
      </c>
      <c r="AP3108" s="56">
        <v>300</v>
      </c>
      <c r="AQ3108" s="56">
        <v>29.283100928692644</v>
      </c>
      <c r="AW3108" s="28">
        <f t="shared" si="318"/>
        <v>3.414938883812553E-2</v>
      </c>
      <c r="AX3108">
        <f t="shared" si="319"/>
        <v>0.99455535390199634</v>
      </c>
      <c r="AY3108" s="62">
        <f t="shared" si="320"/>
        <v>3.3963457501438823E-2</v>
      </c>
      <c r="AZ3108" s="68" t="str">
        <f t="shared" si="321"/>
        <v>No</v>
      </c>
      <c r="BA3108" s="68" t="str">
        <f t="shared" si="322"/>
        <v>No</v>
      </c>
    </row>
    <row r="3109" spans="1:55" hidden="1">
      <c r="A3109" t="s">
        <v>3914</v>
      </c>
      <c r="G3109" t="s">
        <v>4055</v>
      </c>
      <c r="P3109" t="s">
        <v>4596</v>
      </c>
      <c r="R3109" t="s">
        <v>4869</v>
      </c>
      <c r="S3109" t="s">
        <v>1749</v>
      </c>
      <c r="V3109" t="s">
        <v>4600</v>
      </c>
      <c r="Z3109">
        <v>4</v>
      </c>
      <c r="AA3109">
        <v>4</v>
      </c>
      <c r="AC3109">
        <v>548</v>
      </c>
      <c r="AD3109" s="54">
        <v>29</v>
      </c>
      <c r="AE3109">
        <v>1183</v>
      </c>
      <c r="AF3109" s="54">
        <v>30.8</v>
      </c>
      <c r="AJ3109" t="s">
        <v>108</v>
      </c>
      <c r="AK3109" t="s">
        <v>904</v>
      </c>
      <c r="AN3109">
        <v>0.19</v>
      </c>
      <c r="AO3109">
        <f>SQRT(4)*0.02</f>
        <v>0.04</v>
      </c>
      <c r="AP3109">
        <v>0.2</v>
      </c>
      <c r="AQ3109">
        <f>SQRT(4)*0.02</f>
        <v>0.04</v>
      </c>
      <c r="AW3109" s="28">
        <f t="shared" si="318"/>
        <v>0.25000000000000022</v>
      </c>
      <c r="AX3109">
        <f t="shared" si="319"/>
        <v>0.86956521739130432</v>
      </c>
      <c r="AY3109" s="62">
        <f t="shared" si="320"/>
        <v>0.21739130434782628</v>
      </c>
      <c r="AZ3109" s="68" t="str">
        <f t="shared" si="321"/>
        <v>No</v>
      </c>
      <c r="BA3109" s="68" t="str">
        <f t="shared" si="322"/>
        <v>No</v>
      </c>
    </row>
    <row r="3110" spans="1:55" hidden="1">
      <c r="A3110" t="s">
        <v>3914</v>
      </c>
      <c r="G3110" t="s">
        <v>4055</v>
      </c>
      <c r="P3110" t="s">
        <v>4596</v>
      </c>
      <c r="R3110" t="s">
        <v>4869</v>
      </c>
      <c r="S3110" t="s">
        <v>1749</v>
      </c>
      <c r="V3110" t="s">
        <v>4598</v>
      </c>
      <c r="Z3110">
        <v>4</v>
      </c>
      <c r="AA3110">
        <v>4</v>
      </c>
      <c r="AC3110">
        <v>548</v>
      </c>
      <c r="AD3110" s="54">
        <v>29</v>
      </c>
      <c r="AE3110">
        <v>523</v>
      </c>
      <c r="AF3110" s="54">
        <v>30.8</v>
      </c>
      <c r="AJ3110" t="s">
        <v>3988</v>
      </c>
      <c r="AK3110" t="s">
        <v>904</v>
      </c>
      <c r="AN3110">
        <v>0.125</v>
      </c>
      <c r="AO3110">
        <f>SQRT(4)*0.03</f>
        <v>0.06</v>
      </c>
      <c r="AP3110">
        <v>0.14000000000000001</v>
      </c>
      <c r="AQ3110">
        <f>SQRT(4)*0.02</f>
        <v>0.04</v>
      </c>
      <c r="AW3110" s="28">
        <f t="shared" si="318"/>
        <v>0.29417420270727629</v>
      </c>
      <c r="AX3110">
        <f t="shared" si="319"/>
        <v>0.86956521739130432</v>
      </c>
      <c r="AY3110" s="62">
        <f t="shared" si="320"/>
        <v>0.2558036545280663</v>
      </c>
      <c r="AZ3110" s="68" t="str">
        <f t="shared" si="321"/>
        <v>No</v>
      </c>
      <c r="BA3110" s="68" t="str">
        <f t="shared" si="322"/>
        <v>No</v>
      </c>
    </row>
    <row r="3111" spans="1:55" hidden="1">
      <c r="A3111" t="s">
        <v>3914</v>
      </c>
      <c r="G3111" t="s">
        <v>4055</v>
      </c>
      <c r="P3111" t="s">
        <v>4596</v>
      </c>
      <c r="R3111" t="s">
        <v>4869</v>
      </c>
      <c r="S3111" t="s">
        <v>1749</v>
      </c>
      <c r="V3111" t="s">
        <v>4600</v>
      </c>
      <c r="Z3111">
        <v>4</v>
      </c>
      <c r="AA3111">
        <v>4</v>
      </c>
      <c r="AC3111">
        <v>548</v>
      </c>
      <c r="AD3111" s="54">
        <v>29</v>
      </c>
      <c r="AE3111">
        <v>1183</v>
      </c>
      <c r="AF3111" s="54">
        <v>30.8</v>
      </c>
      <c r="AJ3111" t="s">
        <v>3988</v>
      </c>
      <c r="AK3111" t="s">
        <v>904</v>
      </c>
      <c r="AN3111">
        <v>0.125</v>
      </c>
      <c r="AO3111">
        <f>SQRT(4)*0.03</f>
        <v>0.06</v>
      </c>
      <c r="AP3111">
        <v>0.20300000000000001</v>
      </c>
      <c r="AQ3111">
        <f>SQRT(4)*0.02</f>
        <v>0.04</v>
      </c>
      <c r="AU3111" s="57" t="s">
        <v>4907</v>
      </c>
      <c r="AW3111" s="28">
        <f t="shared" si="318"/>
        <v>1.5297058540778357</v>
      </c>
      <c r="AX3111">
        <f t="shared" si="319"/>
        <v>0.86956521739130432</v>
      </c>
      <c r="AY3111" s="62">
        <f t="shared" si="320"/>
        <v>1.330179003545944</v>
      </c>
      <c r="AZ3111" s="68" t="str">
        <f t="shared" si="321"/>
        <v>No</v>
      </c>
      <c r="BA3111" s="68" t="str">
        <f t="shared" si="322"/>
        <v>No</v>
      </c>
    </row>
    <row r="3112" spans="1:55" hidden="1">
      <c r="A3112" t="s">
        <v>3914</v>
      </c>
      <c r="G3112" t="s">
        <v>4055</v>
      </c>
      <c r="P3112" t="s">
        <v>4596</v>
      </c>
      <c r="R3112" t="s">
        <v>4869</v>
      </c>
      <c r="S3112" t="s">
        <v>1749</v>
      </c>
      <c r="V3112" t="s">
        <v>4598</v>
      </c>
      <c r="Z3112">
        <v>4</v>
      </c>
      <c r="AA3112">
        <v>4</v>
      </c>
      <c r="AC3112">
        <v>548</v>
      </c>
      <c r="AD3112" s="54">
        <v>29</v>
      </c>
      <c r="AE3112">
        <v>523</v>
      </c>
      <c r="AF3112" s="54">
        <v>30.8</v>
      </c>
      <c r="AJ3112" t="s">
        <v>108</v>
      </c>
      <c r="AK3112" t="s">
        <v>904</v>
      </c>
      <c r="AN3112">
        <v>0.19</v>
      </c>
      <c r="AO3112">
        <f>SQRT(4)*0.02</f>
        <v>0.04</v>
      </c>
      <c r="AP3112">
        <v>0.22</v>
      </c>
      <c r="AQ3112">
        <f>SQRT(4)*0.03</f>
        <v>0.06</v>
      </c>
      <c r="AW3112" s="28">
        <f t="shared" si="318"/>
        <v>0.58834840541455213</v>
      </c>
      <c r="AX3112">
        <f t="shared" si="319"/>
        <v>0.86956521739130432</v>
      </c>
      <c r="AY3112" s="62">
        <f t="shared" si="320"/>
        <v>0.51160730905613228</v>
      </c>
      <c r="AZ3112" s="68" t="str">
        <f t="shared" si="321"/>
        <v>No</v>
      </c>
      <c r="BA3112" s="68" t="str">
        <f t="shared" si="322"/>
        <v>No</v>
      </c>
    </row>
    <row r="3113" spans="1:55" hidden="1">
      <c r="A3113" t="s">
        <v>3914</v>
      </c>
      <c r="G3113" t="s">
        <v>4055</v>
      </c>
      <c r="P3113" t="s">
        <v>60</v>
      </c>
      <c r="R3113" t="s">
        <v>4035</v>
      </c>
      <c r="S3113" t="s">
        <v>1749</v>
      </c>
      <c r="V3113" t="s">
        <v>3956</v>
      </c>
      <c r="Z3113">
        <v>4</v>
      </c>
      <c r="AA3113">
        <v>4</v>
      </c>
      <c r="AC3113">
        <v>548</v>
      </c>
      <c r="AD3113">
        <v>29.1</v>
      </c>
      <c r="AE3113">
        <v>1090</v>
      </c>
      <c r="AF3113">
        <v>29.03</v>
      </c>
      <c r="AJ3113" t="s">
        <v>108</v>
      </c>
      <c r="AK3113" t="s">
        <v>4081</v>
      </c>
      <c r="AN3113">
        <v>0.19</v>
      </c>
      <c r="AO3113">
        <v>0.01</v>
      </c>
      <c r="AP3113">
        <v>0.22500000000000001</v>
      </c>
      <c r="AQ3113">
        <v>0.1</v>
      </c>
      <c r="AW3113" s="28">
        <f t="shared" si="318"/>
        <v>0.49251828131120429</v>
      </c>
      <c r="AX3113">
        <f t="shared" si="319"/>
        <v>0.86956521739130432</v>
      </c>
      <c r="AY3113" s="62">
        <f t="shared" si="320"/>
        <v>0.42827676635756895</v>
      </c>
      <c r="AZ3113" s="68" t="str">
        <f t="shared" si="321"/>
        <v>No</v>
      </c>
      <c r="BA3113" s="68" t="str">
        <f t="shared" si="322"/>
        <v>No</v>
      </c>
    </row>
    <row r="3114" spans="1:55" s="77" customFormat="1" hidden="1">
      <c r="A3114" t="s">
        <v>3914</v>
      </c>
      <c r="B3114"/>
      <c r="C3114"/>
      <c r="D3114" s="25"/>
      <c r="E3114" s="25"/>
      <c r="F3114"/>
      <c r="G3114" t="s">
        <v>4055</v>
      </c>
      <c r="H3114"/>
      <c r="I3114"/>
      <c r="J3114"/>
      <c r="K3114"/>
      <c r="L3114"/>
      <c r="M3114" s="25"/>
      <c r="N3114"/>
      <c r="O3114"/>
      <c r="P3114" t="s">
        <v>4596</v>
      </c>
      <c r="Q3114"/>
      <c r="R3114" t="s">
        <v>4869</v>
      </c>
      <c r="S3114" t="s">
        <v>1749</v>
      </c>
      <c r="T3114"/>
      <c r="U3114"/>
      <c r="V3114" t="s">
        <v>4598</v>
      </c>
      <c r="W3114" s="25"/>
      <c r="X3114"/>
      <c r="Y3114"/>
      <c r="Z3114">
        <v>4</v>
      </c>
      <c r="AA3114">
        <v>4</v>
      </c>
      <c r="AB3114"/>
      <c r="AC3114">
        <v>548</v>
      </c>
      <c r="AD3114" s="54">
        <v>29</v>
      </c>
      <c r="AE3114">
        <v>523</v>
      </c>
      <c r="AF3114" s="54">
        <v>30.8</v>
      </c>
      <c r="AG3114"/>
      <c r="AH3114"/>
      <c r="AI3114"/>
      <c r="AJ3114" t="s">
        <v>4930</v>
      </c>
      <c r="AK3114" t="s">
        <v>904</v>
      </c>
      <c r="AL3114" s="59"/>
      <c r="AM3114" s="60"/>
      <c r="AN3114">
        <v>9.9</v>
      </c>
      <c r="AO3114" s="61">
        <v>2.807017543859498</v>
      </c>
      <c r="AP3114">
        <v>9.5</v>
      </c>
      <c r="AQ3114" s="61">
        <v>1.7543859649121991</v>
      </c>
      <c r="AR3114" s="37"/>
      <c r="AS3114" s="37"/>
      <c r="AT3114" s="37"/>
      <c r="AU3114" s="37"/>
      <c r="AV3114" s="37"/>
      <c r="AW3114" s="28">
        <f t="shared" si="318"/>
        <v>-0.17089322509106541</v>
      </c>
      <c r="AX3114">
        <f t="shared" si="319"/>
        <v>0.86956521739130432</v>
      </c>
      <c r="AY3114" s="62">
        <f t="shared" si="320"/>
        <v>-0.1486028044270134</v>
      </c>
      <c r="AZ3114" s="68" t="str">
        <f t="shared" si="321"/>
        <v>No</v>
      </c>
      <c r="BA3114" s="68" t="str">
        <f t="shared" si="322"/>
        <v>No</v>
      </c>
      <c r="BB3114"/>
      <c r="BC3114"/>
    </row>
    <row r="3115" spans="1:55" s="56" customFormat="1" ht="15" hidden="1">
      <c r="A3115" t="s">
        <v>3914</v>
      </c>
      <c r="B3115"/>
      <c r="C3115"/>
      <c r="D3115" s="25"/>
      <c r="E3115" s="25"/>
      <c r="F3115"/>
      <c r="G3115" t="s">
        <v>4055</v>
      </c>
      <c r="H3115"/>
      <c r="I3115"/>
      <c r="J3115"/>
      <c r="K3115"/>
      <c r="L3115"/>
      <c r="M3115" s="25"/>
      <c r="N3115"/>
      <c r="O3115"/>
      <c r="P3115" t="s">
        <v>4596</v>
      </c>
      <c r="Q3115"/>
      <c r="R3115" t="s">
        <v>4869</v>
      </c>
      <c r="S3115" t="s">
        <v>1749</v>
      </c>
      <c r="T3115"/>
      <c r="U3115"/>
      <c r="V3115" t="s">
        <v>4600</v>
      </c>
      <c r="W3115" s="25"/>
      <c r="X3115"/>
      <c r="Y3115"/>
      <c r="Z3115">
        <v>4</v>
      </c>
      <c r="AA3115">
        <v>4</v>
      </c>
      <c r="AB3115"/>
      <c r="AC3115">
        <v>548</v>
      </c>
      <c r="AD3115" s="54">
        <v>29</v>
      </c>
      <c r="AE3115">
        <v>1183</v>
      </c>
      <c r="AF3115" s="54">
        <v>30.8</v>
      </c>
      <c r="AG3115"/>
      <c r="AH3115"/>
      <c r="AI3115"/>
      <c r="AJ3115" t="s">
        <v>4930</v>
      </c>
      <c r="AK3115" t="s">
        <v>904</v>
      </c>
      <c r="AL3115" s="59"/>
      <c r="AM3115" s="60"/>
      <c r="AN3115">
        <v>9.9</v>
      </c>
      <c r="AO3115" s="61">
        <v>2.807017543859498</v>
      </c>
      <c r="AP3115">
        <v>10.5</v>
      </c>
      <c r="AQ3115" s="61">
        <v>3.3333333333334032</v>
      </c>
      <c r="AR3115" s="37"/>
      <c r="AS3115" s="37"/>
      <c r="AT3115" s="37"/>
      <c r="AU3115" s="37"/>
      <c r="AV3115" s="37"/>
      <c r="AW3115" s="28">
        <f t="shared" si="318"/>
        <v>0.19471460226987547</v>
      </c>
      <c r="AX3115">
        <f t="shared" si="319"/>
        <v>0.86956521739130432</v>
      </c>
      <c r="AY3115" s="62">
        <f t="shared" si="320"/>
        <v>0.16931704545206563</v>
      </c>
      <c r="AZ3115" s="68" t="str">
        <f t="shared" si="321"/>
        <v>No</v>
      </c>
      <c r="BA3115" s="68" t="str">
        <f t="shared" si="322"/>
        <v>No</v>
      </c>
      <c r="BB3115"/>
      <c r="BC3115"/>
    </row>
    <row r="3116" spans="1:55" s="56" customFormat="1" ht="15" hidden="1">
      <c r="A3116" t="s">
        <v>3914</v>
      </c>
      <c r="B3116"/>
      <c r="C3116"/>
      <c r="D3116" s="25"/>
      <c r="E3116" s="25"/>
      <c r="F3116"/>
      <c r="G3116" t="s">
        <v>4055</v>
      </c>
      <c r="H3116"/>
      <c r="I3116"/>
      <c r="J3116"/>
      <c r="K3116"/>
      <c r="L3116"/>
      <c r="M3116" s="25"/>
      <c r="N3116"/>
      <c r="O3116"/>
      <c r="P3116" t="s">
        <v>4596</v>
      </c>
      <c r="Q3116"/>
      <c r="R3116" t="s">
        <v>4869</v>
      </c>
      <c r="S3116" t="s">
        <v>1749</v>
      </c>
      <c r="T3116"/>
      <c r="U3116"/>
      <c r="V3116" t="s">
        <v>4600</v>
      </c>
      <c r="W3116" s="25"/>
      <c r="X3116"/>
      <c r="Y3116"/>
      <c r="Z3116">
        <v>4</v>
      </c>
      <c r="AA3116">
        <v>4</v>
      </c>
      <c r="AB3116"/>
      <c r="AC3116">
        <v>548</v>
      </c>
      <c r="AD3116" s="54">
        <v>29</v>
      </c>
      <c r="AE3116">
        <v>1183</v>
      </c>
      <c r="AF3116" s="54">
        <v>30.8</v>
      </c>
      <c r="AG3116"/>
      <c r="AH3116"/>
      <c r="AI3116"/>
      <c r="AJ3116" t="s">
        <v>4929</v>
      </c>
      <c r="AK3116"/>
      <c r="AL3116" s="59"/>
      <c r="AM3116" s="60"/>
      <c r="AN3116">
        <v>5</v>
      </c>
      <c r="AO3116" s="61">
        <v>6.9565217391304195</v>
      </c>
      <c r="AP3116">
        <v>27</v>
      </c>
      <c r="AQ3116" s="61">
        <v>4.0579710144928001</v>
      </c>
      <c r="AR3116" s="37"/>
      <c r="AS3116" s="37"/>
      <c r="AT3116" s="37"/>
      <c r="AU3116" s="37"/>
      <c r="AV3116" s="37"/>
      <c r="AW3116" s="28">
        <f t="shared" si="318"/>
        <v>3.8632082830649876</v>
      </c>
      <c r="AX3116">
        <f t="shared" si="319"/>
        <v>0.86956521739130432</v>
      </c>
      <c r="AY3116" s="62">
        <f t="shared" si="320"/>
        <v>3.3593115504912934</v>
      </c>
      <c r="AZ3116" s="68" t="str">
        <f t="shared" si="321"/>
        <v>No</v>
      </c>
      <c r="BA3116" s="68" t="str">
        <f t="shared" si="322"/>
        <v>No</v>
      </c>
      <c r="BB3116"/>
      <c r="BC3116"/>
    </row>
    <row r="3117" spans="1:55" hidden="1">
      <c r="A3117" t="s">
        <v>3914</v>
      </c>
      <c r="G3117" t="s">
        <v>4055</v>
      </c>
      <c r="P3117" t="s">
        <v>4596</v>
      </c>
      <c r="R3117" t="s">
        <v>4869</v>
      </c>
      <c r="S3117" t="s">
        <v>1749</v>
      </c>
      <c r="V3117" t="s">
        <v>4598</v>
      </c>
      <c r="Z3117">
        <v>4</v>
      </c>
      <c r="AA3117">
        <v>4</v>
      </c>
      <c r="AC3117">
        <v>548</v>
      </c>
      <c r="AD3117" s="54">
        <v>29</v>
      </c>
      <c r="AE3117">
        <v>523</v>
      </c>
      <c r="AF3117" s="54">
        <v>30.8</v>
      </c>
      <c r="AJ3117" t="s">
        <v>4931</v>
      </c>
      <c r="AL3117" s="59"/>
      <c r="AM3117" s="60"/>
      <c r="AN3117">
        <v>5</v>
      </c>
      <c r="AO3117" s="61">
        <v>6.9565217391304195</v>
      </c>
      <c r="AP3117">
        <v>28</v>
      </c>
      <c r="AQ3117" s="61">
        <v>4.6376811594203957</v>
      </c>
      <c r="AR3117" s="37"/>
      <c r="AS3117" s="37"/>
      <c r="AT3117" s="37"/>
      <c r="AU3117" s="37"/>
      <c r="AV3117" s="37"/>
      <c r="AW3117" s="28">
        <f t="shared" si="318"/>
        <v>3.8904538308037044</v>
      </c>
      <c r="AX3117">
        <f t="shared" si="319"/>
        <v>0.86956521739130432</v>
      </c>
      <c r="AY3117" s="62">
        <f t="shared" si="320"/>
        <v>3.383003331133656</v>
      </c>
      <c r="AZ3117" s="68" t="str">
        <f t="shared" si="321"/>
        <v>No</v>
      </c>
      <c r="BA3117" s="68" t="str">
        <f t="shared" si="322"/>
        <v>No</v>
      </c>
    </row>
    <row r="3118" spans="1:55" hidden="1">
      <c r="A3118" s="77" t="s">
        <v>3914</v>
      </c>
      <c r="G3118" s="77" t="s">
        <v>4055</v>
      </c>
      <c r="P3118" s="77" t="s">
        <v>60</v>
      </c>
      <c r="Q3118" s="77"/>
      <c r="R3118" s="77" t="s">
        <v>4035</v>
      </c>
      <c r="S3118" s="77" t="s">
        <v>1749</v>
      </c>
      <c r="T3118" s="77"/>
      <c r="U3118" s="77"/>
      <c r="V3118" s="77" t="s">
        <v>3956</v>
      </c>
      <c r="W3118" s="77"/>
      <c r="X3118" s="77"/>
      <c r="Y3118" s="77"/>
      <c r="Z3118" s="77">
        <v>4</v>
      </c>
      <c r="AA3118" s="77">
        <v>4</v>
      </c>
      <c r="AB3118" s="77"/>
      <c r="AC3118" s="77">
        <v>548</v>
      </c>
      <c r="AD3118" s="77">
        <v>29.1</v>
      </c>
      <c r="AE3118" s="77">
        <v>1090</v>
      </c>
      <c r="AF3118" s="77">
        <v>29.03</v>
      </c>
      <c r="AG3118" s="77"/>
      <c r="AH3118" s="77"/>
      <c r="AI3118" s="77"/>
      <c r="AJ3118" s="77" t="s">
        <v>4059</v>
      </c>
      <c r="AK3118" s="77" t="s">
        <v>4041</v>
      </c>
      <c r="AN3118" s="77">
        <v>72</v>
      </c>
      <c r="AO3118" s="77">
        <v>10</v>
      </c>
      <c r="AP3118" s="77">
        <v>68.7</v>
      </c>
      <c r="AQ3118" s="77">
        <v>8.6</v>
      </c>
      <c r="AW3118" s="28">
        <f t="shared" si="318"/>
        <v>-0.35383780984678131</v>
      </c>
      <c r="AX3118">
        <f t="shared" si="319"/>
        <v>0.86956521739130432</v>
      </c>
      <c r="AY3118" s="62">
        <f t="shared" si="320"/>
        <v>-0.30768505204067942</v>
      </c>
      <c r="AZ3118" s="68" t="str">
        <f t="shared" si="321"/>
        <v>No</v>
      </c>
      <c r="BA3118" s="68" t="str">
        <f t="shared" si="322"/>
        <v>No</v>
      </c>
    </row>
    <row r="3119" spans="1:55" hidden="1">
      <c r="A3119" t="s">
        <v>3914</v>
      </c>
      <c r="G3119" t="s">
        <v>4055</v>
      </c>
      <c r="P3119" t="s">
        <v>4596</v>
      </c>
      <c r="R3119" t="s">
        <v>4869</v>
      </c>
      <c r="S3119" t="s">
        <v>1749</v>
      </c>
      <c r="V3119" t="s">
        <v>4598</v>
      </c>
      <c r="Z3119">
        <v>4</v>
      </c>
      <c r="AA3119">
        <v>4</v>
      </c>
      <c r="AC3119">
        <v>548</v>
      </c>
      <c r="AD3119" s="54">
        <v>29</v>
      </c>
      <c r="AE3119">
        <v>523</v>
      </c>
      <c r="AF3119" s="54">
        <v>30.8</v>
      </c>
      <c r="AJ3119" t="s">
        <v>4894</v>
      </c>
      <c r="AK3119" t="s">
        <v>4844</v>
      </c>
      <c r="AL3119" s="59"/>
      <c r="AM3119" s="60"/>
      <c r="AN3119">
        <v>72</v>
      </c>
      <c r="AO3119" s="61">
        <v>14.534883720930196</v>
      </c>
      <c r="AP3119">
        <v>75</v>
      </c>
      <c r="AQ3119" s="61">
        <v>9.5930232558138187</v>
      </c>
      <c r="AR3119" s="37"/>
      <c r="AS3119" s="37"/>
      <c r="AT3119" s="37"/>
      <c r="AU3119" s="37"/>
      <c r="AV3119" s="37"/>
      <c r="AW3119" s="28">
        <f t="shared" si="318"/>
        <v>0.24361721043783194</v>
      </c>
      <c r="AX3119">
        <f t="shared" si="319"/>
        <v>0.86956521739130432</v>
      </c>
      <c r="AY3119" s="62">
        <f t="shared" si="320"/>
        <v>0.21184105255463645</v>
      </c>
      <c r="AZ3119" s="68" t="str">
        <f t="shared" si="321"/>
        <v>No</v>
      </c>
      <c r="BA3119" s="68" t="str">
        <f t="shared" si="322"/>
        <v>No</v>
      </c>
    </row>
    <row r="3120" spans="1:55" hidden="1">
      <c r="A3120" t="s">
        <v>3914</v>
      </c>
      <c r="G3120" t="s">
        <v>4055</v>
      </c>
      <c r="P3120" t="s">
        <v>4596</v>
      </c>
      <c r="R3120" t="s">
        <v>4869</v>
      </c>
      <c r="S3120" t="s">
        <v>1749</v>
      </c>
      <c r="V3120" t="s">
        <v>4600</v>
      </c>
      <c r="Z3120">
        <v>4</v>
      </c>
      <c r="AA3120">
        <v>4</v>
      </c>
      <c r="AC3120">
        <v>548</v>
      </c>
      <c r="AD3120" s="54">
        <v>29</v>
      </c>
      <c r="AE3120">
        <v>1183</v>
      </c>
      <c r="AF3120" s="54">
        <v>30.8</v>
      </c>
      <c r="AJ3120" t="s">
        <v>4059</v>
      </c>
      <c r="AK3120" t="s">
        <v>4844</v>
      </c>
      <c r="AL3120" s="59"/>
      <c r="AM3120" s="60"/>
      <c r="AN3120">
        <v>72</v>
      </c>
      <c r="AO3120" s="61">
        <v>14.534883720930196</v>
      </c>
      <c r="AP3120">
        <v>81.2</v>
      </c>
      <c r="AQ3120" s="61">
        <v>13.081395348837191</v>
      </c>
      <c r="AR3120" s="37"/>
      <c r="AS3120" s="37"/>
      <c r="AT3120" s="37"/>
      <c r="AU3120" s="37"/>
      <c r="AV3120" s="37"/>
      <c r="AW3120" s="28">
        <f t="shared" si="318"/>
        <v>0.6653527802676914</v>
      </c>
      <c r="AX3120">
        <f t="shared" si="319"/>
        <v>0.86956521739130432</v>
      </c>
      <c r="AY3120" s="62">
        <f t="shared" si="320"/>
        <v>0.57856763501538377</v>
      </c>
      <c r="AZ3120" s="68" t="str">
        <f t="shared" si="321"/>
        <v>No</v>
      </c>
      <c r="BA3120" s="68" t="str">
        <f t="shared" si="322"/>
        <v>No</v>
      </c>
    </row>
    <row r="3121" spans="1:55" hidden="1">
      <c r="A3121" t="s">
        <v>3914</v>
      </c>
      <c r="G3121" t="s">
        <v>4055</v>
      </c>
      <c r="P3121" t="s">
        <v>4596</v>
      </c>
      <c r="R3121" t="s">
        <v>4869</v>
      </c>
      <c r="S3121" t="s">
        <v>1749</v>
      </c>
      <c r="V3121" t="s">
        <v>4598</v>
      </c>
      <c r="Z3121">
        <v>4</v>
      </c>
      <c r="AA3121">
        <v>4</v>
      </c>
      <c r="AC3121">
        <v>548</v>
      </c>
      <c r="AD3121" s="54">
        <v>29</v>
      </c>
      <c r="AE3121">
        <v>523</v>
      </c>
      <c r="AF3121" s="54">
        <v>30.8</v>
      </c>
      <c r="AJ3121" t="s">
        <v>4927</v>
      </c>
      <c r="AK3121" t="s">
        <v>4848</v>
      </c>
      <c r="AN3121">
        <v>82.6</v>
      </c>
      <c r="AO3121" s="63" t="s">
        <v>4970</v>
      </c>
      <c r="AP3121">
        <v>95.1</v>
      </c>
      <c r="AQ3121" s="63" t="s">
        <v>4970</v>
      </c>
      <c r="AU3121" s="57" t="s">
        <v>4907</v>
      </c>
      <c r="AW3121" s="28" t="e">
        <f t="shared" si="318"/>
        <v>#VALUE!</v>
      </c>
      <c r="AX3121">
        <f t="shared" si="319"/>
        <v>0.86956521739130432</v>
      </c>
      <c r="AY3121" s="62" t="e">
        <f t="shared" si="320"/>
        <v>#VALUE!</v>
      </c>
      <c r="AZ3121" s="68" t="e">
        <f t="shared" si="321"/>
        <v>#VALUE!</v>
      </c>
      <c r="BA3121" s="68" t="e">
        <f t="shared" si="322"/>
        <v>#VALUE!</v>
      </c>
    </row>
    <row r="3122" spans="1:55" hidden="1">
      <c r="A3122" t="s">
        <v>3914</v>
      </c>
      <c r="G3122" t="s">
        <v>4055</v>
      </c>
      <c r="P3122" t="s">
        <v>4596</v>
      </c>
      <c r="R3122" t="s">
        <v>4869</v>
      </c>
      <c r="S3122" t="s">
        <v>1749</v>
      </c>
      <c r="V3122" t="s">
        <v>4600</v>
      </c>
      <c r="Z3122">
        <v>4</v>
      </c>
      <c r="AA3122">
        <v>4</v>
      </c>
      <c r="AC3122">
        <v>548</v>
      </c>
      <c r="AD3122" s="54">
        <v>29</v>
      </c>
      <c r="AE3122">
        <v>1183</v>
      </c>
      <c r="AF3122" s="54">
        <v>30.8</v>
      </c>
      <c r="AJ3122" t="s">
        <v>4065</v>
      </c>
      <c r="AK3122" t="s">
        <v>4848</v>
      </c>
      <c r="AN3122">
        <v>82.6</v>
      </c>
      <c r="AO3122" s="63" t="s">
        <v>4970</v>
      </c>
      <c r="AP3122">
        <v>94.2</v>
      </c>
      <c r="AQ3122" s="63" t="s">
        <v>4970</v>
      </c>
      <c r="AW3122" s="28" t="e">
        <f t="shared" si="318"/>
        <v>#VALUE!</v>
      </c>
      <c r="AX3122">
        <f t="shared" si="319"/>
        <v>0.86956521739130432</v>
      </c>
      <c r="AY3122" s="62" t="e">
        <f t="shared" si="320"/>
        <v>#VALUE!</v>
      </c>
      <c r="AZ3122" s="68" t="e">
        <f t="shared" si="321"/>
        <v>#VALUE!</v>
      </c>
      <c r="BA3122" s="68" t="e">
        <f t="shared" si="322"/>
        <v>#VALUE!</v>
      </c>
    </row>
    <row r="3123" spans="1:55" hidden="1">
      <c r="A3123" t="s">
        <v>3914</v>
      </c>
      <c r="G3123" s="50" t="s">
        <v>4349</v>
      </c>
      <c r="P3123" t="s">
        <v>60</v>
      </c>
      <c r="R3123" t="s">
        <v>4346</v>
      </c>
      <c r="S3123" t="s">
        <v>1771</v>
      </c>
      <c r="V3123" t="s">
        <v>3956</v>
      </c>
      <c r="Z3123">
        <v>5</v>
      </c>
      <c r="AA3123">
        <v>5</v>
      </c>
      <c r="AC3123">
        <v>477</v>
      </c>
      <c r="AD3123">
        <v>26</v>
      </c>
      <c r="AE3123">
        <v>1060.5</v>
      </c>
      <c r="AF3123">
        <v>26</v>
      </c>
      <c r="AJ3123" t="s">
        <v>4216</v>
      </c>
      <c r="AK3123" t="s">
        <v>4244</v>
      </c>
      <c r="AN3123">
        <v>0.51</v>
      </c>
      <c r="AO3123">
        <v>0.1</v>
      </c>
      <c r="AP3123">
        <v>0.43</v>
      </c>
      <c r="AQ3123">
        <v>0.05</v>
      </c>
      <c r="AW3123" s="28">
        <f t="shared" si="318"/>
        <v>-1.0119288512538815</v>
      </c>
      <c r="AX3123">
        <f t="shared" si="319"/>
        <v>0.90322580645161288</v>
      </c>
      <c r="AY3123" s="62">
        <f t="shared" si="320"/>
        <v>-0.91400025274544139</v>
      </c>
      <c r="AZ3123" s="68" t="str">
        <f t="shared" si="321"/>
        <v>No</v>
      </c>
      <c r="BA3123" s="68" t="str">
        <f t="shared" si="322"/>
        <v>No</v>
      </c>
    </row>
    <row r="3124" spans="1:55" hidden="1">
      <c r="A3124" t="s">
        <v>3914</v>
      </c>
      <c r="G3124" s="50" t="s">
        <v>4349</v>
      </c>
      <c r="P3124" t="s">
        <v>60</v>
      </c>
      <c r="R3124" t="s">
        <v>4346</v>
      </c>
      <c r="S3124" t="s">
        <v>1771</v>
      </c>
      <c r="V3124" t="s">
        <v>3956</v>
      </c>
      <c r="Z3124">
        <v>5</v>
      </c>
      <c r="AA3124">
        <v>5</v>
      </c>
      <c r="AC3124">
        <v>477</v>
      </c>
      <c r="AD3124">
        <v>26</v>
      </c>
      <c r="AE3124">
        <v>1894.7</v>
      </c>
      <c r="AF3124">
        <v>26</v>
      </c>
      <c r="AJ3124" s="50" t="s">
        <v>4216</v>
      </c>
      <c r="AK3124" t="s">
        <v>4244</v>
      </c>
      <c r="AN3124">
        <v>0.51</v>
      </c>
      <c r="AO3124">
        <v>0.1</v>
      </c>
      <c r="AP3124">
        <v>0.41</v>
      </c>
      <c r="AQ3124">
        <v>0.1</v>
      </c>
      <c r="AW3124" s="28">
        <f t="shared" si="318"/>
        <v>-1.0000000000000002</v>
      </c>
      <c r="AX3124">
        <f t="shared" si="319"/>
        <v>0.90322580645161288</v>
      </c>
      <c r="AY3124" s="62">
        <f t="shared" si="320"/>
        <v>-0.9032258064516131</v>
      </c>
      <c r="AZ3124" s="68" t="str">
        <f t="shared" si="321"/>
        <v>No</v>
      </c>
      <c r="BA3124" s="68" t="str">
        <f t="shared" si="322"/>
        <v>No</v>
      </c>
    </row>
    <row r="3125" spans="1:55" hidden="1">
      <c r="A3125" t="s">
        <v>3914</v>
      </c>
      <c r="G3125" t="s">
        <v>5000</v>
      </c>
      <c r="P3125" t="s">
        <v>60</v>
      </c>
      <c r="R3125" t="s">
        <v>4346</v>
      </c>
      <c r="S3125" t="s">
        <v>1771</v>
      </c>
      <c r="V3125" t="s">
        <v>3956</v>
      </c>
      <c r="Z3125">
        <v>10</v>
      </c>
      <c r="AA3125">
        <v>10</v>
      </c>
      <c r="AC3125">
        <v>477</v>
      </c>
      <c r="AD3125">
        <v>26</v>
      </c>
      <c r="AE3125">
        <v>1060.5</v>
      </c>
      <c r="AF3125">
        <v>26</v>
      </c>
      <c r="AJ3125" t="s">
        <v>2020</v>
      </c>
      <c r="AK3125" t="s">
        <v>4093</v>
      </c>
      <c r="AN3125">
        <v>93</v>
      </c>
      <c r="AO3125">
        <v>6.324555320336759</v>
      </c>
      <c r="AP3125">
        <v>94</v>
      </c>
      <c r="AQ3125">
        <v>6.324555320336759</v>
      </c>
      <c r="AW3125" s="28">
        <f t="shared" si="318"/>
        <v>0.15811388300841897</v>
      </c>
      <c r="AX3125">
        <f t="shared" si="319"/>
        <v>0.95774647887323949</v>
      </c>
      <c r="AY3125" s="62">
        <f t="shared" si="320"/>
        <v>0.15143301471228859</v>
      </c>
      <c r="AZ3125" s="68" t="str">
        <f t="shared" si="321"/>
        <v>No</v>
      </c>
      <c r="BA3125" s="68" t="str">
        <f t="shared" si="322"/>
        <v>No</v>
      </c>
    </row>
    <row r="3126" spans="1:55" hidden="1">
      <c r="A3126" t="s">
        <v>3914</v>
      </c>
      <c r="G3126" t="s">
        <v>4349</v>
      </c>
      <c r="P3126" t="s">
        <v>60</v>
      </c>
      <c r="R3126" t="s">
        <v>4346</v>
      </c>
      <c r="S3126" t="s">
        <v>1771</v>
      </c>
      <c r="V3126" t="s">
        <v>3956</v>
      </c>
      <c r="Z3126">
        <v>10</v>
      </c>
      <c r="AA3126">
        <v>10</v>
      </c>
      <c r="AC3126">
        <v>477</v>
      </c>
      <c r="AD3126">
        <v>26</v>
      </c>
      <c r="AE3126">
        <v>1894.7</v>
      </c>
      <c r="AF3126">
        <v>26</v>
      </c>
      <c r="AJ3126" t="s">
        <v>2020</v>
      </c>
      <c r="AK3126" t="s">
        <v>4093</v>
      </c>
      <c r="AN3126">
        <v>93</v>
      </c>
      <c r="AO3126">
        <v>6.324555320336759</v>
      </c>
      <c r="AP3126">
        <v>84</v>
      </c>
      <c r="AQ3126">
        <v>25.298221281347036</v>
      </c>
      <c r="AW3126" s="28">
        <f t="shared" si="318"/>
        <v>-0.48809353009197642</v>
      </c>
      <c r="AX3126">
        <f t="shared" si="319"/>
        <v>0.95774647887323949</v>
      </c>
      <c r="AY3126" s="62">
        <f t="shared" si="320"/>
        <v>-0.46746985980639999</v>
      </c>
      <c r="AZ3126" s="68" t="str">
        <f t="shared" si="321"/>
        <v>No</v>
      </c>
      <c r="BA3126" s="68" t="str">
        <f t="shared" si="322"/>
        <v>No</v>
      </c>
    </row>
    <row r="3127" spans="1:55" hidden="1">
      <c r="A3127" t="s">
        <v>3914</v>
      </c>
      <c r="G3127" t="s">
        <v>4201</v>
      </c>
      <c r="P3127" t="s">
        <v>60</v>
      </c>
      <c r="R3127" t="s">
        <v>4116</v>
      </c>
      <c r="S3127" t="s">
        <v>1077</v>
      </c>
      <c r="V3127" t="s">
        <v>3956</v>
      </c>
      <c r="Z3127">
        <v>58</v>
      </c>
      <c r="AA3127">
        <v>46</v>
      </c>
      <c r="AC3127">
        <v>379.5</v>
      </c>
      <c r="AD3127">
        <v>14.2</v>
      </c>
      <c r="AE3127">
        <v>1721.5</v>
      </c>
      <c r="AF3127">
        <v>14.2</v>
      </c>
      <c r="AJ3127" t="s">
        <v>4223</v>
      </c>
      <c r="AK3127" t="s">
        <v>4244</v>
      </c>
      <c r="AN3127">
        <v>1420</v>
      </c>
      <c r="AO3127">
        <v>337.5</v>
      </c>
      <c r="AP3127">
        <v>700</v>
      </c>
      <c r="AQ3127">
        <v>360</v>
      </c>
      <c r="AW3127" s="28">
        <f t="shared" si="318"/>
        <v>-2.0713103475242276</v>
      </c>
      <c r="AX3127">
        <f t="shared" si="319"/>
        <v>0.99262899262899262</v>
      </c>
      <c r="AY3127" s="62">
        <f t="shared" si="320"/>
        <v>-2.0560427036849829</v>
      </c>
      <c r="AZ3127" s="68" t="str">
        <f t="shared" si="321"/>
        <v>No</v>
      </c>
      <c r="BA3127" s="68" t="str">
        <f t="shared" si="322"/>
        <v>No</v>
      </c>
    </row>
    <row r="3128" spans="1:55" hidden="1">
      <c r="A3128" t="s">
        <v>3914</v>
      </c>
      <c r="G3128" t="s">
        <v>4372</v>
      </c>
      <c r="P3128" t="s">
        <v>4596</v>
      </c>
      <c r="R3128" t="s">
        <v>4357</v>
      </c>
      <c r="S3128" t="s">
        <v>1755</v>
      </c>
      <c r="V3128" t="s">
        <v>4598</v>
      </c>
      <c r="Z3128">
        <v>3</v>
      </c>
      <c r="AA3128">
        <v>3</v>
      </c>
      <c r="AC3128">
        <v>335.2</v>
      </c>
      <c r="AD3128" s="54">
        <v>17.7</v>
      </c>
      <c r="AE3128">
        <v>333.7</v>
      </c>
      <c r="AF3128" s="54">
        <v>21.3</v>
      </c>
      <c r="AJ3128" t="s">
        <v>4146</v>
      </c>
      <c r="AK3128" t="s">
        <v>4844</v>
      </c>
      <c r="AN3128">
        <v>84</v>
      </c>
      <c r="AO3128">
        <v>1.2</v>
      </c>
      <c r="AP3128">
        <v>80</v>
      </c>
      <c r="AQ3128">
        <v>0.25</v>
      </c>
      <c r="AU3128" s="57" t="s">
        <v>4856</v>
      </c>
      <c r="AW3128" s="28">
        <f t="shared" si="318"/>
        <v>-4.6149579563020877</v>
      </c>
      <c r="AX3128">
        <f t="shared" si="319"/>
        <v>0.8</v>
      </c>
      <c r="AY3128" s="62">
        <f t="shared" si="320"/>
        <v>-3.6919663650416705</v>
      </c>
      <c r="AZ3128" s="68" t="str">
        <f t="shared" si="321"/>
        <v>No</v>
      </c>
      <c r="BA3128" s="68" t="str">
        <f t="shared" si="322"/>
        <v>No</v>
      </c>
    </row>
    <row r="3129" spans="1:55" ht="15" hidden="1">
      <c r="A3129" t="s">
        <v>3914</v>
      </c>
      <c r="G3129" t="s">
        <v>4372</v>
      </c>
      <c r="P3129" t="s">
        <v>4596</v>
      </c>
      <c r="R3129" t="s">
        <v>4357</v>
      </c>
      <c r="S3129" t="s">
        <v>1755</v>
      </c>
      <c r="V3129" t="s">
        <v>4600</v>
      </c>
      <c r="Z3129">
        <v>3</v>
      </c>
      <c r="AA3129">
        <v>3</v>
      </c>
      <c r="AC3129">
        <v>335.2</v>
      </c>
      <c r="AD3129" s="54">
        <v>17.7</v>
      </c>
      <c r="AE3129">
        <v>750.5</v>
      </c>
      <c r="AF3129" s="54">
        <v>21.3</v>
      </c>
      <c r="AJ3129" t="s">
        <v>4146</v>
      </c>
      <c r="AK3129" t="s">
        <v>4844</v>
      </c>
      <c r="AN3129">
        <v>84</v>
      </c>
      <c r="AO3129">
        <v>1.2</v>
      </c>
      <c r="AP3129">
        <v>78</v>
      </c>
      <c r="AQ3129">
        <v>0.25</v>
      </c>
      <c r="AU3129" s="57" t="s">
        <v>4856</v>
      </c>
      <c r="AW3129" s="28">
        <f t="shared" si="318"/>
        <v>-6.9224369344531311</v>
      </c>
      <c r="AX3129">
        <f t="shared" si="319"/>
        <v>0.8</v>
      </c>
      <c r="AY3129" s="73">
        <f t="shared" si="320"/>
        <v>-5.5379495475625049</v>
      </c>
      <c r="AZ3129" s="74" t="str">
        <f t="shared" si="321"/>
        <v>No</v>
      </c>
      <c r="BA3129" s="74" t="str">
        <f t="shared" si="322"/>
        <v>No</v>
      </c>
      <c r="BB3129" s="56"/>
      <c r="BC3129" s="56"/>
    </row>
    <row r="3130" spans="1:55" hidden="1">
      <c r="A3130" t="s">
        <v>3914</v>
      </c>
      <c r="G3130" t="s">
        <v>4372</v>
      </c>
      <c r="P3130" t="s">
        <v>4596</v>
      </c>
      <c r="R3130" t="s">
        <v>4357</v>
      </c>
      <c r="S3130" t="s">
        <v>1785</v>
      </c>
      <c r="V3130" t="s">
        <v>4598</v>
      </c>
      <c r="Z3130">
        <v>3</v>
      </c>
      <c r="AA3130">
        <v>3</v>
      </c>
      <c r="AC3130">
        <v>564.66</v>
      </c>
      <c r="AD3130" s="54">
        <v>25.9</v>
      </c>
      <c r="AE3130">
        <v>347.2</v>
      </c>
      <c r="AF3130" s="54">
        <v>28.8</v>
      </c>
      <c r="AJ3130" t="s">
        <v>4146</v>
      </c>
      <c r="AK3130" t="s">
        <v>4844</v>
      </c>
      <c r="AN3130">
        <v>96</v>
      </c>
      <c r="AO3130">
        <v>0.25</v>
      </c>
      <c r="AP3130">
        <v>95</v>
      </c>
      <c r="AQ3130">
        <v>0.5</v>
      </c>
      <c r="AU3130" s="57" t="s">
        <v>4856</v>
      </c>
      <c r="AW3130" s="28">
        <f t="shared" si="318"/>
        <v>-2.5298221281347035</v>
      </c>
      <c r="AX3130">
        <f t="shared" si="319"/>
        <v>0.8</v>
      </c>
      <c r="AY3130" s="62">
        <f t="shared" si="320"/>
        <v>-2.0238577025077631</v>
      </c>
      <c r="AZ3130" s="68" t="str">
        <f t="shared" si="321"/>
        <v>No</v>
      </c>
      <c r="BA3130" s="68" t="str">
        <f t="shared" si="322"/>
        <v>No</v>
      </c>
    </row>
    <row r="3131" spans="1:55" hidden="1">
      <c r="A3131" t="s">
        <v>3914</v>
      </c>
      <c r="G3131" t="s">
        <v>4372</v>
      </c>
      <c r="P3131" t="s">
        <v>4596</v>
      </c>
      <c r="R3131" t="s">
        <v>4357</v>
      </c>
      <c r="S3131" t="s">
        <v>1785</v>
      </c>
      <c r="V3131" t="s">
        <v>4600</v>
      </c>
      <c r="Z3131">
        <v>3</v>
      </c>
      <c r="AA3131">
        <v>3</v>
      </c>
      <c r="AC3131">
        <v>564.66</v>
      </c>
      <c r="AD3131" s="54">
        <v>25.9</v>
      </c>
      <c r="AE3131">
        <v>803.9</v>
      </c>
      <c r="AF3131" s="54">
        <v>28.8</v>
      </c>
      <c r="AJ3131" t="s">
        <v>4146</v>
      </c>
      <c r="AK3131" t="s">
        <v>4844</v>
      </c>
      <c r="AN3131">
        <v>96</v>
      </c>
      <c r="AO3131">
        <v>0.25</v>
      </c>
      <c r="AP3131">
        <v>95</v>
      </c>
      <c r="AQ3131">
        <v>0.5</v>
      </c>
      <c r="AU3131" s="57" t="s">
        <v>4856</v>
      </c>
      <c r="AW3131" s="28">
        <f t="shared" si="318"/>
        <v>-2.5298221281347035</v>
      </c>
      <c r="AX3131">
        <f t="shared" si="319"/>
        <v>0.8</v>
      </c>
      <c r="AY3131" s="62">
        <f t="shared" si="320"/>
        <v>-2.0238577025077631</v>
      </c>
      <c r="AZ3131" s="68" t="str">
        <f t="shared" si="321"/>
        <v>No</v>
      </c>
      <c r="BA3131" s="68" t="str">
        <f t="shared" si="322"/>
        <v>No</v>
      </c>
    </row>
    <row r="3132" spans="1:55" hidden="1">
      <c r="A3132" t="s">
        <v>3914</v>
      </c>
      <c r="G3132" t="s">
        <v>4372</v>
      </c>
      <c r="P3132" t="s">
        <v>4596</v>
      </c>
      <c r="R3132" t="s">
        <v>4357</v>
      </c>
      <c r="S3132" t="s">
        <v>1783</v>
      </c>
      <c r="V3132" t="s">
        <v>4598</v>
      </c>
      <c r="Z3132">
        <v>3</v>
      </c>
      <c r="AA3132">
        <v>3</v>
      </c>
      <c r="AC3132">
        <v>412.73</v>
      </c>
      <c r="AD3132" s="54">
        <v>-0.5</v>
      </c>
      <c r="AE3132">
        <v>329.3</v>
      </c>
      <c r="AF3132" s="54">
        <v>3.1</v>
      </c>
      <c r="AJ3132" t="s">
        <v>4146</v>
      </c>
      <c r="AK3132" t="s">
        <v>4844</v>
      </c>
      <c r="AN3132">
        <v>95</v>
      </c>
      <c r="AO3132">
        <v>0.5</v>
      </c>
      <c r="AP3132">
        <v>97</v>
      </c>
      <c r="AQ3132">
        <v>0.75</v>
      </c>
      <c r="AU3132" s="57" t="s">
        <v>4856</v>
      </c>
      <c r="AW3132" s="28">
        <f t="shared" si="318"/>
        <v>3.1378581622109447</v>
      </c>
      <c r="AX3132">
        <f t="shared" si="319"/>
        <v>0.8</v>
      </c>
      <c r="AY3132" s="62">
        <f t="shared" si="320"/>
        <v>2.5102865297687558</v>
      </c>
      <c r="AZ3132" s="68" t="str">
        <f t="shared" si="321"/>
        <v>No</v>
      </c>
      <c r="BA3132" s="68" t="str">
        <f t="shared" si="322"/>
        <v>No</v>
      </c>
    </row>
    <row r="3133" spans="1:55" hidden="1">
      <c r="A3133" t="s">
        <v>3914</v>
      </c>
      <c r="G3133" t="s">
        <v>5019</v>
      </c>
      <c r="P3133" t="s">
        <v>60</v>
      </c>
      <c r="R3133" t="s">
        <v>4357</v>
      </c>
      <c r="S3133" t="s">
        <v>948</v>
      </c>
      <c r="V3133" t="s">
        <v>3956</v>
      </c>
      <c r="Z3133">
        <v>4</v>
      </c>
      <c r="AA3133">
        <v>4</v>
      </c>
      <c r="AC3133">
        <v>453.52</v>
      </c>
      <c r="AD3133">
        <v>-1.1000000000000001</v>
      </c>
      <c r="AE3133">
        <v>945.97</v>
      </c>
      <c r="AF3133">
        <v>-1.1000000000000001</v>
      </c>
      <c r="AJ3133" t="s">
        <v>2020</v>
      </c>
      <c r="AK3133" t="s">
        <v>4093</v>
      </c>
      <c r="AN3133">
        <v>90</v>
      </c>
      <c r="AO3133">
        <v>1</v>
      </c>
      <c r="AP3133">
        <v>88</v>
      </c>
      <c r="AQ3133">
        <v>1</v>
      </c>
      <c r="AW3133" s="28">
        <f t="shared" si="318"/>
        <v>-2</v>
      </c>
      <c r="AX3133">
        <f t="shared" si="319"/>
        <v>0.86956521739130432</v>
      </c>
      <c r="AY3133" s="62">
        <f t="shared" si="320"/>
        <v>-1.7391304347826086</v>
      </c>
      <c r="AZ3133" s="68" t="str">
        <f t="shared" si="321"/>
        <v>No</v>
      </c>
      <c r="BA3133" s="68" t="str">
        <f t="shared" si="322"/>
        <v>No</v>
      </c>
    </row>
    <row r="3134" spans="1:55" ht="15" hidden="1">
      <c r="A3134" t="s">
        <v>3914</v>
      </c>
      <c r="G3134" t="s">
        <v>4372</v>
      </c>
      <c r="P3134" t="s">
        <v>60</v>
      </c>
      <c r="R3134" t="s">
        <v>4357</v>
      </c>
      <c r="S3134" t="s">
        <v>1755</v>
      </c>
      <c r="V3134" t="s">
        <v>3956</v>
      </c>
      <c r="Z3134">
        <v>3</v>
      </c>
      <c r="AA3134">
        <v>3</v>
      </c>
      <c r="AC3134">
        <v>486.81</v>
      </c>
      <c r="AD3134">
        <v>17</v>
      </c>
      <c r="AE3134">
        <v>949.51</v>
      </c>
      <c r="AF3134">
        <v>17</v>
      </c>
      <c r="AJ3134" t="s">
        <v>2020</v>
      </c>
      <c r="AK3134" t="s">
        <v>4093</v>
      </c>
      <c r="AN3134">
        <v>70</v>
      </c>
      <c r="AO3134">
        <v>1</v>
      </c>
      <c r="AP3134">
        <v>68</v>
      </c>
      <c r="AQ3134">
        <v>1</v>
      </c>
      <c r="AW3134" s="28">
        <f t="shared" si="318"/>
        <v>-2</v>
      </c>
      <c r="AX3134">
        <f t="shared" si="319"/>
        <v>0.8</v>
      </c>
      <c r="AY3134" s="73">
        <f t="shared" si="320"/>
        <v>-1.6</v>
      </c>
      <c r="AZ3134" s="74" t="str">
        <f t="shared" si="321"/>
        <v>No</v>
      </c>
      <c r="BA3134" s="74" t="str">
        <f t="shared" si="322"/>
        <v>No</v>
      </c>
      <c r="BB3134" s="56"/>
      <c r="BC3134" s="56"/>
    </row>
    <row r="3135" spans="1:55" hidden="1">
      <c r="A3135" t="s">
        <v>3914</v>
      </c>
      <c r="G3135" t="s">
        <v>4372</v>
      </c>
      <c r="P3135" t="s">
        <v>60</v>
      </c>
      <c r="R3135" t="s">
        <v>4357</v>
      </c>
      <c r="S3135" t="s">
        <v>1785</v>
      </c>
      <c r="V3135" t="s">
        <v>3956</v>
      </c>
      <c r="Z3135">
        <v>3</v>
      </c>
      <c r="AA3135">
        <v>3</v>
      </c>
      <c r="AC3135">
        <v>564.66</v>
      </c>
      <c r="AD3135">
        <v>26</v>
      </c>
      <c r="AE3135">
        <v>962.67</v>
      </c>
      <c r="AF3135">
        <v>26</v>
      </c>
      <c r="AJ3135" t="s">
        <v>2020</v>
      </c>
      <c r="AK3135" t="s">
        <v>4093</v>
      </c>
      <c r="AN3135">
        <v>90</v>
      </c>
      <c r="AO3135">
        <v>1</v>
      </c>
      <c r="AP3135">
        <v>90</v>
      </c>
      <c r="AQ3135">
        <v>1</v>
      </c>
      <c r="AW3135" s="28">
        <f t="shared" si="318"/>
        <v>0</v>
      </c>
      <c r="AX3135">
        <f t="shared" si="319"/>
        <v>0.8</v>
      </c>
      <c r="AY3135" s="62">
        <f t="shared" si="320"/>
        <v>0</v>
      </c>
      <c r="AZ3135" s="68" t="str">
        <f t="shared" si="321"/>
        <v>No</v>
      </c>
      <c r="BA3135" s="68" t="str">
        <f t="shared" si="322"/>
        <v>No</v>
      </c>
    </row>
    <row r="3136" spans="1:55" hidden="1">
      <c r="A3136" t="s">
        <v>3914</v>
      </c>
      <c r="G3136" t="s">
        <v>4372</v>
      </c>
      <c r="P3136" t="s">
        <v>4596</v>
      </c>
      <c r="R3136" t="s">
        <v>4357</v>
      </c>
      <c r="S3136" t="s">
        <v>1755</v>
      </c>
      <c r="V3136" t="s">
        <v>4598</v>
      </c>
      <c r="Z3136">
        <v>3</v>
      </c>
      <c r="AA3136">
        <v>3</v>
      </c>
      <c r="AC3136">
        <v>335.2</v>
      </c>
      <c r="AD3136" s="54">
        <v>17.7</v>
      </c>
      <c r="AE3136">
        <v>333.7</v>
      </c>
      <c r="AF3136" s="54">
        <v>21.3</v>
      </c>
      <c r="AJ3136" t="s">
        <v>2020</v>
      </c>
      <c r="AK3136" t="s">
        <v>4855</v>
      </c>
      <c r="AN3136">
        <v>70</v>
      </c>
      <c r="AO3136">
        <v>1</v>
      </c>
      <c r="AP3136">
        <v>86</v>
      </c>
      <c r="AQ3136">
        <v>1</v>
      </c>
      <c r="AU3136" s="57" t="s">
        <v>4856</v>
      </c>
      <c r="AW3136" s="28">
        <f t="shared" si="318"/>
        <v>16</v>
      </c>
      <c r="AX3136">
        <f t="shared" si="319"/>
        <v>0.8</v>
      </c>
      <c r="AY3136" s="62">
        <f t="shared" si="320"/>
        <v>12.8</v>
      </c>
      <c r="AZ3136" s="68" t="str">
        <f t="shared" si="321"/>
        <v>Yes</v>
      </c>
      <c r="BA3136" s="68" t="str">
        <f t="shared" si="322"/>
        <v>No</v>
      </c>
    </row>
    <row r="3137" spans="1:55" hidden="1">
      <c r="A3137" t="s">
        <v>3914</v>
      </c>
      <c r="G3137" t="s">
        <v>4851</v>
      </c>
      <c r="P3137" t="s">
        <v>4596</v>
      </c>
      <c r="R3137" t="s">
        <v>4357</v>
      </c>
      <c r="S3137" t="s">
        <v>1755</v>
      </c>
      <c r="V3137" t="s">
        <v>4600</v>
      </c>
      <c r="Z3137">
        <v>3</v>
      </c>
      <c r="AA3137">
        <v>3</v>
      </c>
      <c r="AC3137">
        <v>335.2</v>
      </c>
      <c r="AD3137" s="54">
        <v>17.7</v>
      </c>
      <c r="AE3137">
        <v>750.5</v>
      </c>
      <c r="AF3137" s="54">
        <v>21.3</v>
      </c>
      <c r="AJ3137" t="s">
        <v>2020</v>
      </c>
      <c r="AK3137" t="s">
        <v>4855</v>
      </c>
      <c r="AN3137">
        <v>70</v>
      </c>
      <c r="AO3137">
        <v>1</v>
      </c>
      <c r="AP3137">
        <v>86</v>
      </c>
      <c r="AQ3137">
        <v>1</v>
      </c>
      <c r="AU3137" s="57" t="s">
        <v>4856</v>
      </c>
      <c r="AW3137" s="28">
        <f t="shared" si="318"/>
        <v>16</v>
      </c>
      <c r="AX3137">
        <f t="shared" si="319"/>
        <v>0.8</v>
      </c>
      <c r="AY3137" s="62">
        <f t="shared" si="320"/>
        <v>12.8</v>
      </c>
      <c r="AZ3137" s="68" t="str">
        <f t="shared" si="321"/>
        <v>Yes</v>
      </c>
      <c r="BA3137" s="68" t="str">
        <f t="shared" si="322"/>
        <v>No</v>
      </c>
    </row>
    <row r="3138" spans="1:55" hidden="1">
      <c r="A3138" t="s">
        <v>3914</v>
      </c>
      <c r="G3138" t="s">
        <v>4372</v>
      </c>
      <c r="P3138" t="s">
        <v>4596</v>
      </c>
      <c r="R3138" t="s">
        <v>4357</v>
      </c>
      <c r="S3138" t="s">
        <v>1785</v>
      </c>
      <c r="V3138" t="s">
        <v>4598</v>
      </c>
      <c r="Z3138">
        <v>3</v>
      </c>
      <c r="AA3138">
        <v>3</v>
      </c>
      <c r="AC3138">
        <v>564.66</v>
      </c>
      <c r="AD3138" s="54">
        <v>25.9</v>
      </c>
      <c r="AE3138">
        <v>347.2</v>
      </c>
      <c r="AF3138" s="54">
        <v>28.8</v>
      </c>
      <c r="AJ3138" t="s">
        <v>2020</v>
      </c>
      <c r="AK3138" t="s">
        <v>4855</v>
      </c>
      <c r="AN3138">
        <v>90</v>
      </c>
      <c r="AO3138">
        <v>1</v>
      </c>
      <c r="AP3138">
        <v>90</v>
      </c>
      <c r="AQ3138">
        <v>1</v>
      </c>
      <c r="AU3138" s="57" t="s">
        <v>4856</v>
      </c>
      <c r="AW3138" s="28">
        <f t="shared" si="318"/>
        <v>0</v>
      </c>
      <c r="AX3138">
        <f t="shared" si="319"/>
        <v>0.8</v>
      </c>
      <c r="AY3138" s="62">
        <f t="shared" si="320"/>
        <v>0</v>
      </c>
      <c r="AZ3138" s="68" t="str">
        <f t="shared" si="321"/>
        <v>No</v>
      </c>
      <c r="BA3138" s="68" t="str">
        <f t="shared" si="322"/>
        <v>No</v>
      </c>
    </row>
    <row r="3139" spans="1:55" hidden="1">
      <c r="A3139" t="s">
        <v>3914</v>
      </c>
      <c r="G3139" t="s">
        <v>4372</v>
      </c>
      <c r="P3139" t="s">
        <v>4596</v>
      </c>
      <c r="R3139" t="s">
        <v>4357</v>
      </c>
      <c r="S3139" t="s">
        <v>1785</v>
      </c>
      <c r="V3139" t="s">
        <v>4600</v>
      </c>
      <c r="Z3139">
        <v>3</v>
      </c>
      <c r="AA3139">
        <v>3</v>
      </c>
      <c r="AC3139">
        <v>564.66</v>
      </c>
      <c r="AD3139" s="54">
        <v>25.9</v>
      </c>
      <c r="AE3139">
        <v>803.9</v>
      </c>
      <c r="AF3139" s="54">
        <v>28.8</v>
      </c>
      <c r="AJ3139" t="s">
        <v>2020</v>
      </c>
      <c r="AK3139" t="s">
        <v>4855</v>
      </c>
      <c r="AN3139">
        <v>90</v>
      </c>
      <c r="AO3139">
        <v>1</v>
      </c>
      <c r="AP3139">
        <v>95</v>
      </c>
      <c r="AQ3139">
        <v>1</v>
      </c>
      <c r="AU3139" s="57" t="s">
        <v>4856</v>
      </c>
      <c r="AW3139" s="28">
        <f t="shared" si="318"/>
        <v>5</v>
      </c>
      <c r="AX3139">
        <f t="shared" si="319"/>
        <v>0.8</v>
      </c>
      <c r="AY3139" s="62">
        <f t="shared" si="320"/>
        <v>4</v>
      </c>
      <c r="AZ3139" s="68" t="str">
        <f t="shared" si="321"/>
        <v>No</v>
      </c>
      <c r="BA3139" s="68" t="str">
        <f t="shared" si="322"/>
        <v>No</v>
      </c>
    </row>
    <row r="3140" spans="1:55" hidden="1">
      <c r="A3140" t="s">
        <v>3914</v>
      </c>
      <c r="G3140" t="s">
        <v>4372</v>
      </c>
      <c r="P3140" t="s">
        <v>4596</v>
      </c>
      <c r="R3140" t="s">
        <v>4357</v>
      </c>
      <c r="S3140" t="s">
        <v>948</v>
      </c>
      <c r="V3140" t="s">
        <v>4600</v>
      </c>
      <c r="Z3140">
        <v>4</v>
      </c>
      <c r="AA3140">
        <v>4</v>
      </c>
      <c r="AC3140">
        <v>453.52</v>
      </c>
      <c r="AD3140" s="54">
        <v>-1.1000000000000001</v>
      </c>
      <c r="AE3140">
        <v>945.97</v>
      </c>
      <c r="AF3140" s="54">
        <v>3.3</v>
      </c>
      <c r="AJ3140" t="s">
        <v>4146</v>
      </c>
      <c r="AK3140" t="s">
        <v>4844</v>
      </c>
      <c r="AN3140">
        <v>88</v>
      </c>
      <c r="AO3140">
        <v>1</v>
      </c>
      <c r="AP3140">
        <v>50</v>
      </c>
      <c r="AQ3140">
        <v>1</v>
      </c>
      <c r="AU3140" s="57" t="s">
        <v>4856</v>
      </c>
      <c r="AW3140" s="28">
        <f t="shared" si="318"/>
        <v>-38</v>
      </c>
      <c r="AX3140">
        <f t="shared" si="319"/>
        <v>0.86956521739130432</v>
      </c>
      <c r="AY3140" s="62">
        <f t="shared" si="320"/>
        <v>-33.043478260869563</v>
      </c>
      <c r="AZ3140" s="68" t="str">
        <f t="shared" si="321"/>
        <v>No</v>
      </c>
      <c r="BA3140" s="68" t="str">
        <f t="shared" si="322"/>
        <v>Yes</v>
      </c>
    </row>
    <row r="3141" spans="1:55" hidden="1">
      <c r="A3141" t="s">
        <v>3914</v>
      </c>
      <c r="G3141" t="s">
        <v>4372</v>
      </c>
      <c r="P3141" t="s">
        <v>4596</v>
      </c>
      <c r="R3141" t="s">
        <v>4357</v>
      </c>
      <c r="S3141" t="s">
        <v>1783</v>
      </c>
      <c r="V3141" t="s">
        <v>4600</v>
      </c>
      <c r="Z3141">
        <v>3</v>
      </c>
      <c r="AA3141">
        <v>3</v>
      </c>
      <c r="AC3141">
        <v>412.73</v>
      </c>
      <c r="AD3141" s="54">
        <v>-0.5</v>
      </c>
      <c r="AE3141">
        <v>702.1</v>
      </c>
      <c r="AF3141" s="54">
        <v>3.1</v>
      </c>
      <c r="AJ3141" t="s">
        <v>4146</v>
      </c>
      <c r="AK3141" t="s">
        <v>4844</v>
      </c>
      <c r="AN3141">
        <v>95</v>
      </c>
      <c r="AO3141">
        <v>0.5</v>
      </c>
      <c r="AP3141">
        <v>89</v>
      </c>
      <c r="AQ3141">
        <v>1</v>
      </c>
      <c r="AU3141" s="57" t="s">
        <v>4856</v>
      </c>
      <c r="AW3141" s="28">
        <f t="shared" si="318"/>
        <v>-7.5894663844041101</v>
      </c>
      <c r="AX3141">
        <f t="shared" si="319"/>
        <v>0.8</v>
      </c>
      <c r="AY3141" s="62">
        <f t="shared" si="320"/>
        <v>-6.0715731075232888</v>
      </c>
      <c r="AZ3141" s="68" t="str">
        <f t="shared" si="321"/>
        <v>No</v>
      </c>
      <c r="BA3141" s="68" t="str">
        <f t="shared" si="322"/>
        <v>No</v>
      </c>
    </row>
    <row r="3142" spans="1:55" hidden="1">
      <c r="A3142" t="s">
        <v>3914</v>
      </c>
      <c r="G3142" t="s">
        <v>4372</v>
      </c>
      <c r="P3142" t="s">
        <v>4596</v>
      </c>
      <c r="R3142" t="s">
        <v>4357</v>
      </c>
      <c r="S3142" t="s">
        <v>1784</v>
      </c>
      <c r="V3142" t="s">
        <v>4598</v>
      </c>
      <c r="Z3142">
        <v>3</v>
      </c>
      <c r="AA3142">
        <v>3</v>
      </c>
      <c r="AC3142">
        <v>440.81</v>
      </c>
      <c r="AD3142" s="54">
        <v>17.5</v>
      </c>
      <c r="AE3142">
        <v>333.6</v>
      </c>
      <c r="AF3142" s="54">
        <v>21.4</v>
      </c>
      <c r="AJ3142" t="s">
        <v>4146</v>
      </c>
      <c r="AK3142" t="s">
        <v>4844</v>
      </c>
      <c r="AN3142">
        <v>86</v>
      </c>
      <c r="AO3142">
        <v>0.75</v>
      </c>
      <c r="AP3142">
        <v>87</v>
      </c>
      <c r="AQ3142">
        <v>1</v>
      </c>
      <c r="AU3142" s="57" t="s">
        <v>4856</v>
      </c>
      <c r="AW3142" s="28">
        <f t="shared" si="318"/>
        <v>1.131370849898476</v>
      </c>
      <c r="AX3142">
        <f t="shared" si="319"/>
        <v>0.8</v>
      </c>
      <c r="AY3142" s="62">
        <f t="shared" si="320"/>
        <v>0.90509667991878084</v>
      </c>
      <c r="AZ3142" s="68" t="str">
        <f t="shared" si="321"/>
        <v>No</v>
      </c>
      <c r="BA3142" s="68" t="str">
        <f t="shared" si="322"/>
        <v>No</v>
      </c>
    </row>
    <row r="3143" spans="1:55" s="56" customFormat="1" ht="15" hidden="1">
      <c r="A3143" t="s">
        <v>3914</v>
      </c>
      <c r="B3143"/>
      <c r="C3143"/>
      <c r="D3143" s="25"/>
      <c r="E3143" s="25"/>
      <c r="F3143"/>
      <c r="G3143" t="s">
        <v>4372</v>
      </c>
      <c r="H3143"/>
      <c r="I3143"/>
      <c r="J3143"/>
      <c r="K3143"/>
      <c r="L3143"/>
      <c r="M3143" s="25"/>
      <c r="N3143"/>
      <c r="O3143"/>
      <c r="P3143" t="s">
        <v>4596</v>
      </c>
      <c r="Q3143"/>
      <c r="R3143" t="s">
        <v>4357</v>
      </c>
      <c r="S3143" t="s">
        <v>1784</v>
      </c>
      <c r="T3143"/>
      <c r="U3143"/>
      <c r="V3143" t="s">
        <v>4600</v>
      </c>
      <c r="W3143" s="25"/>
      <c r="X3143"/>
      <c r="Y3143"/>
      <c r="Z3143">
        <v>3</v>
      </c>
      <c r="AA3143">
        <v>3</v>
      </c>
      <c r="AB3143"/>
      <c r="AC3143">
        <v>440.81</v>
      </c>
      <c r="AD3143" s="54">
        <v>17.5</v>
      </c>
      <c r="AE3143">
        <v>750.6</v>
      </c>
      <c r="AF3143" s="54">
        <v>21.4</v>
      </c>
      <c r="AG3143"/>
      <c r="AH3143"/>
      <c r="AI3143"/>
      <c r="AJ3143" t="s">
        <v>4146</v>
      </c>
      <c r="AK3143" t="s">
        <v>4844</v>
      </c>
      <c r="AL3143" s="25"/>
      <c r="AM3143" s="35"/>
      <c r="AN3143">
        <v>86</v>
      </c>
      <c r="AO3143">
        <v>0.75</v>
      </c>
      <c r="AP3143">
        <v>87</v>
      </c>
      <c r="AQ3143">
        <v>1</v>
      </c>
      <c r="AR3143"/>
      <c r="AS3143"/>
      <c r="AT3143"/>
      <c r="AU3143" s="57" t="s">
        <v>4856</v>
      </c>
      <c r="AV3143"/>
      <c r="AW3143" s="28">
        <f t="shared" si="318"/>
        <v>1.131370849898476</v>
      </c>
      <c r="AX3143">
        <f t="shared" si="319"/>
        <v>0.8</v>
      </c>
      <c r="AY3143" s="62">
        <f t="shared" si="320"/>
        <v>0.90509667991878084</v>
      </c>
      <c r="AZ3143" s="68" t="str">
        <f t="shared" si="321"/>
        <v>No</v>
      </c>
      <c r="BA3143" s="68" t="str">
        <f t="shared" si="322"/>
        <v>No</v>
      </c>
      <c r="BB3143" t="s">
        <v>5112</v>
      </c>
      <c r="BC3143" s="82" t="s">
        <v>5129</v>
      </c>
    </row>
    <row r="3144" spans="1:55" s="50" customFormat="1" hidden="1">
      <c r="A3144" t="s">
        <v>3914</v>
      </c>
      <c r="B3144"/>
      <c r="C3144"/>
      <c r="D3144" s="25"/>
      <c r="E3144" s="25"/>
      <c r="F3144"/>
      <c r="G3144" t="s">
        <v>4372</v>
      </c>
      <c r="H3144"/>
      <c r="I3144"/>
      <c r="J3144"/>
      <c r="K3144"/>
      <c r="L3144"/>
      <c r="M3144" s="25"/>
      <c r="N3144"/>
      <c r="O3144"/>
      <c r="P3144" t="s">
        <v>4596</v>
      </c>
      <c r="Q3144"/>
      <c r="R3144" t="s">
        <v>4357</v>
      </c>
      <c r="S3144" t="s">
        <v>1784</v>
      </c>
      <c r="T3144"/>
      <c r="U3144"/>
      <c r="V3144" t="s">
        <v>4600</v>
      </c>
      <c r="W3144" s="25"/>
      <c r="X3144"/>
      <c r="Y3144"/>
      <c r="Z3144">
        <v>3</v>
      </c>
      <c r="AA3144">
        <v>3</v>
      </c>
      <c r="AB3144"/>
      <c r="AC3144">
        <v>440.81</v>
      </c>
      <c r="AD3144" s="54">
        <v>17.5</v>
      </c>
      <c r="AE3144">
        <v>750.6</v>
      </c>
      <c r="AF3144" s="54">
        <v>21.4</v>
      </c>
      <c r="AG3144"/>
      <c r="AH3144"/>
      <c r="AI3144"/>
      <c r="AJ3144" t="s">
        <v>4499</v>
      </c>
      <c r="AK3144" t="s">
        <v>4844</v>
      </c>
      <c r="AL3144" s="25"/>
      <c r="AM3144" s="35"/>
      <c r="AN3144">
        <v>11.8</v>
      </c>
      <c r="AO3144">
        <f>2.5*0.75</f>
        <v>1.875</v>
      </c>
      <c r="AP3144">
        <v>13</v>
      </c>
      <c r="AQ3144">
        <f>1.8*0.75</f>
        <v>1.35</v>
      </c>
      <c r="AR3144"/>
      <c r="AS3144"/>
      <c r="AT3144"/>
      <c r="AU3144"/>
      <c r="AV3144"/>
      <c r="AW3144" s="28">
        <f t="shared" si="318"/>
        <v>0.73451703808782132</v>
      </c>
      <c r="AX3144">
        <f t="shared" si="319"/>
        <v>0.8</v>
      </c>
      <c r="AY3144" s="62">
        <f t="shared" si="320"/>
        <v>0.58761363047025705</v>
      </c>
      <c r="AZ3144" s="68" t="str">
        <f t="shared" si="321"/>
        <v>No</v>
      </c>
      <c r="BA3144" s="68" t="str">
        <f t="shared" si="322"/>
        <v>No</v>
      </c>
      <c r="BB3144"/>
      <c r="BC3144"/>
    </row>
    <row r="3145" spans="1:55" hidden="1">
      <c r="A3145" t="s">
        <v>3914</v>
      </c>
      <c r="G3145" t="s">
        <v>4372</v>
      </c>
      <c r="P3145" t="s">
        <v>60</v>
      </c>
      <c r="R3145" t="s">
        <v>4357</v>
      </c>
      <c r="S3145" t="s">
        <v>948</v>
      </c>
      <c r="V3145" t="s">
        <v>3956</v>
      </c>
      <c r="Z3145">
        <v>3</v>
      </c>
      <c r="AA3145">
        <v>3</v>
      </c>
      <c r="AC3145">
        <v>453.52</v>
      </c>
      <c r="AD3145">
        <v>-1.1000000000000001</v>
      </c>
      <c r="AE3145">
        <v>945.97</v>
      </c>
      <c r="AF3145">
        <v>-1.1000000000000001</v>
      </c>
      <c r="AJ3145" t="s">
        <v>4499</v>
      </c>
      <c r="AK3145" t="s">
        <v>4123</v>
      </c>
      <c r="AN3145">
        <v>17.5</v>
      </c>
      <c r="AO3145">
        <v>16.454482671904334</v>
      </c>
      <c r="AP3145">
        <v>13</v>
      </c>
      <c r="AQ3145">
        <v>1.7320508075688772</v>
      </c>
      <c r="AW3145" s="28">
        <f t="shared" si="318"/>
        <v>-0.38463645885361941</v>
      </c>
      <c r="AX3145">
        <f t="shared" si="319"/>
        <v>0.8</v>
      </c>
      <c r="AY3145" s="62">
        <f t="shared" si="320"/>
        <v>-0.30770916708289553</v>
      </c>
      <c r="AZ3145" s="68" t="str">
        <f t="shared" si="321"/>
        <v>No</v>
      </c>
      <c r="BA3145" s="68" t="str">
        <f t="shared" si="322"/>
        <v>No</v>
      </c>
    </row>
    <row r="3146" spans="1:55" ht="15" hidden="1">
      <c r="A3146" t="s">
        <v>3914</v>
      </c>
      <c r="G3146" t="s">
        <v>4372</v>
      </c>
      <c r="P3146" t="s">
        <v>4596</v>
      </c>
      <c r="R3146" t="s">
        <v>4357</v>
      </c>
      <c r="S3146" t="s">
        <v>1785</v>
      </c>
      <c r="V3146" t="s">
        <v>4598</v>
      </c>
      <c r="Z3146">
        <v>3</v>
      </c>
      <c r="AA3146">
        <v>3</v>
      </c>
      <c r="AC3146">
        <v>564.66</v>
      </c>
      <c r="AD3146" s="54">
        <v>25.9</v>
      </c>
      <c r="AE3146">
        <v>347.2</v>
      </c>
      <c r="AF3146" s="54">
        <v>28.8</v>
      </c>
      <c r="AJ3146" t="s">
        <v>4499</v>
      </c>
      <c r="AK3146" t="s">
        <v>4844</v>
      </c>
      <c r="AN3146">
        <v>11.5</v>
      </c>
      <c r="AO3146">
        <f>2*0.75</f>
        <v>1.5</v>
      </c>
      <c r="AP3146">
        <v>12</v>
      </c>
      <c r="AQ3146">
        <f>2.5*0.75</f>
        <v>1.875</v>
      </c>
      <c r="AW3146" s="28">
        <f t="shared" si="318"/>
        <v>0.29448406953292411</v>
      </c>
      <c r="AX3146">
        <f t="shared" si="319"/>
        <v>0.8</v>
      </c>
      <c r="AY3146" s="73">
        <f t="shared" si="320"/>
        <v>0.23558725562633931</v>
      </c>
      <c r="AZ3146" s="74" t="str">
        <f t="shared" si="321"/>
        <v>No</v>
      </c>
      <c r="BA3146" s="74" t="str">
        <f t="shared" si="322"/>
        <v>No</v>
      </c>
      <c r="BB3146" s="56"/>
      <c r="BC3146" s="56"/>
    </row>
    <row r="3147" spans="1:55" s="56" customFormat="1" ht="15" hidden="1">
      <c r="A3147" t="s">
        <v>3914</v>
      </c>
      <c r="B3147"/>
      <c r="C3147"/>
      <c r="D3147" s="25"/>
      <c r="E3147" s="25"/>
      <c r="F3147"/>
      <c r="G3147" t="s">
        <v>4372</v>
      </c>
      <c r="H3147"/>
      <c r="I3147"/>
      <c r="J3147"/>
      <c r="K3147"/>
      <c r="L3147"/>
      <c r="M3147" s="25"/>
      <c r="N3147"/>
      <c r="O3147"/>
      <c r="P3147" t="s">
        <v>4596</v>
      </c>
      <c r="Q3147"/>
      <c r="R3147" t="s">
        <v>4357</v>
      </c>
      <c r="S3147" t="s">
        <v>1785</v>
      </c>
      <c r="T3147"/>
      <c r="U3147"/>
      <c r="V3147" t="s">
        <v>4600</v>
      </c>
      <c r="W3147" s="25"/>
      <c r="X3147"/>
      <c r="Y3147"/>
      <c r="Z3147">
        <v>3</v>
      </c>
      <c r="AA3147">
        <v>3</v>
      </c>
      <c r="AB3147"/>
      <c r="AC3147">
        <v>564.66</v>
      </c>
      <c r="AD3147" s="54">
        <v>25.9</v>
      </c>
      <c r="AE3147">
        <v>803.9</v>
      </c>
      <c r="AF3147" s="54">
        <v>28.8</v>
      </c>
      <c r="AG3147"/>
      <c r="AH3147"/>
      <c r="AI3147"/>
      <c r="AJ3147" t="s">
        <v>4499</v>
      </c>
      <c r="AK3147" t="s">
        <v>4844</v>
      </c>
      <c r="AL3147" s="25"/>
      <c r="AM3147" s="35"/>
      <c r="AN3147">
        <v>11.5</v>
      </c>
      <c r="AO3147">
        <f>2*0.75</f>
        <v>1.5</v>
      </c>
      <c r="AP3147">
        <v>12</v>
      </c>
      <c r="AQ3147">
        <f>2.5*0.75</f>
        <v>1.875</v>
      </c>
      <c r="AR3147"/>
      <c r="AS3147"/>
      <c r="AT3147"/>
      <c r="AU3147"/>
      <c r="AV3147"/>
      <c r="AW3147" s="28">
        <f t="shared" si="318"/>
        <v>0.29448406953292411</v>
      </c>
      <c r="AX3147">
        <f t="shared" si="319"/>
        <v>0.8</v>
      </c>
      <c r="AY3147" s="62">
        <f t="shared" si="320"/>
        <v>0.23558725562633931</v>
      </c>
      <c r="AZ3147" s="68" t="str">
        <f t="shared" si="321"/>
        <v>No</v>
      </c>
      <c r="BA3147" s="68" t="str">
        <f t="shared" si="322"/>
        <v>No</v>
      </c>
      <c r="BB3147"/>
      <c r="BC3147"/>
    </row>
    <row r="3148" spans="1:55" s="56" customFormat="1" ht="15" hidden="1">
      <c r="A3148" t="s">
        <v>3914</v>
      </c>
      <c r="B3148"/>
      <c r="C3148"/>
      <c r="D3148" s="25"/>
      <c r="E3148" s="25"/>
      <c r="F3148"/>
      <c r="G3148" t="s">
        <v>4372</v>
      </c>
      <c r="H3148"/>
      <c r="I3148"/>
      <c r="J3148"/>
      <c r="K3148"/>
      <c r="L3148"/>
      <c r="M3148" s="25"/>
      <c r="N3148"/>
      <c r="O3148"/>
      <c r="P3148" t="s">
        <v>60</v>
      </c>
      <c r="Q3148"/>
      <c r="R3148" t="s">
        <v>4357</v>
      </c>
      <c r="S3148" t="s">
        <v>1783</v>
      </c>
      <c r="T3148"/>
      <c r="U3148"/>
      <c r="V3148" t="s">
        <v>3956</v>
      </c>
      <c r="W3148" s="25"/>
      <c r="X3148"/>
      <c r="Y3148"/>
      <c r="Z3148">
        <v>3</v>
      </c>
      <c r="AA3148">
        <v>3</v>
      </c>
      <c r="AB3148"/>
      <c r="AC3148">
        <v>412.73</v>
      </c>
      <c r="AD3148">
        <v>-0.5</v>
      </c>
      <c r="AE3148">
        <v>823</v>
      </c>
      <c r="AF3148">
        <v>-0.5</v>
      </c>
      <c r="AG3148"/>
      <c r="AH3148"/>
      <c r="AI3148"/>
      <c r="AJ3148" t="s">
        <v>2020</v>
      </c>
      <c r="AK3148" t="s">
        <v>4093</v>
      </c>
      <c r="AL3148" s="25"/>
      <c r="AM3148" s="35"/>
      <c r="AN3148">
        <v>75</v>
      </c>
      <c r="AO3148">
        <v>2</v>
      </c>
      <c r="AP3148">
        <v>72</v>
      </c>
      <c r="AQ3148">
        <v>2</v>
      </c>
      <c r="AR3148"/>
      <c r="AS3148"/>
      <c r="AT3148"/>
      <c r="AU3148"/>
      <c r="AV3148"/>
      <c r="AW3148" s="28">
        <f t="shared" si="318"/>
        <v>-1.5</v>
      </c>
      <c r="AX3148">
        <f t="shared" si="319"/>
        <v>0.8</v>
      </c>
      <c r="AY3148" s="62">
        <f t="shared" si="320"/>
        <v>-1.2000000000000002</v>
      </c>
      <c r="AZ3148" s="68" t="str">
        <f t="shared" si="321"/>
        <v>No</v>
      </c>
      <c r="BA3148" s="68" t="str">
        <f t="shared" si="322"/>
        <v>No</v>
      </c>
      <c r="BB3148"/>
      <c r="BC3148"/>
    </row>
    <row r="3149" spans="1:55" ht="15" hidden="1">
      <c r="A3149" t="s">
        <v>3914</v>
      </c>
      <c r="G3149" t="s">
        <v>4372</v>
      </c>
      <c r="P3149" t="s">
        <v>60</v>
      </c>
      <c r="R3149" t="s">
        <v>4357</v>
      </c>
      <c r="S3149" t="s">
        <v>1784</v>
      </c>
      <c r="V3149" t="s">
        <v>3956</v>
      </c>
      <c r="Z3149">
        <v>3</v>
      </c>
      <c r="AA3149">
        <v>3</v>
      </c>
      <c r="AC3149">
        <v>440.81</v>
      </c>
      <c r="AD3149">
        <v>17</v>
      </c>
      <c r="AE3149">
        <v>911.74</v>
      </c>
      <c r="AF3149">
        <v>17</v>
      </c>
      <c r="AJ3149" t="s">
        <v>2020</v>
      </c>
      <c r="AK3149" t="s">
        <v>4093</v>
      </c>
      <c r="AN3149">
        <v>78</v>
      </c>
      <c r="AO3149">
        <v>5</v>
      </c>
      <c r="AP3149">
        <v>66</v>
      </c>
      <c r="AQ3149">
        <v>2</v>
      </c>
      <c r="AW3149" s="28">
        <f t="shared" si="318"/>
        <v>-3.1513543886333411</v>
      </c>
      <c r="AX3149">
        <f t="shared" si="319"/>
        <v>0.8</v>
      </c>
      <c r="AY3149" s="73">
        <f t="shared" si="320"/>
        <v>-2.5210835109066729</v>
      </c>
      <c r="AZ3149" s="74" t="str">
        <f t="shared" si="321"/>
        <v>No</v>
      </c>
      <c r="BA3149" s="74" t="str">
        <f t="shared" si="322"/>
        <v>No</v>
      </c>
      <c r="BB3149" s="56"/>
      <c r="BC3149" s="56"/>
    </row>
    <row r="3150" spans="1:55" hidden="1">
      <c r="A3150" t="s">
        <v>3914</v>
      </c>
      <c r="G3150" t="s">
        <v>4372</v>
      </c>
      <c r="P3150" t="s">
        <v>60</v>
      </c>
      <c r="R3150" t="s">
        <v>4357</v>
      </c>
      <c r="S3150" t="s">
        <v>948</v>
      </c>
      <c r="V3150" t="s">
        <v>3956</v>
      </c>
      <c r="Z3150">
        <v>4</v>
      </c>
      <c r="AA3150">
        <v>4</v>
      </c>
      <c r="AC3150">
        <v>453.52</v>
      </c>
      <c r="AD3150">
        <v>-1.1000000000000001</v>
      </c>
      <c r="AE3150">
        <v>945.97</v>
      </c>
      <c r="AF3150">
        <v>-1.1000000000000001</v>
      </c>
      <c r="AJ3150" t="s">
        <v>4470</v>
      </c>
      <c r="AK3150" t="s">
        <v>4151</v>
      </c>
      <c r="AN3150">
        <v>88</v>
      </c>
      <c r="AO3150">
        <v>2</v>
      </c>
      <c r="AP3150">
        <v>88</v>
      </c>
      <c r="AQ3150">
        <v>2</v>
      </c>
      <c r="AW3150" s="28">
        <f t="shared" ref="AW3150:AW3213" si="323">(AP3150-$AN3150)/SQRT(((AA3150-1)*AQ3150*AQ3150+($Z3150-1)*$AO3150*$AO3150)/(AA3150+$Z3150-2))</f>
        <v>0</v>
      </c>
      <c r="AX3150">
        <f t="shared" ref="AX3150:AX3213" si="324">1-(3/(4*(AA3150+$Z3150-2)-1))</f>
        <v>0.86956521739130432</v>
      </c>
      <c r="AY3150" s="62">
        <f t="shared" ref="AY3150:AY3213" si="325">AX3150*AW3150</f>
        <v>0</v>
      </c>
      <c r="AZ3150" s="68" t="str">
        <f t="shared" ref="AZ3150:AZ3213" si="326">IF(AY3150&gt;10,"Yes","No")</f>
        <v>No</v>
      </c>
      <c r="BA3150" s="68" t="str">
        <f t="shared" ref="BA3150:BA3213" si="327">IF(AY3150&lt;-10,"Yes","No")</f>
        <v>No</v>
      </c>
    </row>
    <row r="3151" spans="1:55" hidden="1">
      <c r="A3151" t="s">
        <v>3914</v>
      </c>
      <c r="G3151" t="s">
        <v>4372</v>
      </c>
      <c r="P3151" t="s">
        <v>60</v>
      </c>
      <c r="R3151" t="s">
        <v>4357</v>
      </c>
      <c r="S3151" t="s">
        <v>1784</v>
      </c>
      <c r="V3151" t="s">
        <v>3956</v>
      </c>
      <c r="Z3151">
        <v>3</v>
      </c>
      <c r="AA3151">
        <v>3</v>
      </c>
      <c r="AC3151">
        <v>440.81</v>
      </c>
      <c r="AD3151">
        <v>17</v>
      </c>
      <c r="AE3151">
        <v>911.74</v>
      </c>
      <c r="AF3151">
        <v>17</v>
      </c>
      <c r="AJ3151" t="s">
        <v>4470</v>
      </c>
      <c r="AK3151" t="s">
        <v>4151</v>
      </c>
      <c r="AN3151">
        <v>86</v>
      </c>
      <c r="AO3151">
        <v>2</v>
      </c>
      <c r="AP3151">
        <v>90</v>
      </c>
      <c r="AQ3151">
        <v>2</v>
      </c>
      <c r="AW3151" s="28">
        <f t="shared" si="323"/>
        <v>2</v>
      </c>
      <c r="AX3151">
        <f t="shared" si="324"/>
        <v>0.8</v>
      </c>
      <c r="AY3151" s="62">
        <f t="shared" si="325"/>
        <v>1.6</v>
      </c>
      <c r="AZ3151" s="68" t="str">
        <f t="shared" si="326"/>
        <v>No</v>
      </c>
      <c r="BA3151" s="68" t="str">
        <f t="shared" si="327"/>
        <v>No</v>
      </c>
    </row>
    <row r="3152" spans="1:55" hidden="1">
      <c r="A3152" t="s">
        <v>3914</v>
      </c>
      <c r="G3152" t="s">
        <v>4372</v>
      </c>
      <c r="P3152" t="s">
        <v>60</v>
      </c>
      <c r="R3152" t="s">
        <v>4357</v>
      </c>
      <c r="S3152" t="s">
        <v>1755</v>
      </c>
      <c r="V3152" t="s">
        <v>3956</v>
      </c>
      <c r="Z3152">
        <v>3</v>
      </c>
      <c r="AA3152">
        <v>3</v>
      </c>
      <c r="AC3152">
        <v>486.81</v>
      </c>
      <c r="AD3152">
        <v>17</v>
      </c>
      <c r="AE3152">
        <v>949.51</v>
      </c>
      <c r="AF3152">
        <v>17</v>
      </c>
      <c r="AJ3152" t="s">
        <v>4470</v>
      </c>
      <c r="AK3152" t="s">
        <v>4151</v>
      </c>
      <c r="AN3152">
        <v>84</v>
      </c>
      <c r="AO3152">
        <v>2</v>
      </c>
      <c r="AP3152">
        <v>76</v>
      </c>
      <c r="AQ3152">
        <v>2</v>
      </c>
      <c r="AW3152" s="28">
        <f t="shared" si="323"/>
        <v>-4</v>
      </c>
      <c r="AX3152">
        <f t="shared" si="324"/>
        <v>0.8</v>
      </c>
      <c r="AY3152" s="62">
        <f t="shared" si="325"/>
        <v>-3.2</v>
      </c>
      <c r="AZ3152" s="68" t="str">
        <f t="shared" si="326"/>
        <v>No</v>
      </c>
      <c r="BA3152" s="68" t="str">
        <f t="shared" si="327"/>
        <v>No</v>
      </c>
    </row>
    <row r="3153" spans="1:55" hidden="1">
      <c r="A3153" t="s">
        <v>3914</v>
      </c>
      <c r="G3153" t="s">
        <v>4372</v>
      </c>
      <c r="P3153" t="s">
        <v>60</v>
      </c>
      <c r="R3153" t="s">
        <v>4357</v>
      </c>
      <c r="S3153" t="s">
        <v>1785</v>
      </c>
      <c r="V3153" t="s">
        <v>3956</v>
      </c>
      <c r="Z3153">
        <v>3</v>
      </c>
      <c r="AA3153">
        <v>3</v>
      </c>
      <c r="AC3153">
        <v>564.66</v>
      </c>
      <c r="AD3153">
        <v>26</v>
      </c>
      <c r="AE3153">
        <v>962.67</v>
      </c>
      <c r="AF3153">
        <v>26</v>
      </c>
      <c r="AJ3153" t="s">
        <v>4470</v>
      </c>
      <c r="AK3153" t="s">
        <v>4151</v>
      </c>
      <c r="AN3153">
        <v>96</v>
      </c>
      <c r="AO3153">
        <v>2</v>
      </c>
      <c r="AP3153">
        <v>95</v>
      </c>
      <c r="AQ3153">
        <v>2</v>
      </c>
      <c r="AW3153" s="28">
        <f t="shared" si="323"/>
        <v>-0.5</v>
      </c>
      <c r="AX3153">
        <f t="shared" si="324"/>
        <v>0.8</v>
      </c>
      <c r="AY3153" s="62">
        <f t="shared" si="325"/>
        <v>-0.4</v>
      </c>
      <c r="AZ3153" s="68" t="str">
        <f t="shared" si="326"/>
        <v>No</v>
      </c>
      <c r="BA3153" s="68" t="str">
        <f t="shared" si="327"/>
        <v>No</v>
      </c>
    </row>
    <row r="3154" spans="1:55" hidden="1">
      <c r="A3154" t="s">
        <v>3914</v>
      </c>
      <c r="G3154" t="s">
        <v>4372</v>
      </c>
      <c r="P3154" t="s">
        <v>4596</v>
      </c>
      <c r="R3154" t="s">
        <v>4357</v>
      </c>
      <c r="S3154" t="s">
        <v>948</v>
      </c>
      <c r="V3154" t="s">
        <v>4600</v>
      </c>
      <c r="Z3154">
        <v>4</v>
      </c>
      <c r="AA3154">
        <v>4</v>
      </c>
      <c r="AC3154">
        <v>453.52</v>
      </c>
      <c r="AD3154" s="54">
        <v>-1.1000000000000001</v>
      </c>
      <c r="AE3154">
        <v>945.97</v>
      </c>
      <c r="AF3154" s="54">
        <v>3.3</v>
      </c>
      <c r="AJ3154" t="s">
        <v>2020</v>
      </c>
      <c r="AK3154" t="s">
        <v>4855</v>
      </c>
      <c r="AN3154">
        <v>90</v>
      </c>
      <c r="AO3154">
        <v>1</v>
      </c>
      <c r="AP3154">
        <v>88</v>
      </c>
      <c r="AQ3154">
        <v>2</v>
      </c>
      <c r="AU3154" s="57" t="s">
        <v>4856</v>
      </c>
      <c r="AW3154" s="28">
        <f t="shared" si="323"/>
        <v>-1.2649110640673518</v>
      </c>
      <c r="AX3154">
        <f t="shared" si="324"/>
        <v>0.86956521739130432</v>
      </c>
      <c r="AY3154" s="62">
        <f t="shared" si="325"/>
        <v>-1.0999226644063929</v>
      </c>
      <c r="AZ3154" s="68" t="str">
        <f t="shared" si="326"/>
        <v>No</v>
      </c>
      <c r="BA3154" s="68" t="str">
        <f t="shared" si="327"/>
        <v>No</v>
      </c>
    </row>
    <row r="3155" spans="1:55" hidden="1">
      <c r="A3155" t="s">
        <v>3914</v>
      </c>
      <c r="G3155" t="s">
        <v>4372</v>
      </c>
      <c r="P3155" t="s">
        <v>4596</v>
      </c>
      <c r="R3155" t="s">
        <v>4357</v>
      </c>
      <c r="S3155" t="s">
        <v>1783</v>
      </c>
      <c r="V3155" t="s">
        <v>4598</v>
      </c>
      <c r="Z3155">
        <v>3</v>
      </c>
      <c r="AA3155">
        <v>3</v>
      </c>
      <c r="AC3155">
        <v>412.73</v>
      </c>
      <c r="AD3155" s="54">
        <v>-0.5</v>
      </c>
      <c r="AE3155">
        <v>329.3</v>
      </c>
      <c r="AF3155" s="54">
        <v>3.1</v>
      </c>
      <c r="AJ3155" t="s">
        <v>2020</v>
      </c>
      <c r="AK3155" t="s">
        <v>4855</v>
      </c>
      <c r="AN3155">
        <v>75</v>
      </c>
      <c r="AO3155">
        <v>1</v>
      </c>
      <c r="AP3155">
        <v>81</v>
      </c>
      <c r="AQ3155">
        <v>2</v>
      </c>
      <c r="AU3155" s="57" t="s">
        <v>4856</v>
      </c>
      <c r="AW3155" s="28">
        <f t="shared" si="323"/>
        <v>3.7947331922020551</v>
      </c>
      <c r="AX3155">
        <f t="shared" si="324"/>
        <v>0.8</v>
      </c>
      <c r="AY3155" s="62">
        <f t="shared" si="325"/>
        <v>3.0357865537616444</v>
      </c>
      <c r="AZ3155" s="68" t="str">
        <f t="shared" si="326"/>
        <v>No</v>
      </c>
      <c r="BA3155" s="68" t="str">
        <f t="shared" si="327"/>
        <v>No</v>
      </c>
      <c r="BB3155" t="s">
        <v>5112</v>
      </c>
      <c r="BC3155" s="82" t="s">
        <v>5129</v>
      </c>
    </row>
    <row r="3156" spans="1:55" hidden="1">
      <c r="A3156" t="s">
        <v>3914</v>
      </c>
      <c r="G3156" t="s">
        <v>4372</v>
      </c>
      <c r="P3156" t="s">
        <v>4596</v>
      </c>
      <c r="R3156" t="s">
        <v>4357</v>
      </c>
      <c r="S3156" t="s">
        <v>1783</v>
      </c>
      <c r="V3156" t="s">
        <v>4600</v>
      </c>
      <c r="Z3156">
        <v>3</v>
      </c>
      <c r="AA3156">
        <v>3</v>
      </c>
      <c r="AC3156">
        <v>412.73</v>
      </c>
      <c r="AD3156" s="54">
        <v>-0.5</v>
      </c>
      <c r="AE3156">
        <v>702.1</v>
      </c>
      <c r="AF3156" s="54">
        <v>3.1</v>
      </c>
      <c r="AJ3156" t="s">
        <v>2020</v>
      </c>
      <c r="AK3156" t="s">
        <v>4855</v>
      </c>
      <c r="AN3156">
        <v>75</v>
      </c>
      <c r="AO3156">
        <v>1</v>
      </c>
      <c r="AP3156">
        <v>78</v>
      </c>
      <c r="AQ3156">
        <v>2</v>
      </c>
      <c r="AU3156" s="57" t="s">
        <v>4856</v>
      </c>
      <c r="AW3156" s="28">
        <f t="shared" si="323"/>
        <v>1.8973665961010275</v>
      </c>
      <c r="AX3156">
        <f t="shared" si="324"/>
        <v>0.8</v>
      </c>
      <c r="AY3156" s="62">
        <f t="shared" si="325"/>
        <v>1.5178932768808222</v>
      </c>
      <c r="AZ3156" s="68" t="str">
        <f t="shared" si="326"/>
        <v>No</v>
      </c>
      <c r="BA3156" s="68" t="str">
        <f t="shared" si="327"/>
        <v>No</v>
      </c>
    </row>
    <row r="3157" spans="1:55" hidden="1">
      <c r="A3157" t="s">
        <v>3914</v>
      </c>
      <c r="G3157" t="s">
        <v>4962</v>
      </c>
      <c r="P3157" t="s">
        <v>4596</v>
      </c>
      <c r="R3157" t="s">
        <v>4357</v>
      </c>
      <c r="S3157" t="s">
        <v>1783</v>
      </c>
      <c r="V3157" t="s">
        <v>4598</v>
      </c>
      <c r="Z3157">
        <v>3</v>
      </c>
      <c r="AA3157">
        <v>3</v>
      </c>
      <c r="AC3157">
        <v>412.73</v>
      </c>
      <c r="AD3157" s="54">
        <v>-0.5</v>
      </c>
      <c r="AE3157">
        <v>329.3</v>
      </c>
      <c r="AF3157" s="54">
        <v>3.1</v>
      </c>
      <c r="AJ3157" t="s">
        <v>1827</v>
      </c>
      <c r="AK3157" t="s">
        <v>40</v>
      </c>
      <c r="AN3157">
        <v>458</v>
      </c>
      <c r="AO3157">
        <f>3*0.75</f>
        <v>2.25</v>
      </c>
      <c r="AP3157">
        <v>475</v>
      </c>
      <c r="AQ3157">
        <f>3*0.75</f>
        <v>2.25</v>
      </c>
      <c r="AW3157" s="28">
        <f t="shared" si="323"/>
        <v>7.5555555555555554</v>
      </c>
      <c r="AX3157">
        <f t="shared" si="324"/>
        <v>0.8</v>
      </c>
      <c r="AY3157" s="62">
        <f t="shared" si="325"/>
        <v>6.0444444444444443</v>
      </c>
      <c r="AZ3157" s="68" t="str">
        <f t="shared" si="326"/>
        <v>No</v>
      </c>
      <c r="BA3157" s="68" t="str">
        <f t="shared" si="327"/>
        <v>No</v>
      </c>
    </row>
    <row r="3158" spans="1:55" ht="15" hidden="1">
      <c r="A3158" t="s">
        <v>3914</v>
      </c>
      <c r="G3158" t="s">
        <v>4372</v>
      </c>
      <c r="P3158" t="s">
        <v>4596</v>
      </c>
      <c r="R3158" t="s">
        <v>4357</v>
      </c>
      <c r="S3158" t="s">
        <v>948</v>
      </c>
      <c r="V3158" t="s">
        <v>4598</v>
      </c>
      <c r="Z3158">
        <v>3</v>
      </c>
      <c r="AA3158">
        <v>3</v>
      </c>
      <c r="AC3158">
        <v>453.52</v>
      </c>
      <c r="AD3158" s="54">
        <v>-1.1000000000000001</v>
      </c>
      <c r="AE3158" s="56">
        <v>453.5</v>
      </c>
      <c r="AF3158" s="54">
        <v>3.3</v>
      </c>
      <c r="AJ3158" t="s">
        <v>4854</v>
      </c>
      <c r="AK3158" t="s">
        <v>4844</v>
      </c>
      <c r="AN3158">
        <v>13.5</v>
      </c>
      <c r="AO3158">
        <f>10*0.75</f>
        <v>7.5</v>
      </c>
      <c r="AP3158">
        <v>10.5</v>
      </c>
      <c r="AQ3158">
        <f>3.5*0.75</f>
        <v>2.625</v>
      </c>
      <c r="AW3158" s="28">
        <f t="shared" si="323"/>
        <v>-0.53392691541279991</v>
      </c>
      <c r="AX3158">
        <f t="shared" si="324"/>
        <v>0.8</v>
      </c>
      <c r="AY3158" s="62">
        <f t="shared" si="325"/>
        <v>-0.42714153233023994</v>
      </c>
      <c r="AZ3158" s="68" t="str">
        <f t="shared" si="326"/>
        <v>No</v>
      </c>
      <c r="BA3158" s="68" t="str">
        <f t="shared" si="327"/>
        <v>No</v>
      </c>
    </row>
    <row r="3159" spans="1:55" hidden="1">
      <c r="A3159" t="s">
        <v>3914</v>
      </c>
      <c r="G3159" t="s">
        <v>4372</v>
      </c>
      <c r="P3159" t="s">
        <v>60</v>
      </c>
      <c r="R3159" t="s">
        <v>4357</v>
      </c>
      <c r="S3159" t="s">
        <v>1783</v>
      </c>
      <c r="V3159" t="s">
        <v>3956</v>
      </c>
      <c r="Z3159">
        <v>3</v>
      </c>
      <c r="AA3159">
        <v>3</v>
      </c>
      <c r="AC3159">
        <v>412.73</v>
      </c>
      <c r="AD3159">
        <v>-0.5</v>
      </c>
      <c r="AE3159">
        <v>823</v>
      </c>
      <c r="AF3159">
        <v>-0.5</v>
      </c>
      <c r="AJ3159" t="s">
        <v>4470</v>
      </c>
      <c r="AK3159" t="s">
        <v>4151</v>
      </c>
      <c r="AN3159">
        <v>95</v>
      </c>
      <c r="AO3159">
        <v>2</v>
      </c>
      <c r="AP3159">
        <v>92</v>
      </c>
      <c r="AQ3159">
        <v>3</v>
      </c>
      <c r="AW3159" s="28">
        <f t="shared" si="323"/>
        <v>-1.1766968108291043</v>
      </c>
      <c r="AX3159">
        <f t="shared" si="324"/>
        <v>0.8</v>
      </c>
      <c r="AY3159" s="62">
        <f t="shared" si="325"/>
        <v>-0.94135744866328341</v>
      </c>
      <c r="AZ3159" s="68" t="str">
        <f t="shared" si="326"/>
        <v>No</v>
      </c>
      <c r="BA3159" s="68" t="str">
        <f t="shared" si="327"/>
        <v>No</v>
      </c>
    </row>
    <row r="3160" spans="1:55" hidden="1">
      <c r="A3160" t="s">
        <v>3914</v>
      </c>
      <c r="G3160" t="s">
        <v>4372</v>
      </c>
      <c r="P3160" t="s">
        <v>4596</v>
      </c>
      <c r="R3160" t="s">
        <v>4357</v>
      </c>
      <c r="S3160" t="s">
        <v>1784</v>
      </c>
      <c r="V3160" t="s">
        <v>4598</v>
      </c>
      <c r="Z3160">
        <v>3</v>
      </c>
      <c r="AA3160">
        <v>3</v>
      </c>
      <c r="AC3160">
        <v>440.81</v>
      </c>
      <c r="AD3160" s="54">
        <v>17.5</v>
      </c>
      <c r="AE3160">
        <v>333.6</v>
      </c>
      <c r="AF3160" s="54">
        <v>21.4</v>
      </c>
      <c r="AJ3160" t="s">
        <v>4499</v>
      </c>
      <c r="AK3160" t="s">
        <v>4844</v>
      </c>
      <c r="AN3160">
        <v>11.8</v>
      </c>
      <c r="AO3160">
        <f>2.5*0.75</f>
        <v>1.875</v>
      </c>
      <c r="AP3160">
        <v>11</v>
      </c>
      <c r="AQ3160">
        <f>4*0.75</f>
        <v>3</v>
      </c>
      <c r="AW3160" s="28">
        <f t="shared" si="323"/>
        <v>-0.31980018730490117</v>
      </c>
      <c r="AX3160">
        <f t="shared" si="324"/>
        <v>0.8</v>
      </c>
      <c r="AY3160" s="62">
        <f t="shared" si="325"/>
        <v>-0.25584014984392095</v>
      </c>
      <c r="AZ3160" s="68" t="str">
        <f t="shared" si="326"/>
        <v>No</v>
      </c>
      <c r="BA3160" s="68" t="str">
        <f t="shared" si="327"/>
        <v>No</v>
      </c>
    </row>
    <row r="3161" spans="1:55" hidden="1">
      <c r="A3161" t="s">
        <v>3914</v>
      </c>
      <c r="G3161" t="s">
        <v>4372</v>
      </c>
      <c r="P3161" t="s">
        <v>60</v>
      </c>
      <c r="R3161" t="s">
        <v>4357</v>
      </c>
      <c r="S3161" t="s">
        <v>1785</v>
      </c>
      <c r="V3161" t="s">
        <v>3956</v>
      </c>
      <c r="Z3161">
        <v>3</v>
      </c>
      <c r="AA3161">
        <v>3</v>
      </c>
      <c r="AC3161">
        <v>564.66</v>
      </c>
      <c r="AD3161">
        <v>26</v>
      </c>
      <c r="AE3161">
        <v>962.67</v>
      </c>
      <c r="AF3161">
        <v>26</v>
      </c>
      <c r="AJ3161" t="s">
        <v>1827</v>
      </c>
      <c r="AK3161" t="s">
        <v>4244</v>
      </c>
      <c r="AN3161">
        <v>230</v>
      </c>
      <c r="AO3161">
        <v>7.5</v>
      </c>
      <c r="AP3161">
        <v>223</v>
      </c>
      <c r="AQ3161">
        <v>3.75</v>
      </c>
      <c r="AW3161" s="28">
        <f t="shared" si="323"/>
        <v>-1.180583659796195</v>
      </c>
      <c r="AX3161">
        <f t="shared" si="324"/>
        <v>0.8</v>
      </c>
      <c r="AY3161" s="62">
        <f t="shared" si="325"/>
        <v>-0.94446692783695596</v>
      </c>
      <c r="AZ3161" s="68" t="str">
        <f t="shared" si="326"/>
        <v>No</v>
      </c>
      <c r="BA3161" s="68" t="str">
        <f t="shared" si="327"/>
        <v>No</v>
      </c>
    </row>
    <row r="3162" spans="1:55" ht="15" hidden="1">
      <c r="A3162" t="s">
        <v>3914</v>
      </c>
      <c r="G3162" t="s">
        <v>4962</v>
      </c>
      <c r="P3162" t="s">
        <v>4596</v>
      </c>
      <c r="R3162" t="s">
        <v>4357</v>
      </c>
      <c r="S3162" t="s">
        <v>948</v>
      </c>
      <c r="V3162" t="s">
        <v>4598</v>
      </c>
      <c r="Z3162">
        <v>4</v>
      </c>
      <c r="AA3162">
        <v>4</v>
      </c>
      <c r="AC3162">
        <v>453.52</v>
      </c>
      <c r="AD3162" s="54">
        <v>-1.1000000000000001</v>
      </c>
      <c r="AE3162" s="56">
        <v>453.5</v>
      </c>
      <c r="AF3162" s="54">
        <v>3.3</v>
      </c>
      <c r="AJ3162" t="s">
        <v>4853</v>
      </c>
      <c r="AK3162" t="s">
        <v>40</v>
      </c>
      <c r="AN3162">
        <v>347</v>
      </c>
      <c r="AO3162">
        <f>24*0.75</f>
        <v>18</v>
      </c>
      <c r="AP3162">
        <v>364</v>
      </c>
      <c r="AQ3162">
        <f>5*0.75</f>
        <v>3.75</v>
      </c>
      <c r="AW3162" s="28">
        <f t="shared" si="323"/>
        <v>1.307571420952258</v>
      </c>
      <c r="AX3162">
        <f t="shared" si="324"/>
        <v>0.86956521739130432</v>
      </c>
      <c r="AY3162" s="73">
        <f t="shared" si="325"/>
        <v>1.1370186269150069</v>
      </c>
      <c r="AZ3162" s="74" t="str">
        <f t="shared" si="326"/>
        <v>No</v>
      </c>
      <c r="BA3162" s="74" t="str">
        <f t="shared" si="327"/>
        <v>No</v>
      </c>
      <c r="BB3162" s="56"/>
      <c r="BC3162" s="56"/>
    </row>
    <row r="3163" spans="1:55" hidden="1">
      <c r="A3163" t="s">
        <v>3914</v>
      </c>
      <c r="G3163" t="s">
        <v>4372</v>
      </c>
      <c r="P3163" t="s">
        <v>60</v>
      </c>
      <c r="R3163" t="s">
        <v>4357</v>
      </c>
      <c r="S3163" t="s">
        <v>1784</v>
      </c>
      <c r="V3163" t="s">
        <v>3956</v>
      </c>
      <c r="Z3163">
        <v>3</v>
      </c>
      <c r="AA3163">
        <v>3</v>
      </c>
      <c r="AC3163">
        <v>440.81</v>
      </c>
      <c r="AD3163">
        <v>17</v>
      </c>
      <c r="AE3163">
        <v>911.74</v>
      </c>
      <c r="AF3163">
        <v>-0.5</v>
      </c>
      <c r="AJ3163" t="s">
        <v>4499</v>
      </c>
      <c r="AK3163" t="s">
        <v>4123</v>
      </c>
      <c r="AN3163">
        <v>11.5</v>
      </c>
      <c r="AO3163">
        <v>4.3301270189221928</v>
      </c>
      <c r="AP3163">
        <v>14</v>
      </c>
      <c r="AQ3163">
        <v>4.3301270189221928</v>
      </c>
      <c r="AW3163" s="28">
        <f t="shared" si="323"/>
        <v>0.57735026918962584</v>
      </c>
      <c r="AX3163">
        <f t="shared" si="324"/>
        <v>0.8</v>
      </c>
      <c r="AY3163" s="62">
        <f t="shared" si="325"/>
        <v>0.46188021535170071</v>
      </c>
      <c r="AZ3163" s="68" t="str">
        <f t="shared" si="326"/>
        <v>No</v>
      </c>
      <c r="BA3163" s="68" t="str">
        <f t="shared" si="327"/>
        <v>No</v>
      </c>
    </row>
    <row r="3164" spans="1:55" hidden="1">
      <c r="A3164" t="s">
        <v>3914</v>
      </c>
      <c r="G3164" t="s">
        <v>4372</v>
      </c>
      <c r="P3164" t="s">
        <v>60</v>
      </c>
      <c r="R3164" t="s">
        <v>4357</v>
      </c>
      <c r="S3164" t="s">
        <v>1785</v>
      </c>
      <c r="V3164" t="s">
        <v>3956</v>
      </c>
      <c r="Z3164">
        <v>3</v>
      </c>
      <c r="AA3164">
        <v>3</v>
      </c>
      <c r="AC3164">
        <v>564.66</v>
      </c>
      <c r="AD3164">
        <v>26</v>
      </c>
      <c r="AE3164">
        <v>962.67</v>
      </c>
      <c r="AF3164">
        <v>17</v>
      </c>
      <c r="AJ3164" t="s">
        <v>4499</v>
      </c>
      <c r="AK3164" t="s">
        <v>4123</v>
      </c>
      <c r="AN3164">
        <v>11.5</v>
      </c>
      <c r="AO3164">
        <v>5.196152422706632</v>
      </c>
      <c r="AP3164">
        <v>15</v>
      </c>
      <c r="AQ3164">
        <v>4.3301270189221928</v>
      </c>
      <c r="AW3164" s="28">
        <f t="shared" si="323"/>
        <v>0.73179172288504335</v>
      </c>
      <c r="AX3164">
        <f t="shared" si="324"/>
        <v>0.8</v>
      </c>
      <c r="AY3164" s="62">
        <f t="shared" si="325"/>
        <v>0.58543337830803466</v>
      </c>
      <c r="AZ3164" s="68" t="str">
        <f t="shared" si="326"/>
        <v>No</v>
      </c>
      <c r="BA3164" s="68" t="str">
        <f t="shared" si="327"/>
        <v>No</v>
      </c>
    </row>
    <row r="3165" spans="1:55" ht="15" hidden="1">
      <c r="A3165" t="s">
        <v>3914</v>
      </c>
      <c r="G3165" t="s">
        <v>4851</v>
      </c>
      <c r="P3165" t="s">
        <v>4596</v>
      </c>
      <c r="R3165" t="s">
        <v>4357</v>
      </c>
      <c r="S3165" t="s">
        <v>948</v>
      </c>
      <c r="V3165" t="s">
        <v>4598</v>
      </c>
      <c r="Z3165">
        <v>4</v>
      </c>
      <c r="AA3165">
        <v>4</v>
      </c>
      <c r="AC3165">
        <v>453.52</v>
      </c>
      <c r="AD3165" s="54">
        <v>-1.1000000000000001</v>
      </c>
      <c r="AE3165" s="56">
        <v>453.5</v>
      </c>
      <c r="AF3165" s="54">
        <v>3.3</v>
      </c>
      <c r="AJ3165" t="s">
        <v>4760</v>
      </c>
      <c r="AK3165" t="s">
        <v>4855</v>
      </c>
      <c r="AN3165">
        <v>90</v>
      </c>
      <c r="AO3165">
        <v>1</v>
      </c>
      <c r="AP3165">
        <v>88</v>
      </c>
      <c r="AQ3165">
        <v>4.5</v>
      </c>
      <c r="AU3165" s="57" t="s">
        <v>4856</v>
      </c>
      <c r="AW3165" s="28">
        <f t="shared" si="323"/>
        <v>-0.61357199107789628</v>
      </c>
      <c r="AX3165">
        <f t="shared" si="324"/>
        <v>0.86956521739130432</v>
      </c>
      <c r="AY3165" s="62">
        <f t="shared" si="325"/>
        <v>-0.53354086180686633</v>
      </c>
      <c r="AZ3165" s="68" t="str">
        <f t="shared" si="326"/>
        <v>No</v>
      </c>
      <c r="BA3165" s="68" t="str">
        <f t="shared" si="327"/>
        <v>No</v>
      </c>
    </row>
    <row r="3166" spans="1:55" ht="15" hidden="1">
      <c r="A3166" t="s">
        <v>3914</v>
      </c>
      <c r="G3166" t="s">
        <v>4372</v>
      </c>
      <c r="P3166" t="s">
        <v>4596</v>
      </c>
      <c r="R3166" t="s">
        <v>4357</v>
      </c>
      <c r="S3166" t="s">
        <v>1784</v>
      </c>
      <c r="V3166" t="s">
        <v>4598</v>
      </c>
      <c r="Z3166">
        <v>3</v>
      </c>
      <c r="AA3166">
        <v>3</v>
      </c>
      <c r="AC3166">
        <v>440.81</v>
      </c>
      <c r="AD3166" s="54">
        <v>17.5</v>
      </c>
      <c r="AE3166">
        <v>333.6</v>
      </c>
      <c r="AF3166" s="54">
        <v>21.4</v>
      </c>
      <c r="AJ3166" t="s">
        <v>2020</v>
      </c>
      <c r="AK3166" t="s">
        <v>4855</v>
      </c>
      <c r="AN3166">
        <v>78</v>
      </c>
      <c r="AO3166">
        <v>5</v>
      </c>
      <c r="AP3166">
        <v>82</v>
      </c>
      <c r="AQ3166">
        <v>4.5</v>
      </c>
      <c r="AU3166" s="57" t="s">
        <v>4856</v>
      </c>
      <c r="AW3166" s="28">
        <f t="shared" si="323"/>
        <v>0.84094132996421878</v>
      </c>
      <c r="AX3166">
        <f t="shared" si="324"/>
        <v>0.8</v>
      </c>
      <c r="AY3166" s="73">
        <f t="shared" si="325"/>
        <v>0.67275306397137502</v>
      </c>
      <c r="AZ3166" s="74" t="str">
        <f t="shared" si="326"/>
        <v>No</v>
      </c>
      <c r="BA3166" s="74" t="str">
        <f t="shared" si="327"/>
        <v>No</v>
      </c>
      <c r="BB3166" s="56"/>
      <c r="BC3166" s="56"/>
    </row>
    <row r="3167" spans="1:55" ht="15" hidden="1">
      <c r="A3167" t="s">
        <v>3914</v>
      </c>
      <c r="G3167" t="s">
        <v>4372</v>
      </c>
      <c r="P3167" t="s">
        <v>4596</v>
      </c>
      <c r="R3167" t="s">
        <v>4357</v>
      </c>
      <c r="S3167" t="s">
        <v>1784</v>
      </c>
      <c r="V3167" t="s">
        <v>4600</v>
      </c>
      <c r="Z3167">
        <v>3</v>
      </c>
      <c r="AA3167">
        <v>3</v>
      </c>
      <c r="AC3167">
        <v>440.81</v>
      </c>
      <c r="AD3167" s="54">
        <v>17.5</v>
      </c>
      <c r="AE3167">
        <v>750.6</v>
      </c>
      <c r="AF3167" s="54">
        <v>21.4</v>
      </c>
      <c r="AJ3167" t="s">
        <v>2020</v>
      </c>
      <c r="AK3167" t="s">
        <v>4855</v>
      </c>
      <c r="AN3167">
        <v>78</v>
      </c>
      <c r="AO3167">
        <v>5</v>
      </c>
      <c r="AP3167">
        <v>80</v>
      </c>
      <c r="AQ3167">
        <v>4.5</v>
      </c>
      <c r="AU3167" s="57" t="s">
        <v>4856</v>
      </c>
      <c r="AW3167" s="28">
        <f t="shared" si="323"/>
        <v>0.42047066498210939</v>
      </c>
      <c r="AX3167">
        <f t="shared" si="324"/>
        <v>0.8</v>
      </c>
      <c r="AY3167" s="73">
        <f t="shared" si="325"/>
        <v>0.33637653198568751</v>
      </c>
      <c r="AZ3167" s="74" t="str">
        <f t="shared" si="326"/>
        <v>No</v>
      </c>
      <c r="BA3167" s="74" t="str">
        <f t="shared" si="327"/>
        <v>No</v>
      </c>
      <c r="BB3167" s="56"/>
      <c r="BC3167" s="56"/>
    </row>
    <row r="3168" spans="1:55" ht="15" hidden="1">
      <c r="A3168" t="s">
        <v>3914</v>
      </c>
      <c r="G3168" t="s">
        <v>4372</v>
      </c>
      <c r="P3168" t="s">
        <v>4596</v>
      </c>
      <c r="R3168" t="s">
        <v>4357</v>
      </c>
      <c r="S3168" t="s">
        <v>948</v>
      </c>
      <c r="V3168" t="s">
        <v>4598</v>
      </c>
      <c r="Z3168">
        <v>4</v>
      </c>
      <c r="AA3168">
        <v>4</v>
      </c>
      <c r="AC3168">
        <v>453.52</v>
      </c>
      <c r="AD3168" s="54">
        <v>-1.1000000000000001</v>
      </c>
      <c r="AE3168" s="56">
        <v>453.5</v>
      </c>
      <c r="AF3168" s="54">
        <v>3.3</v>
      </c>
      <c r="AJ3168" t="s">
        <v>4852</v>
      </c>
      <c r="AK3168" t="s">
        <v>4844</v>
      </c>
      <c r="AN3168">
        <v>88</v>
      </c>
      <c r="AO3168">
        <v>1</v>
      </c>
      <c r="AP3168">
        <v>54</v>
      </c>
      <c r="AQ3168">
        <v>4.5</v>
      </c>
      <c r="AU3168" s="57" t="s">
        <v>4856</v>
      </c>
      <c r="AW3168" s="28">
        <f t="shared" si="323"/>
        <v>-10.430723848324238</v>
      </c>
      <c r="AX3168">
        <f t="shared" si="324"/>
        <v>0.86956521739130432</v>
      </c>
      <c r="AY3168" s="62">
        <f t="shared" si="325"/>
        <v>-9.0701946507167293</v>
      </c>
      <c r="AZ3168" s="68" t="str">
        <f t="shared" si="326"/>
        <v>No</v>
      </c>
      <c r="BA3168" s="68" t="str">
        <f t="shared" si="327"/>
        <v>No</v>
      </c>
    </row>
    <row r="3169" spans="1:55" s="56" customFormat="1" ht="15" hidden="1">
      <c r="A3169" t="s">
        <v>3914</v>
      </c>
      <c r="B3169"/>
      <c r="C3169"/>
      <c r="D3169" s="25"/>
      <c r="E3169" s="25"/>
      <c r="F3169"/>
      <c r="G3169" t="s">
        <v>4372</v>
      </c>
      <c r="H3169"/>
      <c r="I3169"/>
      <c r="J3169"/>
      <c r="K3169"/>
      <c r="L3169"/>
      <c r="M3169" s="25"/>
      <c r="N3169"/>
      <c r="O3169"/>
      <c r="P3169" t="s">
        <v>4596</v>
      </c>
      <c r="Q3169"/>
      <c r="R3169" t="s">
        <v>4357</v>
      </c>
      <c r="S3169" t="s">
        <v>948</v>
      </c>
      <c r="T3169"/>
      <c r="U3169"/>
      <c r="V3169" t="s">
        <v>4600</v>
      </c>
      <c r="W3169" s="25"/>
      <c r="X3169"/>
      <c r="Y3169"/>
      <c r="Z3169">
        <v>4</v>
      </c>
      <c r="AA3169">
        <v>4</v>
      </c>
      <c r="AB3169"/>
      <c r="AC3169">
        <v>453.52</v>
      </c>
      <c r="AD3169" s="54">
        <v>-1.1000000000000001</v>
      </c>
      <c r="AE3169">
        <v>945.97</v>
      </c>
      <c r="AF3169" s="54">
        <v>3.3</v>
      </c>
      <c r="AG3169"/>
      <c r="AH3169"/>
      <c r="AI3169"/>
      <c r="AJ3169" t="s">
        <v>1827</v>
      </c>
      <c r="AK3169" t="s">
        <v>40</v>
      </c>
      <c r="AL3169" s="25"/>
      <c r="AM3169" s="35"/>
      <c r="AN3169">
        <v>347</v>
      </c>
      <c r="AO3169">
        <f>24*0.75</f>
        <v>18</v>
      </c>
      <c r="AP3169">
        <v>362</v>
      </c>
      <c r="AQ3169">
        <f>7*0.75</f>
        <v>5.25</v>
      </c>
      <c r="AR3169"/>
      <c r="AS3169"/>
      <c r="AT3169"/>
      <c r="AU3169"/>
      <c r="AV3169"/>
      <c r="AW3169" s="28">
        <f t="shared" si="323"/>
        <v>1.131370849898476</v>
      </c>
      <c r="AX3169">
        <f t="shared" si="324"/>
        <v>0.86956521739130432</v>
      </c>
      <c r="AY3169" s="62">
        <f t="shared" si="325"/>
        <v>0.98380073904215304</v>
      </c>
      <c r="AZ3169" s="68" t="str">
        <f t="shared" si="326"/>
        <v>No</v>
      </c>
      <c r="BA3169" s="68" t="str">
        <f t="shared" si="327"/>
        <v>No</v>
      </c>
      <c r="BB3169"/>
      <c r="BC3169"/>
    </row>
    <row r="3170" spans="1:55" hidden="1">
      <c r="A3170" t="s">
        <v>3914</v>
      </c>
      <c r="G3170" t="s">
        <v>4372</v>
      </c>
      <c r="P3170" t="s">
        <v>4596</v>
      </c>
      <c r="R3170" t="s">
        <v>4357</v>
      </c>
      <c r="S3170" t="s">
        <v>1784</v>
      </c>
      <c r="V3170" t="s">
        <v>4600</v>
      </c>
      <c r="Z3170">
        <v>3</v>
      </c>
      <c r="AA3170">
        <v>3</v>
      </c>
      <c r="AC3170">
        <v>440.81</v>
      </c>
      <c r="AD3170" s="54">
        <v>17.5</v>
      </c>
      <c r="AE3170">
        <v>750.6</v>
      </c>
      <c r="AF3170" s="54">
        <v>21.4</v>
      </c>
      <c r="AJ3170" t="s">
        <v>1827</v>
      </c>
      <c r="AK3170" t="s">
        <v>40</v>
      </c>
      <c r="AN3170">
        <v>258</v>
      </c>
      <c r="AO3170">
        <f>8*0.75</f>
        <v>6</v>
      </c>
      <c r="AP3170">
        <v>253</v>
      </c>
      <c r="AQ3170">
        <f>7*0.75</f>
        <v>5.25</v>
      </c>
      <c r="AW3170" s="28">
        <f t="shared" si="323"/>
        <v>-0.88692014031698574</v>
      </c>
      <c r="AX3170">
        <f t="shared" si="324"/>
        <v>0.8</v>
      </c>
      <c r="AY3170" s="62">
        <f t="shared" si="325"/>
        <v>-0.70953611225358859</v>
      </c>
      <c r="AZ3170" s="68" t="str">
        <f t="shared" si="326"/>
        <v>No</v>
      </c>
      <c r="BA3170" s="68" t="str">
        <f t="shared" si="327"/>
        <v>No</v>
      </c>
    </row>
    <row r="3171" spans="1:55" hidden="1">
      <c r="A3171" t="s">
        <v>3914</v>
      </c>
      <c r="G3171" t="s">
        <v>4372</v>
      </c>
      <c r="P3171" t="s">
        <v>60</v>
      </c>
      <c r="R3171" t="s">
        <v>4357</v>
      </c>
      <c r="S3171" t="s">
        <v>1783</v>
      </c>
      <c r="V3171" t="s">
        <v>3956</v>
      </c>
      <c r="Z3171">
        <v>3</v>
      </c>
      <c r="AA3171">
        <v>3</v>
      </c>
      <c r="AC3171">
        <v>412.73</v>
      </c>
      <c r="AD3171">
        <v>-0.5</v>
      </c>
      <c r="AE3171">
        <v>823</v>
      </c>
      <c r="AF3171">
        <v>-0.5</v>
      </c>
      <c r="AJ3171" t="s">
        <v>1827</v>
      </c>
      <c r="AK3171" t="s">
        <v>4244</v>
      </c>
      <c r="AN3171">
        <v>465</v>
      </c>
      <c r="AO3171">
        <v>3.75</v>
      </c>
      <c r="AP3171">
        <v>475</v>
      </c>
      <c r="AQ3171">
        <v>6</v>
      </c>
      <c r="AW3171" s="28">
        <f t="shared" si="323"/>
        <v>1.9987511706556305</v>
      </c>
      <c r="AX3171">
        <f t="shared" si="324"/>
        <v>0.8</v>
      </c>
      <c r="AY3171" s="62">
        <f t="shared" si="325"/>
        <v>1.5990009365245044</v>
      </c>
      <c r="AZ3171" s="68" t="str">
        <f t="shared" si="326"/>
        <v>No</v>
      </c>
      <c r="BA3171" s="68" t="str">
        <f t="shared" si="327"/>
        <v>No</v>
      </c>
    </row>
    <row r="3172" spans="1:55" hidden="1">
      <c r="A3172" t="s">
        <v>3914</v>
      </c>
      <c r="G3172" t="s">
        <v>4372</v>
      </c>
      <c r="P3172" t="s">
        <v>4596</v>
      </c>
      <c r="R3172" t="s">
        <v>4357</v>
      </c>
      <c r="S3172" t="s">
        <v>1785</v>
      </c>
      <c r="V3172" t="s">
        <v>4600</v>
      </c>
      <c r="Z3172">
        <v>3</v>
      </c>
      <c r="AA3172">
        <v>3</v>
      </c>
      <c r="AC3172">
        <v>564.66</v>
      </c>
      <c r="AD3172" s="54">
        <v>25.9</v>
      </c>
      <c r="AE3172">
        <v>803.9</v>
      </c>
      <c r="AF3172" s="54">
        <v>28.8</v>
      </c>
      <c r="AJ3172" t="s">
        <v>1827</v>
      </c>
      <c r="AK3172" t="s">
        <v>40</v>
      </c>
      <c r="AN3172">
        <v>237</v>
      </c>
      <c r="AO3172">
        <f>10*0.75</f>
        <v>7.5</v>
      </c>
      <c r="AP3172">
        <v>227</v>
      </c>
      <c r="AQ3172">
        <f>9*0.75</f>
        <v>6.75</v>
      </c>
      <c r="AW3172" s="28">
        <f t="shared" si="323"/>
        <v>-1.4015688832736979</v>
      </c>
      <c r="AX3172">
        <f t="shared" si="324"/>
        <v>0.8</v>
      </c>
      <c r="AY3172" s="62">
        <f t="shared" si="325"/>
        <v>-1.1212551066189584</v>
      </c>
      <c r="AZ3172" s="68" t="str">
        <f t="shared" si="326"/>
        <v>No</v>
      </c>
      <c r="BA3172" s="68" t="str">
        <f t="shared" si="327"/>
        <v>No</v>
      </c>
    </row>
    <row r="3173" spans="1:55" s="56" customFormat="1" ht="15" hidden="1">
      <c r="A3173" t="s">
        <v>3914</v>
      </c>
      <c r="B3173"/>
      <c r="C3173"/>
      <c r="D3173" s="25"/>
      <c r="E3173" s="25"/>
      <c r="F3173"/>
      <c r="G3173" t="s">
        <v>4372</v>
      </c>
      <c r="H3173"/>
      <c r="I3173"/>
      <c r="J3173"/>
      <c r="K3173"/>
      <c r="L3173"/>
      <c r="M3173" s="25"/>
      <c r="N3173"/>
      <c r="O3173"/>
      <c r="P3173" t="s">
        <v>4596</v>
      </c>
      <c r="Q3173"/>
      <c r="R3173" t="s">
        <v>4357</v>
      </c>
      <c r="S3173" t="s">
        <v>948</v>
      </c>
      <c r="T3173"/>
      <c r="U3173"/>
      <c r="V3173" t="s">
        <v>4600</v>
      </c>
      <c r="W3173" s="25"/>
      <c r="X3173"/>
      <c r="Y3173"/>
      <c r="Z3173">
        <v>3</v>
      </c>
      <c r="AA3173">
        <v>3</v>
      </c>
      <c r="AB3173"/>
      <c r="AC3173">
        <v>453.52</v>
      </c>
      <c r="AD3173" s="54">
        <v>-1.1000000000000001</v>
      </c>
      <c r="AE3173">
        <v>945.97</v>
      </c>
      <c r="AF3173" s="54">
        <v>3.3</v>
      </c>
      <c r="AG3173"/>
      <c r="AH3173"/>
      <c r="AI3173"/>
      <c r="AJ3173" t="s">
        <v>4499</v>
      </c>
      <c r="AK3173" t="s">
        <v>4844</v>
      </c>
      <c r="AL3173" s="25"/>
      <c r="AM3173" s="35"/>
      <c r="AN3173">
        <v>13.5</v>
      </c>
      <c r="AO3173">
        <f>10*0.75</f>
        <v>7.5</v>
      </c>
      <c r="AP3173">
        <v>12.8</v>
      </c>
      <c r="AQ3173">
        <f>10*0.75</f>
        <v>7.5</v>
      </c>
      <c r="AR3173"/>
      <c r="AS3173"/>
      <c r="AT3173"/>
      <c r="AU3173"/>
      <c r="AV3173"/>
      <c r="AW3173" s="28">
        <f t="shared" si="323"/>
        <v>-9.333333333333324E-2</v>
      </c>
      <c r="AX3173">
        <f t="shared" si="324"/>
        <v>0.8</v>
      </c>
      <c r="AY3173" s="62">
        <f t="shared" si="325"/>
        <v>-7.466666666666659E-2</v>
      </c>
      <c r="AZ3173" s="68" t="str">
        <f t="shared" si="326"/>
        <v>No</v>
      </c>
      <c r="BA3173" s="68" t="str">
        <f t="shared" si="327"/>
        <v>No</v>
      </c>
      <c r="BB3173"/>
      <c r="BC3173"/>
    </row>
    <row r="3174" spans="1:55" hidden="1">
      <c r="A3174" t="s">
        <v>3914</v>
      </c>
      <c r="G3174" t="s">
        <v>4372</v>
      </c>
      <c r="P3174" t="s">
        <v>60</v>
      </c>
      <c r="R3174" t="s">
        <v>4357</v>
      </c>
      <c r="S3174" t="s">
        <v>1784</v>
      </c>
      <c r="V3174" t="s">
        <v>3956</v>
      </c>
      <c r="Z3174">
        <v>3</v>
      </c>
      <c r="AA3174">
        <v>3</v>
      </c>
      <c r="AC3174">
        <v>440.81</v>
      </c>
      <c r="AD3174">
        <v>17</v>
      </c>
      <c r="AE3174">
        <v>911.74</v>
      </c>
      <c r="AF3174">
        <v>17</v>
      </c>
      <c r="AJ3174" t="s">
        <v>1827</v>
      </c>
      <c r="AK3174" t="s">
        <v>4244</v>
      </c>
      <c r="AN3174">
        <v>258</v>
      </c>
      <c r="AO3174">
        <v>6</v>
      </c>
      <c r="AP3174">
        <v>247</v>
      </c>
      <c r="AQ3174">
        <v>9.75</v>
      </c>
      <c r="AW3174" s="28">
        <f t="shared" si="323"/>
        <v>-1.3588404268620997</v>
      </c>
      <c r="AX3174">
        <f t="shared" si="324"/>
        <v>0.8</v>
      </c>
      <c r="AY3174" s="62">
        <f t="shared" si="325"/>
        <v>-1.0870723414896799</v>
      </c>
      <c r="AZ3174" s="68" t="str">
        <f t="shared" si="326"/>
        <v>No</v>
      </c>
      <c r="BA3174" s="68" t="str">
        <f t="shared" si="327"/>
        <v>No</v>
      </c>
    </row>
    <row r="3175" spans="1:55" hidden="1">
      <c r="A3175" t="s">
        <v>3914</v>
      </c>
      <c r="G3175" t="s">
        <v>4372</v>
      </c>
      <c r="P3175" t="s">
        <v>60</v>
      </c>
      <c r="R3175" t="s">
        <v>4357</v>
      </c>
      <c r="S3175" t="s">
        <v>1755</v>
      </c>
      <c r="V3175" t="s">
        <v>3956</v>
      </c>
      <c r="Z3175">
        <v>3</v>
      </c>
      <c r="AA3175">
        <v>3</v>
      </c>
      <c r="AC3175">
        <v>486.81</v>
      </c>
      <c r="AD3175">
        <v>17</v>
      </c>
      <c r="AE3175">
        <v>949.51</v>
      </c>
      <c r="AF3175">
        <v>17</v>
      </c>
      <c r="AJ3175" t="s">
        <v>1827</v>
      </c>
      <c r="AK3175" t="s">
        <v>4244</v>
      </c>
      <c r="AN3175">
        <v>540</v>
      </c>
      <c r="AO3175">
        <v>20.25</v>
      </c>
      <c r="AP3175">
        <v>515</v>
      </c>
      <c r="AQ3175">
        <v>11.25</v>
      </c>
      <c r="AW3175" s="28">
        <f t="shared" si="323"/>
        <v>-1.5262284883187669</v>
      </c>
      <c r="AX3175">
        <f t="shared" si="324"/>
        <v>0.8</v>
      </c>
      <c r="AY3175" s="62">
        <f t="shared" si="325"/>
        <v>-1.2209827906550137</v>
      </c>
      <c r="AZ3175" s="68" t="str">
        <f t="shared" si="326"/>
        <v>No</v>
      </c>
      <c r="BA3175" s="68" t="str">
        <f t="shared" si="327"/>
        <v>No</v>
      </c>
    </row>
    <row r="3176" spans="1:55" hidden="1">
      <c r="A3176" t="s">
        <v>3914</v>
      </c>
      <c r="G3176" t="s">
        <v>4372</v>
      </c>
      <c r="P3176" t="s">
        <v>4596</v>
      </c>
      <c r="R3176" t="s">
        <v>4357</v>
      </c>
      <c r="S3176" t="s">
        <v>1785</v>
      </c>
      <c r="V3176" t="s">
        <v>4598</v>
      </c>
      <c r="Z3176">
        <v>3</v>
      </c>
      <c r="AA3176">
        <v>3</v>
      </c>
      <c r="AC3176">
        <v>564.66</v>
      </c>
      <c r="AD3176" s="54">
        <v>25.9</v>
      </c>
      <c r="AE3176">
        <v>347.2</v>
      </c>
      <c r="AF3176" s="54">
        <v>28.8</v>
      </c>
      <c r="AJ3176" t="s">
        <v>1827</v>
      </c>
      <c r="AK3176" t="s">
        <v>40</v>
      </c>
      <c r="AN3176">
        <v>237</v>
      </c>
      <c r="AO3176">
        <f>10*0.75</f>
        <v>7.5</v>
      </c>
      <c r="AP3176">
        <v>238</v>
      </c>
      <c r="AQ3176">
        <f>17*0.75</f>
        <v>12.75</v>
      </c>
      <c r="AW3176" s="28">
        <f t="shared" si="323"/>
        <v>9.5604631917609956E-2</v>
      </c>
      <c r="AX3176">
        <f t="shared" si="324"/>
        <v>0.8</v>
      </c>
      <c r="AY3176" s="62">
        <f t="shared" si="325"/>
        <v>7.6483705534087967E-2</v>
      </c>
      <c r="AZ3176" s="68" t="str">
        <f t="shared" si="326"/>
        <v>No</v>
      </c>
      <c r="BA3176" s="68" t="str">
        <f t="shared" si="327"/>
        <v>No</v>
      </c>
    </row>
    <row r="3177" spans="1:55" s="56" customFormat="1" ht="15" hidden="1">
      <c r="A3177" t="s">
        <v>3914</v>
      </c>
      <c r="B3177"/>
      <c r="C3177"/>
      <c r="D3177" s="25"/>
      <c r="E3177" s="25"/>
      <c r="F3177"/>
      <c r="G3177" t="s">
        <v>4372</v>
      </c>
      <c r="H3177"/>
      <c r="I3177"/>
      <c r="J3177"/>
      <c r="K3177"/>
      <c r="L3177"/>
      <c r="M3177" s="25"/>
      <c r="N3177"/>
      <c r="O3177"/>
      <c r="P3177" t="s">
        <v>60</v>
      </c>
      <c r="Q3177"/>
      <c r="R3177" t="s">
        <v>4357</v>
      </c>
      <c r="S3177" t="s">
        <v>948</v>
      </c>
      <c r="T3177"/>
      <c r="U3177"/>
      <c r="V3177" t="s">
        <v>3956</v>
      </c>
      <c r="W3177" s="25"/>
      <c r="X3177"/>
      <c r="Y3177"/>
      <c r="Z3177">
        <v>4</v>
      </c>
      <c r="AA3177">
        <v>4</v>
      </c>
      <c r="AB3177"/>
      <c r="AC3177">
        <v>453.52</v>
      </c>
      <c r="AD3177">
        <v>-1.1000000000000001</v>
      </c>
      <c r="AE3177">
        <v>945.97</v>
      </c>
      <c r="AF3177">
        <v>-1.1000000000000001</v>
      </c>
      <c r="AG3177"/>
      <c r="AH3177"/>
      <c r="AI3177"/>
      <c r="AJ3177" t="s">
        <v>1827</v>
      </c>
      <c r="AK3177" t="s">
        <v>4244</v>
      </c>
      <c r="AL3177" s="25"/>
      <c r="AM3177" s="35"/>
      <c r="AN3177">
        <v>360</v>
      </c>
      <c r="AO3177">
        <v>17.25</v>
      </c>
      <c r="AP3177">
        <v>350</v>
      </c>
      <c r="AQ3177">
        <v>15</v>
      </c>
      <c r="AR3177"/>
      <c r="AS3177"/>
      <c r="AT3177"/>
      <c r="AU3177"/>
      <c r="AV3177"/>
      <c r="AW3177" s="28">
        <f t="shared" si="323"/>
        <v>-0.61865122532478811</v>
      </c>
      <c r="AX3177">
        <f t="shared" si="324"/>
        <v>0.86956521739130432</v>
      </c>
      <c r="AY3177" s="62">
        <f t="shared" si="325"/>
        <v>-0.53795758723894616</v>
      </c>
      <c r="AZ3177" s="68" t="str">
        <f t="shared" si="326"/>
        <v>No</v>
      </c>
      <c r="BA3177" s="68" t="str">
        <f t="shared" si="327"/>
        <v>No</v>
      </c>
      <c r="BB3177"/>
      <c r="BC3177"/>
    </row>
    <row r="3178" spans="1:55" hidden="1">
      <c r="A3178" t="s">
        <v>3914</v>
      </c>
      <c r="G3178" t="s">
        <v>4372</v>
      </c>
      <c r="P3178" t="s">
        <v>4596</v>
      </c>
      <c r="R3178" t="s">
        <v>4357</v>
      </c>
      <c r="S3178" t="s">
        <v>1784</v>
      </c>
      <c r="V3178" t="s">
        <v>4598</v>
      </c>
      <c r="Z3178">
        <v>3</v>
      </c>
      <c r="AA3178">
        <v>3</v>
      </c>
      <c r="AC3178">
        <v>440.81</v>
      </c>
      <c r="AD3178" s="54">
        <v>17.5</v>
      </c>
      <c r="AE3178">
        <v>333.6</v>
      </c>
      <c r="AF3178" s="54">
        <v>21.4</v>
      </c>
      <c r="AJ3178" t="s">
        <v>1827</v>
      </c>
      <c r="AK3178" t="s">
        <v>40</v>
      </c>
      <c r="AN3178">
        <v>258</v>
      </c>
      <c r="AO3178">
        <f>8*0.75</f>
        <v>6</v>
      </c>
      <c r="AP3178">
        <v>259</v>
      </c>
      <c r="AQ3178">
        <f>22*0.75</f>
        <v>16.5</v>
      </c>
      <c r="AW3178" s="28">
        <f t="shared" si="323"/>
        <v>8.0549612444023602E-2</v>
      </c>
      <c r="AX3178">
        <f t="shared" si="324"/>
        <v>0.8</v>
      </c>
      <c r="AY3178" s="62">
        <f t="shared" si="325"/>
        <v>6.4439689955218885E-2</v>
      </c>
      <c r="AZ3178" s="68" t="str">
        <f t="shared" si="326"/>
        <v>No</v>
      </c>
      <c r="BA3178" s="68" t="str">
        <f t="shared" si="327"/>
        <v>No</v>
      </c>
    </row>
    <row r="3179" spans="1:55" hidden="1">
      <c r="A3179" t="s">
        <v>3914</v>
      </c>
      <c r="G3179" t="s">
        <v>4372</v>
      </c>
      <c r="P3179" t="s">
        <v>4596</v>
      </c>
      <c r="R3179" t="s">
        <v>4357</v>
      </c>
      <c r="S3179" t="s">
        <v>1783</v>
      </c>
      <c r="V3179" t="s">
        <v>4600</v>
      </c>
      <c r="Z3179">
        <v>3</v>
      </c>
      <c r="AA3179">
        <v>3</v>
      </c>
      <c r="AC3179">
        <v>412.73</v>
      </c>
      <c r="AD3179" s="54">
        <v>-0.5</v>
      </c>
      <c r="AE3179">
        <v>702.1</v>
      </c>
      <c r="AF3179" s="54">
        <v>3.1</v>
      </c>
      <c r="AJ3179" t="s">
        <v>1827</v>
      </c>
      <c r="AK3179" t="s">
        <v>40</v>
      </c>
      <c r="AN3179">
        <v>458</v>
      </c>
      <c r="AO3179">
        <f>3*0.75</f>
        <v>2.25</v>
      </c>
      <c r="AP3179">
        <v>470</v>
      </c>
      <c r="AQ3179">
        <f>25*0.75</f>
        <v>18.75</v>
      </c>
      <c r="AW3179" s="28">
        <f t="shared" si="323"/>
        <v>0.89864953008276871</v>
      </c>
      <c r="AX3179">
        <f t="shared" si="324"/>
        <v>0.8</v>
      </c>
      <c r="AY3179" s="62">
        <f t="shared" si="325"/>
        <v>0.71891962406621501</v>
      </c>
      <c r="AZ3179" s="68" t="str">
        <f t="shared" si="326"/>
        <v>No</v>
      </c>
      <c r="BA3179" s="68" t="str">
        <f t="shared" si="327"/>
        <v>No</v>
      </c>
    </row>
    <row r="3180" spans="1:55" hidden="1">
      <c r="A3180" t="s">
        <v>3914</v>
      </c>
      <c r="G3180" t="s">
        <v>4372</v>
      </c>
      <c r="P3180" t="s">
        <v>4596</v>
      </c>
      <c r="R3180" t="s">
        <v>4357</v>
      </c>
      <c r="S3180" t="s">
        <v>1755</v>
      </c>
      <c r="V3180" t="s">
        <v>4598</v>
      </c>
      <c r="Z3180">
        <v>3</v>
      </c>
      <c r="AA3180">
        <v>3</v>
      </c>
      <c r="AC3180">
        <v>335.2</v>
      </c>
      <c r="AD3180" s="54">
        <v>17.7</v>
      </c>
      <c r="AE3180">
        <v>333.7</v>
      </c>
      <c r="AF3180" s="54">
        <v>21.3</v>
      </c>
      <c r="AJ3180" t="s">
        <v>1827</v>
      </c>
      <c r="AK3180" t="s">
        <v>40</v>
      </c>
      <c r="AN3180">
        <v>525</v>
      </c>
      <c r="AO3180">
        <f>36*0.75</f>
        <v>27</v>
      </c>
      <c r="AP3180">
        <v>525</v>
      </c>
      <c r="AQ3180">
        <f>28*0.75</f>
        <v>21</v>
      </c>
      <c r="AW3180" s="28">
        <f t="shared" si="323"/>
        <v>0</v>
      </c>
      <c r="AX3180">
        <f t="shared" si="324"/>
        <v>0.8</v>
      </c>
      <c r="AY3180" s="62">
        <f t="shared" si="325"/>
        <v>0</v>
      </c>
      <c r="AZ3180" s="68" t="str">
        <f t="shared" si="326"/>
        <v>No</v>
      </c>
      <c r="BA3180" s="68" t="str">
        <f t="shared" si="327"/>
        <v>No</v>
      </c>
    </row>
    <row r="3181" spans="1:55" ht="15" hidden="1">
      <c r="A3181" t="s">
        <v>3914</v>
      </c>
      <c r="G3181" t="s">
        <v>4372</v>
      </c>
      <c r="P3181" t="s">
        <v>4596</v>
      </c>
      <c r="R3181" t="s">
        <v>4357</v>
      </c>
      <c r="S3181" t="s">
        <v>1755</v>
      </c>
      <c r="V3181" t="s">
        <v>4600</v>
      </c>
      <c r="Z3181">
        <v>3</v>
      </c>
      <c r="AA3181">
        <v>3</v>
      </c>
      <c r="AC3181">
        <v>335.2</v>
      </c>
      <c r="AD3181" s="54">
        <v>17.7</v>
      </c>
      <c r="AE3181">
        <v>750.5</v>
      </c>
      <c r="AF3181" s="54">
        <v>21.3</v>
      </c>
      <c r="AJ3181" t="s">
        <v>1827</v>
      </c>
      <c r="AK3181" t="s">
        <v>40</v>
      </c>
      <c r="AN3181">
        <v>525</v>
      </c>
      <c r="AO3181">
        <f>36*0.75</f>
        <v>27</v>
      </c>
      <c r="AP3181">
        <v>537</v>
      </c>
      <c r="AQ3181">
        <f>40*0.75</f>
        <v>30</v>
      </c>
      <c r="AW3181" s="28">
        <f t="shared" si="323"/>
        <v>0.42047066498210939</v>
      </c>
      <c r="AX3181">
        <f t="shared" si="324"/>
        <v>0.8</v>
      </c>
      <c r="AY3181" s="73">
        <f t="shared" si="325"/>
        <v>0.33637653198568751</v>
      </c>
      <c r="AZ3181" s="74" t="str">
        <f t="shared" si="326"/>
        <v>No</v>
      </c>
      <c r="BA3181" s="74" t="str">
        <f t="shared" si="327"/>
        <v>No</v>
      </c>
      <c r="BB3181" s="56"/>
      <c r="BC3181" s="56"/>
    </row>
    <row r="3182" spans="1:55" hidden="1">
      <c r="A3182" t="s">
        <v>3914</v>
      </c>
      <c r="G3182" t="s">
        <v>4191</v>
      </c>
      <c r="P3182" t="s">
        <v>60</v>
      </c>
      <c r="R3182" t="s">
        <v>4116</v>
      </c>
      <c r="S3182" t="s">
        <v>1075</v>
      </c>
      <c r="V3182" t="s">
        <v>3956</v>
      </c>
      <c r="Z3182">
        <v>6</v>
      </c>
      <c r="AA3182">
        <v>6</v>
      </c>
      <c r="AC3182">
        <v>345</v>
      </c>
      <c r="AD3182">
        <v>15.6</v>
      </c>
      <c r="AE3182">
        <v>1209</v>
      </c>
      <c r="AF3182">
        <v>15.6</v>
      </c>
      <c r="AJ3182" t="s">
        <v>4218</v>
      </c>
      <c r="AK3182" t="s">
        <v>4244</v>
      </c>
      <c r="AN3182">
        <v>106.4</v>
      </c>
      <c r="AO3182">
        <v>0.7</v>
      </c>
      <c r="AP3182">
        <v>110.5</v>
      </c>
      <c r="AQ3182">
        <v>0.7</v>
      </c>
      <c r="AW3182" s="28">
        <f t="shared" si="323"/>
        <v>5.8571428571428497</v>
      </c>
      <c r="AX3182">
        <f t="shared" si="324"/>
        <v>0.92307692307692313</v>
      </c>
      <c r="AY3182" s="62">
        <f t="shared" si="325"/>
        <v>5.4065934065933998</v>
      </c>
      <c r="AZ3182" s="68" t="str">
        <f t="shared" si="326"/>
        <v>No</v>
      </c>
      <c r="BA3182" s="68" t="str">
        <f t="shared" si="327"/>
        <v>No</v>
      </c>
    </row>
    <row r="3183" spans="1:55" hidden="1">
      <c r="A3183" t="s">
        <v>3914</v>
      </c>
      <c r="G3183" t="s">
        <v>5086</v>
      </c>
      <c r="P3183" t="s">
        <v>60</v>
      </c>
      <c r="R3183" t="s">
        <v>4509</v>
      </c>
      <c r="S3183" t="s">
        <v>1750</v>
      </c>
      <c r="V3183" t="s">
        <v>3956</v>
      </c>
      <c r="Z3183">
        <v>6</v>
      </c>
      <c r="AA3183">
        <v>6</v>
      </c>
      <c r="AC3183">
        <v>400</v>
      </c>
      <c r="AD3183">
        <v>20</v>
      </c>
      <c r="AE3183">
        <v>1200</v>
      </c>
      <c r="AF3183">
        <v>20</v>
      </c>
      <c r="AJ3183" t="s">
        <v>4532</v>
      </c>
      <c r="AK3183" t="s">
        <v>4537</v>
      </c>
      <c r="AN3183">
        <v>6.6</v>
      </c>
      <c r="AO3183">
        <v>0.2449489742783178</v>
      </c>
      <c r="AP3183">
        <v>6</v>
      </c>
      <c r="AQ3183">
        <v>0.26944387170614958</v>
      </c>
      <c r="AW3183" s="28">
        <f t="shared" si="323"/>
        <v>-2.3302069121418509</v>
      </c>
      <c r="AX3183">
        <f t="shared" si="324"/>
        <v>0.92307692307692313</v>
      </c>
      <c r="AY3183" s="78">
        <f t="shared" si="325"/>
        <v>-2.1509602265924781</v>
      </c>
      <c r="AZ3183" s="79" t="str">
        <f t="shared" si="326"/>
        <v>No</v>
      </c>
      <c r="BA3183" s="79" t="str">
        <f t="shared" si="327"/>
        <v>No</v>
      </c>
      <c r="BB3183" s="77"/>
      <c r="BC3183" s="77"/>
    </row>
    <row r="3184" spans="1:55" hidden="1">
      <c r="A3184" t="s">
        <v>3914</v>
      </c>
      <c r="G3184" t="s">
        <v>4152</v>
      </c>
      <c r="P3184" t="s">
        <v>60</v>
      </c>
      <c r="R3184" t="s">
        <v>4116</v>
      </c>
      <c r="S3184" t="s">
        <v>1076</v>
      </c>
      <c r="V3184" t="s">
        <v>3956</v>
      </c>
      <c r="Z3184">
        <v>3</v>
      </c>
      <c r="AA3184">
        <v>3</v>
      </c>
      <c r="AC3184">
        <v>400</v>
      </c>
      <c r="AD3184">
        <v>22</v>
      </c>
      <c r="AE3184">
        <v>800</v>
      </c>
      <c r="AF3184">
        <v>22</v>
      </c>
      <c r="AJ3184" t="s">
        <v>4165</v>
      </c>
      <c r="AK3184" t="s">
        <v>4151</v>
      </c>
      <c r="AN3184">
        <v>0</v>
      </c>
      <c r="AO3184">
        <v>0</v>
      </c>
      <c r="AP3184">
        <v>3.3</v>
      </c>
      <c r="AQ3184">
        <v>0.8</v>
      </c>
      <c r="AW3184" s="28">
        <f t="shared" si="323"/>
        <v>5.8336309447890153</v>
      </c>
      <c r="AX3184">
        <f t="shared" si="324"/>
        <v>0.8</v>
      </c>
      <c r="AY3184" s="62">
        <f t="shared" si="325"/>
        <v>4.6669047558312124</v>
      </c>
      <c r="AZ3184" s="68" t="str">
        <f t="shared" si="326"/>
        <v>No</v>
      </c>
      <c r="BA3184" s="68" t="str">
        <f t="shared" si="327"/>
        <v>No</v>
      </c>
    </row>
    <row r="3185" spans="1:55" hidden="1">
      <c r="A3185" t="s">
        <v>3914</v>
      </c>
      <c r="G3185" t="s">
        <v>4152</v>
      </c>
      <c r="P3185" t="s">
        <v>60</v>
      </c>
      <c r="R3185" t="s">
        <v>4116</v>
      </c>
      <c r="S3185" t="s">
        <v>1076</v>
      </c>
      <c r="V3185" t="s">
        <v>3956</v>
      </c>
      <c r="Z3185">
        <v>3</v>
      </c>
      <c r="AA3185">
        <v>3</v>
      </c>
      <c r="AC3185">
        <v>400</v>
      </c>
      <c r="AD3185">
        <v>22</v>
      </c>
      <c r="AE3185">
        <v>800</v>
      </c>
      <c r="AF3185">
        <v>22</v>
      </c>
      <c r="AJ3185" t="s">
        <v>4164</v>
      </c>
      <c r="AK3185" t="s">
        <v>4151</v>
      </c>
      <c r="AN3185">
        <v>1.3</v>
      </c>
      <c r="AO3185">
        <v>1.3</v>
      </c>
      <c r="AP3185">
        <v>9.1999999999999993</v>
      </c>
      <c r="AQ3185">
        <v>1.3</v>
      </c>
      <c r="AW3185" s="28">
        <f t="shared" si="323"/>
        <v>6.0769230769230766</v>
      </c>
      <c r="AX3185">
        <f t="shared" si="324"/>
        <v>0.8</v>
      </c>
      <c r="AY3185" s="62">
        <f t="shared" si="325"/>
        <v>4.861538461538462</v>
      </c>
      <c r="AZ3185" s="68" t="str">
        <f t="shared" si="326"/>
        <v>No</v>
      </c>
      <c r="BA3185" s="68" t="str">
        <f t="shared" si="327"/>
        <v>No</v>
      </c>
    </row>
    <row r="3186" spans="1:55" hidden="1">
      <c r="A3186" t="s">
        <v>3914</v>
      </c>
      <c r="G3186" t="s">
        <v>4152</v>
      </c>
      <c r="P3186" t="s">
        <v>60</v>
      </c>
      <c r="R3186" t="s">
        <v>4116</v>
      </c>
      <c r="S3186" t="s">
        <v>1076</v>
      </c>
      <c r="V3186" t="s">
        <v>3956</v>
      </c>
      <c r="Z3186">
        <v>3</v>
      </c>
      <c r="AA3186">
        <v>3</v>
      </c>
      <c r="AC3186">
        <v>400</v>
      </c>
      <c r="AD3186">
        <v>22</v>
      </c>
      <c r="AE3186">
        <v>800</v>
      </c>
      <c r="AF3186">
        <v>22</v>
      </c>
      <c r="AJ3186" t="s">
        <v>4218</v>
      </c>
      <c r="AK3186" t="s">
        <v>4244</v>
      </c>
      <c r="AN3186">
        <v>244</v>
      </c>
      <c r="AO3186">
        <v>6</v>
      </c>
      <c r="AP3186">
        <v>226</v>
      </c>
      <c r="AQ3186">
        <v>4</v>
      </c>
      <c r="AW3186" s="28">
        <f t="shared" si="323"/>
        <v>-3.530090432487313</v>
      </c>
      <c r="AX3186">
        <f t="shared" si="324"/>
        <v>0.8</v>
      </c>
      <c r="AY3186" s="62">
        <f t="shared" si="325"/>
        <v>-2.8240723459898507</v>
      </c>
      <c r="AZ3186" s="68" t="str">
        <f t="shared" si="326"/>
        <v>No</v>
      </c>
      <c r="BA3186" s="68" t="str">
        <f t="shared" si="327"/>
        <v>No</v>
      </c>
    </row>
    <row r="3187" spans="1:55" hidden="1">
      <c r="A3187" t="s">
        <v>3914</v>
      </c>
      <c r="G3187" t="s">
        <v>4288</v>
      </c>
      <c r="P3187" t="s">
        <v>60</v>
      </c>
      <c r="R3187" t="s">
        <v>4286</v>
      </c>
      <c r="S3187" t="s">
        <v>4289</v>
      </c>
      <c r="V3187" t="s">
        <v>3956</v>
      </c>
      <c r="Z3187">
        <v>3</v>
      </c>
      <c r="AA3187">
        <v>3</v>
      </c>
      <c r="AC3187">
        <v>405.6</v>
      </c>
      <c r="AD3187">
        <v>20.3</v>
      </c>
      <c r="AE3187">
        <v>859.4</v>
      </c>
      <c r="AF3187">
        <v>20.3</v>
      </c>
      <c r="AJ3187" t="s">
        <v>1813</v>
      </c>
      <c r="AK3187" t="s">
        <v>4093</v>
      </c>
      <c r="AN3187">
        <v>97.5</v>
      </c>
      <c r="AO3187">
        <v>1.5</v>
      </c>
      <c r="AP3187">
        <v>98</v>
      </c>
      <c r="AQ3187">
        <v>0</v>
      </c>
      <c r="AW3187" s="28">
        <f t="shared" si="323"/>
        <v>0.47140452079103173</v>
      </c>
      <c r="AX3187">
        <f t="shared" si="324"/>
        <v>0.8</v>
      </c>
      <c r="AY3187" s="62">
        <f t="shared" si="325"/>
        <v>0.3771236166328254</v>
      </c>
      <c r="AZ3187" s="68" t="str">
        <f t="shared" si="326"/>
        <v>No</v>
      </c>
      <c r="BA3187" s="68" t="str">
        <f t="shared" si="327"/>
        <v>No</v>
      </c>
    </row>
    <row r="3188" spans="1:55" hidden="1">
      <c r="A3188" t="s">
        <v>3914</v>
      </c>
      <c r="G3188" t="s">
        <v>4288</v>
      </c>
      <c r="P3188" t="s">
        <v>60</v>
      </c>
      <c r="R3188" t="s">
        <v>4286</v>
      </c>
      <c r="S3188" t="s">
        <v>4289</v>
      </c>
      <c r="V3188" t="s">
        <v>3956</v>
      </c>
      <c r="Z3188">
        <v>3</v>
      </c>
      <c r="AA3188">
        <v>3</v>
      </c>
      <c r="AC3188">
        <v>405.6</v>
      </c>
      <c r="AD3188">
        <v>20.3</v>
      </c>
      <c r="AE3188">
        <v>859.4</v>
      </c>
      <c r="AF3188">
        <v>20.3</v>
      </c>
      <c r="AJ3188" t="s">
        <v>4122</v>
      </c>
      <c r="AK3188" t="s">
        <v>4093</v>
      </c>
      <c r="AN3188">
        <v>77</v>
      </c>
      <c r="AO3188">
        <v>5</v>
      </c>
      <c r="AP3188">
        <v>92</v>
      </c>
      <c r="AQ3188">
        <v>0.5</v>
      </c>
      <c r="AW3188" s="28">
        <f t="shared" si="323"/>
        <v>4.2215852683817516</v>
      </c>
      <c r="AX3188">
        <f t="shared" si="324"/>
        <v>0.8</v>
      </c>
      <c r="AY3188" s="62">
        <f t="shared" si="325"/>
        <v>3.3772682147054014</v>
      </c>
      <c r="AZ3188" s="68" t="str">
        <f t="shared" si="326"/>
        <v>No</v>
      </c>
      <c r="BA3188" s="68" t="str">
        <f t="shared" si="327"/>
        <v>No</v>
      </c>
    </row>
    <row r="3189" spans="1:55" hidden="1">
      <c r="A3189" t="s">
        <v>3914</v>
      </c>
      <c r="G3189" t="s">
        <v>4288</v>
      </c>
      <c r="P3189" t="s">
        <v>60</v>
      </c>
      <c r="R3189" t="s">
        <v>4286</v>
      </c>
      <c r="S3189" t="s">
        <v>4289</v>
      </c>
      <c r="V3189" t="s">
        <v>3956</v>
      </c>
      <c r="Z3189">
        <v>3</v>
      </c>
      <c r="AA3189">
        <v>3</v>
      </c>
      <c r="AC3189">
        <v>428.1</v>
      </c>
      <c r="AD3189">
        <v>19.2</v>
      </c>
      <c r="AE3189">
        <v>1589.5</v>
      </c>
      <c r="AF3189">
        <v>19</v>
      </c>
      <c r="AJ3189" t="s">
        <v>4065</v>
      </c>
      <c r="AK3189" t="s">
        <v>4258</v>
      </c>
      <c r="AN3189">
        <v>98.75</v>
      </c>
      <c r="AO3189">
        <v>1.25</v>
      </c>
      <c r="AP3189">
        <v>92.5</v>
      </c>
      <c r="AQ3189">
        <v>1.5</v>
      </c>
      <c r="AW3189" s="28">
        <f t="shared" si="323"/>
        <v>-4.5267873021259266</v>
      </c>
      <c r="AX3189">
        <f t="shared" si="324"/>
        <v>0.8</v>
      </c>
      <c r="AY3189" s="62">
        <f t="shared" si="325"/>
        <v>-3.6214298417007416</v>
      </c>
      <c r="AZ3189" s="68" t="str">
        <f t="shared" si="326"/>
        <v>No</v>
      </c>
      <c r="BA3189" s="68" t="str">
        <f t="shared" si="327"/>
        <v>No</v>
      </c>
    </row>
    <row r="3190" spans="1:55" hidden="1">
      <c r="A3190" t="s">
        <v>3914</v>
      </c>
      <c r="G3190" t="s">
        <v>4288</v>
      </c>
      <c r="P3190" t="s">
        <v>60</v>
      </c>
      <c r="R3190" t="s">
        <v>4286</v>
      </c>
      <c r="S3190" t="s">
        <v>4289</v>
      </c>
      <c r="V3190" t="s">
        <v>3956</v>
      </c>
      <c r="Z3190">
        <v>3</v>
      </c>
      <c r="AA3190">
        <v>3</v>
      </c>
      <c r="AC3190">
        <v>405.6</v>
      </c>
      <c r="AD3190">
        <v>20.3</v>
      </c>
      <c r="AE3190">
        <v>859.4</v>
      </c>
      <c r="AF3190">
        <v>20.3</v>
      </c>
      <c r="AJ3190" t="s">
        <v>1106</v>
      </c>
      <c r="AK3190" t="s">
        <v>4244</v>
      </c>
      <c r="AN3190">
        <v>284</v>
      </c>
      <c r="AO3190">
        <v>1</v>
      </c>
      <c r="AP3190">
        <v>282</v>
      </c>
      <c r="AQ3190">
        <v>2</v>
      </c>
      <c r="AW3190" s="28">
        <f t="shared" si="323"/>
        <v>-1.2649110640673518</v>
      </c>
      <c r="AX3190">
        <f t="shared" si="324"/>
        <v>0.8</v>
      </c>
      <c r="AY3190" s="62">
        <f t="shared" si="325"/>
        <v>-1.0119288512538815</v>
      </c>
      <c r="AZ3190" s="68" t="str">
        <f t="shared" si="326"/>
        <v>No</v>
      </c>
      <c r="BA3190" s="68" t="str">
        <f t="shared" si="327"/>
        <v>No</v>
      </c>
    </row>
    <row r="3191" spans="1:55" hidden="1">
      <c r="A3191" t="s">
        <v>3914</v>
      </c>
      <c r="G3191" t="s">
        <v>4288</v>
      </c>
      <c r="P3191" t="s">
        <v>60</v>
      </c>
      <c r="R3191" t="s">
        <v>4286</v>
      </c>
      <c r="S3191" t="s">
        <v>4289</v>
      </c>
      <c r="V3191" t="s">
        <v>3956</v>
      </c>
      <c r="Z3191">
        <v>3</v>
      </c>
      <c r="AA3191">
        <v>3</v>
      </c>
      <c r="AC3191">
        <v>405.6</v>
      </c>
      <c r="AD3191">
        <v>20.3</v>
      </c>
      <c r="AE3191">
        <v>859.4</v>
      </c>
      <c r="AF3191">
        <v>20.3</v>
      </c>
      <c r="AJ3191" t="s">
        <v>4308</v>
      </c>
      <c r="AK3191" t="s">
        <v>4151</v>
      </c>
      <c r="AN3191">
        <v>3</v>
      </c>
      <c r="AO3191">
        <v>0.5</v>
      </c>
      <c r="AP3191">
        <v>12.8</v>
      </c>
      <c r="AQ3191">
        <v>2.2000000000000002</v>
      </c>
      <c r="AW3191" s="28">
        <f t="shared" si="323"/>
        <v>6.143023579910782</v>
      </c>
      <c r="AX3191">
        <f t="shared" si="324"/>
        <v>0.8</v>
      </c>
      <c r="AY3191" s="62">
        <f t="shared" si="325"/>
        <v>4.9144188639286259</v>
      </c>
      <c r="AZ3191" s="68" t="str">
        <f t="shared" si="326"/>
        <v>No</v>
      </c>
      <c r="BA3191" s="68" t="str">
        <f t="shared" si="327"/>
        <v>No</v>
      </c>
    </row>
    <row r="3192" spans="1:55" hidden="1">
      <c r="A3192" t="s">
        <v>3914</v>
      </c>
      <c r="G3192" t="s">
        <v>4288</v>
      </c>
      <c r="P3192" t="s">
        <v>60</v>
      </c>
      <c r="R3192" t="s">
        <v>4286</v>
      </c>
      <c r="S3192" t="s">
        <v>4289</v>
      </c>
      <c r="V3192" t="s">
        <v>3956</v>
      </c>
      <c r="Z3192">
        <v>3</v>
      </c>
      <c r="AA3192">
        <v>3</v>
      </c>
      <c r="AC3192">
        <v>405.6</v>
      </c>
      <c r="AD3192">
        <v>20.3</v>
      </c>
      <c r="AE3192">
        <v>859.4</v>
      </c>
      <c r="AF3192">
        <v>20.3</v>
      </c>
      <c r="AJ3192" t="s">
        <v>1813</v>
      </c>
      <c r="AK3192" t="s">
        <v>4093</v>
      </c>
      <c r="AN3192">
        <v>85</v>
      </c>
      <c r="AO3192">
        <v>6</v>
      </c>
      <c r="AP3192">
        <v>67</v>
      </c>
      <c r="AQ3192">
        <v>2.5</v>
      </c>
      <c r="AW3192" s="28">
        <f t="shared" si="323"/>
        <v>-3.9162837111870328</v>
      </c>
      <c r="AX3192">
        <f t="shared" si="324"/>
        <v>0.8</v>
      </c>
      <c r="AY3192" s="62">
        <f t="shared" si="325"/>
        <v>-3.1330269689496264</v>
      </c>
      <c r="AZ3192" s="68" t="str">
        <f t="shared" si="326"/>
        <v>No</v>
      </c>
      <c r="BA3192" s="68" t="str">
        <f t="shared" si="327"/>
        <v>No</v>
      </c>
    </row>
    <row r="3193" spans="1:55" hidden="1">
      <c r="A3193" t="s">
        <v>3914</v>
      </c>
      <c r="G3193" t="s">
        <v>4984</v>
      </c>
      <c r="P3193" t="s">
        <v>60</v>
      </c>
      <c r="R3193" t="s">
        <v>4286</v>
      </c>
      <c r="S3193" t="s">
        <v>4289</v>
      </c>
      <c r="V3193" t="s">
        <v>3956</v>
      </c>
      <c r="Z3193">
        <v>3</v>
      </c>
      <c r="AA3193">
        <v>3</v>
      </c>
      <c r="AC3193">
        <v>428.1</v>
      </c>
      <c r="AD3193">
        <v>19.2</v>
      </c>
      <c r="AE3193">
        <v>1029.5999999999999</v>
      </c>
      <c r="AF3193">
        <v>18.8</v>
      </c>
      <c r="AJ3193" t="s">
        <v>4065</v>
      </c>
      <c r="AK3193" t="s">
        <v>4258</v>
      </c>
      <c r="AN3193">
        <v>98.75</v>
      </c>
      <c r="AO3193">
        <v>1.25</v>
      </c>
      <c r="AP3193">
        <v>96.5</v>
      </c>
      <c r="AQ3193">
        <v>2.5</v>
      </c>
      <c r="AW3193" s="28">
        <f t="shared" si="323"/>
        <v>-1.1384199576606167</v>
      </c>
      <c r="AX3193">
        <f t="shared" si="324"/>
        <v>0.8</v>
      </c>
      <c r="AY3193" s="62">
        <f t="shared" si="325"/>
        <v>-0.91073596612849339</v>
      </c>
      <c r="AZ3193" s="68" t="str">
        <f t="shared" si="326"/>
        <v>No</v>
      </c>
      <c r="BA3193" s="68" t="str">
        <f t="shared" si="327"/>
        <v>No</v>
      </c>
    </row>
    <row r="3194" spans="1:55" hidden="1">
      <c r="A3194" t="s">
        <v>3914</v>
      </c>
      <c r="G3194" t="s">
        <v>4288</v>
      </c>
      <c r="P3194" t="s">
        <v>60</v>
      </c>
      <c r="R3194" t="s">
        <v>4286</v>
      </c>
      <c r="S3194" t="s">
        <v>4289</v>
      </c>
      <c r="V3194" t="s">
        <v>3956</v>
      </c>
      <c r="Z3194">
        <v>3</v>
      </c>
      <c r="AA3194">
        <v>3</v>
      </c>
      <c r="AC3194">
        <v>405.6</v>
      </c>
      <c r="AD3194">
        <v>20.3</v>
      </c>
      <c r="AE3194">
        <v>859.4</v>
      </c>
      <c r="AF3194">
        <v>20.3</v>
      </c>
      <c r="AJ3194" t="s">
        <v>1106</v>
      </c>
      <c r="AK3194" t="s">
        <v>4244</v>
      </c>
      <c r="AN3194">
        <v>284</v>
      </c>
      <c r="AO3194">
        <v>1</v>
      </c>
      <c r="AP3194">
        <v>271</v>
      </c>
      <c r="AQ3194">
        <v>4</v>
      </c>
      <c r="AW3194" s="28">
        <f t="shared" si="323"/>
        <v>-4.4589632137052293</v>
      </c>
      <c r="AX3194">
        <f t="shared" si="324"/>
        <v>0.8</v>
      </c>
      <c r="AY3194" s="62">
        <f t="shared" si="325"/>
        <v>-3.5671705709641834</v>
      </c>
      <c r="AZ3194" s="68" t="str">
        <f t="shared" si="326"/>
        <v>No</v>
      </c>
      <c r="BA3194" s="68" t="str">
        <f t="shared" si="327"/>
        <v>No</v>
      </c>
    </row>
    <row r="3195" spans="1:55" hidden="1">
      <c r="A3195" t="s">
        <v>3914</v>
      </c>
      <c r="G3195" t="s">
        <v>4288</v>
      </c>
      <c r="P3195" t="s">
        <v>60</v>
      </c>
      <c r="R3195" t="s">
        <v>4286</v>
      </c>
      <c r="S3195" t="s">
        <v>4289</v>
      </c>
      <c r="V3195" t="s">
        <v>3956</v>
      </c>
      <c r="Z3195">
        <v>3</v>
      </c>
      <c r="AA3195">
        <v>3</v>
      </c>
      <c r="AC3195">
        <v>405.6</v>
      </c>
      <c r="AD3195">
        <v>20.3</v>
      </c>
      <c r="AE3195">
        <v>859.4</v>
      </c>
      <c r="AF3195">
        <v>20.3</v>
      </c>
      <c r="AJ3195" t="s">
        <v>4122</v>
      </c>
      <c r="AK3195" t="s">
        <v>4093</v>
      </c>
      <c r="AN3195">
        <v>53.5</v>
      </c>
      <c r="AO3195">
        <v>8.5</v>
      </c>
      <c r="AP3195">
        <v>19</v>
      </c>
      <c r="AQ3195">
        <v>6</v>
      </c>
      <c r="AW3195" s="28">
        <f t="shared" si="323"/>
        <v>-4.6894308956110358</v>
      </c>
      <c r="AX3195">
        <f t="shared" si="324"/>
        <v>0.8</v>
      </c>
      <c r="AY3195" s="62">
        <f t="shared" si="325"/>
        <v>-3.7515447164888287</v>
      </c>
      <c r="AZ3195" s="68" t="str">
        <f t="shared" si="326"/>
        <v>No</v>
      </c>
      <c r="BA3195" s="68" t="str">
        <f t="shared" si="327"/>
        <v>No</v>
      </c>
    </row>
    <row r="3196" spans="1:55" hidden="1">
      <c r="A3196" t="s">
        <v>3914</v>
      </c>
      <c r="G3196" t="s">
        <v>4288</v>
      </c>
      <c r="P3196" t="s">
        <v>60</v>
      </c>
      <c r="R3196" t="s">
        <v>4286</v>
      </c>
      <c r="S3196" t="s">
        <v>4289</v>
      </c>
      <c r="V3196" t="s">
        <v>3956</v>
      </c>
      <c r="Z3196">
        <v>3</v>
      </c>
      <c r="AA3196">
        <v>3</v>
      </c>
      <c r="AC3196">
        <v>405.6</v>
      </c>
      <c r="AD3196">
        <v>20.3</v>
      </c>
      <c r="AE3196">
        <v>859.4</v>
      </c>
      <c r="AF3196">
        <v>20.3</v>
      </c>
      <c r="AJ3196" t="s">
        <v>4122</v>
      </c>
      <c r="AK3196" t="s">
        <v>4093</v>
      </c>
      <c r="AN3196">
        <v>53.5</v>
      </c>
      <c r="AO3196">
        <v>8.5</v>
      </c>
      <c r="AP3196">
        <v>40</v>
      </c>
      <c r="AQ3196">
        <v>6.5</v>
      </c>
      <c r="AW3196" s="28">
        <f t="shared" si="323"/>
        <v>-1.7842102212287423</v>
      </c>
      <c r="AX3196">
        <f t="shared" si="324"/>
        <v>0.8</v>
      </c>
      <c r="AY3196" s="62">
        <f t="shared" si="325"/>
        <v>-1.427368176982994</v>
      </c>
      <c r="AZ3196" s="68" t="str">
        <f t="shared" si="326"/>
        <v>No</v>
      </c>
      <c r="BA3196" s="68" t="str">
        <f t="shared" si="327"/>
        <v>No</v>
      </c>
    </row>
    <row r="3197" spans="1:55" hidden="1">
      <c r="A3197" t="s">
        <v>3914</v>
      </c>
      <c r="G3197" t="s">
        <v>4288</v>
      </c>
      <c r="P3197" t="s">
        <v>60</v>
      </c>
      <c r="R3197" t="s">
        <v>4286</v>
      </c>
      <c r="S3197" t="s">
        <v>4289</v>
      </c>
      <c r="V3197" t="s">
        <v>3956</v>
      </c>
      <c r="Z3197">
        <v>3</v>
      </c>
      <c r="AA3197">
        <v>3</v>
      </c>
      <c r="AC3197">
        <v>405.6</v>
      </c>
      <c r="AD3197">
        <v>20.3</v>
      </c>
      <c r="AE3197">
        <v>859.4</v>
      </c>
      <c r="AF3197">
        <v>20.3</v>
      </c>
      <c r="AJ3197" t="s">
        <v>4308</v>
      </c>
      <c r="AK3197" t="s">
        <v>4151</v>
      </c>
      <c r="AN3197">
        <v>3</v>
      </c>
      <c r="AO3197">
        <v>0.5</v>
      </c>
      <c r="AP3197">
        <v>24</v>
      </c>
      <c r="AQ3197">
        <v>7</v>
      </c>
      <c r="AW3197" s="28">
        <f t="shared" si="323"/>
        <v>4.2318588636229784</v>
      </c>
      <c r="AX3197">
        <f t="shared" si="324"/>
        <v>0.8</v>
      </c>
      <c r="AY3197" s="62">
        <f t="shared" si="325"/>
        <v>3.385487090898383</v>
      </c>
      <c r="AZ3197" s="68" t="str">
        <f t="shared" si="326"/>
        <v>No</v>
      </c>
      <c r="BA3197" s="68" t="str">
        <f t="shared" si="327"/>
        <v>No</v>
      </c>
    </row>
    <row r="3198" spans="1:55" s="56" customFormat="1" ht="15" hidden="1">
      <c r="A3198" t="s">
        <v>3914</v>
      </c>
      <c r="B3198"/>
      <c r="C3198"/>
      <c r="D3198" s="25"/>
      <c r="E3198" s="25"/>
      <c r="F3198"/>
      <c r="G3198" t="s">
        <v>4288</v>
      </c>
      <c r="H3198"/>
      <c r="I3198"/>
      <c r="J3198"/>
      <c r="K3198"/>
      <c r="L3198"/>
      <c r="M3198" s="25"/>
      <c r="N3198"/>
      <c r="O3198"/>
      <c r="P3198" t="s">
        <v>60</v>
      </c>
      <c r="Q3198"/>
      <c r="R3198" t="s">
        <v>4286</v>
      </c>
      <c r="S3198" t="s">
        <v>4289</v>
      </c>
      <c r="T3198"/>
      <c r="U3198"/>
      <c r="V3198" t="s">
        <v>3956</v>
      </c>
      <c r="W3198" s="25"/>
      <c r="X3198"/>
      <c r="Y3198"/>
      <c r="Z3198">
        <v>3</v>
      </c>
      <c r="AA3198">
        <v>3</v>
      </c>
      <c r="AB3198"/>
      <c r="AC3198">
        <v>405.6</v>
      </c>
      <c r="AD3198">
        <v>20.3</v>
      </c>
      <c r="AE3198">
        <v>859.4</v>
      </c>
      <c r="AF3198">
        <v>20.3</v>
      </c>
      <c r="AG3198"/>
      <c r="AH3198"/>
      <c r="AI3198"/>
      <c r="AJ3198" t="s">
        <v>1813</v>
      </c>
      <c r="AK3198" t="s">
        <v>4093</v>
      </c>
      <c r="AL3198" s="25"/>
      <c r="AM3198" s="35"/>
      <c r="AN3198">
        <v>85</v>
      </c>
      <c r="AO3198">
        <v>6</v>
      </c>
      <c r="AP3198">
        <v>77</v>
      </c>
      <c r="AQ3198">
        <v>9</v>
      </c>
      <c r="AR3198"/>
      <c r="AS3198"/>
      <c r="AT3198"/>
      <c r="AU3198"/>
      <c r="AV3198"/>
      <c r="AW3198" s="28">
        <f t="shared" si="323"/>
        <v>-1.0459527207369814</v>
      </c>
      <c r="AX3198">
        <f t="shared" si="324"/>
        <v>0.8</v>
      </c>
      <c r="AY3198" s="62">
        <f t="shared" si="325"/>
        <v>-0.83676217658958518</v>
      </c>
      <c r="AZ3198" s="68" t="str">
        <f t="shared" si="326"/>
        <v>No</v>
      </c>
      <c r="BA3198" s="68" t="str">
        <f t="shared" si="327"/>
        <v>No</v>
      </c>
      <c r="BB3198"/>
      <c r="BC3198"/>
    </row>
    <row r="3199" spans="1:55" hidden="1">
      <c r="A3199" t="s">
        <v>3914</v>
      </c>
      <c r="G3199" t="s">
        <v>4298</v>
      </c>
      <c r="P3199" t="s">
        <v>60</v>
      </c>
      <c r="R3199" t="s">
        <v>4286</v>
      </c>
      <c r="S3199" t="s">
        <v>4299</v>
      </c>
      <c r="V3199" t="s">
        <v>3956</v>
      </c>
      <c r="Z3199">
        <v>4</v>
      </c>
      <c r="AA3199">
        <v>4</v>
      </c>
      <c r="AC3199">
        <v>470</v>
      </c>
      <c r="AD3199">
        <v>20</v>
      </c>
      <c r="AE3199">
        <v>1600</v>
      </c>
      <c r="AF3199">
        <v>20</v>
      </c>
      <c r="AJ3199" t="s">
        <v>4300</v>
      </c>
      <c r="AK3199" t="s">
        <v>4151</v>
      </c>
      <c r="AN3199">
        <v>19.25</v>
      </c>
      <c r="AO3199">
        <v>0.9574271077563381</v>
      </c>
      <c r="AP3199">
        <v>20.75</v>
      </c>
      <c r="AQ3199">
        <v>0.9574271077563381</v>
      </c>
      <c r="AW3199" s="28">
        <f t="shared" si="323"/>
        <v>1.5666989036012806</v>
      </c>
      <c r="AX3199">
        <f t="shared" si="324"/>
        <v>0.86956521739130432</v>
      </c>
      <c r="AY3199" s="62">
        <f t="shared" si="325"/>
        <v>1.3623468726967658</v>
      </c>
      <c r="AZ3199" s="68" t="str">
        <f t="shared" si="326"/>
        <v>No</v>
      </c>
      <c r="BA3199" s="68" t="str">
        <f t="shared" si="327"/>
        <v>No</v>
      </c>
    </row>
    <row r="3200" spans="1:55" hidden="1">
      <c r="A3200" t="s">
        <v>3914</v>
      </c>
      <c r="G3200" t="s">
        <v>3962</v>
      </c>
      <c r="P3200" t="s">
        <v>60</v>
      </c>
      <c r="R3200" t="s">
        <v>3942</v>
      </c>
      <c r="S3200" t="s">
        <v>3972</v>
      </c>
      <c r="V3200" t="s">
        <v>3956</v>
      </c>
      <c r="Z3200">
        <v>29</v>
      </c>
      <c r="AA3200">
        <v>29</v>
      </c>
      <c r="AC3200">
        <v>480.4</v>
      </c>
      <c r="AD3200">
        <v>23.9</v>
      </c>
      <c r="AE3200">
        <v>1328.3</v>
      </c>
      <c r="AF3200">
        <v>23.9</v>
      </c>
      <c r="AJ3200" t="s">
        <v>3980</v>
      </c>
      <c r="AK3200" t="s">
        <v>40</v>
      </c>
      <c r="AN3200">
        <v>39.4</v>
      </c>
      <c r="AO3200">
        <v>23.694725151391818</v>
      </c>
      <c r="AP3200">
        <v>22</v>
      </c>
      <c r="AQ3200">
        <v>20.463626267111113</v>
      </c>
      <c r="AW3200" s="28">
        <f t="shared" si="323"/>
        <v>-0.78597167842737237</v>
      </c>
      <c r="AX3200">
        <f t="shared" si="324"/>
        <v>0.98654708520179368</v>
      </c>
      <c r="AY3200" s="62">
        <f t="shared" si="325"/>
        <v>-0.77539806840368575</v>
      </c>
      <c r="AZ3200" s="68" t="str">
        <f t="shared" si="326"/>
        <v>No</v>
      </c>
      <c r="BA3200" s="68" t="str">
        <f t="shared" si="327"/>
        <v>No</v>
      </c>
    </row>
    <row r="3201" spans="1:55" hidden="1">
      <c r="A3201" t="s">
        <v>3914</v>
      </c>
      <c r="G3201" t="s">
        <v>4129</v>
      </c>
      <c r="P3201" t="s">
        <v>60</v>
      </c>
      <c r="R3201" t="s">
        <v>4116</v>
      </c>
      <c r="S3201" t="s">
        <v>1759</v>
      </c>
      <c r="V3201" t="s">
        <v>3956</v>
      </c>
      <c r="Z3201">
        <v>5</v>
      </c>
      <c r="AA3201">
        <v>5</v>
      </c>
      <c r="AC3201">
        <v>622</v>
      </c>
      <c r="AD3201">
        <v>24.6</v>
      </c>
      <c r="AE3201">
        <v>1497</v>
      </c>
      <c r="AF3201">
        <v>24.7</v>
      </c>
      <c r="AJ3201" t="s">
        <v>4269</v>
      </c>
      <c r="AK3201" t="s">
        <v>4266</v>
      </c>
      <c r="AN3201">
        <v>2.4</v>
      </c>
      <c r="AO3201">
        <v>0.85</v>
      </c>
      <c r="AP3201">
        <v>1.7</v>
      </c>
      <c r="AQ3201">
        <v>0.45</v>
      </c>
      <c r="AW3201" s="28">
        <f t="shared" si="323"/>
        <v>-1.0293004709313309</v>
      </c>
      <c r="AX3201">
        <f t="shared" si="324"/>
        <v>0.90322580645161288</v>
      </c>
      <c r="AY3201" s="62">
        <f t="shared" si="325"/>
        <v>-0.92969074793797635</v>
      </c>
      <c r="AZ3201" s="68" t="str">
        <f t="shared" si="326"/>
        <v>No</v>
      </c>
      <c r="BA3201" s="68" t="str">
        <f t="shared" si="327"/>
        <v>No</v>
      </c>
    </row>
    <row r="3202" spans="1:55" hidden="1">
      <c r="A3202" t="s">
        <v>3914</v>
      </c>
      <c r="G3202" t="s">
        <v>4129</v>
      </c>
      <c r="P3202" t="s">
        <v>60</v>
      </c>
      <c r="R3202" t="s">
        <v>4116</v>
      </c>
      <c r="S3202" t="s">
        <v>1759</v>
      </c>
      <c r="V3202" t="s">
        <v>3956</v>
      </c>
      <c r="Z3202">
        <v>5</v>
      </c>
      <c r="AA3202">
        <v>5</v>
      </c>
      <c r="AC3202">
        <v>622</v>
      </c>
      <c r="AD3202">
        <v>24.6</v>
      </c>
      <c r="AE3202">
        <v>1497</v>
      </c>
      <c r="AF3202">
        <v>24.7</v>
      </c>
      <c r="AJ3202" t="s">
        <v>4141</v>
      </c>
      <c r="AK3202" t="s">
        <v>4151</v>
      </c>
      <c r="AN3202">
        <v>11</v>
      </c>
      <c r="AO3202">
        <v>4</v>
      </c>
      <c r="AP3202">
        <v>13.2</v>
      </c>
      <c r="AQ3202">
        <v>1.8</v>
      </c>
      <c r="AW3202" s="28">
        <f t="shared" si="323"/>
        <v>0.70930846824107685</v>
      </c>
      <c r="AX3202">
        <f t="shared" si="324"/>
        <v>0.90322580645161288</v>
      </c>
      <c r="AY3202" s="62">
        <f t="shared" si="325"/>
        <v>0.64066571325000488</v>
      </c>
      <c r="AZ3202" s="68" t="str">
        <f t="shared" si="326"/>
        <v>No</v>
      </c>
      <c r="BA3202" s="68" t="str">
        <f t="shared" si="327"/>
        <v>No</v>
      </c>
    </row>
    <row r="3203" spans="1:55" s="56" customFormat="1" ht="15" hidden="1">
      <c r="A3203" t="s">
        <v>3914</v>
      </c>
      <c r="B3203"/>
      <c r="C3203"/>
      <c r="D3203" s="25"/>
      <c r="E3203" s="25"/>
      <c r="F3203"/>
      <c r="G3203" s="50" t="s">
        <v>4129</v>
      </c>
      <c r="H3203"/>
      <c r="I3203"/>
      <c r="J3203"/>
      <c r="K3203"/>
      <c r="L3203"/>
      <c r="M3203" s="25"/>
      <c r="N3203"/>
      <c r="O3203"/>
      <c r="P3203" t="s">
        <v>60</v>
      </c>
      <c r="Q3203"/>
      <c r="R3203" t="s">
        <v>4116</v>
      </c>
      <c r="S3203" s="50" t="s">
        <v>1759</v>
      </c>
      <c r="T3203"/>
      <c r="U3203"/>
      <c r="V3203" t="s">
        <v>3956</v>
      </c>
      <c r="W3203" s="25"/>
      <c r="X3203"/>
      <c r="Y3203"/>
      <c r="Z3203">
        <v>5</v>
      </c>
      <c r="AA3203">
        <v>5</v>
      </c>
      <c r="AB3203"/>
      <c r="AC3203">
        <v>622</v>
      </c>
      <c r="AD3203">
        <v>24.6</v>
      </c>
      <c r="AE3203">
        <v>2386</v>
      </c>
      <c r="AF3203">
        <v>24.7</v>
      </c>
      <c r="AG3203"/>
      <c r="AH3203"/>
      <c r="AI3203"/>
      <c r="AJ3203" s="50" t="s">
        <v>4227</v>
      </c>
      <c r="AK3203" t="s">
        <v>4244</v>
      </c>
      <c r="AL3203" s="25"/>
      <c r="AM3203" s="35"/>
      <c r="AN3203">
        <v>2.2000000000000002</v>
      </c>
      <c r="AO3203">
        <v>0.9</v>
      </c>
      <c r="AP3203">
        <v>6.4</v>
      </c>
      <c r="AQ3203">
        <v>2.6</v>
      </c>
      <c r="AR3203"/>
      <c r="AS3203"/>
      <c r="AT3203"/>
      <c r="AU3203"/>
      <c r="AV3203"/>
      <c r="AW3203" s="28">
        <f t="shared" si="323"/>
        <v>2.158819580582394</v>
      </c>
      <c r="AX3203">
        <f t="shared" si="324"/>
        <v>0.90322580645161288</v>
      </c>
      <c r="AY3203" s="62">
        <f t="shared" si="325"/>
        <v>1.9499015566550655</v>
      </c>
      <c r="AZ3203" s="68" t="str">
        <f t="shared" si="326"/>
        <v>No</v>
      </c>
      <c r="BA3203" s="68" t="str">
        <f t="shared" si="327"/>
        <v>No</v>
      </c>
      <c r="BB3203"/>
      <c r="BC3203"/>
    </row>
    <row r="3204" spans="1:55" hidden="1">
      <c r="A3204" t="s">
        <v>3914</v>
      </c>
      <c r="G3204" t="s">
        <v>4129</v>
      </c>
      <c r="P3204" t="s">
        <v>60</v>
      </c>
      <c r="R3204" t="s">
        <v>4116</v>
      </c>
      <c r="S3204" t="s">
        <v>1759</v>
      </c>
      <c r="V3204" t="s">
        <v>3956</v>
      </c>
      <c r="Z3204">
        <v>5</v>
      </c>
      <c r="AA3204">
        <v>5</v>
      </c>
      <c r="AC3204">
        <v>622</v>
      </c>
      <c r="AD3204">
        <v>24.6</v>
      </c>
      <c r="AE3204">
        <v>2386</v>
      </c>
      <c r="AF3204">
        <v>24.7</v>
      </c>
      <c r="AJ3204" t="s">
        <v>4141</v>
      </c>
      <c r="AK3204" t="s">
        <v>4151</v>
      </c>
      <c r="AN3204">
        <v>11</v>
      </c>
      <c r="AO3204">
        <v>4</v>
      </c>
      <c r="AP3204">
        <v>13</v>
      </c>
      <c r="AQ3204">
        <v>4</v>
      </c>
      <c r="AW3204" s="28">
        <f t="shared" si="323"/>
        <v>0.5</v>
      </c>
      <c r="AX3204">
        <f t="shared" si="324"/>
        <v>0.90322580645161288</v>
      </c>
      <c r="AY3204" s="62">
        <f t="shared" si="325"/>
        <v>0.45161290322580644</v>
      </c>
      <c r="AZ3204" s="68" t="str">
        <f t="shared" si="326"/>
        <v>No</v>
      </c>
      <c r="BA3204" s="68" t="str">
        <f t="shared" si="327"/>
        <v>No</v>
      </c>
    </row>
    <row r="3205" spans="1:55" hidden="1">
      <c r="A3205" t="s">
        <v>3914</v>
      </c>
      <c r="G3205" s="50" t="s">
        <v>4129</v>
      </c>
      <c r="P3205" t="s">
        <v>60</v>
      </c>
      <c r="R3205" t="s">
        <v>4116</v>
      </c>
      <c r="S3205" s="50" t="s">
        <v>1759</v>
      </c>
      <c r="V3205" t="s">
        <v>3956</v>
      </c>
      <c r="Z3205">
        <v>5</v>
      </c>
      <c r="AA3205">
        <v>5</v>
      </c>
      <c r="AC3205">
        <v>622</v>
      </c>
      <c r="AD3205">
        <v>24.6</v>
      </c>
      <c r="AE3205">
        <v>1497</v>
      </c>
      <c r="AF3205">
        <v>24.7</v>
      </c>
      <c r="AJ3205" s="50" t="s">
        <v>4227</v>
      </c>
      <c r="AK3205" t="s">
        <v>4244</v>
      </c>
      <c r="AN3205">
        <v>2.2000000000000002</v>
      </c>
      <c r="AO3205">
        <v>0.9</v>
      </c>
      <c r="AP3205">
        <v>4.8</v>
      </c>
      <c r="AQ3205">
        <v>4.2</v>
      </c>
      <c r="AW3205" s="28">
        <f t="shared" si="323"/>
        <v>0.85603231709631089</v>
      </c>
      <c r="AX3205">
        <f t="shared" si="324"/>
        <v>0.90322580645161288</v>
      </c>
      <c r="AY3205" s="62">
        <f t="shared" si="325"/>
        <v>0.7731904799579582</v>
      </c>
      <c r="AZ3205" s="68" t="str">
        <f t="shared" si="326"/>
        <v>No</v>
      </c>
      <c r="BA3205" s="68" t="str">
        <f t="shared" si="327"/>
        <v>No</v>
      </c>
    </row>
    <row r="3206" spans="1:55" hidden="1">
      <c r="A3206" t="s">
        <v>3914</v>
      </c>
      <c r="G3206" t="s">
        <v>4184</v>
      </c>
      <c r="P3206" t="s">
        <v>60</v>
      </c>
      <c r="R3206" t="s">
        <v>4116</v>
      </c>
      <c r="S3206" t="s">
        <v>1759</v>
      </c>
      <c r="V3206" t="s">
        <v>3956</v>
      </c>
      <c r="Z3206">
        <v>4</v>
      </c>
      <c r="AA3206">
        <v>4</v>
      </c>
      <c r="AC3206">
        <v>519</v>
      </c>
      <c r="AD3206">
        <v>22</v>
      </c>
      <c r="AE3206">
        <v>2166</v>
      </c>
      <c r="AF3206">
        <v>22.1</v>
      </c>
      <c r="AJ3206" t="s">
        <v>4230</v>
      </c>
      <c r="AK3206" t="s">
        <v>4244</v>
      </c>
      <c r="AN3206">
        <v>2.8</v>
      </c>
      <c r="AO3206">
        <v>0.4</v>
      </c>
      <c r="AP3206">
        <v>2.1</v>
      </c>
      <c r="AQ3206">
        <v>0.2</v>
      </c>
      <c r="AW3206" s="28">
        <f t="shared" si="323"/>
        <v>-2.2135943621178646</v>
      </c>
      <c r="AX3206">
        <f t="shared" si="324"/>
        <v>0.86956521739130432</v>
      </c>
      <c r="AY3206" s="62">
        <f t="shared" si="325"/>
        <v>-1.9248646627111865</v>
      </c>
      <c r="AZ3206" s="68" t="str">
        <f t="shared" si="326"/>
        <v>No</v>
      </c>
      <c r="BA3206" s="68" t="str">
        <f t="shared" si="327"/>
        <v>No</v>
      </c>
    </row>
    <row r="3207" spans="1:55" hidden="1">
      <c r="A3207" t="s">
        <v>3914</v>
      </c>
      <c r="G3207" t="s">
        <v>4184</v>
      </c>
      <c r="P3207" t="s">
        <v>60</v>
      </c>
      <c r="R3207" t="s">
        <v>4116</v>
      </c>
      <c r="S3207" t="s">
        <v>1759</v>
      </c>
      <c r="V3207" t="s">
        <v>3956</v>
      </c>
      <c r="Z3207">
        <v>4</v>
      </c>
      <c r="AA3207">
        <v>4</v>
      </c>
      <c r="AC3207">
        <v>519</v>
      </c>
      <c r="AD3207">
        <v>22</v>
      </c>
      <c r="AE3207">
        <v>2166</v>
      </c>
      <c r="AF3207">
        <v>22.1</v>
      </c>
      <c r="AJ3207" t="s">
        <v>1202</v>
      </c>
      <c r="AK3207" t="s">
        <v>4093</v>
      </c>
      <c r="AN3207">
        <v>27</v>
      </c>
      <c r="AO3207">
        <v>8</v>
      </c>
      <c r="AP3207">
        <v>19.899999999999999</v>
      </c>
      <c r="AQ3207">
        <v>6</v>
      </c>
      <c r="AW3207" s="28">
        <f t="shared" si="323"/>
        <v>-1.0040916292848976</v>
      </c>
      <c r="AX3207">
        <f t="shared" si="324"/>
        <v>0.86956521739130432</v>
      </c>
      <c r="AY3207" s="62">
        <f t="shared" si="325"/>
        <v>-0.87312315589991096</v>
      </c>
      <c r="AZ3207" s="68" t="str">
        <f t="shared" si="326"/>
        <v>No</v>
      </c>
      <c r="BA3207" s="68" t="str">
        <f t="shared" si="327"/>
        <v>No</v>
      </c>
    </row>
    <row r="3208" spans="1:55" hidden="1">
      <c r="A3208" t="s">
        <v>3914</v>
      </c>
      <c r="G3208" t="s">
        <v>4107</v>
      </c>
      <c r="P3208" t="s">
        <v>60</v>
      </c>
      <c r="R3208" t="s">
        <v>4116</v>
      </c>
      <c r="S3208" t="s">
        <v>1083</v>
      </c>
      <c r="V3208" t="s">
        <v>3956</v>
      </c>
      <c r="Z3208">
        <v>3</v>
      </c>
      <c r="AA3208">
        <v>3</v>
      </c>
      <c r="AC3208">
        <v>348</v>
      </c>
      <c r="AD3208">
        <v>16.100000000000001</v>
      </c>
      <c r="AE3208">
        <v>1118</v>
      </c>
      <c r="AF3208">
        <v>16.2</v>
      </c>
      <c r="AJ3208" t="s">
        <v>2020</v>
      </c>
      <c r="AK3208" t="s">
        <v>4093</v>
      </c>
      <c r="AN3208">
        <v>98</v>
      </c>
      <c r="AO3208">
        <v>2</v>
      </c>
      <c r="AP3208">
        <v>87.5</v>
      </c>
      <c r="AQ3208">
        <v>3</v>
      </c>
      <c r="AW3208" s="28">
        <f t="shared" si="323"/>
        <v>-4.1184388379018646</v>
      </c>
      <c r="AX3208">
        <f t="shared" si="324"/>
        <v>0.8</v>
      </c>
      <c r="AY3208" s="62">
        <f t="shared" si="325"/>
        <v>-3.2947510703214919</v>
      </c>
      <c r="AZ3208" s="68" t="str">
        <f t="shared" si="326"/>
        <v>No</v>
      </c>
      <c r="BA3208" s="68" t="str">
        <f t="shared" si="327"/>
        <v>No</v>
      </c>
    </row>
    <row r="3209" spans="1:55" ht="15" hidden="1">
      <c r="A3209" t="s">
        <v>3914</v>
      </c>
      <c r="G3209" t="s">
        <v>4107</v>
      </c>
      <c r="P3209" t="s">
        <v>60</v>
      </c>
      <c r="R3209" t="s">
        <v>4116</v>
      </c>
      <c r="S3209" t="s">
        <v>1083</v>
      </c>
      <c r="V3209" t="s">
        <v>3956</v>
      </c>
      <c r="Z3209">
        <v>3</v>
      </c>
      <c r="AA3209">
        <v>3</v>
      </c>
      <c r="AC3209">
        <v>348</v>
      </c>
      <c r="AD3209">
        <v>16.100000000000001</v>
      </c>
      <c r="AE3209">
        <v>2328</v>
      </c>
      <c r="AF3209">
        <v>16</v>
      </c>
      <c r="AJ3209" t="s">
        <v>2020</v>
      </c>
      <c r="AK3209" t="s">
        <v>4093</v>
      </c>
      <c r="AN3209">
        <v>98</v>
      </c>
      <c r="AO3209">
        <v>2</v>
      </c>
      <c r="AP3209">
        <v>79</v>
      </c>
      <c r="AQ3209">
        <v>3</v>
      </c>
      <c r="AW3209" s="28">
        <f t="shared" si="323"/>
        <v>-7.4524131352509935</v>
      </c>
      <c r="AX3209">
        <f t="shared" si="324"/>
        <v>0.8</v>
      </c>
      <c r="AY3209" s="73">
        <f t="shared" si="325"/>
        <v>-5.961930508200795</v>
      </c>
      <c r="AZ3209" s="74" t="str">
        <f t="shared" si="326"/>
        <v>No</v>
      </c>
      <c r="BA3209" s="74" t="str">
        <f t="shared" si="327"/>
        <v>No</v>
      </c>
      <c r="BB3209" s="56"/>
      <c r="BC3209" s="56"/>
    </row>
    <row r="3210" spans="1:55" s="56" customFormat="1" ht="15" hidden="1">
      <c r="A3210" t="s">
        <v>3914</v>
      </c>
      <c r="B3210"/>
      <c r="C3210"/>
      <c r="D3210" s="25"/>
      <c r="E3210" s="25"/>
      <c r="F3210"/>
      <c r="G3210" t="s">
        <v>4107</v>
      </c>
      <c r="H3210"/>
      <c r="I3210"/>
      <c r="J3210"/>
      <c r="K3210"/>
      <c r="L3210"/>
      <c r="M3210" s="25"/>
      <c r="N3210"/>
      <c r="O3210"/>
      <c r="P3210" t="s">
        <v>60</v>
      </c>
      <c r="Q3210"/>
      <c r="R3210" t="s">
        <v>4116</v>
      </c>
      <c r="S3210" t="s">
        <v>1083</v>
      </c>
      <c r="T3210"/>
      <c r="U3210"/>
      <c r="V3210" t="s">
        <v>3956</v>
      </c>
      <c r="W3210" s="25"/>
      <c r="X3210"/>
      <c r="Y3210"/>
      <c r="Z3210">
        <v>3</v>
      </c>
      <c r="AA3210">
        <v>3</v>
      </c>
      <c r="AB3210"/>
      <c r="AC3210">
        <v>348</v>
      </c>
      <c r="AD3210">
        <v>16.100000000000001</v>
      </c>
      <c r="AE3210">
        <v>2328</v>
      </c>
      <c r="AF3210">
        <v>16</v>
      </c>
      <c r="AG3210"/>
      <c r="AH3210"/>
      <c r="AI3210"/>
      <c r="AJ3210" t="s">
        <v>1106</v>
      </c>
      <c r="AK3210" t="s">
        <v>4244</v>
      </c>
      <c r="AL3210" s="25"/>
      <c r="AM3210" s="35"/>
      <c r="AN3210">
        <v>116</v>
      </c>
      <c r="AO3210">
        <v>6</v>
      </c>
      <c r="AP3210">
        <v>90</v>
      </c>
      <c r="AQ3210">
        <v>3</v>
      </c>
      <c r="AR3210"/>
      <c r="AS3210"/>
      <c r="AT3210"/>
      <c r="AU3210"/>
      <c r="AV3210"/>
      <c r="AW3210" s="28">
        <f t="shared" si="323"/>
        <v>-5.4812812776251905</v>
      </c>
      <c r="AX3210">
        <f t="shared" si="324"/>
        <v>0.8</v>
      </c>
      <c r="AY3210" s="62">
        <f t="shared" si="325"/>
        <v>-4.3850250221001525</v>
      </c>
      <c r="AZ3210" s="68" t="str">
        <f t="shared" si="326"/>
        <v>No</v>
      </c>
      <c r="BA3210" s="68" t="str">
        <f t="shared" si="327"/>
        <v>No</v>
      </c>
      <c r="BB3210"/>
      <c r="BC3210"/>
    </row>
    <row r="3211" spans="1:55" hidden="1">
      <c r="A3211" t="s">
        <v>3914</v>
      </c>
      <c r="G3211" t="s">
        <v>4107</v>
      </c>
      <c r="P3211" t="s">
        <v>60</v>
      </c>
      <c r="R3211" t="s">
        <v>4116</v>
      </c>
      <c r="S3211" t="s">
        <v>1083</v>
      </c>
      <c r="V3211" t="s">
        <v>3956</v>
      </c>
      <c r="Z3211">
        <v>3</v>
      </c>
      <c r="AA3211">
        <v>3</v>
      </c>
      <c r="AC3211">
        <v>348</v>
      </c>
      <c r="AD3211">
        <v>16.100000000000001</v>
      </c>
      <c r="AE3211">
        <v>1118</v>
      </c>
      <c r="AF3211">
        <v>16.2</v>
      </c>
      <c r="AJ3211" t="s">
        <v>1106</v>
      </c>
      <c r="AK3211" t="s">
        <v>4244</v>
      </c>
      <c r="AN3211">
        <v>116</v>
      </c>
      <c r="AO3211">
        <v>6</v>
      </c>
      <c r="AP3211">
        <v>105</v>
      </c>
      <c r="AQ3211">
        <v>6.75</v>
      </c>
      <c r="AW3211" s="28">
        <f t="shared" si="323"/>
        <v>-1.7225126439097969</v>
      </c>
      <c r="AX3211">
        <f t="shared" si="324"/>
        <v>0.8</v>
      </c>
      <c r="AY3211" s="62">
        <f t="shared" si="325"/>
        <v>-1.3780101151278377</v>
      </c>
      <c r="AZ3211" s="68" t="str">
        <f t="shared" si="326"/>
        <v>No</v>
      </c>
      <c r="BA3211" s="68" t="str">
        <f t="shared" si="327"/>
        <v>No</v>
      </c>
    </row>
    <row r="3212" spans="1:55" hidden="1">
      <c r="A3212" t="s">
        <v>3914</v>
      </c>
      <c r="G3212" t="s">
        <v>4107</v>
      </c>
      <c r="P3212" t="s">
        <v>60</v>
      </c>
      <c r="R3212" t="s">
        <v>4116</v>
      </c>
      <c r="S3212" t="s">
        <v>1083</v>
      </c>
      <c r="V3212" t="s">
        <v>3956</v>
      </c>
      <c r="Z3212">
        <v>3</v>
      </c>
      <c r="AA3212">
        <v>3</v>
      </c>
      <c r="AC3212">
        <v>348</v>
      </c>
      <c r="AD3212">
        <v>16.100000000000001</v>
      </c>
      <c r="AE3212">
        <v>1118</v>
      </c>
      <c r="AF3212">
        <v>16.2</v>
      </c>
      <c r="AJ3212" t="s">
        <v>4160</v>
      </c>
      <c r="AK3212" t="s">
        <v>4151</v>
      </c>
      <c r="AN3212">
        <v>2</v>
      </c>
      <c r="AO3212">
        <v>0.2</v>
      </c>
      <c r="AP3212">
        <v>27</v>
      </c>
      <c r="AQ3212">
        <v>7</v>
      </c>
      <c r="AW3212" s="28">
        <f t="shared" si="323"/>
        <v>5.0487024482626213</v>
      </c>
      <c r="AX3212">
        <f t="shared" si="324"/>
        <v>0.8</v>
      </c>
      <c r="AY3212" s="62">
        <f t="shared" si="325"/>
        <v>4.0389619586100975</v>
      </c>
      <c r="AZ3212" s="68" t="str">
        <f t="shared" si="326"/>
        <v>No</v>
      </c>
      <c r="BA3212" s="68" t="str">
        <f t="shared" si="327"/>
        <v>No</v>
      </c>
    </row>
    <row r="3213" spans="1:55" hidden="1">
      <c r="A3213" t="s">
        <v>3914</v>
      </c>
      <c r="G3213" t="s">
        <v>4107</v>
      </c>
      <c r="P3213" t="s">
        <v>60</v>
      </c>
      <c r="R3213" t="s">
        <v>4116</v>
      </c>
      <c r="S3213" t="s">
        <v>1083</v>
      </c>
      <c r="V3213" t="s">
        <v>3956</v>
      </c>
      <c r="Z3213">
        <v>3</v>
      </c>
      <c r="AA3213">
        <v>3</v>
      </c>
      <c r="AC3213">
        <v>348</v>
      </c>
      <c r="AD3213">
        <v>16.100000000000001</v>
      </c>
      <c r="AE3213">
        <v>2328</v>
      </c>
      <c r="AF3213">
        <v>16</v>
      </c>
      <c r="AJ3213" t="s">
        <v>4160</v>
      </c>
      <c r="AK3213" t="s">
        <v>4151</v>
      </c>
      <c r="AN3213">
        <v>2</v>
      </c>
      <c r="AO3213">
        <v>0.2</v>
      </c>
      <c r="AP3213">
        <v>64</v>
      </c>
      <c r="AQ3213">
        <v>11</v>
      </c>
      <c r="AW3213" s="28">
        <f t="shared" si="323"/>
        <v>7.9697046993004417</v>
      </c>
      <c r="AX3213">
        <f t="shared" si="324"/>
        <v>0.8</v>
      </c>
      <c r="AY3213" s="62">
        <f t="shared" si="325"/>
        <v>6.3757637594403533</v>
      </c>
      <c r="AZ3213" s="68" t="str">
        <f t="shared" si="326"/>
        <v>No</v>
      </c>
      <c r="BA3213" s="68" t="str">
        <f t="shared" si="327"/>
        <v>No</v>
      </c>
    </row>
    <row r="3214" spans="1:55" hidden="1">
      <c r="A3214" t="s">
        <v>3914</v>
      </c>
      <c r="G3214" t="s">
        <v>4315</v>
      </c>
      <c r="P3214" t="s">
        <v>60</v>
      </c>
      <c r="R3214" t="s">
        <v>4286</v>
      </c>
      <c r="S3214" t="s">
        <v>4324</v>
      </c>
      <c r="V3214" t="s">
        <v>3956</v>
      </c>
      <c r="Z3214">
        <v>4</v>
      </c>
      <c r="AA3214">
        <v>4</v>
      </c>
      <c r="AC3214">
        <v>504.97</v>
      </c>
      <c r="AD3214">
        <v>20.28</v>
      </c>
      <c r="AE3214">
        <v>1480.55</v>
      </c>
      <c r="AF3214">
        <v>19.93</v>
      </c>
      <c r="AJ3214" t="s">
        <v>1202</v>
      </c>
      <c r="AK3214" t="s">
        <v>4093</v>
      </c>
      <c r="AN3214">
        <v>99.9</v>
      </c>
      <c r="AO3214">
        <v>0.1</v>
      </c>
      <c r="AP3214">
        <v>99.9</v>
      </c>
      <c r="AQ3214">
        <v>0.1</v>
      </c>
      <c r="AW3214" s="28">
        <f t="shared" ref="AW3214:AW3277" si="328">(AP3214-$AN3214)/SQRT(((AA3214-1)*AQ3214*AQ3214+($Z3214-1)*$AO3214*$AO3214)/(AA3214+$Z3214-2))</f>
        <v>0</v>
      </c>
      <c r="AX3214">
        <f t="shared" ref="AX3214:AX3277" si="329">1-(3/(4*(AA3214+$Z3214-2)-1))</f>
        <v>0.86956521739130432</v>
      </c>
      <c r="AY3214" s="62">
        <f t="shared" ref="AY3214:AY3277" si="330">AX3214*AW3214</f>
        <v>0</v>
      </c>
      <c r="AZ3214" s="68" t="str">
        <f t="shared" ref="AZ3214:AZ3277" si="331">IF(AY3214&gt;10,"Yes","No")</f>
        <v>No</v>
      </c>
      <c r="BA3214" s="68" t="str">
        <f t="shared" ref="BA3214:BA3277" si="332">IF(AY3214&lt;-10,"Yes","No")</f>
        <v>No</v>
      </c>
    </row>
    <row r="3215" spans="1:55" hidden="1">
      <c r="A3215" t="s">
        <v>3914</v>
      </c>
      <c r="G3215" t="s">
        <v>4992</v>
      </c>
      <c r="P3215" t="s">
        <v>60</v>
      </c>
      <c r="R3215" t="s">
        <v>4286</v>
      </c>
      <c r="S3215" t="s">
        <v>4324</v>
      </c>
      <c r="V3215" t="s">
        <v>3956</v>
      </c>
      <c r="Z3215">
        <v>4</v>
      </c>
      <c r="AA3215">
        <v>4</v>
      </c>
      <c r="AC3215">
        <v>504.97</v>
      </c>
      <c r="AD3215">
        <v>20.28</v>
      </c>
      <c r="AE3215">
        <v>1207.5999999999999</v>
      </c>
      <c r="AF3215">
        <v>20.2</v>
      </c>
      <c r="AJ3215" t="s">
        <v>4065</v>
      </c>
      <c r="AK3215" t="s">
        <v>4258</v>
      </c>
      <c r="AN3215">
        <v>89</v>
      </c>
      <c r="AO3215">
        <v>2</v>
      </c>
      <c r="AP3215">
        <v>88</v>
      </c>
      <c r="AQ3215">
        <v>1.5</v>
      </c>
      <c r="AW3215" s="28">
        <f t="shared" si="328"/>
        <v>-0.56568542494923801</v>
      </c>
      <c r="AX3215">
        <f t="shared" si="329"/>
        <v>0.86956521739130432</v>
      </c>
      <c r="AY3215" s="62">
        <f t="shared" si="330"/>
        <v>-0.49190036952107652</v>
      </c>
      <c r="AZ3215" s="68" t="str">
        <f t="shared" si="331"/>
        <v>No</v>
      </c>
      <c r="BA3215" s="68" t="str">
        <f t="shared" si="332"/>
        <v>No</v>
      </c>
    </row>
    <row r="3216" spans="1:55" hidden="1">
      <c r="A3216" t="s">
        <v>3914</v>
      </c>
      <c r="G3216" t="s">
        <v>4315</v>
      </c>
      <c r="P3216" t="s">
        <v>60</v>
      </c>
      <c r="R3216" t="s">
        <v>4286</v>
      </c>
      <c r="S3216" t="s">
        <v>4324</v>
      </c>
      <c r="V3216" t="s">
        <v>3956</v>
      </c>
      <c r="Z3216">
        <v>4</v>
      </c>
      <c r="AA3216">
        <v>4</v>
      </c>
      <c r="AC3216">
        <v>504.97</v>
      </c>
      <c r="AD3216">
        <v>20.28</v>
      </c>
      <c r="AE3216">
        <v>1480.55</v>
      </c>
      <c r="AF3216">
        <v>19.93</v>
      </c>
      <c r="AJ3216" t="s">
        <v>4065</v>
      </c>
      <c r="AK3216" t="s">
        <v>4258</v>
      </c>
      <c r="AN3216">
        <v>89</v>
      </c>
      <c r="AO3216">
        <v>2</v>
      </c>
      <c r="AP3216">
        <v>86</v>
      </c>
      <c r="AQ3216">
        <v>2.5</v>
      </c>
      <c r="AW3216" s="28">
        <f t="shared" si="328"/>
        <v>-1.3251783128981585</v>
      </c>
      <c r="AX3216">
        <f t="shared" si="329"/>
        <v>0.86956521739130432</v>
      </c>
      <c r="AY3216" s="62">
        <f t="shared" si="330"/>
        <v>-1.152328967737529</v>
      </c>
      <c r="AZ3216" s="68" t="str">
        <f t="shared" si="331"/>
        <v>No</v>
      </c>
      <c r="BA3216" s="68" t="str">
        <f t="shared" si="332"/>
        <v>No</v>
      </c>
    </row>
    <row r="3217" spans="1:53" hidden="1">
      <c r="A3217" t="s">
        <v>3914</v>
      </c>
      <c r="G3217" t="s">
        <v>4315</v>
      </c>
      <c r="P3217" t="s">
        <v>60</v>
      </c>
      <c r="R3217" t="s">
        <v>4286</v>
      </c>
      <c r="S3217" t="s">
        <v>4324</v>
      </c>
      <c r="V3217" t="s">
        <v>3956</v>
      </c>
      <c r="Z3217">
        <v>4</v>
      </c>
      <c r="AA3217">
        <v>4</v>
      </c>
      <c r="AC3217">
        <v>504.97</v>
      </c>
      <c r="AD3217">
        <v>20.28</v>
      </c>
      <c r="AE3217">
        <v>1207.5999999999999</v>
      </c>
      <c r="AF3217">
        <v>20.2</v>
      </c>
      <c r="AJ3217" t="s">
        <v>1202</v>
      </c>
      <c r="AK3217" t="s">
        <v>4093</v>
      </c>
      <c r="AN3217">
        <v>99.9</v>
      </c>
      <c r="AO3217">
        <v>0.1</v>
      </c>
      <c r="AP3217">
        <v>95</v>
      </c>
      <c r="AQ3217">
        <v>3.8</v>
      </c>
      <c r="AW3217" s="28">
        <f t="shared" si="328"/>
        <v>-1.8229600629205975</v>
      </c>
      <c r="AX3217">
        <f t="shared" si="329"/>
        <v>0.86956521739130432</v>
      </c>
      <c r="AY3217" s="62">
        <f t="shared" si="330"/>
        <v>-1.5851826634092152</v>
      </c>
      <c r="AZ3217" s="68" t="str">
        <f t="shared" si="331"/>
        <v>No</v>
      </c>
      <c r="BA3217" s="68" t="str">
        <f t="shared" si="332"/>
        <v>No</v>
      </c>
    </row>
    <row r="3218" spans="1:53" hidden="1">
      <c r="A3218" t="s">
        <v>3914</v>
      </c>
      <c r="G3218" t="s">
        <v>4315</v>
      </c>
      <c r="P3218" t="s">
        <v>60</v>
      </c>
      <c r="R3218" t="s">
        <v>4286</v>
      </c>
      <c r="S3218" t="s">
        <v>4324</v>
      </c>
      <c r="V3218" t="s">
        <v>3956</v>
      </c>
      <c r="Z3218">
        <v>4</v>
      </c>
      <c r="AA3218">
        <v>4</v>
      </c>
      <c r="AC3218">
        <v>504.97</v>
      </c>
      <c r="AD3218">
        <v>20.28</v>
      </c>
      <c r="AE3218">
        <v>1207.5999999999999</v>
      </c>
      <c r="AF3218">
        <v>20.2</v>
      </c>
      <c r="AJ3218" t="s">
        <v>4218</v>
      </c>
      <c r="AK3218" t="s">
        <v>4244</v>
      </c>
      <c r="AN3218">
        <v>1060</v>
      </c>
      <c r="AO3218">
        <v>20</v>
      </c>
      <c r="AP3218">
        <v>1050</v>
      </c>
      <c r="AQ3218">
        <v>20</v>
      </c>
      <c r="AW3218" s="28">
        <f t="shared" si="328"/>
        <v>-0.5</v>
      </c>
      <c r="AX3218">
        <f t="shared" si="329"/>
        <v>0.86956521739130432</v>
      </c>
      <c r="AY3218" s="62">
        <f t="shared" si="330"/>
        <v>-0.43478260869565216</v>
      </c>
      <c r="AZ3218" s="68" t="str">
        <f t="shared" si="331"/>
        <v>No</v>
      </c>
      <c r="BA3218" s="68" t="str">
        <f t="shared" si="332"/>
        <v>No</v>
      </c>
    </row>
    <row r="3219" spans="1:53" hidden="1">
      <c r="A3219" t="s">
        <v>3914</v>
      </c>
      <c r="G3219" t="s">
        <v>4315</v>
      </c>
      <c r="P3219" t="s">
        <v>60</v>
      </c>
      <c r="R3219" t="s">
        <v>4286</v>
      </c>
      <c r="S3219" t="s">
        <v>4324</v>
      </c>
      <c r="V3219" t="s">
        <v>3956</v>
      </c>
      <c r="Z3219">
        <v>4</v>
      </c>
      <c r="AA3219">
        <v>4</v>
      </c>
      <c r="AC3219">
        <v>504.97</v>
      </c>
      <c r="AD3219">
        <v>20.28</v>
      </c>
      <c r="AE3219">
        <v>1480.55</v>
      </c>
      <c r="AF3219">
        <v>19.93</v>
      </c>
      <c r="AJ3219" t="s">
        <v>4218</v>
      </c>
      <c r="AK3219" t="s">
        <v>4244</v>
      </c>
      <c r="AN3219">
        <v>1060</v>
      </c>
      <c r="AO3219">
        <v>20</v>
      </c>
      <c r="AP3219">
        <v>940</v>
      </c>
      <c r="AQ3219">
        <v>20</v>
      </c>
      <c r="AW3219" s="28">
        <f t="shared" si="328"/>
        <v>-6</v>
      </c>
      <c r="AX3219">
        <f t="shared" si="329"/>
        <v>0.86956521739130432</v>
      </c>
      <c r="AY3219" s="62">
        <f t="shared" si="330"/>
        <v>-5.2173913043478262</v>
      </c>
      <c r="AZ3219" s="68" t="str">
        <f t="shared" si="331"/>
        <v>No</v>
      </c>
      <c r="BA3219" s="68" t="str">
        <f t="shared" si="332"/>
        <v>No</v>
      </c>
    </row>
    <row r="3220" spans="1:53" hidden="1">
      <c r="A3220" s="77" t="s">
        <v>3914</v>
      </c>
      <c r="G3220" s="77" t="s">
        <v>4250</v>
      </c>
      <c r="P3220" s="77" t="s">
        <v>60</v>
      </c>
      <c r="Q3220" s="77"/>
      <c r="R3220" s="77" t="s">
        <v>4116</v>
      </c>
      <c r="S3220" s="77" t="s">
        <v>4252</v>
      </c>
      <c r="T3220" s="77"/>
      <c r="U3220" s="77"/>
      <c r="V3220" s="77" t="s">
        <v>3956</v>
      </c>
      <c r="W3220" s="77"/>
      <c r="X3220" s="77"/>
      <c r="Y3220" s="77"/>
      <c r="Z3220" s="77">
        <v>3</v>
      </c>
      <c r="AA3220" s="77">
        <v>3</v>
      </c>
      <c r="AB3220" s="77"/>
      <c r="AC3220" s="77">
        <v>585.9</v>
      </c>
      <c r="AD3220" s="77">
        <v>27</v>
      </c>
      <c r="AE3220" s="77">
        <v>2029.9</v>
      </c>
      <c r="AF3220" s="77">
        <v>27</v>
      </c>
      <c r="AG3220" s="77"/>
      <c r="AH3220" s="77"/>
      <c r="AI3220" s="77"/>
      <c r="AJ3220" s="77" t="s">
        <v>4065</v>
      </c>
      <c r="AK3220" s="77" t="s">
        <v>4258</v>
      </c>
      <c r="AN3220" s="77">
        <v>92</v>
      </c>
      <c r="AO3220" s="77">
        <v>2</v>
      </c>
      <c r="AP3220" s="77">
        <v>45</v>
      </c>
      <c r="AQ3220" s="77">
        <v>5</v>
      </c>
      <c r="AW3220" s="28">
        <f t="shared" si="328"/>
        <v>-12.342804688813919</v>
      </c>
      <c r="AX3220">
        <f t="shared" si="329"/>
        <v>0.8</v>
      </c>
      <c r="AY3220" s="62">
        <f t="shared" si="330"/>
        <v>-9.8742437510511358</v>
      </c>
      <c r="AZ3220" s="68" t="str">
        <f t="shared" si="331"/>
        <v>No</v>
      </c>
      <c r="BA3220" s="68" t="str">
        <f t="shared" si="332"/>
        <v>No</v>
      </c>
    </row>
    <row r="3221" spans="1:53" hidden="1">
      <c r="A3221" t="s">
        <v>3914</v>
      </c>
      <c r="G3221" t="s">
        <v>4124</v>
      </c>
      <c r="P3221" t="s">
        <v>60</v>
      </c>
      <c r="R3221" t="s">
        <v>4116</v>
      </c>
      <c r="S3221" t="s">
        <v>1759</v>
      </c>
      <c r="V3221" t="s">
        <v>3956</v>
      </c>
      <c r="Z3221">
        <v>5</v>
      </c>
      <c r="AA3221">
        <v>5</v>
      </c>
      <c r="AC3221">
        <v>348</v>
      </c>
      <c r="AD3221">
        <v>23</v>
      </c>
      <c r="AE3221">
        <v>2268</v>
      </c>
      <c r="AF3221">
        <v>23</v>
      </c>
      <c r="AJ3221" t="s">
        <v>1106</v>
      </c>
      <c r="AK3221" t="s">
        <v>4244</v>
      </c>
      <c r="AN3221">
        <v>62</v>
      </c>
      <c r="AO3221">
        <v>1</v>
      </c>
      <c r="AP3221">
        <v>48</v>
      </c>
      <c r="AQ3221">
        <v>3</v>
      </c>
      <c r="AW3221" s="28">
        <f t="shared" si="328"/>
        <v>-6.2609903369994111</v>
      </c>
      <c r="AX3221">
        <f t="shared" si="329"/>
        <v>0.90322580645161288</v>
      </c>
      <c r="AY3221" s="62">
        <f t="shared" si="330"/>
        <v>-5.6550880463220485</v>
      </c>
      <c r="AZ3221" s="68" t="str">
        <f t="shared" si="331"/>
        <v>No</v>
      </c>
      <c r="BA3221" s="68" t="str">
        <f t="shared" si="332"/>
        <v>No</v>
      </c>
    </row>
    <row r="3222" spans="1:53" hidden="1">
      <c r="A3222" t="s">
        <v>3914</v>
      </c>
      <c r="G3222" t="s">
        <v>4124</v>
      </c>
      <c r="P3222" t="s">
        <v>60</v>
      </c>
      <c r="R3222" t="s">
        <v>4116</v>
      </c>
      <c r="S3222" t="s">
        <v>1759</v>
      </c>
      <c r="V3222" t="s">
        <v>3956</v>
      </c>
      <c r="Z3222">
        <v>5</v>
      </c>
      <c r="AA3222">
        <v>5</v>
      </c>
      <c r="AC3222">
        <v>348</v>
      </c>
      <c r="AD3222">
        <v>23</v>
      </c>
      <c r="AE3222">
        <v>2268</v>
      </c>
      <c r="AF3222">
        <v>23</v>
      </c>
      <c r="AJ3222" t="s">
        <v>4134</v>
      </c>
      <c r="AK3222" t="s">
        <v>4151</v>
      </c>
      <c r="AN3222">
        <v>67</v>
      </c>
      <c r="AO3222">
        <v>23</v>
      </c>
      <c r="AP3222">
        <v>3</v>
      </c>
      <c r="AQ3222">
        <v>8</v>
      </c>
      <c r="AW3222" s="28">
        <f t="shared" si="328"/>
        <v>-3.7167865864898624</v>
      </c>
      <c r="AX3222">
        <f t="shared" si="329"/>
        <v>0.90322580645161288</v>
      </c>
      <c r="AY3222" s="62">
        <f t="shared" si="330"/>
        <v>-3.3570975619908432</v>
      </c>
      <c r="AZ3222" s="68" t="str">
        <f t="shared" si="331"/>
        <v>No</v>
      </c>
      <c r="BA3222" s="68" t="str">
        <f t="shared" si="332"/>
        <v>No</v>
      </c>
    </row>
    <row r="3223" spans="1:53" hidden="1">
      <c r="A3223" t="s">
        <v>3914</v>
      </c>
      <c r="G3223" t="s">
        <v>4124</v>
      </c>
      <c r="P3223" t="s">
        <v>60</v>
      </c>
      <c r="R3223" t="s">
        <v>4116</v>
      </c>
      <c r="S3223" t="s">
        <v>1759</v>
      </c>
      <c r="V3223" t="s">
        <v>3956</v>
      </c>
      <c r="Z3223">
        <v>5</v>
      </c>
      <c r="AA3223">
        <v>5</v>
      </c>
      <c r="AC3223">
        <v>348</v>
      </c>
      <c r="AD3223">
        <v>23</v>
      </c>
      <c r="AE3223">
        <v>2268</v>
      </c>
      <c r="AF3223">
        <v>23</v>
      </c>
      <c r="AJ3223" t="s">
        <v>4157</v>
      </c>
      <c r="AK3223" t="s">
        <v>4151</v>
      </c>
      <c r="AN3223">
        <v>28</v>
      </c>
      <c r="AO3223">
        <v>20</v>
      </c>
      <c r="AP3223">
        <v>90</v>
      </c>
      <c r="AQ3223">
        <v>8</v>
      </c>
      <c r="AW3223" s="28">
        <f t="shared" si="328"/>
        <v>4.0704994186513987</v>
      </c>
      <c r="AX3223">
        <f t="shared" si="329"/>
        <v>0.90322580645161288</v>
      </c>
      <c r="AY3223" s="62">
        <f t="shared" si="330"/>
        <v>3.6765801200722312</v>
      </c>
      <c r="AZ3223" s="68" t="str">
        <f t="shared" si="331"/>
        <v>No</v>
      </c>
      <c r="BA3223" s="68" t="str">
        <f t="shared" si="332"/>
        <v>No</v>
      </c>
    </row>
    <row r="3224" spans="1:53" hidden="1">
      <c r="A3224" t="s">
        <v>3914</v>
      </c>
      <c r="G3224" t="s">
        <v>4125</v>
      </c>
      <c r="P3224" t="s">
        <v>60</v>
      </c>
      <c r="R3224" t="s">
        <v>4116</v>
      </c>
      <c r="S3224" t="s">
        <v>1077</v>
      </c>
      <c r="V3224" t="s">
        <v>3956</v>
      </c>
      <c r="Z3224">
        <v>5</v>
      </c>
      <c r="AA3224">
        <v>5</v>
      </c>
      <c r="AC3224">
        <v>360.4</v>
      </c>
      <c r="AD3224">
        <v>13</v>
      </c>
      <c r="AE3224">
        <v>2104.1999999999998</v>
      </c>
      <c r="AF3224">
        <v>13</v>
      </c>
      <c r="AJ3224" t="s">
        <v>4216</v>
      </c>
      <c r="AK3224" t="s">
        <v>4244</v>
      </c>
      <c r="AN3224">
        <v>118</v>
      </c>
      <c r="AO3224">
        <v>3</v>
      </c>
      <c r="AP3224">
        <v>88</v>
      </c>
      <c r="AQ3224">
        <v>5</v>
      </c>
      <c r="AW3224" s="28">
        <f t="shared" si="328"/>
        <v>-7.2760687510899889</v>
      </c>
      <c r="AX3224">
        <f t="shared" si="329"/>
        <v>0.90322580645161288</v>
      </c>
      <c r="AY3224" s="62">
        <f t="shared" si="330"/>
        <v>-6.5719330655006347</v>
      </c>
      <c r="AZ3224" s="68" t="str">
        <f t="shared" si="331"/>
        <v>No</v>
      </c>
      <c r="BA3224" s="68" t="str">
        <f t="shared" si="332"/>
        <v>No</v>
      </c>
    </row>
    <row r="3225" spans="1:53" hidden="1">
      <c r="A3225" t="s">
        <v>3914</v>
      </c>
      <c r="G3225" t="s">
        <v>4125</v>
      </c>
      <c r="P3225" t="s">
        <v>60</v>
      </c>
      <c r="R3225" t="s">
        <v>4116</v>
      </c>
      <c r="S3225" t="s">
        <v>1077</v>
      </c>
      <c r="V3225" t="s">
        <v>3956</v>
      </c>
      <c r="Z3225">
        <v>5</v>
      </c>
      <c r="AA3225">
        <v>5</v>
      </c>
      <c r="AC3225">
        <v>360.4</v>
      </c>
      <c r="AD3225">
        <v>13</v>
      </c>
      <c r="AE3225">
        <v>2104.1999999999998</v>
      </c>
      <c r="AF3225">
        <v>13</v>
      </c>
      <c r="AJ3225" t="s">
        <v>4137</v>
      </c>
      <c r="AK3225" t="s">
        <v>4151</v>
      </c>
      <c r="AN3225">
        <v>100</v>
      </c>
      <c r="AO3225">
        <v>0</v>
      </c>
      <c r="AP3225">
        <v>23</v>
      </c>
      <c r="AQ3225">
        <v>26</v>
      </c>
      <c r="AW3225" s="28">
        <f t="shared" si="328"/>
        <v>-4.1882478577972435</v>
      </c>
      <c r="AX3225">
        <f t="shared" si="329"/>
        <v>0.90322580645161288</v>
      </c>
      <c r="AY3225" s="62">
        <f t="shared" si="330"/>
        <v>-3.7829335489781553</v>
      </c>
      <c r="AZ3225" s="68" t="str">
        <f t="shared" si="331"/>
        <v>No</v>
      </c>
      <c r="BA3225" s="68" t="str">
        <f t="shared" si="332"/>
        <v>No</v>
      </c>
    </row>
    <row r="3226" spans="1:53" hidden="1">
      <c r="A3226" t="s">
        <v>3914</v>
      </c>
      <c r="G3226" t="s">
        <v>4070</v>
      </c>
      <c r="P3226" t="s">
        <v>60</v>
      </c>
      <c r="R3226" t="s">
        <v>4035</v>
      </c>
      <c r="S3226" t="s">
        <v>4075</v>
      </c>
      <c r="V3226" t="s">
        <v>3956</v>
      </c>
      <c r="Z3226">
        <v>5</v>
      </c>
      <c r="AA3226">
        <v>8</v>
      </c>
      <c r="AC3226">
        <v>504</v>
      </c>
      <c r="AD3226">
        <v>29.2</v>
      </c>
      <c r="AE3226">
        <v>1301</v>
      </c>
      <c r="AF3226">
        <v>29.3</v>
      </c>
      <c r="AJ3226" t="s">
        <v>4074</v>
      </c>
      <c r="AK3226" t="s">
        <v>3983</v>
      </c>
      <c r="AN3226">
        <v>0.115</v>
      </c>
      <c r="AO3226">
        <v>3.5000000000000003E-2</v>
      </c>
      <c r="AP3226">
        <v>0.13500000000000001</v>
      </c>
      <c r="AQ3226">
        <v>0.08</v>
      </c>
      <c r="AW3226" s="28">
        <f t="shared" si="328"/>
        <v>0.29754190817889237</v>
      </c>
      <c r="AX3226">
        <f t="shared" si="329"/>
        <v>0.93023255813953487</v>
      </c>
      <c r="AY3226" s="62">
        <f t="shared" si="330"/>
        <v>0.27678317039896966</v>
      </c>
      <c r="AZ3226" s="68" t="str">
        <f t="shared" si="331"/>
        <v>No</v>
      </c>
      <c r="BA3226" s="68" t="str">
        <f t="shared" si="332"/>
        <v>No</v>
      </c>
    </row>
    <row r="3227" spans="1:53" hidden="1">
      <c r="A3227" t="s">
        <v>3914</v>
      </c>
      <c r="G3227" t="s">
        <v>4070</v>
      </c>
      <c r="P3227" t="s">
        <v>60</v>
      </c>
      <c r="R3227" t="s">
        <v>4035</v>
      </c>
      <c r="S3227" t="s">
        <v>4075</v>
      </c>
      <c r="V3227" t="s">
        <v>3956</v>
      </c>
      <c r="Z3227">
        <v>9</v>
      </c>
      <c r="AA3227">
        <v>10</v>
      </c>
      <c r="AC3227">
        <v>504</v>
      </c>
      <c r="AD3227">
        <v>29.2</v>
      </c>
      <c r="AE3227">
        <v>1301</v>
      </c>
      <c r="AF3227">
        <v>29.3</v>
      </c>
      <c r="AJ3227" t="s">
        <v>4078</v>
      </c>
      <c r="AK3227" t="s">
        <v>4081</v>
      </c>
      <c r="AN3227">
        <v>0.23</v>
      </c>
      <c r="AO3227">
        <v>0.18</v>
      </c>
      <c r="AP3227">
        <v>0.21</v>
      </c>
      <c r="AQ3227">
        <v>0.09</v>
      </c>
      <c r="AW3227" s="28">
        <f t="shared" si="328"/>
        <v>-0.14309353693706339</v>
      </c>
      <c r="AX3227">
        <f t="shared" si="329"/>
        <v>0.95522388059701491</v>
      </c>
      <c r="AY3227" s="62">
        <f t="shared" si="330"/>
        <v>-0.13668636364137399</v>
      </c>
      <c r="AZ3227" s="68" t="str">
        <f t="shared" si="331"/>
        <v>No</v>
      </c>
      <c r="BA3227" s="68" t="str">
        <f t="shared" si="332"/>
        <v>No</v>
      </c>
    </row>
    <row r="3228" spans="1:53" hidden="1">
      <c r="A3228" t="s">
        <v>3914</v>
      </c>
      <c r="G3228" t="s">
        <v>4070</v>
      </c>
      <c r="P3228" t="s">
        <v>60</v>
      </c>
      <c r="R3228" t="s">
        <v>4035</v>
      </c>
      <c r="S3228" t="s">
        <v>4075</v>
      </c>
      <c r="V3228" t="s">
        <v>3956</v>
      </c>
      <c r="Z3228">
        <v>10</v>
      </c>
      <c r="AA3228">
        <v>10</v>
      </c>
      <c r="AC3228">
        <v>504</v>
      </c>
      <c r="AD3228">
        <v>29.2</v>
      </c>
      <c r="AE3228">
        <v>1301</v>
      </c>
      <c r="AF3228">
        <v>29.3</v>
      </c>
      <c r="AJ3228" t="s">
        <v>4084</v>
      </c>
      <c r="AK3228" t="s">
        <v>4081</v>
      </c>
      <c r="AN3228">
        <v>8</v>
      </c>
      <c r="AO3228">
        <v>2.8</v>
      </c>
      <c r="AP3228">
        <v>9.5</v>
      </c>
      <c r="AQ3228">
        <v>3.3</v>
      </c>
      <c r="AW3228" s="28">
        <f t="shared" si="328"/>
        <v>0.49015943667162915</v>
      </c>
      <c r="AX3228">
        <f t="shared" si="329"/>
        <v>0.95774647887323949</v>
      </c>
      <c r="AY3228" s="62">
        <f t="shared" si="330"/>
        <v>0.46944847455874344</v>
      </c>
      <c r="AZ3228" s="68" t="str">
        <f t="shared" si="331"/>
        <v>No</v>
      </c>
      <c r="BA3228" s="68" t="str">
        <f t="shared" si="332"/>
        <v>No</v>
      </c>
    </row>
    <row r="3229" spans="1:53" ht="15" hidden="1">
      <c r="A3229" s="56" t="s">
        <v>3914</v>
      </c>
      <c r="G3229" s="56" t="s">
        <v>3928</v>
      </c>
      <c r="P3229" s="56" t="s">
        <v>60</v>
      </c>
      <c r="Q3229" s="56"/>
      <c r="R3229" s="56" t="s">
        <v>3942</v>
      </c>
      <c r="S3229" s="56" t="s">
        <v>3951</v>
      </c>
      <c r="T3229" s="56"/>
      <c r="U3229" s="56"/>
      <c r="V3229" s="56" t="s">
        <v>3956</v>
      </c>
      <c r="W3229" s="56"/>
      <c r="X3229" s="56"/>
      <c r="Y3229" s="56"/>
      <c r="Z3229" s="56">
        <v>36</v>
      </c>
      <c r="AA3229" s="56">
        <v>23</v>
      </c>
      <c r="AB3229" s="56"/>
      <c r="AC3229" s="56">
        <v>240.4</v>
      </c>
      <c r="AD3229" s="56">
        <v>25</v>
      </c>
      <c r="AE3229" s="56">
        <v>959.3</v>
      </c>
      <c r="AF3229" s="56">
        <v>25</v>
      </c>
      <c r="AG3229" s="56"/>
      <c r="AH3229" s="56"/>
      <c r="AI3229" s="56"/>
      <c r="AJ3229" s="56" t="s">
        <v>3973</v>
      </c>
      <c r="AK3229" s="56" t="s">
        <v>40</v>
      </c>
      <c r="AN3229" s="56">
        <v>0.57999999999999996</v>
      </c>
      <c r="AO3229" s="56">
        <v>0.09</v>
      </c>
      <c r="AP3229" s="56">
        <v>0.51</v>
      </c>
      <c r="AQ3229" s="56">
        <v>0.13</v>
      </c>
      <c r="AW3229" s="28">
        <f t="shared" si="328"/>
        <v>-0.65285296954781291</v>
      </c>
      <c r="AX3229">
        <f t="shared" si="329"/>
        <v>0.986784140969163</v>
      </c>
      <c r="AY3229" s="62">
        <f t="shared" si="330"/>
        <v>-0.64422495673440572</v>
      </c>
      <c r="AZ3229" s="68" t="str">
        <f t="shared" si="331"/>
        <v>No</v>
      </c>
      <c r="BA3229" s="68" t="str">
        <f t="shared" si="332"/>
        <v>No</v>
      </c>
    </row>
    <row r="3230" spans="1:53" ht="15" hidden="1">
      <c r="A3230" s="56" t="s">
        <v>3914</v>
      </c>
      <c r="G3230" s="56" t="s">
        <v>3928</v>
      </c>
      <c r="P3230" s="56" t="s">
        <v>60</v>
      </c>
      <c r="Q3230" s="56"/>
      <c r="R3230" s="56" t="s">
        <v>3942</v>
      </c>
      <c r="S3230" s="56" t="s">
        <v>3951</v>
      </c>
      <c r="T3230" s="56"/>
      <c r="U3230" s="56"/>
      <c r="V3230" s="56" t="s">
        <v>3956</v>
      </c>
      <c r="W3230" s="56"/>
      <c r="X3230" s="56"/>
      <c r="Y3230" s="56"/>
      <c r="Z3230" s="56">
        <v>36</v>
      </c>
      <c r="AA3230" s="56">
        <v>23</v>
      </c>
      <c r="AB3230" s="56"/>
      <c r="AC3230" s="56">
        <v>240.4</v>
      </c>
      <c r="AD3230" s="56">
        <v>25</v>
      </c>
      <c r="AE3230" s="56">
        <v>959.3</v>
      </c>
      <c r="AF3230" s="56">
        <v>25</v>
      </c>
      <c r="AG3230" s="56"/>
      <c r="AH3230" s="56"/>
      <c r="AI3230" s="56"/>
      <c r="AJ3230" s="56" t="s">
        <v>3939</v>
      </c>
      <c r="AK3230" s="56" t="s">
        <v>904</v>
      </c>
      <c r="AN3230" s="56">
        <v>27.6</v>
      </c>
      <c r="AO3230" s="56">
        <v>11.5</v>
      </c>
      <c r="AP3230" s="56">
        <v>14</v>
      </c>
      <c r="AQ3230" s="56">
        <v>7.9</v>
      </c>
      <c r="AW3230" s="28">
        <f t="shared" si="328"/>
        <v>-1.3253685534477844</v>
      </c>
      <c r="AX3230">
        <f t="shared" si="329"/>
        <v>0.986784140969163</v>
      </c>
      <c r="AY3230" s="62">
        <f t="shared" si="330"/>
        <v>-1.307852669481514</v>
      </c>
      <c r="AZ3230" s="68" t="str">
        <f t="shared" si="331"/>
        <v>No</v>
      </c>
      <c r="BA3230" s="68" t="str">
        <f t="shared" si="332"/>
        <v>No</v>
      </c>
    </row>
    <row r="3231" spans="1:53" hidden="1">
      <c r="A3231" t="s">
        <v>3914</v>
      </c>
      <c r="G3231" t="s">
        <v>4605</v>
      </c>
      <c r="P3231" t="s">
        <v>4596</v>
      </c>
      <c r="R3231" t="s">
        <v>4604</v>
      </c>
      <c r="S3231" t="s">
        <v>4572</v>
      </c>
      <c r="V3231" t="s">
        <v>4598</v>
      </c>
      <c r="Z3231">
        <v>10</v>
      </c>
      <c r="AA3231">
        <v>10</v>
      </c>
      <c r="AC3231">
        <v>404</v>
      </c>
      <c r="AD3231">
        <v>16</v>
      </c>
      <c r="AE3231">
        <v>399</v>
      </c>
      <c r="AF3231">
        <v>19</v>
      </c>
      <c r="AJ3231" t="s">
        <v>4608</v>
      </c>
      <c r="AK3231" t="s">
        <v>3983</v>
      </c>
      <c r="AN3231">
        <v>0.105</v>
      </c>
      <c r="AO3231">
        <f>0.125-0.092</f>
        <v>3.3000000000000002E-2</v>
      </c>
      <c r="AP3231">
        <v>0.13700000000000001</v>
      </c>
      <c r="AQ3231">
        <f>0.14-0.135</f>
        <v>5.0000000000000044E-3</v>
      </c>
      <c r="AW3231" s="28">
        <f t="shared" si="328"/>
        <v>1.3558835155425148</v>
      </c>
      <c r="AX3231">
        <f t="shared" si="329"/>
        <v>0.95774647887323949</v>
      </c>
      <c r="AY3231" s="62">
        <f t="shared" si="330"/>
        <v>1.2985926627731128</v>
      </c>
      <c r="AZ3231" s="68" t="str">
        <f t="shared" si="331"/>
        <v>No</v>
      </c>
      <c r="BA3231" s="68" t="str">
        <f t="shared" si="332"/>
        <v>No</v>
      </c>
    </row>
    <row r="3232" spans="1:53" hidden="1">
      <c r="A3232" t="s">
        <v>3914</v>
      </c>
      <c r="G3232" t="s">
        <v>4605</v>
      </c>
      <c r="P3232" t="s">
        <v>4596</v>
      </c>
      <c r="R3232" t="s">
        <v>4604</v>
      </c>
      <c r="S3232" t="s">
        <v>4572</v>
      </c>
      <c r="V3232" t="s">
        <v>4626</v>
      </c>
      <c r="Z3232">
        <v>10</v>
      </c>
      <c r="AA3232">
        <v>10</v>
      </c>
      <c r="AC3232">
        <v>404</v>
      </c>
      <c r="AD3232">
        <v>16</v>
      </c>
      <c r="AE3232">
        <v>781</v>
      </c>
      <c r="AF3232">
        <v>19</v>
      </c>
      <c r="AJ3232" t="s">
        <v>4607</v>
      </c>
      <c r="AK3232" t="s">
        <v>3983</v>
      </c>
      <c r="AN3232">
        <v>0.105</v>
      </c>
      <c r="AO3232">
        <f>0.125-0.092</f>
        <v>3.3000000000000002E-2</v>
      </c>
      <c r="AP3232">
        <v>0.14000000000000001</v>
      </c>
      <c r="AQ3232">
        <f>0.15-0.135</f>
        <v>1.4999999999999986E-2</v>
      </c>
      <c r="AW3232" s="28">
        <f t="shared" si="328"/>
        <v>1.3654800506215241</v>
      </c>
      <c r="AX3232">
        <f t="shared" si="329"/>
        <v>0.95774647887323949</v>
      </c>
      <c r="AY3232" s="62">
        <f t="shared" si="330"/>
        <v>1.3077837104544174</v>
      </c>
      <c r="AZ3232" s="68" t="str">
        <f t="shared" si="331"/>
        <v>No</v>
      </c>
      <c r="BA3232" s="68" t="str">
        <f t="shared" si="332"/>
        <v>No</v>
      </c>
    </row>
    <row r="3233" spans="1:55" hidden="1">
      <c r="A3233" t="s">
        <v>3914</v>
      </c>
      <c r="G3233" t="s">
        <v>4605</v>
      </c>
      <c r="P3233" t="s">
        <v>4596</v>
      </c>
      <c r="R3233" t="s">
        <v>4604</v>
      </c>
      <c r="S3233" t="s">
        <v>4572</v>
      </c>
      <c r="V3233" t="s">
        <v>4627</v>
      </c>
      <c r="Z3233">
        <v>10</v>
      </c>
      <c r="AA3233">
        <v>10</v>
      </c>
      <c r="AC3233">
        <v>404</v>
      </c>
      <c r="AD3233">
        <v>16</v>
      </c>
      <c r="AE3233">
        <v>1399</v>
      </c>
      <c r="AF3233">
        <v>19</v>
      </c>
      <c r="AJ3233" t="s">
        <v>4607</v>
      </c>
      <c r="AK3233" t="s">
        <v>3983</v>
      </c>
      <c r="AN3233">
        <v>0.105</v>
      </c>
      <c r="AO3233">
        <f>0.125-0.092</f>
        <v>3.3000000000000002E-2</v>
      </c>
      <c r="AP3233">
        <v>0.122</v>
      </c>
      <c r="AQ3233">
        <f>0.158-0.105</f>
        <v>5.3000000000000005E-2</v>
      </c>
      <c r="AW3233" s="28">
        <f t="shared" si="328"/>
        <v>0.38507294092247302</v>
      </c>
      <c r="AX3233">
        <f t="shared" si="329"/>
        <v>0.95774647887323949</v>
      </c>
      <c r="AY3233" s="62">
        <f t="shared" si="330"/>
        <v>0.36880225327786148</v>
      </c>
      <c r="AZ3233" s="68" t="str">
        <f t="shared" si="331"/>
        <v>No</v>
      </c>
      <c r="BA3233" s="68" t="str">
        <f t="shared" si="332"/>
        <v>No</v>
      </c>
    </row>
    <row r="3234" spans="1:55" hidden="1">
      <c r="A3234" t="s">
        <v>3914</v>
      </c>
      <c r="G3234" t="s">
        <v>5108</v>
      </c>
      <c r="P3234" t="s">
        <v>4596</v>
      </c>
      <c r="R3234" t="s">
        <v>4604</v>
      </c>
      <c r="S3234" t="s">
        <v>4572</v>
      </c>
      <c r="V3234" t="s">
        <v>4598</v>
      </c>
      <c r="Z3234">
        <v>10</v>
      </c>
      <c r="AA3234">
        <v>10</v>
      </c>
      <c r="AC3234">
        <v>404</v>
      </c>
      <c r="AD3234">
        <v>16</v>
      </c>
      <c r="AE3234">
        <v>399</v>
      </c>
      <c r="AF3234">
        <v>19</v>
      </c>
      <c r="AJ3234" t="s">
        <v>4952</v>
      </c>
      <c r="AK3234" t="s">
        <v>4041</v>
      </c>
      <c r="AN3234">
        <v>1.07</v>
      </c>
      <c r="AO3234">
        <f>1.75-0.2</f>
        <v>1.55</v>
      </c>
      <c r="AP3234">
        <v>1.6</v>
      </c>
      <c r="AQ3234">
        <f>1.66-1.38</f>
        <v>0.28000000000000003</v>
      </c>
      <c r="AW3234" s="28">
        <f t="shared" si="328"/>
        <v>0.47586771123969723</v>
      </c>
      <c r="AX3234">
        <f t="shared" si="329"/>
        <v>0.95774647887323949</v>
      </c>
      <c r="AY3234" s="62">
        <f t="shared" si="330"/>
        <v>0.45576062484928753</v>
      </c>
      <c r="AZ3234" s="68" t="str">
        <f t="shared" si="331"/>
        <v>No</v>
      </c>
      <c r="BA3234" s="68" t="str">
        <f t="shared" si="332"/>
        <v>No</v>
      </c>
    </row>
    <row r="3235" spans="1:55" s="77" customFormat="1" hidden="1">
      <c r="A3235" t="s">
        <v>3914</v>
      </c>
      <c r="B3235"/>
      <c r="C3235"/>
      <c r="D3235" s="25"/>
      <c r="E3235" s="25"/>
      <c r="F3235"/>
      <c r="G3235" t="s">
        <v>4605</v>
      </c>
      <c r="H3235"/>
      <c r="I3235"/>
      <c r="J3235"/>
      <c r="K3235"/>
      <c r="L3235"/>
      <c r="M3235" s="25"/>
      <c r="N3235"/>
      <c r="O3235"/>
      <c r="P3235" t="s">
        <v>4596</v>
      </c>
      <c r="Q3235"/>
      <c r="R3235" t="s">
        <v>4604</v>
      </c>
      <c r="S3235" t="s">
        <v>4572</v>
      </c>
      <c r="T3235"/>
      <c r="U3235"/>
      <c r="V3235" t="s">
        <v>4626</v>
      </c>
      <c r="W3235" s="25"/>
      <c r="X3235"/>
      <c r="Y3235"/>
      <c r="Z3235">
        <v>10</v>
      </c>
      <c r="AA3235">
        <v>10</v>
      </c>
      <c r="AB3235"/>
      <c r="AC3235">
        <v>404</v>
      </c>
      <c r="AD3235">
        <v>16</v>
      </c>
      <c r="AE3235">
        <v>781</v>
      </c>
      <c r="AF3235">
        <v>19</v>
      </c>
      <c r="AG3235"/>
      <c r="AH3235"/>
      <c r="AI3235"/>
      <c r="AJ3235" t="s">
        <v>4606</v>
      </c>
      <c r="AK3235" t="s">
        <v>4041</v>
      </c>
      <c r="AL3235" s="25"/>
      <c r="AM3235" s="35"/>
      <c r="AN3235">
        <v>1.07</v>
      </c>
      <c r="AO3235">
        <f>1.75-0.2</f>
        <v>1.55</v>
      </c>
      <c r="AP3235">
        <v>1.85</v>
      </c>
      <c r="AQ3235">
        <f>1.95-1.62</f>
        <v>0.32999999999999985</v>
      </c>
      <c r="AR3235"/>
      <c r="AS3235"/>
      <c r="AT3235"/>
      <c r="AU3235"/>
      <c r="AV3235"/>
      <c r="AW3235" s="28">
        <f t="shared" si="328"/>
        <v>0.69606797909418849</v>
      </c>
      <c r="AX3235">
        <f t="shared" si="329"/>
        <v>0.95774647887323949</v>
      </c>
      <c r="AY3235" s="62">
        <f t="shared" si="330"/>
        <v>0.6666566560338707</v>
      </c>
      <c r="AZ3235" s="68" t="str">
        <f t="shared" si="331"/>
        <v>No</v>
      </c>
      <c r="BA3235" s="68" t="str">
        <f t="shared" si="332"/>
        <v>No</v>
      </c>
      <c r="BB3235"/>
      <c r="BC3235"/>
    </row>
    <row r="3236" spans="1:55" hidden="1">
      <c r="A3236" t="s">
        <v>3914</v>
      </c>
      <c r="G3236" t="s">
        <v>4605</v>
      </c>
      <c r="P3236" t="s">
        <v>4596</v>
      </c>
      <c r="R3236" t="s">
        <v>4604</v>
      </c>
      <c r="S3236" t="s">
        <v>4572</v>
      </c>
      <c r="V3236" t="s">
        <v>4627</v>
      </c>
      <c r="Z3236">
        <v>10</v>
      </c>
      <c r="AA3236">
        <v>10</v>
      </c>
      <c r="AC3236">
        <v>404</v>
      </c>
      <c r="AD3236">
        <v>16</v>
      </c>
      <c r="AE3236">
        <v>1399</v>
      </c>
      <c r="AF3236">
        <v>19</v>
      </c>
      <c r="AJ3236" t="s">
        <v>4606</v>
      </c>
      <c r="AK3236" t="s">
        <v>4041</v>
      </c>
      <c r="AN3236">
        <v>1.07</v>
      </c>
      <c r="AO3236">
        <f>1.75-0.2</f>
        <v>1.55</v>
      </c>
      <c r="AP3236">
        <v>1.8</v>
      </c>
      <c r="AQ3236">
        <f>2.15-1.4</f>
        <v>0.75</v>
      </c>
      <c r="AW3236" s="28">
        <f t="shared" si="328"/>
        <v>0.59955014051782263</v>
      </c>
      <c r="AX3236">
        <f t="shared" si="329"/>
        <v>0.95774647887323949</v>
      </c>
      <c r="AY3236" s="62">
        <f t="shared" si="330"/>
        <v>0.57421703598890061</v>
      </c>
      <c r="AZ3236" s="68" t="str">
        <f t="shared" si="331"/>
        <v>No</v>
      </c>
      <c r="BA3236" s="68" t="str">
        <f t="shared" si="332"/>
        <v>No</v>
      </c>
    </row>
    <row r="3237" spans="1:55" hidden="1">
      <c r="A3237" s="77" t="s">
        <v>3914</v>
      </c>
      <c r="G3237" s="77" t="s">
        <v>5119</v>
      </c>
      <c r="P3237" s="77" t="s">
        <v>60</v>
      </c>
      <c r="Q3237" s="77"/>
      <c r="R3237" s="77" t="s">
        <v>4357</v>
      </c>
      <c r="S3237" s="77" t="s">
        <v>4424</v>
      </c>
      <c r="T3237" s="77"/>
      <c r="U3237" s="77"/>
      <c r="V3237" s="77" t="s">
        <v>3956</v>
      </c>
      <c r="W3237" s="77"/>
      <c r="X3237" s="77"/>
      <c r="Y3237" s="77"/>
      <c r="Z3237" s="77">
        <v>6</v>
      </c>
      <c r="AA3237" s="77">
        <v>6</v>
      </c>
      <c r="AB3237" s="77"/>
      <c r="AC3237" s="77">
        <v>439</v>
      </c>
      <c r="AD3237" s="77">
        <v>28.55</v>
      </c>
      <c r="AE3237" s="77">
        <v>561</v>
      </c>
      <c r="AF3237" s="77">
        <v>28.83</v>
      </c>
      <c r="AG3237" s="77"/>
      <c r="AH3237" s="77"/>
      <c r="AI3237" s="77"/>
      <c r="AJ3237" s="77" t="s">
        <v>4497</v>
      </c>
      <c r="AK3237" s="77" t="s">
        <v>4123</v>
      </c>
      <c r="AN3237" s="77">
        <v>13.2</v>
      </c>
      <c r="AO3237" s="77">
        <v>2.4494897427831779</v>
      </c>
      <c r="AP3237" s="77">
        <v>16.2</v>
      </c>
      <c r="AQ3237" s="77">
        <v>4.4090815370097207</v>
      </c>
      <c r="AW3237" s="28">
        <f t="shared" si="328"/>
        <v>0.84115823113806631</v>
      </c>
      <c r="AX3237">
        <f t="shared" si="329"/>
        <v>0.92307692307692313</v>
      </c>
      <c r="AY3237" s="62">
        <f t="shared" si="330"/>
        <v>0.77645375181975351</v>
      </c>
      <c r="AZ3237" s="68" t="str">
        <f t="shared" si="331"/>
        <v>No</v>
      </c>
      <c r="BA3237" s="68" t="str">
        <f t="shared" si="332"/>
        <v>No</v>
      </c>
    </row>
    <row r="3238" spans="1:55" hidden="1">
      <c r="A3238" s="77" t="s">
        <v>3914</v>
      </c>
      <c r="G3238" s="77" t="s">
        <v>5056</v>
      </c>
      <c r="P3238" s="77" t="s">
        <v>60</v>
      </c>
      <c r="Q3238" s="77"/>
      <c r="R3238" s="77" t="s">
        <v>4357</v>
      </c>
      <c r="S3238" s="77" t="s">
        <v>4424</v>
      </c>
      <c r="T3238" s="77"/>
      <c r="U3238" s="77"/>
      <c r="V3238" s="77" t="s">
        <v>3956</v>
      </c>
      <c r="W3238" s="77"/>
      <c r="X3238" s="77"/>
      <c r="Y3238" s="77"/>
      <c r="Z3238" s="77">
        <v>6</v>
      </c>
      <c r="AA3238" s="77">
        <v>6</v>
      </c>
      <c r="AB3238" s="77"/>
      <c r="AC3238" s="77">
        <v>439</v>
      </c>
      <c r="AD3238" s="77">
        <v>28.55</v>
      </c>
      <c r="AE3238" s="77">
        <v>561</v>
      </c>
      <c r="AF3238" s="77">
        <v>28.83</v>
      </c>
      <c r="AG3238" s="77"/>
      <c r="AH3238" s="77"/>
      <c r="AI3238" s="77"/>
      <c r="AJ3238" s="77" t="s">
        <v>4216</v>
      </c>
      <c r="AK3238" s="77" t="s">
        <v>4244</v>
      </c>
      <c r="AN3238" s="77">
        <v>276.3</v>
      </c>
      <c r="AO3238" s="77">
        <v>8.8181630740194414</v>
      </c>
      <c r="AP3238" s="77">
        <v>220.3</v>
      </c>
      <c r="AQ3238" s="77">
        <v>21.800458710770283</v>
      </c>
      <c r="AW3238" s="28">
        <f t="shared" si="328"/>
        <v>-3.3676938661432301</v>
      </c>
      <c r="AX3238">
        <f t="shared" si="329"/>
        <v>0.92307692307692313</v>
      </c>
      <c r="AY3238" s="62">
        <f t="shared" si="330"/>
        <v>-3.1086404918245201</v>
      </c>
      <c r="AZ3238" s="68" t="str">
        <f t="shared" si="331"/>
        <v>No</v>
      </c>
      <c r="BA3238" s="68" t="str">
        <f t="shared" si="332"/>
        <v>No</v>
      </c>
    </row>
    <row r="3239" spans="1:55" hidden="1">
      <c r="A3239" t="s">
        <v>3914</v>
      </c>
      <c r="G3239" t="s">
        <v>4275</v>
      </c>
      <c r="P3239" t="s">
        <v>60</v>
      </c>
      <c r="R3239" t="s">
        <v>4285</v>
      </c>
      <c r="S3239" t="s">
        <v>4280</v>
      </c>
      <c r="V3239" t="s">
        <v>3956</v>
      </c>
      <c r="Z3239">
        <v>4</v>
      </c>
      <c r="AA3239">
        <v>4</v>
      </c>
      <c r="AC3239">
        <v>425.3</v>
      </c>
      <c r="AD3239">
        <v>24</v>
      </c>
      <c r="AE3239">
        <v>2035.8</v>
      </c>
      <c r="AF3239">
        <v>24</v>
      </c>
      <c r="AJ3239" t="s">
        <v>4283</v>
      </c>
      <c r="AK3239" t="s">
        <v>4093</v>
      </c>
      <c r="AN3239">
        <v>21.5</v>
      </c>
      <c r="AO3239">
        <v>7</v>
      </c>
      <c r="AP3239">
        <v>27</v>
      </c>
      <c r="AQ3239">
        <v>14</v>
      </c>
      <c r="AW3239" s="28">
        <f t="shared" si="328"/>
        <v>0.49692934659788818</v>
      </c>
      <c r="AX3239">
        <f t="shared" si="329"/>
        <v>0.86956521739130432</v>
      </c>
      <c r="AY3239" s="62">
        <f t="shared" si="330"/>
        <v>0.43211247530251146</v>
      </c>
      <c r="AZ3239" s="68" t="str">
        <f t="shared" si="331"/>
        <v>No</v>
      </c>
      <c r="BA3239" s="68" t="str">
        <f t="shared" si="332"/>
        <v>No</v>
      </c>
    </row>
    <row r="3240" spans="1:55" hidden="1">
      <c r="A3240" t="s">
        <v>3914</v>
      </c>
      <c r="G3240" t="s">
        <v>4278</v>
      </c>
      <c r="P3240" t="s">
        <v>60</v>
      </c>
      <c r="R3240" t="s">
        <v>4285</v>
      </c>
      <c r="S3240" t="s">
        <v>4280</v>
      </c>
      <c r="V3240" t="s">
        <v>3956</v>
      </c>
      <c r="Z3240">
        <v>6</v>
      </c>
      <c r="AA3240">
        <v>6</v>
      </c>
      <c r="AC3240">
        <v>493.2</v>
      </c>
      <c r="AD3240">
        <v>23.8</v>
      </c>
      <c r="AE3240">
        <v>1231.4000000000001</v>
      </c>
      <c r="AF3240">
        <v>24</v>
      </c>
      <c r="AJ3240" t="s">
        <v>1202</v>
      </c>
      <c r="AK3240" t="s">
        <v>4093</v>
      </c>
      <c r="AN3240">
        <v>79</v>
      </c>
      <c r="AO3240">
        <v>4.8989794855663558</v>
      </c>
      <c r="AP3240">
        <v>78</v>
      </c>
      <c r="AQ3240">
        <v>1.2247448713915889</v>
      </c>
      <c r="AW3240" s="28">
        <f t="shared" si="328"/>
        <v>-0.28005601680560199</v>
      </c>
      <c r="AX3240">
        <f t="shared" si="329"/>
        <v>0.92307692307692313</v>
      </c>
      <c r="AY3240" s="62">
        <f t="shared" si="330"/>
        <v>-0.25851324628209416</v>
      </c>
      <c r="AZ3240" s="68" t="str">
        <f t="shared" si="331"/>
        <v>No</v>
      </c>
      <c r="BA3240" s="68" t="str">
        <f t="shared" si="332"/>
        <v>No</v>
      </c>
    </row>
    <row r="3241" spans="1:55" hidden="1">
      <c r="A3241" t="s">
        <v>3914</v>
      </c>
      <c r="G3241" s="50" t="s">
        <v>5059</v>
      </c>
      <c r="P3241" t="s">
        <v>60</v>
      </c>
      <c r="R3241" t="s">
        <v>4357</v>
      </c>
      <c r="S3241" s="50" t="s">
        <v>1747</v>
      </c>
      <c r="V3241" t="s">
        <v>3956</v>
      </c>
      <c r="Z3241">
        <v>5</v>
      </c>
      <c r="AA3241">
        <v>8</v>
      </c>
      <c r="AC3241">
        <v>577</v>
      </c>
      <c r="AD3241">
        <v>10.199999999999999</v>
      </c>
      <c r="AE3241">
        <v>1536</v>
      </c>
      <c r="AF3241">
        <v>9.9</v>
      </c>
      <c r="AJ3241" s="50" t="s">
        <v>4078</v>
      </c>
      <c r="AK3241" t="s">
        <v>4502</v>
      </c>
      <c r="AN3241" s="50">
        <v>2.5000000000000001E-3</v>
      </c>
      <c r="AO3241" s="50">
        <v>2.1794494717703363E-3</v>
      </c>
      <c r="AP3241" s="50">
        <v>5.0125000000000005E-3</v>
      </c>
      <c r="AQ3241" s="50">
        <v>3.0120887389697808E-3</v>
      </c>
      <c r="AW3241" s="28">
        <f t="shared" si="328"/>
        <v>0.91738663581973523</v>
      </c>
      <c r="AX3241">
        <f t="shared" si="329"/>
        <v>0.93023255813953487</v>
      </c>
      <c r="AY3241" s="62">
        <f t="shared" si="330"/>
        <v>0.85338291704161418</v>
      </c>
      <c r="AZ3241" s="68" t="str">
        <f t="shared" si="331"/>
        <v>No</v>
      </c>
      <c r="BA3241" s="68" t="str">
        <f t="shared" si="332"/>
        <v>No</v>
      </c>
    </row>
    <row r="3242" spans="1:55" hidden="1">
      <c r="A3242" t="s">
        <v>3914</v>
      </c>
      <c r="G3242" s="50" t="s">
        <v>5059</v>
      </c>
      <c r="P3242" t="s">
        <v>60</v>
      </c>
      <c r="R3242" t="s">
        <v>4357</v>
      </c>
      <c r="S3242" s="50" t="s">
        <v>1747</v>
      </c>
      <c r="V3242" t="s">
        <v>3956</v>
      </c>
      <c r="Z3242">
        <v>5</v>
      </c>
      <c r="AA3242">
        <v>9</v>
      </c>
      <c r="AC3242">
        <v>577</v>
      </c>
      <c r="AD3242">
        <v>10.199999999999999</v>
      </c>
      <c r="AE3242">
        <v>2382</v>
      </c>
      <c r="AF3242">
        <v>9.9</v>
      </c>
      <c r="AJ3242" s="50" t="s">
        <v>4078</v>
      </c>
      <c r="AK3242" t="s">
        <v>4502</v>
      </c>
      <c r="AN3242" s="50">
        <v>2.5000000000000001E-3</v>
      </c>
      <c r="AO3242" s="50">
        <v>2.1794494717703363E-3</v>
      </c>
      <c r="AP3242" s="50">
        <v>8.3999999999999995E-3</v>
      </c>
      <c r="AQ3242" s="50">
        <v>6.6541340533535992E-3</v>
      </c>
      <c r="AW3242" s="28">
        <f t="shared" si="328"/>
        <v>1.0579379113111913</v>
      </c>
      <c r="AX3242">
        <f t="shared" si="329"/>
        <v>0.93617021276595747</v>
      </c>
      <c r="AY3242" s="62">
        <f t="shared" si="330"/>
        <v>0.99040995952537059</v>
      </c>
      <c r="AZ3242" s="68" t="str">
        <f t="shared" si="331"/>
        <v>No</v>
      </c>
      <c r="BA3242" s="68" t="str">
        <f t="shared" si="332"/>
        <v>No</v>
      </c>
    </row>
    <row r="3243" spans="1:55" hidden="1">
      <c r="A3243" t="s">
        <v>3914</v>
      </c>
      <c r="G3243" t="s">
        <v>4419</v>
      </c>
      <c r="P3243" t="s">
        <v>60</v>
      </c>
      <c r="R3243" t="s">
        <v>4357</v>
      </c>
      <c r="S3243" t="s">
        <v>1747</v>
      </c>
      <c r="V3243" t="s">
        <v>3956</v>
      </c>
      <c r="Z3243">
        <v>3</v>
      </c>
      <c r="AA3243">
        <v>3</v>
      </c>
      <c r="AC3243">
        <v>577</v>
      </c>
      <c r="AD3243">
        <v>10.199999999999999</v>
      </c>
      <c r="AE3243">
        <v>2382</v>
      </c>
      <c r="AF3243">
        <v>9.9</v>
      </c>
      <c r="AJ3243" t="s">
        <v>4065</v>
      </c>
      <c r="AK3243" t="s">
        <v>4491</v>
      </c>
      <c r="AN3243">
        <v>0.93</v>
      </c>
      <c r="AO3243">
        <v>5.5677643628300209E-2</v>
      </c>
      <c r="AP3243">
        <v>0.80000000000000016</v>
      </c>
      <c r="AQ3243">
        <v>9.1651513899116827E-2</v>
      </c>
      <c r="AW3243" s="28">
        <f t="shared" si="328"/>
        <v>-1.7143892308290447</v>
      </c>
      <c r="AX3243">
        <f t="shared" si="329"/>
        <v>0.8</v>
      </c>
      <c r="AY3243" s="62">
        <f t="shared" si="330"/>
        <v>-1.3715113846632359</v>
      </c>
      <c r="AZ3243" s="68" t="str">
        <f t="shared" si="331"/>
        <v>No</v>
      </c>
      <c r="BA3243" s="68" t="str">
        <f t="shared" si="332"/>
        <v>No</v>
      </c>
    </row>
    <row r="3244" spans="1:55" hidden="1">
      <c r="A3244" t="s">
        <v>3914</v>
      </c>
      <c r="G3244" t="s">
        <v>4419</v>
      </c>
      <c r="P3244" t="s">
        <v>60</v>
      </c>
      <c r="R3244" t="s">
        <v>4357</v>
      </c>
      <c r="S3244" t="s">
        <v>1747</v>
      </c>
      <c r="V3244" t="s">
        <v>3956</v>
      </c>
      <c r="Z3244">
        <v>3</v>
      </c>
      <c r="AA3244">
        <v>3</v>
      </c>
      <c r="AC3244">
        <v>577</v>
      </c>
      <c r="AD3244">
        <v>10.199999999999999</v>
      </c>
      <c r="AE3244">
        <v>1536</v>
      </c>
      <c r="AF3244">
        <v>9.9</v>
      </c>
      <c r="AJ3244" t="s">
        <v>4065</v>
      </c>
      <c r="AK3244" t="s">
        <v>4491</v>
      </c>
      <c r="AN3244">
        <v>0.93</v>
      </c>
      <c r="AO3244">
        <v>5.5677643628300209E-2</v>
      </c>
      <c r="AP3244">
        <v>0.82666666666666666</v>
      </c>
      <c r="AQ3244">
        <v>0.14189197769195097</v>
      </c>
      <c r="AW3244" s="28">
        <f t="shared" si="328"/>
        <v>-0.95873741299085546</v>
      </c>
      <c r="AX3244">
        <f t="shared" si="329"/>
        <v>0.8</v>
      </c>
      <c r="AY3244" s="62">
        <f t="shared" si="330"/>
        <v>-0.76698993039268437</v>
      </c>
      <c r="AZ3244" s="68" t="str">
        <f t="shared" si="331"/>
        <v>No</v>
      </c>
      <c r="BA3244" s="68" t="str">
        <f t="shared" si="332"/>
        <v>No</v>
      </c>
    </row>
    <row r="3245" spans="1:55" s="56" customFormat="1" ht="15" hidden="1">
      <c r="A3245" t="s">
        <v>3914</v>
      </c>
      <c r="B3245"/>
      <c r="C3245"/>
      <c r="D3245" s="25"/>
      <c r="E3245" s="25"/>
      <c r="F3245"/>
      <c r="G3245" t="s">
        <v>4419</v>
      </c>
      <c r="H3245"/>
      <c r="I3245"/>
      <c r="J3245"/>
      <c r="K3245"/>
      <c r="L3245"/>
      <c r="M3245" s="25"/>
      <c r="N3245"/>
      <c r="O3245"/>
      <c r="P3245" t="s">
        <v>60</v>
      </c>
      <c r="Q3245"/>
      <c r="R3245" t="s">
        <v>4357</v>
      </c>
      <c r="S3245" t="s">
        <v>1747</v>
      </c>
      <c r="T3245"/>
      <c r="U3245"/>
      <c r="V3245" t="s">
        <v>3956</v>
      </c>
      <c r="W3245" s="25"/>
      <c r="X3245"/>
      <c r="Y3245"/>
      <c r="Z3245">
        <v>3</v>
      </c>
      <c r="AA3245">
        <v>2</v>
      </c>
      <c r="AB3245"/>
      <c r="AC3245">
        <v>577</v>
      </c>
      <c r="AD3245">
        <v>10.199999999999999</v>
      </c>
      <c r="AE3245">
        <v>4225</v>
      </c>
      <c r="AF3245">
        <v>10.199999999999999</v>
      </c>
      <c r="AG3245"/>
      <c r="AH3245"/>
      <c r="AI3245"/>
      <c r="AJ3245" t="s">
        <v>4065</v>
      </c>
      <c r="AK3245" t="s">
        <v>4491</v>
      </c>
      <c r="AL3245" s="25"/>
      <c r="AM3245" s="35"/>
      <c r="AN3245">
        <v>0.93</v>
      </c>
      <c r="AO3245">
        <v>5.5677643628300209E-2</v>
      </c>
      <c r="AP3245">
        <v>0.41500000000000004</v>
      </c>
      <c r="AQ3245">
        <v>0.3747665940288703</v>
      </c>
      <c r="AR3245"/>
      <c r="AS3245"/>
      <c r="AT3245"/>
      <c r="AU3245"/>
      <c r="AV3245"/>
      <c r="AW3245" s="28">
        <f t="shared" si="328"/>
        <v>-2.3293074876396385</v>
      </c>
      <c r="AX3245">
        <f t="shared" si="329"/>
        <v>0.72727272727272729</v>
      </c>
      <c r="AY3245" s="62">
        <f t="shared" si="330"/>
        <v>-1.6940418091924643</v>
      </c>
      <c r="AZ3245" s="68" t="str">
        <f t="shared" si="331"/>
        <v>No</v>
      </c>
      <c r="BA3245" s="68" t="str">
        <f t="shared" si="332"/>
        <v>No</v>
      </c>
      <c r="BB3245"/>
      <c r="BC3245"/>
    </row>
    <row r="3246" spans="1:55" hidden="1">
      <c r="A3246" t="s">
        <v>3914</v>
      </c>
      <c r="G3246" t="s">
        <v>5059</v>
      </c>
      <c r="P3246" t="s">
        <v>60</v>
      </c>
      <c r="R3246" t="s">
        <v>4357</v>
      </c>
      <c r="S3246" t="s">
        <v>1747</v>
      </c>
      <c r="V3246" t="s">
        <v>3956</v>
      </c>
      <c r="Z3246">
        <v>3</v>
      </c>
      <c r="AA3246">
        <v>3</v>
      </c>
      <c r="AC3246">
        <v>577</v>
      </c>
      <c r="AD3246">
        <v>10.199999999999999</v>
      </c>
      <c r="AE3246">
        <v>1536</v>
      </c>
      <c r="AF3246">
        <v>9.9</v>
      </c>
      <c r="AJ3246" t="s">
        <v>4232</v>
      </c>
      <c r="AK3246" t="s">
        <v>4244</v>
      </c>
      <c r="AN3246">
        <v>266.66666666666669</v>
      </c>
      <c r="AO3246">
        <v>20.816659994661325</v>
      </c>
      <c r="AP3246">
        <v>210</v>
      </c>
      <c r="AQ3246">
        <v>13.228756555322953</v>
      </c>
      <c r="AW3246" s="28">
        <f t="shared" si="328"/>
        <v>-3.2491656814589782</v>
      </c>
      <c r="AX3246">
        <f t="shared" si="329"/>
        <v>0.8</v>
      </c>
      <c r="AY3246" s="62">
        <f t="shared" si="330"/>
        <v>-2.5993325451671829</v>
      </c>
      <c r="AZ3246" s="68" t="str">
        <f t="shared" si="331"/>
        <v>No</v>
      </c>
      <c r="BA3246" s="68" t="str">
        <f t="shared" si="332"/>
        <v>No</v>
      </c>
    </row>
    <row r="3247" spans="1:55" hidden="1">
      <c r="A3247" t="s">
        <v>3914</v>
      </c>
      <c r="G3247" t="s">
        <v>4419</v>
      </c>
      <c r="P3247" t="s">
        <v>60</v>
      </c>
      <c r="R3247" t="s">
        <v>4357</v>
      </c>
      <c r="S3247" t="s">
        <v>1747</v>
      </c>
      <c r="V3247" t="s">
        <v>3956</v>
      </c>
      <c r="Z3247">
        <v>3</v>
      </c>
      <c r="AA3247">
        <v>3</v>
      </c>
      <c r="AC3247">
        <v>577</v>
      </c>
      <c r="AD3247">
        <v>10.199999999999999</v>
      </c>
      <c r="AE3247">
        <v>2382</v>
      </c>
      <c r="AF3247">
        <v>9.9</v>
      </c>
      <c r="AJ3247" t="s">
        <v>4232</v>
      </c>
      <c r="AK3247" t="s">
        <v>4244</v>
      </c>
      <c r="AN3247">
        <v>266.66666666666669</v>
      </c>
      <c r="AO3247">
        <v>20.816659994661325</v>
      </c>
      <c r="AP3247">
        <v>208.33333333333334</v>
      </c>
      <c r="AQ3247">
        <v>18.929694486000912</v>
      </c>
      <c r="AW3247" s="28">
        <f t="shared" si="328"/>
        <v>-2.9319773580418693</v>
      </c>
      <c r="AX3247">
        <f t="shared" si="329"/>
        <v>0.8</v>
      </c>
      <c r="AY3247" s="62">
        <f t="shared" si="330"/>
        <v>-2.3455818864334956</v>
      </c>
      <c r="AZ3247" s="68" t="str">
        <f t="shared" si="331"/>
        <v>No</v>
      </c>
      <c r="BA3247" s="68" t="str">
        <f t="shared" si="332"/>
        <v>No</v>
      </c>
    </row>
    <row r="3248" spans="1:55" hidden="1">
      <c r="A3248" t="s">
        <v>3914</v>
      </c>
      <c r="G3248" t="s">
        <v>4419</v>
      </c>
      <c r="P3248" t="s">
        <v>60</v>
      </c>
      <c r="R3248" t="s">
        <v>4357</v>
      </c>
      <c r="S3248" t="s">
        <v>1747</v>
      </c>
      <c r="V3248" t="s">
        <v>3956</v>
      </c>
      <c r="Z3248">
        <v>3</v>
      </c>
      <c r="AA3248">
        <v>3</v>
      </c>
      <c r="AC3248">
        <v>577</v>
      </c>
      <c r="AD3248">
        <v>10.199999999999999</v>
      </c>
      <c r="AE3248">
        <v>4225</v>
      </c>
      <c r="AF3248">
        <v>10.199999999999999</v>
      </c>
      <c r="AJ3248" t="s">
        <v>4232</v>
      </c>
      <c r="AK3248" t="s">
        <v>4244</v>
      </c>
      <c r="AN3248">
        <v>266.66666666666669</v>
      </c>
      <c r="AO3248">
        <v>20.816659994661325</v>
      </c>
      <c r="AP3248">
        <v>27.666666666666668</v>
      </c>
      <c r="AQ3248">
        <v>58.960438713881132</v>
      </c>
      <c r="AW3248" s="28">
        <f t="shared" si="328"/>
        <v>-5.4055891349114553</v>
      </c>
      <c r="AX3248">
        <f t="shared" si="329"/>
        <v>0.8</v>
      </c>
      <c r="AY3248" s="62">
        <f t="shared" si="330"/>
        <v>-4.3244713079291648</v>
      </c>
      <c r="AZ3248" s="68" t="str">
        <f t="shared" si="331"/>
        <v>No</v>
      </c>
      <c r="BA3248" s="68" t="str">
        <f t="shared" si="332"/>
        <v>No</v>
      </c>
    </row>
    <row r="3249" spans="1:53" hidden="1">
      <c r="A3249" t="s">
        <v>3914</v>
      </c>
      <c r="G3249" t="s">
        <v>4775</v>
      </c>
      <c r="P3249" t="s">
        <v>4596</v>
      </c>
      <c r="R3249" t="s">
        <v>4286</v>
      </c>
      <c r="S3249" t="s">
        <v>4777</v>
      </c>
      <c r="V3249" t="s">
        <v>4598</v>
      </c>
      <c r="Z3249">
        <v>11</v>
      </c>
      <c r="AA3249">
        <v>9</v>
      </c>
      <c r="AC3249">
        <v>416.7</v>
      </c>
      <c r="AD3249">
        <v>28</v>
      </c>
      <c r="AE3249">
        <v>453.5</v>
      </c>
      <c r="AF3249">
        <v>33</v>
      </c>
      <c r="AJ3249" t="s">
        <v>4783</v>
      </c>
      <c r="AK3249" t="s">
        <v>904</v>
      </c>
      <c r="AL3249" s="59"/>
      <c r="AM3249" s="60"/>
      <c r="AN3249">
        <v>90</v>
      </c>
      <c r="AO3249" s="61">
        <f>5*SQRT(Z3249)</f>
        <v>16.583123951776997</v>
      </c>
      <c r="AP3249">
        <v>123</v>
      </c>
      <c r="AQ3249" s="61">
        <f>5*SQRT(AA3249)</f>
        <v>15</v>
      </c>
      <c r="AR3249" s="37"/>
      <c r="AS3249" s="37"/>
      <c r="AT3249" s="37"/>
      <c r="AU3249" s="37"/>
      <c r="AV3249" s="37"/>
      <c r="AW3249" s="28">
        <f t="shared" si="328"/>
        <v>2.0756039767093983</v>
      </c>
      <c r="AX3249">
        <f t="shared" si="329"/>
        <v>0.95774647887323949</v>
      </c>
      <c r="AY3249" s="62">
        <f t="shared" si="330"/>
        <v>1.9879024002287196</v>
      </c>
      <c r="AZ3249" s="68" t="str">
        <f t="shared" si="331"/>
        <v>No</v>
      </c>
      <c r="BA3249" s="68" t="str">
        <f t="shared" si="332"/>
        <v>No</v>
      </c>
    </row>
    <row r="3250" spans="1:53" hidden="1">
      <c r="A3250" t="s">
        <v>3914</v>
      </c>
      <c r="G3250" t="s">
        <v>4775</v>
      </c>
      <c r="P3250" t="s">
        <v>4596</v>
      </c>
      <c r="R3250" t="s">
        <v>4286</v>
      </c>
      <c r="S3250" t="s">
        <v>4777</v>
      </c>
      <c r="V3250" t="s">
        <v>4600</v>
      </c>
      <c r="Z3250">
        <v>11</v>
      </c>
      <c r="AA3250">
        <v>10</v>
      </c>
      <c r="AC3250">
        <v>416.7</v>
      </c>
      <c r="AD3250">
        <v>28</v>
      </c>
      <c r="AE3250">
        <v>986.5</v>
      </c>
      <c r="AF3250">
        <v>33</v>
      </c>
      <c r="AJ3250" t="s">
        <v>4779</v>
      </c>
      <c r="AK3250" t="s">
        <v>904</v>
      </c>
      <c r="AL3250" s="59"/>
      <c r="AM3250" s="60"/>
      <c r="AN3250">
        <v>90</v>
      </c>
      <c r="AO3250" s="61">
        <f>5*SQRT(Z3250)</f>
        <v>16.583123951776997</v>
      </c>
      <c r="AP3250">
        <v>125</v>
      </c>
      <c r="AQ3250" s="61">
        <f>7*SQRT(AA3250)</f>
        <v>22.135943621178658</v>
      </c>
      <c r="AR3250" s="37"/>
      <c r="AS3250" s="37"/>
      <c r="AT3250" s="37"/>
      <c r="AU3250" s="37"/>
      <c r="AV3250" s="37"/>
      <c r="AW3250" s="28">
        <f t="shared" si="328"/>
        <v>1.802969307565258</v>
      </c>
      <c r="AX3250">
        <f t="shared" si="329"/>
        <v>0.96</v>
      </c>
      <c r="AY3250" s="62">
        <f t="shared" si="330"/>
        <v>1.7308505352626475</v>
      </c>
      <c r="AZ3250" s="68" t="str">
        <f t="shared" si="331"/>
        <v>No</v>
      </c>
      <c r="BA3250" s="68" t="str">
        <f t="shared" si="332"/>
        <v>No</v>
      </c>
    </row>
    <row r="3251" spans="1:53" hidden="1">
      <c r="A3251" t="s">
        <v>3914</v>
      </c>
      <c r="G3251" t="s">
        <v>4775</v>
      </c>
      <c r="P3251" t="s">
        <v>4596</v>
      </c>
      <c r="R3251" t="s">
        <v>4286</v>
      </c>
      <c r="S3251" t="s">
        <v>4778</v>
      </c>
      <c r="V3251" t="s">
        <v>4600</v>
      </c>
      <c r="Z3251">
        <v>10</v>
      </c>
      <c r="AA3251">
        <v>9</v>
      </c>
      <c r="AC3251">
        <v>416.7</v>
      </c>
      <c r="AD3251">
        <v>28</v>
      </c>
      <c r="AE3251">
        <v>986.5</v>
      </c>
      <c r="AF3251">
        <v>33</v>
      </c>
      <c r="AJ3251" t="s">
        <v>4781</v>
      </c>
      <c r="AK3251" t="s">
        <v>904</v>
      </c>
      <c r="AL3251" s="59"/>
      <c r="AM3251" s="60"/>
      <c r="AN3251">
        <v>300</v>
      </c>
      <c r="AO3251" s="61">
        <f>15*SQRT(Z3251)</f>
        <v>47.434164902525694</v>
      </c>
      <c r="AP3251">
        <v>320</v>
      </c>
      <c r="AQ3251" s="61">
        <f>15*SQRT(AA3251)</f>
        <v>45</v>
      </c>
      <c r="AR3251" s="37"/>
      <c r="AS3251" s="37"/>
      <c r="AT3251" s="37"/>
      <c r="AU3251" s="37"/>
      <c r="AV3251" s="37"/>
      <c r="AW3251" s="28">
        <f t="shared" si="328"/>
        <v>0.43192236258113342</v>
      </c>
      <c r="AX3251">
        <f t="shared" si="329"/>
        <v>0.95522388059701491</v>
      </c>
      <c r="AY3251" s="62">
        <f t="shared" si="330"/>
        <v>0.41258255530138116</v>
      </c>
      <c r="AZ3251" s="68" t="str">
        <f t="shared" si="331"/>
        <v>No</v>
      </c>
      <c r="BA3251" s="68" t="str">
        <f t="shared" si="332"/>
        <v>No</v>
      </c>
    </row>
    <row r="3252" spans="1:53" hidden="1">
      <c r="A3252" t="s">
        <v>3914</v>
      </c>
      <c r="G3252" t="s">
        <v>4775</v>
      </c>
      <c r="P3252" t="s">
        <v>4596</v>
      </c>
      <c r="R3252" t="s">
        <v>4286</v>
      </c>
      <c r="S3252" t="s">
        <v>4777</v>
      </c>
      <c r="V3252" t="s">
        <v>4600</v>
      </c>
      <c r="Z3252">
        <v>10</v>
      </c>
      <c r="AA3252">
        <v>10</v>
      </c>
      <c r="AC3252">
        <v>416.7</v>
      </c>
      <c r="AD3252">
        <v>28</v>
      </c>
      <c r="AE3252">
        <v>986.5</v>
      </c>
      <c r="AF3252">
        <v>33</v>
      </c>
      <c r="AJ3252" t="s">
        <v>4780</v>
      </c>
      <c r="AK3252" t="s">
        <v>904</v>
      </c>
      <c r="AL3252" s="59"/>
      <c r="AM3252" s="60"/>
      <c r="AN3252">
        <v>390</v>
      </c>
      <c r="AO3252" s="61">
        <f>20*SQRT(Z3252)</f>
        <v>63.245553203367592</v>
      </c>
      <c r="AP3252">
        <v>425</v>
      </c>
      <c r="AQ3252" s="61">
        <f>20*SQRT(AA3252)</f>
        <v>63.245553203367592</v>
      </c>
      <c r="AR3252" s="37"/>
      <c r="AS3252" s="37"/>
      <c r="AT3252" s="37"/>
      <c r="AU3252" s="37"/>
      <c r="AV3252" s="37"/>
      <c r="AW3252" s="28">
        <f t="shared" si="328"/>
        <v>0.55339859052946638</v>
      </c>
      <c r="AX3252">
        <f t="shared" si="329"/>
        <v>0.95774647887323949</v>
      </c>
      <c r="AY3252" s="62">
        <f t="shared" si="330"/>
        <v>0.53001555149301005</v>
      </c>
      <c r="AZ3252" s="68" t="str">
        <f t="shared" si="331"/>
        <v>No</v>
      </c>
      <c r="BA3252" s="68" t="str">
        <f t="shared" si="332"/>
        <v>No</v>
      </c>
    </row>
    <row r="3253" spans="1:53" hidden="1">
      <c r="A3253" t="s">
        <v>3914</v>
      </c>
      <c r="G3253" t="s">
        <v>4775</v>
      </c>
      <c r="P3253" t="s">
        <v>4596</v>
      </c>
      <c r="R3253" t="s">
        <v>4286</v>
      </c>
      <c r="S3253" t="s">
        <v>4777</v>
      </c>
      <c r="V3253" t="s">
        <v>4598</v>
      </c>
      <c r="Z3253">
        <v>10</v>
      </c>
      <c r="AA3253">
        <v>9</v>
      </c>
      <c r="AC3253">
        <v>416.7</v>
      </c>
      <c r="AD3253">
        <v>28</v>
      </c>
      <c r="AE3253">
        <v>453.5</v>
      </c>
      <c r="AF3253">
        <v>33</v>
      </c>
      <c r="AJ3253" t="s">
        <v>4956</v>
      </c>
      <c r="AK3253" t="s">
        <v>904</v>
      </c>
      <c r="AL3253" s="59"/>
      <c r="AM3253" s="60"/>
      <c r="AN3253">
        <v>390</v>
      </c>
      <c r="AO3253" s="61">
        <f>20*SQRT(Z3253)</f>
        <v>63.245553203367592</v>
      </c>
      <c r="AP3253">
        <v>510</v>
      </c>
      <c r="AQ3253" s="61">
        <f>25*SQRT(AA3253)</f>
        <v>75</v>
      </c>
      <c r="AR3253" s="37"/>
      <c r="AS3253" s="37"/>
      <c r="AT3253" s="37"/>
      <c r="AU3253" s="37"/>
      <c r="AV3253" s="37"/>
      <c r="AW3253" s="28">
        <f t="shared" si="328"/>
        <v>1.7384539747207064</v>
      </c>
      <c r="AX3253">
        <f t="shared" si="329"/>
        <v>0.95522388059701491</v>
      </c>
      <c r="AY3253" s="62">
        <f t="shared" si="330"/>
        <v>1.660612751972018</v>
      </c>
      <c r="AZ3253" s="68" t="str">
        <f t="shared" si="331"/>
        <v>No</v>
      </c>
      <c r="BA3253" s="68" t="str">
        <f t="shared" si="332"/>
        <v>No</v>
      </c>
    </row>
    <row r="3254" spans="1:53" hidden="1">
      <c r="A3254" t="s">
        <v>3914</v>
      </c>
      <c r="G3254" t="s">
        <v>4775</v>
      </c>
      <c r="P3254" t="s">
        <v>4596</v>
      </c>
      <c r="R3254" t="s">
        <v>4286</v>
      </c>
      <c r="S3254" t="s">
        <v>4777</v>
      </c>
      <c r="V3254" t="s">
        <v>4598</v>
      </c>
      <c r="Z3254">
        <v>10</v>
      </c>
      <c r="AA3254">
        <v>8</v>
      </c>
      <c r="AC3254">
        <v>416.7</v>
      </c>
      <c r="AD3254">
        <v>28</v>
      </c>
      <c r="AE3254">
        <v>453.5</v>
      </c>
      <c r="AF3254">
        <v>33</v>
      </c>
      <c r="AJ3254" t="s">
        <v>4784</v>
      </c>
      <c r="AK3254" t="s">
        <v>904</v>
      </c>
      <c r="AL3254" s="59"/>
      <c r="AM3254" s="60"/>
      <c r="AN3254">
        <v>300</v>
      </c>
      <c r="AO3254" s="61">
        <f>15*SQRT(Z3254)</f>
        <v>47.434164902525694</v>
      </c>
      <c r="AP3254">
        <v>390</v>
      </c>
      <c r="AQ3254" s="61">
        <f>30*SQRT(AA3254)</f>
        <v>84.852813742385706</v>
      </c>
      <c r="AR3254" s="37"/>
      <c r="AS3254" s="37"/>
      <c r="AT3254" s="37"/>
      <c r="AU3254" s="37"/>
      <c r="AV3254" s="37"/>
      <c r="AW3254" s="28">
        <f t="shared" si="328"/>
        <v>1.3543983551594405</v>
      </c>
      <c r="AX3254">
        <f t="shared" si="329"/>
        <v>0.95238095238095233</v>
      </c>
      <c r="AY3254" s="62">
        <f t="shared" si="330"/>
        <v>1.2899031953899434</v>
      </c>
      <c r="AZ3254" s="68" t="str">
        <f t="shared" si="331"/>
        <v>No</v>
      </c>
      <c r="BA3254" s="68" t="str">
        <f t="shared" si="332"/>
        <v>No</v>
      </c>
    </row>
    <row r="3255" spans="1:53" hidden="1">
      <c r="A3255" s="77" t="s">
        <v>3914</v>
      </c>
      <c r="G3255" s="77" t="s">
        <v>4311</v>
      </c>
      <c r="P3255" s="77" t="s">
        <v>60</v>
      </c>
      <c r="Q3255" s="77"/>
      <c r="R3255" s="77" t="s">
        <v>4286</v>
      </c>
      <c r="S3255" s="77" t="s">
        <v>4321</v>
      </c>
      <c r="T3255" s="77"/>
      <c r="U3255" s="77"/>
      <c r="V3255" s="77" t="s">
        <v>3956</v>
      </c>
      <c r="W3255" s="77"/>
      <c r="X3255" s="77"/>
      <c r="Y3255" s="77"/>
      <c r="Z3255" s="77">
        <v>3</v>
      </c>
      <c r="AA3255" s="77">
        <v>3</v>
      </c>
      <c r="AB3255" s="77"/>
      <c r="AC3255" s="81" t="s">
        <v>5128</v>
      </c>
      <c r="AD3255" s="77">
        <v>22</v>
      </c>
      <c r="AE3255" s="81" t="s">
        <v>5128</v>
      </c>
      <c r="AF3255" s="77">
        <v>22</v>
      </c>
      <c r="AG3255" s="77"/>
      <c r="AH3255" s="77"/>
      <c r="AI3255" s="77"/>
      <c r="AJ3255" s="77" t="s">
        <v>1202</v>
      </c>
      <c r="AK3255" s="77" t="s">
        <v>4151</v>
      </c>
      <c r="AN3255" s="77">
        <v>6</v>
      </c>
      <c r="AO3255" s="77">
        <v>6.9282032302755088</v>
      </c>
      <c r="AP3255" s="77">
        <v>2</v>
      </c>
      <c r="AQ3255" s="77">
        <v>1.7320508075688772</v>
      </c>
      <c r="AW3255" s="28">
        <f t="shared" si="328"/>
        <v>-0.79211803438133954</v>
      </c>
      <c r="AX3255">
        <f t="shared" si="329"/>
        <v>0.8</v>
      </c>
      <c r="AY3255" s="62">
        <f t="shared" si="330"/>
        <v>-0.63369442750507166</v>
      </c>
      <c r="AZ3255" s="68" t="str">
        <f t="shared" si="331"/>
        <v>No</v>
      </c>
      <c r="BA3255" s="68" t="str">
        <f t="shared" si="332"/>
        <v>No</v>
      </c>
    </row>
    <row r="3256" spans="1:53" hidden="1">
      <c r="A3256" s="77" t="s">
        <v>3914</v>
      </c>
      <c r="G3256" s="77" t="s">
        <v>5114</v>
      </c>
      <c r="P3256" s="77" t="s">
        <v>60</v>
      </c>
      <c r="Q3256" s="77"/>
      <c r="R3256" s="77" t="s">
        <v>4286</v>
      </c>
      <c r="S3256" s="77" t="s">
        <v>4321</v>
      </c>
      <c r="T3256" s="77"/>
      <c r="U3256" s="77"/>
      <c r="V3256" s="77" t="s">
        <v>3956</v>
      </c>
      <c r="W3256" s="77"/>
      <c r="X3256" s="77"/>
      <c r="Y3256" s="77"/>
      <c r="Z3256" s="77">
        <v>3</v>
      </c>
      <c r="AA3256" s="77">
        <v>3</v>
      </c>
      <c r="AB3256" s="77"/>
      <c r="AC3256" s="81" t="s">
        <v>5128</v>
      </c>
      <c r="AD3256" s="77">
        <v>22</v>
      </c>
      <c r="AE3256" s="81" t="s">
        <v>5128</v>
      </c>
      <c r="AF3256" s="77">
        <v>22</v>
      </c>
      <c r="AG3256" s="77"/>
      <c r="AH3256" s="77"/>
      <c r="AI3256" s="77"/>
      <c r="AJ3256" s="77" t="s">
        <v>50</v>
      </c>
      <c r="AK3256" s="77" t="s">
        <v>4244</v>
      </c>
      <c r="AN3256" s="77">
        <v>610</v>
      </c>
      <c r="AO3256" s="77">
        <v>173.20508075688772</v>
      </c>
      <c r="AP3256" s="77">
        <v>590</v>
      </c>
      <c r="AQ3256" s="77">
        <v>207.84609690826525</v>
      </c>
      <c r="AW3256" s="28">
        <f t="shared" si="328"/>
        <v>-0.10454167469786334</v>
      </c>
      <c r="AX3256">
        <f t="shared" si="329"/>
        <v>0.8</v>
      </c>
      <c r="AY3256" s="62">
        <f t="shared" si="330"/>
        <v>-8.3633339758290681E-2</v>
      </c>
      <c r="AZ3256" s="68" t="str">
        <f t="shared" si="331"/>
        <v>No</v>
      </c>
      <c r="BA3256" s="68" t="str">
        <f t="shared" si="332"/>
        <v>No</v>
      </c>
    </row>
    <row r="3257" spans="1:53" ht="15" hidden="1">
      <c r="A3257" t="s">
        <v>3914</v>
      </c>
      <c r="G3257" t="s">
        <v>4981</v>
      </c>
      <c r="P3257" t="s">
        <v>4596</v>
      </c>
      <c r="R3257" t="s">
        <v>4357</v>
      </c>
      <c r="S3257" t="s">
        <v>4385</v>
      </c>
      <c r="V3257" t="s">
        <v>4600</v>
      </c>
      <c r="W3257"/>
      <c r="Z3257">
        <v>10</v>
      </c>
      <c r="AA3257">
        <v>10</v>
      </c>
      <c r="AC3257">
        <v>518.9</v>
      </c>
      <c r="AD3257" s="54">
        <v>28</v>
      </c>
      <c r="AE3257">
        <v>1182.7</v>
      </c>
      <c r="AF3257" s="54">
        <v>31</v>
      </c>
      <c r="AJ3257" t="s">
        <v>4499</v>
      </c>
      <c r="AK3257" t="s">
        <v>4844</v>
      </c>
      <c r="AL3257" s="59"/>
      <c r="AM3257" s="60"/>
      <c r="AN3257">
        <v>0.09</v>
      </c>
      <c r="AO3257">
        <v>4.993E-3</v>
      </c>
      <c r="AP3257" s="84">
        <v>5.2793E-2</v>
      </c>
      <c r="AQ3257">
        <v>3.3847000000000002E-2</v>
      </c>
      <c r="AR3257" s="37"/>
      <c r="AS3257" s="37"/>
      <c r="AT3257" s="37"/>
      <c r="AU3257" s="37"/>
      <c r="AV3257" s="37"/>
      <c r="AW3257" s="28">
        <f t="shared" si="328"/>
        <v>-1.5379590358055519</v>
      </c>
      <c r="AX3257">
        <f t="shared" si="329"/>
        <v>0.95774647887323949</v>
      </c>
      <c r="AY3257" s="62">
        <f t="shared" si="330"/>
        <v>-1.4729748511940499</v>
      </c>
      <c r="AZ3257" s="68" t="str">
        <f t="shared" si="331"/>
        <v>No</v>
      </c>
      <c r="BA3257" s="68" t="str">
        <f t="shared" si="332"/>
        <v>No</v>
      </c>
    </row>
    <row r="3258" spans="1:53" hidden="1">
      <c r="A3258" t="s">
        <v>3914</v>
      </c>
      <c r="G3258" t="s">
        <v>4377</v>
      </c>
      <c r="P3258" t="s">
        <v>4596</v>
      </c>
      <c r="R3258" t="s">
        <v>4357</v>
      </c>
      <c r="S3258" t="s">
        <v>4385</v>
      </c>
      <c r="V3258" t="s">
        <v>4598</v>
      </c>
      <c r="W3258"/>
      <c r="Z3258">
        <v>10</v>
      </c>
      <c r="AA3258">
        <v>10</v>
      </c>
      <c r="AC3258">
        <v>518.9</v>
      </c>
      <c r="AD3258" s="54">
        <v>28</v>
      </c>
      <c r="AE3258">
        <v>525.9</v>
      </c>
      <c r="AF3258" s="54">
        <v>31</v>
      </c>
      <c r="AJ3258" t="s">
        <v>4897</v>
      </c>
      <c r="AK3258" t="s">
        <v>4844</v>
      </c>
      <c r="AL3258" s="59"/>
      <c r="AM3258" s="60"/>
      <c r="AN3258">
        <v>0.09</v>
      </c>
      <c r="AO3258">
        <v>4.993E-3</v>
      </c>
      <c r="AP3258">
        <v>0.05</v>
      </c>
      <c r="AQ3258">
        <v>4.0058999999999997E-2</v>
      </c>
      <c r="AR3258" s="37"/>
      <c r="AS3258" s="37"/>
      <c r="AT3258" s="37"/>
      <c r="AU3258" s="37"/>
      <c r="AV3258" s="37"/>
      <c r="AW3258" s="28">
        <f t="shared" si="328"/>
        <v>-1.401287823789263</v>
      </c>
      <c r="AX3258">
        <f t="shared" si="329"/>
        <v>0.95774647887323949</v>
      </c>
      <c r="AY3258" s="62">
        <f t="shared" si="330"/>
        <v>-1.3420784791221112</v>
      </c>
      <c r="AZ3258" s="68" t="str">
        <f t="shared" si="331"/>
        <v>No</v>
      </c>
      <c r="BA3258" s="68" t="str">
        <f t="shared" si="332"/>
        <v>No</v>
      </c>
    </row>
    <row r="3259" spans="1:53" hidden="1">
      <c r="A3259" t="s">
        <v>3914</v>
      </c>
      <c r="G3259" t="s">
        <v>4377</v>
      </c>
      <c r="P3259" t="s">
        <v>4596</v>
      </c>
      <c r="R3259" t="s">
        <v>4357</v>
      </c>
      <c r="S3259" t="s">
        <v>4385</v>
      </c>
      <c r="V3259" t="s">
        <v>4600</v>
      </c>
      <c r="W3259"/>
      <c r="Z3259">
        <v>10</v>
      </c>
      <c r="AA3259">
        <v>10</v>
      </c>
      <c r="AC3259">
        <v>518.9</v>
      </c>
      <c r="AD3259" s="54">
        <v>28</v>
      </c>
      <c r="AE3259">
        <v>1182.7</v>
      </c>
      <c r="AF3259" s="54">
        <v>31</v>
      </c>
      <c r="AJ3259" t="s">
        <v>4436</v>
      </c>
      <c r="AK3259" t="s">
        <v>4849</v>
      </c>
      <c r="AL3259" s="59"/>
      <c r="AM3259" s="60"/>
      <c r="AN3259">
        <v>0.48</v>
      </c>
      <c r="AO3259">
        <v>1.5193E-2</v>
      </c>
      <c r="AP3259">
        <v>0.47</v>
      </c>
      <c r="AQ3259">
        <v>7.4797000000000002E-2</v>
      </c>
      <c r="AR3259" s="37"/>
      <c r="AS3259" s="37"/>
      <c r="AT3259" s="37"/>
      <c r="AU3259" s="37"/>
      <c r="AV3259" s="37"/>
      <c r="AW3259" s="28">
        <f t="shared" si="328"/>
        <v>-0.18528976651499046</v>
      </c>
      <c r="AX3259">
        <f t="shared" si="329"/>
        <v>0.95774647887323949</v>
      </c>
      <c r="AY3259" s="62">
        <f t="shared" si="330"/>
        <v>-0.1774606214509768</v>
      </c>
      <c r="AZ3259" s="68" t="str">
        <f t="shared" si="331"/>
        <v>No</v>
      </c>
      <c r="BA3259" s="68" t="str">
        <f t="shared" si="332"/>
        <v>No</v>
      </c>
    </row>
    <row r="3260" spans="1:53" hidden="1">
      <c r="A3260" t="s">
        <v>3914</v>
      </c>
      <c r="G3260" t="s">
        <v>4377</v>
      </c>
      <c r="P3260" t="s">
        <v>4596</v>
      </c>
      <c r="R3260" t="s">
        <v>4357</v>
      </c>
      <c r="S3260" t="s">
        <v>4385</v>
      </c>
      <c r="V3260" t="s">
        <v>4598</v>
      </c>
      <c r="W3260"/>
      <c r="Z3260">
        <v>10</v>
      </c>
      <c r="AA3260">
        <v>10</v>
      </c>
      <c r="AC3260">
        <v>518.9</v>
      </c>
      <c r="AD3260" s="54">
        <v>28</v>
      </c>
      <c r="AE3260">
        <v>525.9</v>
      </c>
      <c r="AF3260" s="54">
        <v>31</v>
      </c>
      <c r="AJ3260" t="s">
        <v>4436</v>
      </c>
      <c r="AK3260" t="s">
        <v>4849</v>
      </c>
      <c r="AL3260" s="59"/>
      <c r="AM3260" s="60"/>
      <c r="AN3260">
        <v>0.48</v>
      </c>
      <c r="AO3260">
        <v>1.5193E-2</v>
      </c>
      <c r="AP3260">
        <v>0.47</v>
      </c>
      <c r="AQ3260">
        <v>8.4145999999999999E-2</v>
      </c>
      <c r="AR3260" s="37"/>
      <c r="AS3260" s="37"/>
      <c r="AT3260" s="37"/>
      <c r="AU3260" s="37"/>
      <c r="AV3260" s="37"/>
      <c r="AW3260" s="28">
        <f t="shared" si="328"/>
        <v>-0.16539235139712208</v>
      </c>
      <c r="AX3260">
        <f t="shared" si="329"/>
        <v>0.95774647887323949</v>
      </c>
      <c r="AY3260" s="62">
        <f t="shared" si="330"/>
        <v>-0.15840394218315917</v>
      </c>
      <c r="AZ3260" s="68" t="str">
        <f t="shared" si="331"/>
        <v>No</v>
      </c>
      <c r="BA3260" s="68" t="str">
        <f t="shared" si="332"/>
        <v>No</v>
      </c>
    </row>
    <row r="3261" spans="1:53" hidden="1">
      <c r="A3261" t="s">
        <v>3914</v>
      </c>
      <c r="G3261" t="s">
        <v>4377</v>
      </c>
      <c r="P3261" t="s">
        <v>4596</v>
      </c>
      <c r="R3261" t="s">
        <v>4357</v>
      </c>
      <c r="S3261" t="s">
        <v>4385</v>
      </c>
      <c r="V3261" t="s">
        <v>4598</v>
      </c>
      <c r="W3261"/>
      <c r="Z3261">
        <v>10</v>
      </c>
      <c r="AA3261">
        <v>10</v>
      </c>
      <c r="AC3261">
        <v>518.9</v>
      </c>
      <c r="AD3261" s="54">
        <v>28</v>
      </c>
      <c r="AE3261">
        <v>525.9</v>
      </c>
      <c r="AF3261" s="54">
        <v>31</v>
      </c>
      <c r="AJ3261" t="s">
        <v>4895</v>
      </c>
      <c r="AK3261" t="s">
        <v>4849</v>
      </c>
      <c r="AL3261" s="59"/>
      <c r="AM3261" s="60"/>
      <c r="AN3261">
        <v>0.5</v>
      </c>
      <c r="AO3261">
        <v>2.9801000000000001E-2</v>
      </c>
      <c r="AP3261">
        <v>0.47</v>
      </c>
      <c r="AQ3261">
        <v>9.8290000000000002E-2</v>
      </c>
      <c r="AR3261" s="37"/>
      <c r="AS3261" s="37"/>
      <c r="AT3261" s="37"/>
      <c r="AU3261" s="37"/>
      <c r="AV3261" s="37"/>
      <c r="AW3261" s="28">
        <f t="shared" si="328"/>
        <v>-0.41307614800763365</v>
      </c>
      <c r="AX3261">
        <f t="shared" si="329"/>
        <v>0.95774647887323949</v>
      </c>
      <c r="AY3261" s="62">
        <f t="shared" si="330"/>
        <v>-0.39562222626083227</v>
      </c>
      <c r="AZ3261" s="68" t="str">
        <f t="shared" si="331"/>
        <v>No</v>
      </c>
      <c r="BA3261" s="68" t="str">
        <f t="shared" si="332"/>
        <v>No</v>
      </c>
    </row>
    <row r="3262" spans="1:53" hidden="1">
      <c r="A3262" t="s">
        <v>3914</v>
      </c>
      <c r="G3262" t="s">
        <v>4377</v>
      </c>
      <c r="P3262" t="s">
        <v>4596</v>
      </c>
      <c r="R3262" t="s">
        <v>4357</v>
      </c>
      <c r="S3262" t="s">
        <v>4385</v>
      </c>
      <c r="V3262" t="s">
        <v>4600</v>
      </c>
      <c r="W3262"/>
      <c r="Z3262">
        <v>10</v>
      </c>
      <c r="AA3262">
        <v>10</v>
      </c>
      <c r="AC3262">
        <v>518.9</v>
      </c>
      <c r="AD3262" s="54">
        <v>28</v>
      </c>
      <c r="AE3262">
        <v>1182.7</v>
      </c>
      <c r="AF3262" s="54">
        <v>31</v>
      </c>
      <c r="AJ3262" t="s">
        <v>4895</v>
      </c>
      <c r="AK3262" t="s">
        <v>4849</v>
      </c>
      <c r="AL3262" s="59"/>
      <c r="AM3262" s="60"/>
      <c r="AN3262">
        <v>0.5</v>
      </c>
      <c r="AO3262">
        <v>2.9801000000000001E-2</v>
      </c>
      <c r="AP3262">
        <v>0.47</v>
      </c>
      <c r="AQ3262">
        <v>0.10258022549869873</v>
      </c>
      <c r="AR3262" s="37"/>
      <c r="AS3262" s="37"/>
      <c r="AT3262" s="37"/>
      <c r="AU3262" s="37"/>
      <c r="AV3262" s="37"/>
      <c r="AW3262" s="28">
        <f t="shared" si="328"/>
        <v>-0.39717157832482086</v>
      </c>
      <c r="AX3262">
        <f t="shared" si="329"/>
        <v>0.95774647887323949</v>
      </c>
      <c r="AY3262" s="62">
        <f t="shared" si="330"/>
        <v>-0.38038968064912421</v>
      </c>
      <c r="AZ3262" s="68" t="str">
        <f t="shared" si="331"/>
        <v>No</v>
      </c>
      <c r="BA3262" s="68" t="str">
        <f t="shared" si="332"/>
        <v>No</v>
      </c>
    </row>
    <row r="3263" spans="1:53" ht="15" hidden="1">
      <c r="A3263" s="56" t="s">
        <v>3914</v>
      </c>
      <c r="G3263" s="56" t="s">
        <v>4377</v>
      </c>
      <c r="P3263" s="56" t="s">
        <v>60</v>
      </c>
      <c r="Q3263" s="56"/>
      <c r="R3263" s="56" t="s">
        <v>4357</v>
      </c>
      <c r="S3263" s="56" t="s">
        <v>4385</v>
      </c>
      <c r="T3263" s="56"/>
      <c r="U3263" s="56"/>
      <c r="V3263" s="56" t="s">
        <v>3956</v>
      </c>
      <c r="W3263" s="56"/>
      <c r="X3263" s="56"/>
      <c r="Y3263" s="56"/>
      <c r="Z3263" s="56">
        <v>10</v>
      </c>
      <c r="AA3263" s="56">
        <v>10</v>
      </c>
      <c r="AB3263" s="56"/>
      <c r="AC3263" s="56">
        <v>328.6</v>
      </c>
      <c r="AD3263" s="56">
        <v>28</v>
      </c>
      <c r="AE3263" s="56">
        <v>759.3</v>
      </c>
      <c r="AF3263" s="56">
        <v>28</v>
      </c>
      <c r="AG3263" s="56"/>
      <c r="AH3263" s="56"/>
      <c r="AI3263" s="56"/>
      <c r="AJ3263" s="56" t="s">
        <v>4436</v>
      </c>
      <c r="AK3263" s="56" t="s">
        <v>4244</v>
      </c>
      <c r="AN3263" s="56">
        <v>0.4</v>
      </c>
      <c r="AO3263" s="56">
        <v>9.7500000000000003E-2</v>
      </c>
      <c r="AP3263" s="56">
        <v>0.46</v>
      </c>
      <c r="AQ3263" s="56">
        <v>0.11249999999999999</v>
      </c>
      <c r="AW3263" s="28">
        <f t="shared" si="328"/>
        <v>0.5699763999032772</v>
      </c>
      <c r="AX3263">
        <f t="shared" si="329"/>
        <v>0.95774647887323949</v>
      </c>
      <c r="AY3263" s="62">
        <f t="shared" si="330"/>
        <v>0.54589289004820918</v>
      </c>
      <c r="AZ3263" s="68" t="str">
        <f t="shared" si="331"/>
        <v>No</v>
      </c>
      <c r="BA3263" s="68" t="str">
        <f t="shared" si="332"/>
        <v>No</v>
      </c>
    </row>
    <row r="3264" spans="1:53" ht="15" hidden="1">
      <c r="A3264" s="56" t="s">
        <v>3914</v>
      </c>
      <c r="G3264" s="56" t="s">
        <v>4377</v>
      </c>
      <c r="P3264" s="56" t="s">
        <v>60</v>
      </c>
      <c r="Q3264" s="56"/>
      <c r="R3264" s="56" t="s">
        <v>4357</v>
      </c>
      <c r="S3264" s="56" t="s">
        <v>4385</v>
      </c>
      <c r="T3264" s="56"/>
      <c r="U3264" s="56"/>
      <c r="V3264" s="56" t="s">
        <v>3956</v>
      </c>
      <c r="W3264" s="56"/>
      <c r="X3264" s="56"/>
      <c r="Y3264" s="56"/>
      <c r="Z3264" s="56">
        <v>10</v>
      </c>
      <c r="AA3264" s="56">
        <v>10</v>
      </c>
      <c r="AB3264" s="56"/>
      <c r="AC3264" s="56">
        <v>328.6</v>
      </c>
      <c r="AD3264" s="56">
        <v>28</v>
      </c>
      <c r="AE3264" s="56">
        <v>759.3</v>
      </c>
      <c r="AF3264" s="56">
        <v>28</v>
      </c>
      <c r="AG3264" s="56"/>
      <c r="AH3264" s="56"/>
      <c r="AI3264" s="56"/>
      <c r="AJ3264" s="56" t="s">
        <v>4454</v>
      </c>
      <c r="AK3264" s="56" t="s">
        <v>4244</v>
      </c>
      <c r="AN3264" s="56">
        <v>0.4</v>
      </c>
      <c r="AO3264" s="56">
        <v>0.41109609582188933</v>
      </c>
      <c r="AP3264" s="56">
        <v>0.39</v>
      </c>
      <c r="AQ3264" s="56">
        <v>0.158113883008419</v>
      </c>
      <c r="AW3264" s="28">
        <f t="shared" si="328"/>
        <v>-3.2108064953396805E-2</v>
      </c>
      <c r="AX3264">
        <f t="shared" si="329"/>
        <v>0.95774647887323949</v>
      </c>
      <c r="AY3264" s="62">
        <f t="shared" si="330"/>
        <v>-3.0751386152549055E-2</v>
      </c>
      <c r="AZ3264" s="68" t="str">
        <f t="shared" si="331"/>
        <v>No</v>
      </c>
      <c r="BA3264" s="68" t="str">
        <f t="shared" si="332"/>
        <v>No</v>
      </c>
    </row>
    <row r="3265" spans="1:55" ht="15" hidden="1">
      <c r="A3265" s="56" t="s">
        <v>3914</v>
      </c>
      <c r="G3265" s="56" t="s">
        <v>4377</v>
      </c>
      <c r="P3265" s="56" t="s">
        <v>60</v>
      </c>
      <c r="Q3265" s="56"/>
      <c r="R3265" s="56" t="s">
        <v>4357</v>
      </c>
      <c r="S3265" s="56" t="s">
        <v>4385</v>
      </c>
      <c r="T3265" s="56"/>
      <c r="U3265" s="56"/>
      <c r="V3265" s="56" t="s">
        <v>3956</v>
      </c>
      <c r="W3265" s="56"/>
      <c r="X3265" s="56"/>
      <c r="Y3265" s="56"/>
      <c r="Z3265" s="56">
        <v>10</v>
      </c>
      <c r="AA3265" s="56">
        <v>10</v>
      </c>
      <c r="AB3265" s="56"/>
      <c r="AC3265" s="56">
        <v>328.6</v>
      </c>
      <c r="AD3265" s="56">
        <v>28</v>
      </c>
      <c r="AE3265" s="56">
        <v>759.3</v>
      </c>
      <c r="AF3265" s="56">
        <v>28</v>
      </c>
      <c r="AG3265" s="56"/>
      <c r="AH3265" s="56"/>
      <c r="AI3265" s="56"/>
      <c r="AJ3265" s="56" t="s">
        <v>4499</v>
      </c>
      <c r="AK3265" s="56" t="s">
        <v>4123</v>
      </c>
      <c r="AN3265" s="56">
        <v>0.17</v>
      </c>
      <c r="AO3265" s="56">
        <v>7.5000000000000011E-2</v>
      </c>
      <c r="AP3265" s="56">
        <v>0.22</v>
      </c>
      <c r="AQ3265" s="56">
        <v>0.20250000000000001</v>
      </c>
      <c r="AW3265" s="28">
        <f t="shared" si="328"/>
        <v>0.32745111494173423</v>
      </c>
      <c r="AX3265">
        <f t="shared" si="329"/>
        <v>0.95774647887323949</v>
      </c>
      <c r="AY3265" s="62">
        <f t="shared" si="330"/>
        <v>0.31361515233856241</v>
      </c>
      <c r="AZ3265" s="68" t="str">
        <f t="shared" si="331"/>
        <v>No</v>
      </c>
      <c r="BA3265" s="68" t="str">
        <f t="shared" si="332"/>
        <v>No</v>
      </c>
    </row>
    <row r="3266" spans="1:55" ht="15" hidden="1">
      <c r="A3266" s="56" t="s">
        <v>3914</v>
      </c>
      <c r="G3266" s="56" t="s">
        <v>4965</v>
      </c>
      <c r="P3266" s="56" t="s">
        <v>60</v>
      </c>
      <c r="Q3266" s="56"/>
      <c r="R3266" s="56" t="s">
        <v>4357</v>
      </c>
      <c r="S3266" s="56" t="s">
        <v>4385</v>
      </c>
      <c r="T3266" s="56"/>
      <c r="U3266" s="56"/>
      <c r="V3266" s="56" t="s">
        <v>3956</v>
      </c>
      <c r="W3266" s="56"/>
      <c r="X3266" s="56"/>
      <c r="Y3266" s="56"/>
      <c r="Z3266" s="56">
        <v>3</v>
      </c>
      <c r="AA3266" s="56">
        <v>3</v>
      </c>
      <c r="AB3266" s="56"/>
      <c r="AC3266" s="56">
        <v>328.6</v>
      </c>
      <c r="AD3266" s="56">
        <v>28</v>
      </c>
      <c r="AE3266" s="56">
        <v>759.3</v>
      </c>
      <c r="AF3266" s="56">
        <v>28</v>
      </c>
      <c r="AG3266" s="56"/>
      <c r="AH3266" s="56"/>
      <c r="AI3266" s="56"/>
      <c r="AJ3266" s="56" t="s">
        <v>2020</v>
      </c>
      <c r="AK3266" s="56" t="s">
        <v>4093</v>
      </c>
      <c r="AN3266" s="56">
        <v>97.8</v>
      </c>
      <c r="AO3266" s="56">
        <v>0.3</v>
      </c>
      <c r="AP3266" s="56">
        <v>95.4</v>
      </c>
      <c r="AQ3266" s="56">
        <v>1.7</v>
      </c>
      <c r="AW3266" s="28">
        <f t="shared" si="328"/>
        <v>-1.9661566092456901</v>
      </c>
      <c r="AX3266">
        <f t="shared" si="329"/>
        <v>0.8</v>
      </c>
      <c r="AY3266" s="62">
        <f t="shared" si="330"/>
        <v>-1.5729252873965522</v>
      </c>
      <c r="AZ3266" s="68" t="str">
        <f t="shared" si="331"/>
        <v>No</v>
      </c>
      <c r="BA3266" s="68" t="str">
        <f t="shared" si="332"/>
        <v>No</v>
      </c>
    </row>
    <row r="3267" spans="1:55" hidden="1">
      <c r="A3267" t="s">
        <v>3914</v>
      </c>
      <c r="G3267" t="s">
        <v>4377</v>
      </c>
      <c r="P3267" t="s">
        <v>4596</v>
      </c>
      <c r="R3267" t="s">
        <v>4357</v>
      </c>
      <c r="S3267" t="s">
        <v>4385</v>
      </c>
      <c r="V3267" t="s">
        <v>4600</v>
      </c>
      <c r="W3267"/>
      <c r="Z3267">
        <v>3</v>
      </c>
      <c r="AA3267">
        <v>3</v>
      </c>
      <c r="AC3267">
        <v>518.9</v>
      </c>
      <c r="AD3267" s="54">
        <v>28</v>
      </c>
      <c r="AE3267">
        <v>1182.7</v>
      </c>
      <c r="AF3267" s="54">
        <v>31</v>
      </c>
      <c r="AJ3267" t="s">
        <v>2020</v>
      </c>
      <c r="AK3267" t="s">
        <v>4855</v>
      </c>
      <c r="AL3267" s="59"/>
      <c r="AM3267" s="60"/>
      <c r="AN3267">
        <v>97.8</v>
      </c>
      <c r="AO3267">
        <v>1.248218</v>
      </c>
      <c r="AP3267">
        <v>97</v>
      </c>
      <c r="AQ3267">
        <v>4.4118449999999996</v>
      </c>
      <c r="AR3267" s="37"/>
      <c r="AS3267" s="37"/>
      <c r="AT3267" s="37"/>
      <c r="AU3267" s="37"/>
      <c r="AV3267" s="37"/>
      <c r="AW3267" s="28">
        <f t="shared" si="328"/>
        <v>-0.24675364932539431</v>
      </c>
      <c r="AX3267">
        <f t="shared" si="329"/>
        <v>0.8</v>
      </c>
      <c r="AY3267" s="62">
        <f t="shared" si="330"/>
        <v>-0.19740291946031546</v>
      </c>
      <c r="AZ3267" s="68" t="str">
        <f t="shared" si="331"/>
        <v>No</v>
      </c>
      <c r="BA3267" s="68" t="str">
        <f t="shared" si="332"/>
        <v>No</v>
      </c>
    </row>
    <row r="3268" spans="1:55" hidden="1">
      <c r="A3268" t="s">
        <v>3914</v>
      </c>
      <c r="G3268" t="s">
        <v>4965</v>
      </c>
      <c r="P3268" t="s">
        <v>4596</v>
      </c>
      <c r="R3268" t="s">
        <v>4357</v>
      </c>
      <c r="S3268" t="s">
        <v>4385</v>
      </c>
      <c r="V3268" t="s">
        <v>4598</v>
      </c>
      <c r="W3268"/>
      <c r="Z3268">
        <v>3</v>
      </c>
      <c r="AA3268">
        <v>3</v>
      </c>
      <c r="AC3268">
        <v>518.9</v>
      </c>
      <c r="AD3268" s="54">
        <v>28</v>
      </c>
      <c r="AE3268">
        <v>525.9</v>
      </c>
      <c r="AF3268" s="54">
        <v>31</v>
      </c>
      <c r="AJ3268" t="s">
        <v>4896</v>
      </c>
      <c r="AK3268" t="s">
        <v>4855</v>
      </c>
      <c r="AL3268" s="59"/>
      <c r="AM3268" s="60"/>
      <c r="AN3268">
        <v>97.8</v>
      </c>
      <c r="AO3268">
        <v>1.248218</v>
      </c>
      <c r="AP3268">
        <v>97.9</v>
      </c>
      <c r="AQ3268">
        <v>8.9175579999999997</v>
      </c>
      <c r="AR3268" s="37"/>
      <c r="AS3268" s="37"/>
      <c r="AT3268" s="37"/>
      <c r="AU3268" s="37"/>
      <c r="AV3268" s="37"/>
      <c r="AW3268" s="28">
        <f t="shared" si="328"/>
        <v>1.5705643936200851E-2</v>
      </c>
      <c r="AX3268">
        <f t="shared" si="329"/>
        <v>0.8</v>
      </c>
      <c r="AY3268" s="62">
        <f t="shared" si="330"/>
        <v>1.2564515148960682E-2</v>
      </c>
      <c r="AZ3268" s="68" t="str">
        <f t="shared" si="331"/>
        <v>No</v>
      </c>
      <c r="BA3268" s="68" t="str">
        <f t="shared" si="332"/>
        <v>No</v>
      </c>
    </row>
    <row r="3269" spans="1:55" hidden="1">
      <c r="A3269" t="s">
        <v>3914</v>
      </c>
      <c r="G3269" t="s">
        <v>4291</v>
      </c>
      <c r="P3269" t="s">
        <v>60</v>
      </c>
      <c r="R3269" t="s">
        <v>4286</v>
      </c>
      <c r="S3269" t="s">
        <v>4289</v>
      </c>
      <c r="V3269" t="s">
        <v>3956</v>
      </c>
      <c r="Z3269">
        <v>4</v>
      </c>
      <c r="AA3269">
        <v>4</v>
      </c>
      <c r="AC3269">
        <v>249.2</v>
      </c>
      <c r="AD3269">
        <v>22</v>
      </c>
      <c r="AE3269">
        <v>569.29999999999995</v>
      </c>
      <c r="AF3269">
        <v>22</v>
      </c>
      <c r="AJ3269" t="s">
        <v>4297</v>
      </c>
      <c r="AK3269" t="s">
        <v>4093</v>
      </c>
      <c r="AN3269">
        <v>97</v>
      </c>
      <c r="AO3269">
        <v>2</v>
      </c>
      <c r="AP3269">
        <v>96</v>
      </c>
      <c r="AQ3269">
        <v>2</v>
      </c>
      <c r="AW3269" s="28">
        <f t="shared" si="328"/>
        <v>-0.5</v>
      </c>
      <c r="AX3269">
        <f t="shared" si="329"/>
        <v>0.86956521739130432</v>
      </c>
      <c r="AY3269" s="78">
        <f t="shared" si="330"/>
        <v>-0.43478260869565216</v>
      </c>
      <c r="AZ3269" s="79" t="str">
        <f t="shared" si="331"/>
        <v>No</v>
      </c>
      <c r="BA3269" s="79" t="str">
        <f t="shared" si="332"/>
        <v>No</v>
      </c>
      <c r="BB3269" s="77"/>
      <c r="BC3269" s="77"/>
    </row>
    <row r="3270" spans="1:55" hidden="1">
      <c r="A3270" t="s">
        <v>3914</v>
      </c>
      <c r="G3270" t="s">
        <v>4291</v>
      </c>
      <c r="P3270" t="s">
        <v>60</v>
      </c>
      <c r="R3270" t="s">
        <v>4286</v>
      </c>
      <c r="S3270" t="s">
        <v>4289</v>
      </c>
      <c r="V3270" t="s">
        <v>3956</v>
      </c>
      <c r="Z3270">
        <v>4</v>
      </c>
      <c r="AA3270">
        <v>4</v>
      </c>
      <c r="AC3270">
        <v>249.2</v>
      </c>
      <c r="AD3270">
        <v>22</v>
      </c>
      <c r="AE3270">
        <v>1224.8</v>
      </c>
      <c r="AF3270">
        <v>22</v>
      </c>
      <c r="AJ3270" t="s">
        <v>4297</v>
      </c>
      <c r="AK3270" t="s">
        <v>4093</v>
      </c>
      <c r="AN3270">
        <v>97</v>
      </c>
      <c r="AO3270">
        <v>2</v>
      </c>
      <c r="AP3270">
        <v>88</v>
      </c>
      <c r="AQ3270">
        <v>4</v>
      </c>
      <c r="AW3270" s="28">
        <f t="shared" si="328"/>
        <v>-2.8460498941515411</v>
      </c>
      <c r="AX3270">
        <f t="shared" si="329"/>
        <v>0.86956521739130432</v>
      </c>
      <c r="AY3270" s="62">
        <f t="shared" si="330"/>
        <v>-2.4748259949143834</v>
      </c>
      <c r="AZ3270" s="68" t="str">
        <f t="shared" si="331"/>
        <v>No</v>
      </c>
      <c r="BA3270" s="68" t="str">
        <f t="shared" si="332"/>
        <v>No</v>
      </c>
    </row>
    <row r="3271" spans="1:55" hidden="1">
      <c r="A3271" t="s">
        <v>3914</v>
      </c>
      <c r="G3271" t="s">
        <v>4291</v>
      </c>
      <c r="P3271" t="s">
        <v>60</v>
      </c>
      <c r="R3271" t="s">
        <v>4286</v>
      </c>
      <c r="S3271" t="s">
        <v>4289</v>
      </c>
      <c r="V3271" t="s">
        <v>3956</v>
      </c>
      <c r="Z3271">
        <v>4</v>
      </c>
      <c r="AA3271">
        <v>4</v>
      </c>
      <c r="AC3271">
        <v>249.2</v>
      </c>
      <c r="AD3271">
        <v>22</v>
      </c>
      <c r="AE3271">
        <v>569.29999999999995</v>
      </c>
      <c r="AF3271">
        <v>22</v>
      </c>
      <c r="AJ3271" t="s">
        <v>1202</v>
      </c>
      <c r="AK3271" t="s">
        <v>4151</v>
      </c>
      <c r="AN3271">
        <v>72</v>
      </c>
      <c r="AO3271">
        <v>6</v>
      </c>
      <c r="AP3271">
        <v>70</v>
      </c>
      <c r="AQ3271">
        <v>5</v>
      </c>
      <c r="AW3271" s="28">
        <f t="shared" si="328"/>
        <v>-0.36214298417007412</v>
      </c>
      <c r="AX3271">
        <f t="shared" si="329"/>
        <v>0.86956521739130432</v>
      </c>
      <c r="AY3271" s="62">
        <f t="shared" si="330"/>
        <v>-0.31490694275658621</v>
      </c>
      <c r="AZ3271" s="68" t="str">
        <f t="shared" si="331"/>
        <v>No</v>
      </c>
      <c r="BA3271" s="68" t="str">
        <f t="shared" si="332"/>
        <v>No</v>
      </c>
    </row>
    <row r="3272" spans="1:55" hidden="1">
      <c r="A3272" t="s">
        <v>3914</v>
      </c>
      <c r="G3272" t="s">
        <v>4291</v>
      </c>
      <c r="P3272" t="s">
        <v>60</v>
      </c>
      <c r="R3272" t="s">
        <v>4286</v>
      </c>
      <c r="S3272" t="s">
        <v>4289</v>
      </c>
      <c r="V3272" t="s">
        <v>3956</v>
      </c>
      <c r="Z3272">
        <v>4</v>
      </c>
      <c r="AA3272">
        <v>4</v>
      </c>
      <c r="AC3272">
        <v>249.2</v>
      </c>
      <c r="AD3272">
        <v>22</v>
      </c>
      <c r="AE3272">
        <v>1224.8</v>
      </c>
      <c r="AF3272">
        <v>22</v>
      </c>
      <c r="AJ3272" t="s">
        <v>1202</v>
      </c>
      <c r="AK3272" t="s">
        <v>4093</v>
      </c>
      <c r="AN3272">
        <v>72</v>
      </c>
      <c r="AO3272">
        <v>6</v>
      </c>
      <c r="AP3272">
        <v>72.5</v>
      </c>
      <c r="AQ3272">
        <v>5.5</v>
      </c>
      <c r="AW3272" s="28">
        <f t="shared" si="328"/>
        <v>8.6874448552613878E-2</v>
      </c>
      <c r="AX3272">
        <f t="shared" si="329"/>
        <v>0.86956521739130432</v>
      </c>
      <c r="AY3272" s="62">
        <f t="shared" si="330"/>
        <v>7.5542998741403369E-2</v>
      </c>
      <c r="AZ3272" s="68" t="str">
        <f t="shared" si="331"/>
        <v>No</v>
      </c>
      <c r="BA3272" s="68" t="str">
        <f t="shared" si="332"/>
        <v>No</v>
      </c>
    </row>
    <row r="3273" spans="1:55" hidden="1">
      <c r="A3273" t="s">
        <v>3914</v>
      </c>
      <c r="G3273" t="s">
        <v>4291</v>
      </c>
      <c r="P3273" t="s">
        <v>60</v>
      </c>
      <c r="R3273" t="s">
        <v>4286</v>
      </c>
      <c r="S3273" t="s">
        <v>4289</v>
      </c>
      <c r="V3273" t="s">
        <v>3956</v>
      </c>
      <c r="Z3273">
        <v>4</v>
      </c>
      <c r="AA3273">
        <v>4</v>
      </c>
      <c r="AC3273">
        <v>249.2</v>
      </c>
      <c r="AD3273">
        <v>22</v>
      </c>
      <c r="AE3273">
        <v>1224.8</v>
      </c>
      <c r="AF3273">
        <v>22</v>
      </c>
      <c r="AJ3273" t="s">
        <v>1106</v>
      </c>
      <c r="AK3273" t="s">
        <v>4244</v>
      </c>
      <c r="AN3273">
        <v>267</v>
      </c>
      <c r="AO3273">
        <v>14</v>
      </c>
      <c r="AP3273">
        <v>249.58</v>
      </c>
      <c r="AQ3273">
        <v>6</v>
      </c>
      <c r="AW3273" s="28">
        <f t="shared" si="328"/>
        <v>-1.6174063955221207</v>
      </c>
      <c r="AX3273">
        <f t="shared" si="329"/>
        <v>0.86956521739130432</v>
      </c>
      <c r="AY3273" s="62">
        <f t="shared" si="330"/>
        <v>-1.4064403439322788</v>
      </c>
      <c r="AZ3273" s="68" t="str">
        <f t="shared" si="331"/>
        <v>No</v>
      </c>
      <c r="BA3273" s="68" t="str">
        <f t="shared" si="332"/>
        <v>No</v>
      </c>
    </row>
    <row r="3274" spans="1:55" hidden="1">
      <c r="A3274" t="s">
        <v>3914</v>
      </c>
      <c r="G3274" t="s">
        <v>4291</v>
      </c>
      <c r="P3274" t="s">
        <v>60</v>
      </c>
      <c r="R3274" t="s">
        <v>4286</v>
      </c>
      <c r="S3274" t="s">
        <v>4289</v>
      </c>
      <c r="V3274" t="s">
        <v>3956</v>
      </c>
      <c r="Z3274">
        <v>4</v>
      </c>
      <c r="AA3274">
        <v>4</v>
      </c>
      <c r="AC3274">
        <v>249.2</v>
      </c>
      <c r="AD3274">
        <v>22</v>
      </c>
      <c r="AE3274">
        <v>569.29999999999995</v>
      </c>
      <c r="AF3274">
        <v>22</v>
      </c>
      <c r="AJ3274" t="s">
        <v>4308</v>
      </c>
      <c r="AK3274" t="s">
        <v>4151</v>
      </c>
      <c r="AN3274">
        <v>16.600000000000001</v>
      </c>
      <c r="AO3274">
        <v>10</v>
      </c>
      <c r="AP3274">
        <v>53.8</v>
      </c>
      <c r="AQ3274">
        <v>7</v>
      </c>
      <c r="AW3274" s="28">
        <f t="shared" si="328"/>
        <v>4.3098762809443816</v>
      </c>
      <c r="AX3274">
        <f t="shared" si="329"/>
        <v>0.86956521739130432</v>
      </c>
      <c r="AY3274" s="62">
        <f t="shared" si="330"/>
        <v>3.7477185051690274</v>
      </c>
      <c r="AZ3274" s="68" t="str">
        <f t="shared" si="331"/>
        <v>No</v>
      </c>
      <c r="BA3274" s="68" t="str">
        <f t="shared" si="332"/>
        <v>No</v>
      </c>
    </row>
    <row r="3275" spans="1:55" hidden="1">
      <c r="A3275" t="s">
        <v>3914</v>
      </c>
      <c r="G3275" t="s">
        <v>4291</v>
      </c>
      <c r="P3275" t="s">
        <v>60</v>
      </c>
      <c r="R3275" t="s">
        <v>4286</v>
      </c>
      <c r="S3275" t="s">
        <v>4289</v>
      </c>
      <c r="V3275" t="s">
        <v>3956</v>
      </c>
      <c r="Z3275">
        <v>4</v>
      </c>
      <c r="AA3275">
        <v>4</v>
      </c>
      <c r="AC3275">
        <v>249.2</v>
      </c>
      <c r="AD3275">
        <v>22</v>
      </c>
      <c r="AE3275">
        <v>1224.8</v>
      </c>
      <c r="AF3275">
        <v>22</v>
      </c>
      <c r="AJ3275" t="s">
        <v>4308</v>
      </c>
      <c r="AK3275" t="s">
        <v>4151</v>
      </c>
      <c r="AN3275">
        <v>16.600000000000001</v>
      </c>
      <c r="AO3275">
        <v>10</v>
      </c>
      <c r="AP3275">
        <v>78.5</v>
      </c>
      <c r="AQ3275">
        <v>7</v>
      </c>
      <c r="AW3275" s="28">
        <f t="shared" si="328"/>
        <v>7.1715414459800337</v>
      </c>
      <c r="AX3275">
        <f t="shared" si="329"/>
        <v>0.86956521739130432</v>
      </c>
      <c r="AY3275" s="62">
        <f t="shared" si="330"/>
        <v>6.2361229965043767</v>
      </c>
      <c r="AZ3275" s="68" t="str">
        <f t="shared" si="331"/>
        <v>No</v>
      </c>
      <c r="BA3275" s="68" t="str">
        <f t="shared" si="332"/>
        <v>No</v>
      </c>
    </row>
    <row r="3276" spans="1:55" ht="15" hidden="1">
      <c r="A3276" t="s">
        <v>3914</v>
      </c>
      <c r="G3276" t="s">
        <v>4291</v>
      </c>
      <c r="P3276" t="s">
        <v>60</v>
      </c>
      <c r="R3276" t="s">
        <v>4286</v>
      </c>
      <c r="S3276" t="s">
        <v>4289</v>
      </c>
      <c r="V3276" t="s">
        <v>3956</v>
      </c>
      <c r="Z3276">
        <v>4</v>
      </c>
      <c r="AA3276">
        <v>4</v>
      </c>
      <c r="AC3276">
        <v>249.2</v>
      </c>
      <c r="AD3276">
        <v>22</v>
      </c>
      <c r="AE3276">
        <v>569.29999999999995</v>
      </c>
      <c r="AF3276">
        <v>22</v>
      </c>
      <c r="AJ3276" t="s">
        <v>1106</v>
      </c>
      <c r="AK3276" t="s">
        <v>4244</v>
      </c>
      <c r="AN3276">
        <v>267</v>
      </c>
      <c r="AO3276">
        <v>14</v>
      </c>
      <c r="AP3276">
        <v>262</v>
      </c>
      <c r="AQ3276">
        <v>16</v>
      </c>
      <c r="AW3276" s="28">
        <f t="shared" si="328"/>
        <v>-0.33259505261886968</v>
      </c>
      <c r="AX3276">
        <f t="shared" si="329"/>
        <v>0.86956521739130432</v>
      </c>
      <c r="AY3276" s="73">
        <f t="shared" si="330"/>
        <v>-0.28921308923379974</v>
      </c>
      <c r="AZ3276" s="74" t="str">
        <f t="shared" si="331"/>
        <v>No</v>
      </c>
      <c r="BA3276" s="74" t="str">
        <f t="shared" si="332"/>
        <v>No</v>
      </c>
      <c r="BB3276" s="56"/>
      <c r="BC3276" s="56"/>
    </row>
    <row r="3277" spans="1:55" s="56" customFormat="1" ht="15" hidden="1">
      <c r="A3277" t="s">
        <v>3914</v>
      </c>
      <c r="B3277"/>
      <c r="C3277"/>
      <c r="D3277" s="25"/>
      <c r="E3277" s="25"/>
      <c r="F3277"/>
      <c r="G3277" t="s">
        <v>4188</v>
      </c>
      <c r="H3277"/>
      <c r="I3277"/>
      <c r="J3277"/>
      <c r="K3277"/>
      <c r="L3277"/>
      <c r="M3277" s="25"/>
      <c r="N3277"/>
      <c r="O3277"/>
      <c r="P3277" t="s">
        <v>60</v>
      </c>
      <c r="Q3277"/>
      <c r="R3277" t="s">
        <v>4116</v>
      </c>
      <c r="S3277" t="s">
        <v>1079</v>
      </c>
      <c r="T3277"/>
      <c r="U3277"/>
      <c r="V3277" t="s">
        <v>3956</v>
      </c>
      <c r="W3277" s="25"/>
      <c r="X3277"/>
      <c r="Y3277"/>
      <c r="Z3277">
        <v>3</v>
      </c>
      <c r="AA3277">
        <v>3</v>
      </c>
      <c r="AB3277"/>
      <c r="AC3277">
        <v>257.89999999999998</v>
      </c>
      <c r="AD3277">
        <v>22</v>
      </c>
      <c r="AE3277">
        <v>592.29999999999995</v>
      </c>
      <c r="AF3277">
        <v>22</v>
      </c>
      <c r="AG3277"/>
      <c r="AH3277"/>
      <c r="AI3277"/>
      <c r="AJ3277" t="s">
        <v>4218</v>
      </c>
      <c r="AK3277" t="s">
        <v>4244</v>
      </c>
      <c r="AL3277" s="25"/>
      <c r="AM3277" s="35"/>
      <c r="AN3277">
        <v>91.5</v>
      </c>
      <c r="AO3277">
        <v>3</v>
      </c>
      <c r="AP3277">
        <v>92</v>
      </c>
      <c r="AQ3277">
        <v>2</v>
      </c>
      <c r="AR3277"/>
      <c r="AS3277"/>
      <c r="AT3277"/>
      <c r="AU3277"/>
      <c r="AV3277"/>
      <c r="AW3277" s="28">
        <f t="shared" si="328"/>
        <v>0.19611613513818404</v>
      </c>
      <c r="AX3277">
        <f t="shared" si="329"/>
        <v>0.8</v>
      </c>
      <c r="AY3277" s="62">
        <f t="shared" si="330"/>
        <v>0.15689290811054724</v>
      </c>
      <c r="AZ3277" s="68" t="str">
        <f t="shared" si="331"/>
        <v>No</v>
      </c>
      <c r="BA3277" s="68" t="str">
        <f t="shared" si="332"/>
        <v>No</v>
      </c>
      <c r="BB3277"/>
      <c r="BC3277"/>
    </row>
    <row r="3278" spans="1:55" hidden="1">
      <c r="A3278" t="s">
        <v>3914</v>
      </c>
      <c r="G3278" t="s">
        <v>4188</v>
      </c>
      <c r="P3278" t="s">
        <v>60</v>
      </c>
      <c r="R3278" t="s">
        <v>4116</v>
      </c>
      <c r="S3278" t="s">
        <v>1079</v>
      </c>
      <c r="V3278" t="s">
        <v>3956</v>
      </c>
      <c r="Z3278">
        <v>3</v>
      </c>
      <c r="AA3278">
        <v>3</v>
      </c>
      <c r="AC3278">
        <v>257.89999999999998</v>
      </c>
      <c r="AD3278">
        <v>22</v>
      </c>
      <c r="AE3278">
        <v>1278</v>
      </c>
      <c r="AF3278">
        <v>22</v>
      </c>
      <c r="AJ3278" t="s">
        <v>4218</v>
      </c>
      <c r="AK3278" t="s">
        <v>4244</v>
      </c>
      <c r="AN3278">
        <v>91.5</v>
      </c>
      <c r="AO3278">
        <v>3</v>
      </c>
      <c r="AP3278">
        <v>90</v>
      </c>
      <c r="AQ3278">
        <v>3</v>
      </c>
      <c r="AW3278" s="28">
        <f t="shared" ref="AW3278:AW3341" si="333">(AP3278-$AN3278)/SQRT(((AA3278-1)*AQ3278*AQ3278+($Z3278-1)*$AO3278*$AO3278)/(AA3278+$Z3278-2))</f>
        <v>-0.5</v>
      </c>
      <c r="AX3278">
        <f t="shared" ref="AX3278:AX3341" si="334">1-(3/(4*(AA3278+$Z3278-2)-1))</f>
        <v>0.8</v>
      </c>
      <c r="AY3278" s="62">
        <f t="shared" ref="AY3278:AY3341" si="335">AX3278*AW3278</f>
        <v>-0.4</v>
      </c>
      <c r="AZ3278" s="68" t="str">
        <f t="shared" ref="AZ3278:AZ3341" si="336">IF(AY3278&gt;10,"Yes","No")</f>
        <v>No</v>
      </c>
      <c r="BA3278" s="68" t="str">
        <f t="shared" ref="BA3278:BA3341" si="337">IF(AY3278&lt;-10,"Yes","No")</f>
        <v>No</v>
      </c>
    </row>
    <row r="3279" spans="1:55" hidden="1">
      <c r="A3279" t="s">
        <v>3914</v>
      </c>
      <c r="G3279" t="s">
        <v>4188</v>
      </c>
      <c r="P3279" t="s">
        <v>60</v>
      </c>
      <c r="R3279" t="s">
        <v>4116</v>
      </c>
      <c r="S3279" t="s">
        <v>1759</v>
      </c>
      <c r="V3279" t="s">
        <v>3956</v>
      </c>
      <c r="Z3279">
        <v>3</v>
      </c>
      <c r="AA3279">
        <v>3</v>
      </c>
      <c r="AC3279">
        <v>257.89999999999998</v>
      </c>
      <c r="AD3279">
        <v>22</v>
      </c>
      <c r="AE3279">
        <v>1278</v>
      </c>
      <c r="AF3279">
        <v>22</v>
      </c>
      <c r="AJ3279" t="s">
        <v>4218</v>
      </c>
      <c r="AK3279" t="s">
        <v>4244</v>
      </c>
      <c r="AN3279">
        <v>83</v>
      </c>
      <c r="AO3279">
        <v>3</v>
      </c>
      <c r="AP3279">
        <v>82.5</v>
      </c>
      <c r="AQ3279">
        <v>3.5</v>
      </c>
      <c r="AW3279" s="28">
        <f t="shared" si="333"/>
        <v>-0.15339299776947407</v>
      </c>
      <c r="AX3279">
        <f t="shared" si="334"/>
        <v>0.8</v>
      </c>
      <c r="AY3279" s="62">
        <f t="shared" si="335"/>
        <v>-0.12271439821557927</v>
      </c>
      <c r="AZ3279" s="68" t="str">
        <f t="shared" si="336"/>
        <v>No</v>
      </c>
      <c r="BA3279" s="68" t="str">
        <f t="shared" si="337"/>
        <v>No</v>
      </c>
    </row>
    <row r="3280" spans="1:55" hidden="1">
      <c r="A3280" t="s">
        <v>3914</v>
      </c>
      <c r="G3280" t="s">
        <v>4188</v>
      </c>
      <c r="P3280" t="s">
        <v>60</v>
      </c>
      <c r="R3280" t="s">
        <v>4116</v>
      </c>
      <c r="S3280" t="s">
        <v>1759</v>
      </c>
      <c r="V3280" t="s">
        <v>3956</v>
      </c>
      <c r="Z3280">
        <v>3</v>
      </c>
      <c r="AA3280">
        <v>3</v>
      </c>
      <c r="AC3280">
        <v>257.89999999999998</v>
      </c>
      <c r="AD3280">
        <v>22</v>
      </c>
      <c r="AE3280">
        <v>592.29999999999995</v>
      </c>
      <c r="AF3280">
        <v>22</v>
      </c>
      <c r="AJ3280" t="s">
        <v>4218</v>
      </c>
      <c r="AK3280" t="s">
        <v>4244</v>
      </c>
      <c r="AN3280">
        <v>83</v>
      </c>
      <c r="AO3280">
        <v>3</v>
      </c>
      <c r="AP3280">
        <v>85</v>
      </c>
      <c r="AQ3280">
        <v>4</v>
      </c>
      <c r="AW3280" s="28">
        <f t="shared" si="333"/>
        <v>0.56568542494923801</v>
      </c>
      <c r="AX3280">
        <f t="shared" si="334"/>
        <v>0.8</v>
      </c>
      <c r="AY3280" s="62">
        <f t="shared" si="335"/>
        <v>0.45254833995939042</v>
      </c>
      <c r="AZ3280" s="68" t="str">
        <f t="shared" si="336"/>
        <v>No</v>
      </c>
      <c r="BA3280" s="68" t="str">
        <f t="shared" si="337"/>
        <v>No</v>
      </c>
    </row>
    <row r="3281" spans="1:55" hidden="1">
      <c r="A3281" t="s">
        <v>3914</v>
      </c>
      <c r="G3281" t="s">
        <v>4486</v>
      </c>
      <c r="P3281" t="s">
        <v>60</v>
      </c>
      <c r="R3281" t="s">
        <v>4357</v>
      </c>
      <c r="S3281" t="s">
        <v>4382</v>
      </c>
      <c r="V3281" t="s">
        <v>3956</v>
      </c>
      <c r="Z3281">
        <v>10</v>
      </c>
      <c r="AA3281">
        <v>10</v>
      </c>
      <c r="AC3281">
        <v>744.71</v>
      </c>
      <c r="AD3281">
        <v>20.100000000000001</v>
      </c>
      <c r="AE3281">
        <v>2577.79</v>
      </c>
      <c r="AF3281">
        <v>20.100000000000001</v>
      </c>
      <c r="AJ3281" t="s">
        <v>4490</v>
      </c>
      <c r="AK3281" t="s">
        <v>4491</v>
      </c>
      <c r="AN3281">
        <v>84.4</v>
      </c>
      <c r="AO3281">
        <v>8.42</v>
      </c>
      <c r="AP3281">
        <v>46.8</v>
      </c>
      <c r="AQ3281">
        <v>8.23</v>
      </c>
      <c r="AW3281" s="28">
        <f t="shared" si="333"/>
        <v>-4.5162224741425678</v>
      </c>
      <c r="AX3281">
        <f t="shared" si="334"/>
        <v>0.95774647887323949</v>
      </c>
      <c r="AY3281" s="62">
        <f t="shared" si="335"/>
        <v>-4.3253961724182339</v>
      </c>
      <c r="AZ3281" s="68" t="str">
        <f t="shared" si="336"/>
        <v>No</v>
      </c>
      <c r="BA3281" s="68" t="str">
        <f t="shared" si="337"/>
        <v>No</v>
      </c>
    </row>
    <row r="3282" spans="1:55" hidden="1">
      <c r="A3282" t="s">
        <v>3914</v>
      </c>
      <c r="G3282" t="s">
        <v>5073</v>
      </c>
      <c r="P3282" t="s">
        <v>60</v>
      </c>
      <c r="R3282" t="s">
        <v>4357</v>
      </c>
      <c r="S3282" t="s">
        <v>4382</v>
      </c>
      <c r="V3282" t="s">
        <v>3956</v>
      </c>
      <c r="Z3282">
        <v>10</v>
      </c>
      <c r="AA3282">
        <v>10</v>
      </c>
      <c r="AC3282">
        <v>744.71</v>
      </c>
      <c r="AD3282">
        <v>20.100000000000001</v>
      </c>
      <c r="AE3282">
        <v>1585.9</v>
      </c>
      <c r="AF3282">
        <v>20.100000000000001</v>
      </c>
      <c r="AJ3282" t="s">
        <v>4490</v>
      </c>
      <c r="AK3282" t="s">
        <v>4491</v>
      </c>
      <c r="AN3282">
        <v>84.4</v>
      </c>
      <c r="AO3282">
        <v>8.42</v>
      </c>
      <c r="AP3282">
        <v>65.2</v>
      </c>
      <c r="AQ3282">
        <v>10.210000000000001</v>
      </c>
      <c r="AW3282" s="28">
        <f t="shared" si="333"/>
        <v>-2.0517428749238196</v>
      </c>
      <c r="AX3282">
        <f t="shared" si="334"/>
        <v>0.95774647887323949</v>
      </c>
      <c r="AY3282" s="62">
        <f t="shared" si="335"/>
        <v>-1.9650495140115456</v>
      </c>
      <c r="AZ3282" s="68" t="str">
        <f t="shared" si="336"/>
        <v>No</v>
      </c>
      <c r="BA3282" s="68" t="str">
        <f t="shared" si="337"/>
        <v>No</v>
      </c>
    </row>
    <row r="3283" spans="1:55" hidden="1">
      <c r="A3283" t="s">
        <v>3914</v>
      </c>
      <c r="G3283" t="s">
        <v>4003</v>
      </c>
      <c r="P3283" t="s">
        <v>4596</v>
      </c>
      <c r="R3283" t="s">
        <v>822</v>
      </c>
      <c r="S3283" t="s">
        <v>824</v>
      </c>
      <c r="V3283" t="s">
        <v>4627</v>
      </c>
      <c r="Z3283">
        <v>3</v>
      </c>
      <c r="AA3283">
        <v>3</v>
      </c>
      <c r="AC3283">
        <v>350</v>
      </c>
      <c r="AD3283" s="54">
        <v>2.2999999999999998</v>
      </c>
      <c r="AE3283">
        <v>880</v>
      </c>
      <c r="AF3283" s="54">
        <v>6.8</v>
      </c>
      <c r="AJ3283" t="s">
        <v>4021</v>
      </c>
      <c r="AK3283" t="s">
        <v>4849</v>
      </c>
      <c r="AN3283">
        <v>0.46</v>
      </c>
      <c r="AO3283">
        <v>0.126</v>
      </c>
      <c r="AP3283">
        <v>0.70499999999999996</v>
      </c>
      <c r="AQ3283">
        <v>4.7E-2</v>
      </c>
      <c r="AU3283" t="s">
        <v>4867</v>
      </c>
      <c r="AW3283" s="28">
        <f t="shared" si="333"/>
        <v>2.5764506343347517</v>
      </c>
      <c r="AX3283">
        <f t="shared" si="334"/>
        <v>0.8</v>
      </c>
      <c r="AY3283" s="62">
        <f t="shared" si="335"/>
        <v>2.0611605074678017</v>
      </c>
      <c r="AZ3283" s="68" t="str">
        <f t="shared" si="336"/>
        <v>No</v>
      </c>
      <c r="BA3283" s="68" t="str">
        <f t="shared" si="337"/>
        <v>No</v>
      </c>
    </row>
    <row r="3284" spans="1:55" hidden="1">
      <c r="A3284" t="s">
        <v>3914</v>
      </c>
      <c r="G3284" t="s">
        <v>4003</v>
      </c>
      <c r="P3284" t="s">
        <v>4596</v>
      </c>
      <c r="R3284" t="s">
        <v>822</v>
      </c>
      <c r="S3284" t="s">
        <v>824</v>
      </c>
      <c r="V3284" t="s">
        <v>4628</v>
      </c>
      <c r="Z3284">
        <v>3</v>
      </c>
      <c r="AA3284">
        <v>3</v>
      </c>
      <c r="AC3284">
        <v>350</v>
      </c>
      <c r="AD3284" s="54">
        <v>2.2999999999999998</v>
      </c>
      <c r="AE3284">
        <v>350</v>
      </c>
      <c r="AF3284" s="54">
        <v>6.8</v>
      </c>
      <c r="AJ3284" t="s">
        <v>4021</v>
      </c>
      <c r="AK3284" t="s">
        <v>4849</v>
      </c>
      <c r="AN3284">
        <v>0.46</v>
      </c>
      <c r="AO3284">
        <v>0.126</v>
      </c>
      <c r="AP3284">
        <v>0.52900000000000003</v>
      </c>
      <c r="AQ3284">
        <v>5.0999999999999997E-2</v>
      </c>
      <c r="AU3284" t="s">
        <v>4867</v>
      </c>
      <c r="AW3284" s="28">
        <f t="shared" si="333"/>
        <v>0.71787422289881786</v>
      </c>
      <c r="AX3284">
        <f t="shared" si="334"/>
        <v>0.8</v>
      </c>
      <c r="AY3284" s="62">
        <f t="shared" si="335"/>
        <v>0.57429937831905431</v>
      </c>
      <c r="AZ3284" s="68" t="str">
        <f t="shared" si="336"/>
        <v>No</v>
      </c>
      <c r="BA3284" s="68" t="str">
        <f t="shared" si="337"/>
        <v>No</v>
      </c>
    </row>
    <row r="3285" spans="1:55" hidden="1">
      <c r="A3285" t="s">
        <v>3914</v>
      </c>
      <c r="G3285" t="s">
        <v>4003</v>
      </c>
      <c r="P3285" t="s">
        <v>60</v>
      </c>
      <c r="R3285" t="s">
        <v>4005</v>
      </c>
      <c r="S3285" t="s">
        <v>1008</v>
      </c>
      <c r="V3285" t="s">
        <v>3956</v>
      </c>
      <c r="Z3285">
        <v>3</v>
      </c>
      <c r="AA3285">
        <v>3</v>
      </c>
      <c r="AC3285">
        <v>350</v>
      </c>
      <c r="AD3285">
        <v>2.2999999999999998</v>
      </c>
      <c r="AE3285">
        <v>880</v>
      </c>
      <c r="AF3285">
        <v>2.2999999999999998</v>
      </c>
      <c r="AJ3285" t="s">
        <v>4021</v>
      </c>
      <c r="AK3285" t="s">
        <v>3983</v>
      </c>
      <c r="AN3285">
        <v>0.55200000000000005</v>
      </c>
      <c r="AO3285">
        <v>0.155</v>
      </c>
      <c r="AP3285">
        <v>0.60599999999999998</v>
      </c>
      <c r="AQ3285">
        <v>5.1999999999999998E-2</v>
      </c>
      <c r="AW3285" s="28">
        <f t="shared" si="333"/>
        <v>0.46710810410396425</v>
      </c>
      <c r="AX3285">
        <f t="shared" si="334"/>
        <v>0.8</v>
      </c>
      <c r="AY3285" s="62">
        <f t="shared" si="335"/>
        <v>0.37368648328317144</v>
      </c>
      <c r="AZ3285" s="68" t="str">
        <f t="shared" si="336"/>
        <v>No</v>
      </c>
      <c r="BA3285" s="68" t="str">
        <f t="shared" si="337"/>
        <v>No</v>
      </c>
    </row>
    <row r="3286" spans="1:55" hidden="1">
      <c r="A3286" t="s">
        <v>3914</v>
      </c>
      <c r="G3286" t="s">
        <v>4003</v>
      </c>
      <c r="P3286" t="s">
        <v>4596</v>
      </c>
      <c r="R3286" t="s">
        <v>822</v>
      </c>
      <c r="S3286" t="s">
        <v>824</v>
      </c>
      <c r="V3286" t="s">
        <v>4625</v>
      </c>
      <c r="Z3286">
        <v>3</v>
      </c>
      <c r="AA3286">
        <v>3</v>
      </c>
      <c r="AC3286">
        <v>350</v>
      </c>
      <c r="AD3286" s="54">
        <v>2.2999999999999998</v>
      </c>
      <c r="AE3286">
        <v>350</v>
      </c>
      <c r="AF3286" s="54">
        <v>5.6</v>
      </c>
      <c r="AJ3286" t="s">
        <v>4863</v>
      </c>
      <c r="AK3286" t="s">
        <v>4849</v>
      </c>
      <c r="AN3286">
        <v>0.46</v>
      </c>
      <c r="AO3286">
        <v>0.126</v>
      </c>
      <c r="AP3286">
        <v>0.43099999999999999</v>
      </c>
      <c r="AQ3286">
        <v>6.3E-2</v>
      </c>
      <c r="AU3286" t="s">
        <v>4867</v>
      </c>
      <c r="AW3286" s="28">
        <f t="shared" si="333"/>
        <v>-0.29113032426947011</v>
      </c>
      <c r="AX3286">
        <f t="shared" si="334"/>
        <v>0.8</v>
      </c>
      <c r="AY3286" s="62">
        <f t="shared" si="335"/>
        <v>-0.2329042594155761</v>
      </c>
      <c r="AZ3286" s="68" t="str">
        <f t="shared" si="336"/>
        <v>No</v>
      </c>
      <c r="BA3286" s="68" t="str">
        <f t="shared" si="337"/>
        <v>No</v>
      </c>
    </row>
    <row r="3287" spans="1:55" hidden="1">
      <c r="A3287" t="s">
        <v>3914</v>
      </c>
      <c r="G3287" t="s">
        <v>4003</v>
      </c>
      <c r="P3287" t="s">
        <v>4596</v>
      </c>
      <c r="R3287" t="s">
        <v>822</v>
      </c>
      <c r="S3287" t="s">
        <v>1008</v>
      </c>
      <c r="V3287" t="s">
        <v>4626</v>
      </c>
      <c r="Z3287">
        <v>3</v>
      </c>
      <c r="AA3287">
        <v>3</v>
      </c>
      <c r="AC3287">
        <v>350</v>
      </c>
      <c r="AD3287" s="54">
        <v>2.2999999999999998</v>
      </c>
      <c r="AE3287">
        <v>650</v>
      </c>
      <c r="AF3287" s="54">
        <v>6.8</v>
      </c>
      <c r="AJ3287" t="s">
        <v>4021</v>
      </c>
      <c r="AK3287" t="s">
        <v>4849</v>
      </c>
      <c r="AN3287">
        <v>0.47599999999999998</v>
      </c>
      <c r="AO3287">
        <v>0.14000000000000001</v>
      </c>
      <c r="AP3287">
        <v>0.378</v>
      </c>
      <c r="AQ3287">
        <v>6.5000000000000002E-2</v>
      </c>
      <c r="AU3287" t="s">
        <v>4867</v>
      </c>
      <c r="AW3287" s="28">
        <f t="shared" si="333"/>
        <v>-0.89789306836869698</v>
      </c>
      <c r="AX3287">
        <f t="shared" si="334"/>
        <v>0.8</v>
      </c>
      <c r="AY3287" s="62">
        <f t="shared" si="335"/>
        <v>-0.71831445469495758</v>
      </c>
      <c r="AZ3287" s="68" t="str">
        <f t="shared" si="336"/>
        <v>No</v>
      </c>
      <c r="BA3287" s="68" t="str">
        <f t="shared" si="337"/>
        <v>No</v>
      </c>
    </row>
    <row r="3288" spans="1:55" hidden="1">
      <c r="A3288" t="s">
        <v>3914</v>
      </c>
      <c r="B3288" t="s">
        <v>4003</v>
      </c>
      <c r="G3288" t="s">
        <v>4003</v>
      </c>
      <c r="P3288" t="s">
        <v>4596</v>
      </c>
      <c r="R3288" t="s">
        <v>822</v>
      </c>
      <c r="S3288" t="s">
        <v>1008</v>
      </c>
      <c r="V3288" t="s">
        <v>4626</v>
      </c>
      <c r="Z3288">
        <v>3</v>
      </c>
      <c r="AA3288">
        <v>3</v>
      </c>
      <c r="AC3288">
        <v>350</v>
      </c>
      <c r="AD3288" s="54">
        <v>2.2999999999999998</v>
      </c>
      <c r="AE3288">
        <v>650</v>
      </c>
      <c r="AF3288" s="54">
        <v>6.8</v>
      </c>
      <c r="AJ3288" t="s">
        <v>4021</v>
      </c>
      <c r="AK3288" t="s">
        <v>4849</v>
      </c>
      <c r="AN3288">
        <v>0.55200000000000005</v>
      </c>
      <c r="AO3288">
        <v>0.155</v>
      </c>
      <c r="AP3288">
        <v>0.625</v>
      </c>
      <c r="AQ3288">
        <v>7.0000000000000007E-2</v>
      </c>
      <c r="AU3288" t="s">
        <v>4867</v>
      </c>
      <c r="AW3288" s="28">
        <f t="shared" si="333"/>
        <v>0.60701744744602593</v>
      </c>
      <c r="AX3288">
        <f t="shared" si="334"/>
        <v>0.8</v>
      </c>
      <c r="AY3288" s="62">
        <f t="shared" si="335"/>
        <v>0.48561395795682077</v>
      </c>
      <c r="AZ3288" s="68" t="str">
        <f t="shared" si="336"/>
        <v>No</v>
      </c>
      <c r="BA3288" s="68" t="str">
        <f t="shared" si="337"/>
        <v>No</v>
      </c>
    </row>
    <row r="3289" spans="1:55" hidden="1">
      <c r="A3289" t="s">
        <v>3914</v>
      </c>
      <c r="G3289" t="s">
        <v>4003</v>
      </c>
      <c r="P3289" t="s">
        <v>4596</v>
      </c>
      <c r="R3289" t="s">
        <v>822</v>
      </c>
      <c r="S3289" t="s">
        <v>1008</v>
      </c>
      <c r="V3289" t="s">
        <v>4627</v>
      </c>
      <c r="Z3289">
        <v>3</v>
      </c>
      <c r="AA3289">
        <v>3</v>
      </c>
      <c r="AC3289">
        <v>350</v>
      </c>
      <c r="AD3289" s="54">
        <v>2.2999999999999998</v>
      </c>
      <c r="AE3289">
        <v>880</v>
      </c>
      <c r="AF3289" s="54">
        <v>5.6</v>
      </c>
      <c r="AJ3289" t="s">
        <v>4021</v>
      </c>
      <c r="AK3289" t="s">
        <v>4849</v>
      </c>
      <c r="AN3289">
        <v>0.47599999999999998</v>
      </c>
      <c r="AO3289">
        <v>0.14000000000000001</v>
      </c>
      <c r="AP3289">
        <v>0.39600000000000002</v>
      </c>
      <c r="AQ3289">
        <v>7.0999999999999994E-2</v>
      </c>
      <c r="AU3289" t="s">
        <v>4867</v>
      </c>
      <c r="AW3289" s="28">
        <f t="shared" si="333"/>
        <v>-0.72073534499344982</v>
      </c>
      <c r="AX3289">
        <f t="shared" si="334"/>
        <v>0.8</v>
      </c>
      <c r="AY3289" s="62">
        <f t="shared" si="335"/>
        <v>-0.57658827599475992</v>
      </c>
      <c r="AZ3289" s="68" t="str">
        <f t="shared" si="336"/>
        <v>No</v>
      </c>
      <c r="BA3289" s="68" t="str">
        <f t="shared" si="337"/>
        <v>No</v>
      </c>
    </row>
    <row r="3290" spans="1:55" hidden="1">
      <c r="A3290" t="s">
        <v>3914</v>
      </c>
      <c r="G3290" t="s">
        <v>4003</v>
      </c>
      <c r="P3290" t="s">
        <v>4596</v>
      </c>
      <c r="R3290" t="s">
        <v>822</v>
      </c>
      <c r="S3290" t="s">
        <v>824</v>
      </c>
      <c r="V3290" t="s">
        <v>4626</v>
      </c>
      <c r="Z3290">
        <v>3</v>
      </c>
      <c r="AA3290">
        <v>3</v>
      </c>
      <c r="AC3290">
        <v>350</v>
      </c>
      <c r="AD3290" s="54">
        <v>2.2999999999999998</v>
      </c>
      <c r="AE3290">
        <v>650</v>
      </c>
      <c r="AF3290" s="54">
        <v>6.8</v>
      </c>
      <c r="AJ3290" t="s">
        <v>4021</v>
      </c>
      <c r="AK3290" t="s">
        <v>4849</v>
      </c>
      <c r="AN3290">
        <v>0.46</v>
      </c>
      <c r="AO3290">
        <v>0.126</v>
      </c>
      <c r="AP3290">
        <v>0.53100000000000003</v>
      </c>
      <c r="AQ3290">
        <v>8.7999999999999995E-2</v>
      </c>
      <c r="AU3290" t="s">
        <v>4867</v>
      </c>
      <c r="AW3290" s="28">
        <f t="shared" si="333"/>
        <v>0.65333120207938911</v>
      </c>
      <c r="AX3290">
        <f t="shared" si="334"/>
        <v>0.8</v>
      </c>
      <c r="AY3290" s="62">
        <f t="shared" si="335"/>
        <v>0.52266496166351128</v>
      </c>
      <c r="AZ3290" s="68" t="str">
        <f t="shared" si="336"/>
        <v>No</v>
      </c>
      <c r="BA3290" s="68" t="str">
        <f t="shared" si="337"/>
        <v>No</v>
      </c>
    </row>
    <row r="3291" spans="1:55" hidden="1">
      <c r="A3291" t="s">
        <v>3914</v>
      </c>
      <c r="G3291" t="s">
        <v>4862</v>
      </c>
      <c r="P3291" t="s">
        <v>4596</v>
      </c>
      <c r="R3291" t="s">
        <v>822</v>
      </c>
      <c r="S3291" t="s">
        <v>1008</v>
      </c>
      <c r="V3291" t="s">
        <v>4625</v>
      </c>
      <c r="Z3291">
        <v>3</v>
      </c>
      <c r="AA3291">
        <v>3</v>
      </c>
      <c r="AC3291">
        <v>350</v>
      </c>
      <c r="AD3291" s="54">
        <v>2.2999999999999998</v>
      </c>
      <c r="AE3291">
        <v>350</v>
      </c>
      <c r="AF3291" s="54">
        <v>5.6</v>
      </c>
      <c r="AJ3291" t="s">
        <v>4863</v>
      </c>
      <c r="AK3291" t="s">
        <v>4849</v>
      </c>
      <c r="AN3291">
        <v>0.47599999999999998</v>
      </c>
      <c r="AO3291">
        <v>0.14000000000000001</v>
      </c>
      <c r="AP3291">
        <v>0.58199999999999996</v>
      </c>
      <c r="AQ3291">
        <v>9.1999999999999998E-2</v>
      </c>
      <c r="AU3291" t="s">
        <v>4867</v>
      </c>
      <c r="AW3291" s="28">
        <f t="shared" si="333"/>
        <v>0.89484141782545579</v>
      </c>
      <c r="AX3291">
        <f t="shared" si="334"/>
        <v>0.8</v>
      </c>
      <c r="AY3291" s="62">
        <f t="shared" si="335"/>
        <v>0.7158731342603647</v>
      </c>
      <c r="AZ3291" s="68" t="str">
        <f t="shared" si="336"/>
        <v>No</v>
      </c>
      <c r="BA3291" s="68" t="str">
        <f t="shared" si="337"/>
        <v>No</v>
      </c>
    </row>
    <row r="3292" spans="1:55" hidden="1">
      <c r="A3292" t="s">
        <v>3914</v>
      </c>
      <c r="G3292" t="s">
        <v>4003</v>
      </c>
      <c r="P3292" t="s">
        <v>4596</v>
      </c>
      <c r="R3292" t="s">
        <v>822</v>
      </c>
      <c r="S3292" t="s">
        <v>1008</v>
      </c>
      <c r="V3292" t="s">
        <v>4627</v>
      </c>
      <c r="Z3292">
        <v>3</v>
      </c>
      <c r="AA3292">
        <v>3</v>
      </c>
      <c r="AC3292">
        <v>350</v>
      </c>
      <c r="AD3292" s="54">
        <v>2.2999999999999998</v>
      </c>
      <c r="AE3292">
        <v>880</v>
      </c>
      <c r="AF3292" s="54">
        <v>6.8</v>
      </c>
      <c r="AJ3292" t="s">
        <v>4021</v>
      </c>
      <c r="AK3292" t="s">
        <v>4849</v>
      </c>
      <c r="AN3292">
        <v>0.47599999999999998</v>
      </c>
      <c r="AO3292">
        <v>0.14000000000000001</v>
      </c>
      <c r="AP3292">
        <v>0.45100000000000001</v>
      </c>
      <c r="AQ3292">
        <v>0.108</v>
      </c>
      <c r="AU3292" t="s">
        <v>4867</v>
      </c>
      <c r="AW3292" s="28">
        <f t="shared" si="333"/>
        <v>-0.19995521504718225</v>
      </c>
      <c r="AX3292">
        <f t="shared" si="334"/>
        <v>0.8</v>
      </c>
      <c r="AY3292" s="62">
        <f t="shared" si="335"/>
        <v>-0.15996417203774582</v>
      </c>
      <c r="AZ3292" s="68" t="str">
        <f t="shared" si="336"/>
        <v>No</v>
      </c>
      <c r="BA3292" s="68" t="str">
        <f t="shared" si="337"/>
        <v>No</v>
      </c>
    </row>
    <row r="3293" spans="1:55" hidden="1">
      <c r="A3293" t="s">
        <v>3914</v>
      </c>
      <c r="B3293" t="s">
        <v>4003</v>
      </c>
      <c r="G3293" t="s">
        <v>4003</v>
      </c>
      <c r="P3293" t="s">
        <v>4596</v>
      </c>
      <c r="R3293" t="s">
        <v>822</v>
      </c>
      <c r="S3293" t="s">
        <v>824</v>
      </c>
      <c r="V3293" t="s">
        <v>4627</v>
      </c>
      <c r="Z3293">
        <v>3</v>
      </c>
      <c r="AA3293">
        <v>3</v>
      </c>
      <c r="AC3293">
        <v>350</v>
      </c>
      <c r="AD3293" s="54">
        <v>2.2999999999999998</v>
      </c>
      <c r="AE3293">
        <v>880</v>
      </c>
      <c r="AF3293" s="54">
        <v>5.6</v>
      </c>
      <c r="AJ3293" t="s">
        <v>4021</v>
      </c>
      <c r="AK3293" t="s">
        <v>4849</v>
      </c>
      <c r="AN3293">
        <v>0.47199999999999998</v>
      </c>
      <c r="AO3293">
        <v>4.5999999999999999E-2</v>
      </c>
      <c r="AP3293">
        <v>0.69199999999999995</v>
      </c>
      <c r="AQ3293">
        <v>0.108</v>
      </c>
      <c r="AU3293" t="s">
        <v>4867</v>
      </c>
      <c r="AW3293" s="28">
        <f t="shared" si="333"/>
        <v>2.6504100512501414</v>
      </c>
      <c r="AX3293">
        <f t="shared" si="334"/>
        <v>0.8</v>
      </c>
      <c r="AY3293" s="62">
        <f t="shared" si="335"/>
        <v>2.1203280410001133</v>
      </c>
      <c r="AZ3293" s="68" t="str">
        <f t="shared" si="336"/>
        <v>No</v>
      </c>
      <c r="BA3293" s="68" t="str">
        <f t="shared" si="337"/>
        <v>No</v>
      </c>
    </row>
    <row r="3294" spans="1:55" hidden="1">
      <c r="A3294" t="s">
        <v>3914</v>
      </c>
      <c r="B3294" t="s">
        <v>4003</v>
      </c>
      <c r="G3294" t="s">
        <v>4003</v>
      </c>
      <c r="P3294" t="s">
        <v>4596</v>
      </c>
      <c r="R3294" t="s">
        <v>822</v>
      </c>
      <c r="S3294" t="s">
        <v>1008</v>
      </c>
      <c r="V3294" t="s">
        <v>4627</v>
      </c>
      <c r="Z3294">
        <v>3</v>
      </c>
      <c r="AA3294">
        <v>3</v>
      </c>
      <c r="AC3294">
        <v>350</v>
      </c>
      <c r="AD3294" s="54">
        <v>2.2999999999999998</v>
      </c>
      <c r="AE3294">
        <v>880</v>
      </c>
      <c r="AF3294" s="54">
        <v>5.6</v>
      </c>
      <c r="AJ3294" t="s">
        <v>4021</v>
      </c>
      <c r="AK3294" t="s">
        <v>4849</v>
      </c>
      <c r="AN3294">
        <v>0.55200000000000005</v>
      </c>
      <c r="AO3294">
        <v>0.155</v>
      </c>
      <c r="AP3294">
        <v>0.86799999999999999</v>
      </c>
      <c r="AQ3294">
        <v>0.115</v>
      </c>
      <c r="AU3294" t="s">
        <v>4867</v>
      </c>
      <c r="AW3294" s="28">
        <f t="shared" si="333"/>
        <v>2.3154688452135042</v>
      </c>
      <c r="AX3294">
        <f t="shared" si="334"/>
        <v>0.8</v>
      </c>
      <c r="AY3294" s="62">
        <f t="shared" si="335"/>
        <v>1.8523750761708033</v>
      </c>
      <c r="AZ3294" s="68" t="str">
        <f t="shared" si="336"/>
        <v>No</v>
      </c>
      <c r="BA3294" s="68" t="str">
        <f t="shared" si="337"/>
        <v>No</v>
      </c>
    </row>
    <row r="3295" spans="1:55" s="56" customFormat="1" ht="15" hidden="1">
      <c r="A3295" t="s">
        <v>3914</v>
      </c>
      <c r="B3295" t="s">
        <v>4003</v>
      </c>
      <c r="C3295"/>
      <c r="D3295" s="25"/>
      <c r="E3295" s="25"/>
      <c r="F3295"/>
      <c r="G3295" t="s">
        <v>4003</v>
      </c>
      <c r="H3295"/>
      <c r="I3295"/>
      <c r="J3295"/>
      <c r="K3295"/>
      <c r="L3295"/>
      <c r="M3295" s="25"/>
      <c r="N3295"/>
      <c r="O3295"/>
      <c r="P3295" t="s">
        <v>4596</v>
      </c>
      <c r="Q3295"/>
      <c r="R3295" t="s">
        <v>822</v>
      </c>
      <c r="S3295" t="s">
        <v>1008</v>
      </c>
      <c r="T3295"/>
      <c r="U3295"/>
      <c r="V3295" t="s">
        <v>4628</v>
      </c>
      <c r="W3295" s="25"/>
      <c r="X3295"/>
      <c r="Y3295"/>
      <c r="Z3295">
        <v>3</v>
      </c>
      <c r="AA3295">
        <v>3</v>
      </c>
      <c r="AB3295"/>
      <c r="AC3295">
        <v>350</v>
      </c>
      <c r="AD3295" s="54">
        <v>2.2999999999999998</v>
      </c>
      <c r="AE3295">
        <v>350</v>
      </c>
      <c r="AF3295" s="54">
        <v>6.8</v>
      </c>
      <c r="AG3295"/>
      <c r="AH3295"/>
      <c r="AI3295"/>
      <c r="AJ3295" t="s">
        <v>4021</v>
      </c>
      <c r="AK3295" t="s">
        <v>4849</v>
      </c>
      <c r="AL3295" s="25"/>
      <c r="AM3295" s="35"/>
      <c r="AN3295">
        <v>0.55200000000000005</v>
      </c>
      <c r="AO3295">
        <v>0.155</v>
      </c>
      <c r="AP3295">
        <v>0.56499999999999995</v>
      </c>
      <c r="AQ3295">
        <v>0.11600000000000001</v>
      </c>
      <c r="AR3295"/>
      <c r="AS3295"/>
      <c r="AT3295"/>
      <c r="AU3295" t="s">
        <v>4867</v>
      </c>
      <c r="AV3295"/>
      <c r="AW3295" s="28">
        <f t="shared" si="333"/>
        <v>9.4962636883589635E-2</v>
      </c>
      <c r="AX3295">
        <f t="shared" si="334"/>
        <v>0.8</v>
      </c>
      <c r="AY3295" s="62">
        <f t="shared" si="335"/>
        <v>7.5970109506871719E-2</v>
      </c>
      <c r="AZ3295" s="68" t="str">
        <f t="shared" si="336"/>
        <v>No</v>
      </c>
      <c r="BA3295" s="68" t="str">
        <f t="shared" si="337"/>
        <v>No</v>
      </c>
      <c r="BB3295"/>
      <c r="BC3295"/>
    </row>
    <row r="3296" spans="1:55" hidden="1">
      <c r="A3296" t="s">
        <v>3914</v>
      </c>
      <c r="B3296" t="s">
        <v>4003</v>
      </c>
      <c r="G3296" t="s">
        <v>4003</v>
      </c>
      <c r="P3296" t="s">
        <v>4596</v>
      </c>
      <c r="R3296" t="s">
        <v>822</v>
      </c>
      <c r="S3296" t="s">
        <v>1008</v>
      </c>
      <c r="V3296" t="s">
        <v>4627</v>
      </c>
      <c r="Z3296">
        <v>3</v>
      </c>
      <c r="AA3296">
        <v>3</v>
      </c>
      <c r="AC3296">
        <v>350</v>
      </c>
      <c r="AD3296" s="54">
        <v>2.2999999999999998</v>
      </c>
      <c r="AE3296">
        <v>880</v>
      </c>
      <c r="AF3296" s="54">
        <v>6.8</v>
      </c>
      <c r="AJ3296" t="s">
        <v>4021</v>
      </c>
      <c r="AK3296" t="s">
        <v>4849</v>
      </c>
      <c r="AN3296">
        <v>0.55200000000000005</v>
      </c>
      <c r="AO3296">
        <v>0.155</v>
      </c>
      <c r="AP3296">
        <v>0.46</v>
      </c>
      <c r="AQ3296">
        <v>0.122</v>
      </c>
      <c r="AU3296" t="s">
        <v>4867</v>
      </c>
      <c r="AW3296" s="28">
        <f t="shared" si="333"/>
        <v>-0.65959566180434726</v>
      </c>
      <c r="AX3296">
        <f t="shared" si="334"/>
        <v>0.8</v>
      </c>
      <c r="AY3296" s="62">
        <f t="shared" si="335"/>
        <v>-0.52767652944347787</v>
      </c>
      <c r="AZ3296" s="68" t="str">
        <f t="shared" si="336"/>
        <v>No</v>
      </c>
      <c r="BA3296" s="68" t="str">
        <f t="shared" si="337"/>
        <v>No</v>
      </c>
    </row>
    <row r="3297" spans="1:55" hidden="1">
      <c r="A3297" t="s">
        <v>3914</v>
      </c>
      <c r="G3297" t="s">
        <v>4003</v>
      </c>
      <c r="P3297" t="s">
        <v>4596</v>
      </c>
      <c r="R3297" t="s">
        <v>822</v>
      </c>
      <c r="S3297" t="s">
        <v>1008</v>
      </c>
      <c r="V3297" t="s">
        <v>4626</v>
      </c>
      <c r="Z3297">
        <v>3</v>
      </c>
      <c r="AA3297">
        <v>3</v>
      </c>
      <c r="AC3297">
        <v>350</v>
      </c>
      <c r="AD3297" s="54">
        <v>2.2999999999999998</v>
      </c>
      <c r="AE3297">
        <v>650</v>
      </c>
      <c r="AF3297" s="54">
        <v>5.6</v>
      </c>
      <c r="AJ3297" t="s">
        <v>4021</v>
      </c>
      <c r="AK3297" t="s">
        <v>4849</v>
      </c>
      <c r="AN3297">
        <v>0.47599999999999998</v>
      </c>
      <c r="AO3297">
        <v>0.14000000000000001</v>
      </c>
      <c r="AP3297">
        <v>0.32900000000000001</v>
      </c>
      <c r="AQ3297">
        <v>0.13100000000000001</v>
      </c>
      <c r="AU3297" t="s">
        <v>4867</v>
      </c>
      <c r="AW3297" s="28">
        <f t="shared" si="333"/>
        <v>-1.084273076917903</v>
      </c>
      <c r="AX3297">
        <f t="shared" si="334"/>
        <v>0.8</v>
      </c>
      <c r="AY3297" s="62">
        <f t="shared" si="335"/>
        <v>-0.86741846153432245</v>
      </c>
      <c r="AZ3297" s="68" t="str">
        <f t="shared" si="336"/>
        <v>No</v>
      </c>
      <c r="BA3297" s="68" t="str">
        <f t="shared" si="337"/>
        <v>No</v>
      </c>
    </row>
    <row r="3298" spans="1:55" ht="15" hidden="1">
      <c r="A3298" t="s">
        <v>3914</v>
      </c>
      <c r="B3298" t="s">
        <v>4003</v>
      </c>
      <c r="G3298" t="s">
        <v>4003</v>
      </c>
      <c r="P3298" t="s">
        <v>4596</v>
      </c>
      <c r="R3298" t="s">
        <v>822</v>
      </c>
      <c r="S3298" t="s">
        <v>1008</v>
      </c>
      <c r="V3298" t="s">
        <v>4626</v>
      </c>
      <c r="Z3298">
        <v>3</v>
      </c>
      <c r="AA3298">
        <v>3</v>
      </c>
      <c r="AC3298">
        <v>350</v>
      </c>
      <c r="AD3298" s="54">
        <v>2.2999999999999998</v>
      </c>
      <c r="AE3298">
        <v>650</v>
      </c>
      <c r="AF3298" s="54">
        <v>5.6</v>
      </c>
      <c r="AJ3298" t="s">
        <v>4021</v>
      </c>
      <c r="AK3298" t="s">
        <v>4849</v>
      </c>
      <c r="AN3298">
        <v>0.55200000000000005</v>
      </c>
      <c r="AO3298">
        <v>0.155</v>
      </c>
      <c r="AP3298">
        <v>0.68700000000000006</v>
      </c>
      <c r="AQ3298">
        <v>0.14099999999999999</v>
      </c>
      <c r="AU3298" t="s">
        <v>4867</v>
      </c>
      <c r="AW3298" s="28">
        <f t="shared" si="333"/>
        <v>0.91114360172356035</v>
      </c>
      <c r="AX3298">
        <f t="shared" si="334"/>
        <v>0.8</v>
      </c>
      <c r="AY3298" s="73">
        <f t="shared" si="335"/>
        <v>0.7289148813788483</v>
      </c>
      <c r="AZ3298" s="74" t="str">
        <f t="shared" si="336"/>
        <v>No</v>
      </c>
      <c r="BA3298" s="74" t="str">
        <f t="shared" si="337"/>
        <v>No</v>
      </c>
      <c r="BB3298" s="56"/>
      <c r="BC3298" s="56"/>
    </row>
    <row r="3299" spans="1:55" hidden="1">
      <c r="A3299" t="s">
        <v>3914</v>
      </c>
      <c r="B3299" t="s">
        <v>4003</v>
      </c>
      <c r="G3299" t="s">
        <v>4003</v>
      </c>
      <c r="P3299" t="s">
        <v>4596</v>
      </c>
      <c r="R3299" t="s">
        <v>822</v>
      </c>
      <c r="S3299" t="s">
        <v>824</v>
      </c>
      <c r="V3299" t="s">
        <v>4627</v>
      </c>
      <c r="Z3299">
        <v>3</v>
      </c>
      <c r="AA3299">
        <v>3</v>
      </c>
      <c r="AC3299">
        <v>350</v>
      </c>
      <c r="AD3299" s="54">
        <v>2.2999999999999998</v>
      </c>
      <c r="AE3299">
        <v>880</v>
      </c>
      <c r="AF3299" s="54">
        <v>6.8</v>
      </c>
      <c r="AJ3299" t="s">
        <v>4021</v>
      </c>
      <c r="AK3299" t="s">
        <v>4849</v>
      </c>
      <c r="AN3299">
        <v>0.47199999999999998</v>
      </c>
      <c r="AO3299">
        <v>4.5999999999999999E-2</v>
      </c>
      <c r="AP3299">
        <v>0.58799999999999997</v>
      </c>
      <c r="AQ3299">
        <v>0.17899999999999999</v>
      </c>
      <c r="AU3299" t="s">
        <v>4867</v>
      </c>
      <c r="AW3299" s="28">
        <f t="shared" si="333"/>
        <v>0.88763236097175036</v>
      </c>
      <c r="AX3299">
        <f t="shared" si="334"/>
        <v>0.8</v>
      </c>
      <c r="AY3299" s="62">
        <f t="shared" si="335"/>
        <v>0.71010588877740033</v>
      </c>
      <c r="AZ3299" s="68" t="str">
        <f t="shared" si="336"/>
        <v>No</v>
      </c>
      <c r="BA3299" s="68" t="str">
        <f t="shared" si="337"/>
        <v>No</v>
      </c>
    </row>
    <row r="3300" spans="1:55" hidden="1">
      <c r="A3300" t="s">
        <v>3914</v>
      </c>
      <c r="G3300" t="s">
        <v>4003</v>
      </c>
      <c r="P3300" t="s">
        <v>60</v>
      </c>
      <c r="R3300" t="s">
        <v>4005</v>
      </c>
      <c r="S3300" t="s">
        <v>824</v>
      </c>
      <c r="V3300" t="s">
        <v>3956</v>
      </c>
      <c r="Z3300">
        <v>3</v>
      </c>
      <c r="AA3300">
        <v>3</v>
      </c>
      <c r="AC3300">
        <v>350</v>
      </c>
      <c r="AD3300">
        <v>2.2999999999999998</v>
      </c>
      <c r="AE3300">
        <v>880</v>
      </c>
      <c r="AF3300">
        <v>2.2999999999999998</v>
      </c>
      <c r="AJ3300" t="s">
        <v>4021</v>
      </c>
      <c r="AK3300" t="s">
        <v>3983</v>
      </c>
      <c r="AN3300">
        <v>0.47199999999999998</v>
      </c>
      <c r="AO3300">
        <v>4.5999999999999999E-2</v>
      </c>
      <c r="AP3300">
        <v>0.34499999999999997</v>
      </c>
      <c r="AQ3300">
        <v>0.19500000000000001</v>
      </c>
      <c r="AW3300" s="28">
        <f t="shared" si="333"/>
        <v>-0.89644701416011308</v>
      </c>
      <c r="AX3300">
        <f t="shared" si="334"/>
        <v>0.8</v>
      </c>
      <c r="AY3300" s="62">
        <f t="shared" si="335"/>
        <v>-0.71715761132809053</v>
      </c>
      <c r="AZ3300" s="68" t="str">
        <f t="shared" si="336"/>
        <v>No</v>
      </c>
      <c r="BA3300" s="68" t="str">
        <f t="shared" si="337"/>
        <v>No</v>
      </c>
    </row>
    <row r="3301" spans="1:55" hidden="1">
      <c r="A3301" t="s">
        <v>3914</v>
      </c>
      <c r="G3301" t="s">
        <v>4003</v>
      </c>
      <c r="P3301" t="s">
        <v>4596</v>
      </c>
      <c r="R3301" t="s">
        <v>822</v>
      </c>
      <c r="S3301" t="s">
        <v>824</v>
      </c>
      <c r="V3301" t="s">
        <v>4627</v>
      </c>
      <c r="Z3301">
        <v>3</v>
      </c>
      <c r="AA3301">
        <v>3</v>
      </c>
      <c r="AC3301">
        <v>350</v>
      </c>
      <c r="AD3301" s="54">
        <v>2.2999999999999998</v>
      </c>
      <c r="AE3301">
        <v>880</v>
      </c>
      <c r="AF3301" s="54">
        <v>5.6</v>
      </c>
      <c r="AJ3301" t="s">
        <v>4021</v>
      </c>
      <c r="AK3301" t="s">
        <v>4849</v>
      </c>
      <c r="AN3301">
        <v>0.46</v>
      </c>
      <c r="AO3301">
        <v>0.126</v>
      </c>
      <c r="AP3301">
        <v>0.55700000000000005</v>
      </c>
      <c r="AQ3301">
        <v>0.221</v>
      </c>
      <c r="AU3301" t="s">
        <v>4867</v>
      </c>
      <c r="AW3301" s="28">
        <f t="shared" si="333"/>
        <v>0.53923434252584312</v>
      </c>
      <c r="AX3301">
        <f t="shared" si="334"/>
        <v>0.8</v>
      </c>
      <c r="AY3301" s="62">
        <f t="shared" si="335"/>
        <v>0.43138747402067451</v>
      </c>
      <c r="AZ3301" s="68" t="str">
        <f t="shared" si="336"/>
        <v>No</v>
      </c>
      <c r="BA3301" s="68" t="str">
        <f t="shared" si="337"/>
        <v>No</v>
      </c>
    </row>
    <row r="3302" spans="1:55" hidden="1">
      <c r="A3302" t="s">
        <v>3914</v>
      </c>
      <c r="B3302" t="s">
        <v>4003</v>
      </c>
      <c r="G3302" t="s">
        <v>4003</v>
      </c>
      <c r="P3302" t="s">
        <v>4596</v>
      </c>
      <c r="R3302" t="s">
        <v>822</v>
      </c>
      <c r="S3302" t="s">
        <v>824</v>
      </c>
      <c r="V3302" t="s">
        <v>4625</v>
      </c>
      <c r="Z3302">
        <v>3</v>
      </c>
      <c r="AA3302">
        <v>3</v>
      </c>
      <c r="AC3302">
        <v>350</v>
      </c>
      <c r="AD3302" s="54">
        <v>2.2999999999999998</v>
      </c>
      <c r="AE3302">
        <v>350</v>
      </c>
      <c r="AF3302" s="54">
        <v>5.6</v>
      </c>
      <c r="AJ3302" t="s">
        <v>4863</v>
      </c>
      <c r="AK3302" t="s">
        <v>4849</v>
      </c>
      <c r="AN3302">
        <v>0.47199999999999998</v>
      </c>
      <c r="AO3302">
        <v>4.5999999999999999E-2</v>
      </c>
      <c r="AP3302">
        <v>0.61599999999999999</v>
      </c>
      <c r="AQ3302">
        <v>0.245</v>
      </c>
      <c r="AU3302" t="s">
        <v>4867</v>
      </c>
      <c r="AW3302" s="28">
        <f t="shared" si="333"/>
        <v>0.8169366328512081</v>
      </c>
      <c r="AX3302">
        <f t="shared" si="334"/>
        <v>0.8</v>
      </c>
      <c r="AY3302" s="62">
        <f t="shared" si="335"/>
        <v>0.65354930628096652</v>
      </c>
      <c r="AZ3302" s="68" t="str">
        <f t="shared" si="336"/>
        <v>No</v>
      </c>
      <c r="BA3302" s="68" t="str">
        <f t="shared" si="337"/>
        <v>No</v>
      </c>
    </row>
    <row r="3303" spans="1:55" hidden="1">
      <c r="A3303" t="s">
        <v>3914</v>
      </c>
      <c r="G3303" t="s">
        <v>4003</v>
      </c>
      <c r="P3303" t="s">
        <v>4596</v>
      </c>
      <c r="R3303" t="s">
        <v>822</v>
      </c>
      <c r="S3303" t="s">
        <v>824</v>
      </c>
      <c r="V3303" t="s">
        <v>4626</v>
      </c>
      <c r="Z3303">
        <v>3</v>
      </c>
      <c r="AA3303">
        <v>3</v>
      </c>
      <c r="AC3303">
        <v>350</v>
      </c>
      <c r="AD3303" s="54">
        <v>2.2999999999999998</v>
      </c>
      <c r="AE3303">
        <v>650</v>
      </c>
      <c r="AF3303" s="54">
        <v>5.6</v>
      </c>
      <c r="AJ3303" t="s">
        <v>4021</v>
      </c>
      <c r="AK3303" t="s">
        <v>4849</v>
      </c>
      <c r="AN3303">
        <v>0.46</v>
      </c>
      <c r="AO3303">
        <v>0.126</v>
      </c>
      <c r="AP3303">
        <v>0.64200000000000002</v>
      </c>
      <c r="AQ3303">
        <v>0.26100000000000001</v>
      </c>
      <c r="AU3303" t="s">
        <v>4867</v>
      </c>
      <c r="AW3303" s="28">
        <f t="shared" si="333"/>
        <v>0.88808492518414117</v>
      </c>
      <c r="AX3303">
        <f t="shared" si="334"/>
        <v>0.8</v>
      </c>
      <c r="AY3303" s="62">
        <f t="shared" si="335"/>
        <v>0.71046794014731296</v>
      </c>
      <c r="AZ3303" s="68" t="str">
        <f t="shared" si="336"/>
        <v>No</v>
      </c>
      <c r="BA3303" s="68" t="str">
        <f t="shared" si="337"/>
        <v>No</v>
      </c>
    </row>
    <row r="3304" spans="1:55" hidden="1">
      <c r="A3304" t="s">
        <v>3914</v>
      </c>
      <c r="B3304" t="s">
        <v>4862</v>
      </c>
      <c r="G3304" t="s">
        <v>4003</v>
      </c>
      <c r="P3304" t="s">
        <v>4596</v>
      </c>
      <c r="R3304" t="s">
        <v>822</v>
      </c>
      <c r="S3304" t="s">
        <v>1008</v>
      </c>
      <c r="V3304" t="s">
        <v>4625</v>
      </c>
      <c r="Z3304">
        <v>3</v>
      </c>
      <c r="AA3304">
        <v>3</v>
      </c>
      <c r="AC3304">
        <v>350</v>
      </c>
      <c r="AD3304" s="54">
        <v>2.2999999999999998</v>
      </c>
      <c r="AE3304">
        <v>350</v>
      </c>
      <c r="AF3304" s="54">
        <v>5.6</v>
      </c>
      <c r="AJ3304" t="s">
        <v>4863</v>
      </c>
      <c r="AK3304" t="s">
        <v>4849</v>
      </c>
      <c r="AN3304">
        <v>0.55200000000000005</v>
      </c>
      <c r="AO3304">
        <v>0.155</v>
      </c>
      <c r="AP3304">
        <v>0.68</v>
      </c>
      <c r="AQ3304">
        <v>0.33200000000000002</v>
      </c>
      <c r="AU3304" t="s">
        <v>4867</v>
      </c>
      <c r="AW3304" s="28">
        <f t="shared" si="333"/>
        <v>0.49404833246739754</v>
      </c>
      <c r="AX3304">
        <f t="shared" si="334"/>
        <v>0.8</v>
      </c>
      <c r="AY3304" s="62">
        <f t="shared" si="335"/>
        <v>0.39523866597391805</v>
      </c>
      <c r="AZ3304" s="68" t="str">
        <f t="shared" si="336"/>
        <v>No</v>
      </c>
      <c r="BA3304" s="68" t="str">
        <f t="shared" si="337"/>
        <v>No</v>
      </c>
    </row>
    <row r="3305" spans="1:55" hidden="1">
      <c r="A3305" t="s">
        <v>3914</v>
      </c>
      <c r="G3305" t="s">
        <v>4003</v>
      </c>
      <c r="P3305" t="s">
        <v>4596</v>
      </c>
      <c r="R3305" t="s">
        <v>822</v>
      </c>
      <c r="S3305" t="s">
        <v>1008</v>
      </c>
      <c r="V3305" t="s">
        <v>4628</v>
      </c>
      <c r="Z3305">
        <v>3</v>
      </c>
      <c r="AA3305">
        <v>3</v>
      </c>
      <c r="AC3305">
        <v>350</v>
      </c>
      <c r="AD3305" s="54">
        <v>2.2999999999999998</v>
      </c>
      <c r="AE3305">
        <v>350</v>
      </c>
      <c r="AF3305" s="54">
        <v>6.8</v>
      </c>
      <c r="AJ3305" t="s">
        <v>4021</v>
      </c>
      <c r="AK3305" t="s">
        <v>4849</v>
      </c>
      <c r="AN3305">
        <v>0.47599999999999998</v>
      </c>
      <c r="AO3305">
        <v>0.14000000000000001</v>
      </c>
      <c r="AP3305">
        <v>0.44</v>
      </c>
      <c r="AQ3305">
        <v>0.45200000000000001</v>
      </c>
      <c r="AU3305" t="s">
        <v>4867</v>
      </c>
      <c r="AW3305" s="28">
        <f t="shared" si="333"/>
        <v>-0.10759363308940598</v>
      </c>
      <c r="AX3305">
        <f t="shared" si="334"/>
        <v>0.8</v>
      </c>
      <c r="AY3305" s="62">
        <f t="shared" si="335"/>
        <v>-8.6074906471524784E-2</v>
      </c>
      <c r="AZ3305" s="68" t="str">
        <f t="shared" si="336"/>
        <v>No</v>
      </c>
      <c r="BA3305" s="68" t="str">
        <f t="shared" si="337"/>
        <v>No</v>
      </c>
    </row>
    <row r="3306" spans="1:55" hidden="1">
      <c r="A3306" t="s">
        <v>3914</v>
      </c>
      <c r="G3306" t="s">
        <v>4862</v>
      </c>
      <c r="P3306" t="s">
        <v>4596</v>
      </c>
      <c r="R3306" t="s">
        <v>822</v>
      </c>
      <c r="S3306" t="s">
        <v>824</v>
      </c>
      <c r="V3306" t="s">
        <v>4625</v>
      </c>
      <c r="Z3306">
        <v>3</v>
      </c>
      <c r="AA3306">
        <v>3</v>
      </c>
      <c r="AC3306">
        <v>350</v>
      </c>
      <c r="AD3306" s="54">
        <v>2.2999999999999998</v>
      </c>
      <c r="AE3306">
        <v>350</v>
      </c>
      <c r="AF3306" s="54">
        <v>5.6</v>
      </c>
      <c r="AJ3306" t="s">
        <v>1792</v>
      </c>
      <c r="AK3306" t="s">
        <v>4864</v>
      </c>
      <c r="AN3306">
        <v>9.6199999999999992</v>
      </c>
      <c r="AO3306">
        <v>1.08</v>
      </c>
      <c r="AP3306">
        <v>17.87</v>
      </c>
      <c r="AQ3306">
        <v>1.04</v>
      </c>
      <c r="AU3306" t="s">
        <v>4867</v>
      </c>
      <c r="AW3306" s="28">
        <f t="shared" si="333"/>
        <v>7.7816338658906208</v>
      </c>
      <c r="AX3306">
        <f t="shared" si="334"/>
        <v>0.8</v>
      </c>
      <c r="AY3306" s="62">
        <f t="shared" si="335"/>
        <v>6.2253070927124972</v>
      </c>
      <c r="AZ3306" s="68" t="str">
        <f t="shared" si="336"/>
        <v>No</v>
      </c>
      <c r="BA3306" s="68" t="str">
        <f t="shared" si="337"/>
        <v>No</v>
      </c>
    </row>
    <row r="3307" spans="1:55" hidden="1">
      <c r="A3307" t="s">
        <v>3914</v>
      </c>
      <c r="G3307" t="s">
        <v>4003</v>
      </c>
      <c r="P3307" t="s">
        <v>4596</v>
      </c>
      <c r="R3307" t="s">
        <v>822</v>
      </c>
      <c r="S3307" t="s">
        <v>1008</v>
      </c>
      <c r="V3307" t="s">
        <v>4626</v>
      </c>
      <c r="Z3307">
        <v>3</v>
      </c>
      <c r="AA3307">
        <v>3</v>
      </c>
      <c r="AC3307">
        <v>350</v>
      </c>
      <c r="AD3307" s="54">
        <v>2.2999999999999998</v>
      </c>
      <c r="AE3307">
        <v>650</v>
      </c>
      <c r="AF3307" s="54">
        <v>5.6</v>
      </c>
      <c r="AJ3307" t="s">
        <v>1792</v>
      </c>
      <c r="AK3307" t="s">
        <v>4864</v>
      </c>
      <c r="AN3307">
        <v>7.72</v>
      </c>
      <c r="AO3307">
        <v>2.89</v>
      </c>
      <c r="AP3307">
        <v>29.19</v>
      </c>
      <c r="AQ3307">
        <v>1.31</v>
      </c>
      <c r="AU3307" t="s">
        <v>4867</v>
      </c>
      <c r="AW3307" s="28">
        <f t="shared" si="333"/>
        <v>9.5691007082875004</v>
      </c>
      <c r="AX3307">
        <f t="shared" si="334"/>
        <v>0.8</v>
      </c>
      <c r="AY3307" s="62">
        <f t="shared" si="335"/>
        <v>7.655280566630001</v>
      </c>
      <c r="AZ3307" s="68" t="str">
        <f t="shared" si="336"/>
        <v>No</v>
      </c>
      <c r="BA3307" s="68" t="str">
        <f t="shared" si="337"/>
        <v>No</v>
      </c>
    </row>
    <row r="3308" spans="1:55" hidden="1">
      <c r="A3308" t="s">
        <v>3914</v>
      </c>
      <c r="B3308" t="s">
        <v>4003</v>
      </c>
      <c r="G3308" t="s">
        <v>4003</v>
      </c>
      <c r="P3308" t="s">
        <v>4596</v>
      </c>
      <c r="R3308" t="s">
        <v>822</v>
      </c>
      <c r="S3308" t="s">
        <v>1008</v>
      </c>
      <c r="V3308" t="s">
        <v>4627</v>
      </c>
      <c r="Z3308">
        <v>3</v>
      </c>
      <c r="AA3308">
        <v>3</v>
      </c>
      <c r="AC3308">
        <v>350</v>
      </c>
      <c r="AD3308" s="54">
        <v>2.2999999999999998</v>
      </c>
      <c r="AE3308">
        <v>880</v>
      </c>
      <c r="AF3308" s="54">
        <v>5.6</v>
      </c>
      <c r="AJ3308" t="s">
        <v>1792</v>
      </c>
      <c r="AK3308" t="s">
        <v>4864</v>
      </c>
      <c r="AN3308">
        <v>15.01</v>
      </c>
      <c r="AO3308">
        <v>3.08</v>
      </c>
      <c r="AP3308">
        <v>12.59</v>
      </c>
      <c r="AQ3308">
        <v>1.65</v>
      </c>
      <c r="AU3308" t="s">
        <v>4867</v>
      </c>
      <c r="AW3308" s="28">
        <f t="shared" si="333"/>
        <v>-0.97947215816601862</v>
      </c>
      <c r="AX3308">
        <f t="shared" si="334"/>
        <v>0.8</v>
      </c>
      <c r="AY3308" s="62">
        <f t="shared" si="335"/>
        <v>-0.78357772653281499</v>
      </c>
      <c r="AZ3308" s="68" t="str">
        <f t="shared" si="336"/>
        <v>No</v>
      </c>
      <c r="BA3308" s="68" t="str">
        <f t="shared" si="337"/>
        <v>No</v>
      </c>
    </row>
    <row r="3309" spans="1:55" hidden="1">
      <c r="A3309" t="s">
        <v>3914</v>
      </c>
      <c r="G3309" t="s">
        <v>4003</v>
      </c>
      <c r="P3309" t="s">
        <v>60</v>
      </c>
      <c r="R3309" t="s">
        <v>4005</v>
      </c>
      <c r="S3309" t="s">
        <v>824</v>
      </c>
      <c r="V3309" t="s">
        <v>3956</v>
      </c>
      <c r="Z3309">
        <v>3</v>
      </c>
      <c r="AA3309">
        <v>3</v>
      </c>
      <c r="AC3309">
        <v>350</v>
      </c>
      <c r="AD3309">
        <v>2.2999999999999998</v>
      </c>
      <c r="AE3309">
        <v>880</v>
      </c>
      <c r="AF3309">
        <v>2.2999999999999998</v>
      </c>
      <c r="AJ3309" t="s">
        <v>1792</v>
      </c>
      <c r="AK3309" t="s">
        <v>904</v>
      </c>
      <c r="AN3309">
        <v>16.149999999999999</v>
      </c>
      <c r="AO3309">
        <v>2.2799999999999998</v>
      </c>
      <c r="AP3309">
        <v>16.62</v>
      </c>
      <c r="AQ3309">
        <v>2.06</v>
      </c>
      <c r="AW3309" s="28">
        <f t="shared" si="333"/>
        <v>0.21631212199996264</v>
      </c>
      <c r="AX3309">
        <f t="shared" si="334"/>
        <v>0.8</v>
      </c>
      <c r="AY3309" s="62">
        <f t="shared" si="335"/>
        <v>0.17304969759997013</v>
      </c>
      <c r="AZ3309" s="68" t="str">
        <f t="shared" si="336"/>
        <v>No</v>
      </c>
      <c r="BA3309" s="68" t="str">
        <f t="shared" si="337"/>
        <v>No</v>
      </c>
    </row>
    <row r="3310" spans="1:55" hidden="1">
      <c r="A3310" t="s">
        <v>3914</v>
      </c>
      <c r="G3310" t="s">
        <v>4003</v>
      </c>
      <c r="P3310" t="s">
        <v>4596</v>
      </c>
      <c r="R3310" t="s">
        <v>822</v>
      </c>
      <c r="S3310" t="s">
        <v>1008</v>
      </c>
      <c r="V3310" t="s">
        <v>4626</v>
      </c>
      <c r="Z3310">
        <v>3</v>
      </c>
      <c r="AA3310">
        <v>3</v>
      </c>
      <c r="AC3310">
        <v>350</v>
      </c>
      <c r="AD3310" s="54">
        <v>2.2999999999999998</v>
      </c>
      <c r="AE3310">
        <v>650</v>
      </c>
      <c r="AF3310" s="54">
        <v>6.8</v>
      </c>
      <c r="AJ3310" t="s">
        <v>1792</v>
      </c>
      <c r="AK3310" t="s">
        <v>4864</v>
      </c>
      <c r="AN3310">
        <v>7.72</v>
      </c>
      <c r="AO3310">
        <v>2.89</v>
      </c>
      <c r="AP3310">
        <v>15.56</v>
      </c>
      <c r="AQ3310">
        <v>2.2400000000000002</v>
      </c>
      <c r="AU3310" t="s">
        <v>4867</v>
      </c>
      <c r="AW3310" s="28">
        <f t="shared" si="333"/>
        <v>3.0322864786469936</v>
      </c>
      <c r="AX3310">
        <f t="shared" si="334"/>
        <v>0.8</v>
      </c>
      <c r="AY3310" s="62">
        <f t="shared" si="335"/>
        <v>2.4258291829175951</v>
      </c>
      <c r="AZ3310" s="68" t="str">
        <f t="shared" si="336"/>
        <v>No</v>
      </c>
      <c r="BA3310" s="68" t="str">
        <f t="shared" si="337"/>
        <v>No</v>
      </c>
    </row>
    <row r="3311" spans="1:55" hidden="1">
      <c r="A3311" t="s">
        <v>3914</v>
      </c>
      <c r="B3311" t="s">
        <v>4003</v>
      </c>
      <c r="G3311" t="s">
        <v>5127</v>
      </c>
      <c r="P3311" t="s">
        <v>4596</v>
      </c>
      <c r="R3311" t="s">
        <v>822</v>
      </c>
      <c r="S3311" t="s">
        <v>824</v>
      </c>
      <c r="V3311" t="s">
        <v>4627</v>
      </c>
      <c r="Z3311">
        <v>3</v>
      </c>
      <c r="AA3311">
        <v>3</v>
      </c>
      <c r="AC3311">
        <v>350</v>
      </c>
      <c r="AD3311" s="54">
        <v>2.2999999999999998</v>
      </c>
      <c r="AE3311">
        <v>880</v>
      </c>
      <c r="AF3311" s="54">
        <v>6.8</v>
      </c>
      <c r="AJ3311" t="s">
        <v>1792</v>
      </c>
      <c r="AK3311" t="s">
        <v>4864</v>
      </c>
      <c r="AN3311">
        <v>16.149999999999999</v>
      </c>
      <c r="AO3311">
        <v>2.2799999999999998</v>
      </c>
      <c r="AP3311">
        <v>11.01</v>
      </c>
      <c r="AQ3311">
        <v>2.31</v>
      </c>
      <c r="AU3311" t="s">
        <v>4867</v>
      </c>
      <c r="AW3311" s="28">
        <f t="shared" si="333"/>
        <v>-2.2396035802541205</v>
      </c>
      <c r="AX3311">
        <f t="shared" si="334"/>
        <v>0.8</v>
      </c>
      <c r="AY3311" s="62">
        <f t="shared" si="335"/>
        <v>-1.7916828642032965</v>
      </c>
      <c r="AZ3311" s="68" t="str">
        <f t="shared" si="336"/>
        <v>No</v>
      </c>
      <c r="BA3311" s="68" t="str">
        <f t="shared" si="337"/>
        <v>No</v>
      </c>
    </row>
    <row r="3312" spans="1:55" hidden="1">
      <c r="A3312" t="s">
        <v>3914</v>
      </c>
      <c r="G3312" t="s">
        <v>4003</v>
      </c>
      <c r="P3312" t="s">
        <v>4596</v>
      </c>
      <c r="R3312" t="s">
        <v>822</v>
      </c>
      <c r="S3312" t="s">
        <v>1008</v>
      </c>
      <c r="V3312" t="s">
        <v>4628</v>
      </c>
      <c r="Z3312">
        <v>3</v>
      </c>
      <c r="AA3312">
        <v>3</v>
      </c>
      <c r="AC3312">
        <v>350</v>
      </c>
      <c r="AD3312" s="54">
        <v>2.2999999999999998</v>
      </c>
      <c r="AE3312">
        <v>350</v>
      </c>
      <c r="AF3312" s="54">
        <v>6.8</v>
      </c>
      <c r="AJ3312" t="s">
        <v>1792</v>
      </c>
      <c r="AK3312" t="s">
        <v>4864</v>
      </c>
      <c r="AN3312">
        <v>7.72</v>
      </c>
      <c r="AO3312">
        <v>2.89</v>
      </c>
      <c r="AP3312">
        <v>14.55</v>
      </c>
      <c r="AQ3312">
        <v>2.59</v>
      </c>
      <c r="AU3312" t="s">
        <v>4867</v>
      </c>
      <c r="AW3312" s="28">
        <f t="shared" si="333"/>
        <v>2.4889738388289455</v>
      </c>
      <c r="AX3312">
        <f t="shared" si="334"/>
        <v>0.8</v>
      </c>
      <c r="AY3312" s="62">
        <f t="shared" si="335"/>
        <v>1.9911790710631565</v>
      </c>
      <c r="AZ3312" s="68" t="str">
        <f t="shared" si="336"/>
        <v>No</v>
      </c>
      <c r="BA3312" s="68" t="str">
        <f t="shared" si="337"/>
        <v>No</v>
      </c>
    </row>
    <row r="3313" spans="1:55" ht="15" hidden="1">
      <c r="A3313" t="s">
        <v>3914</v>
      </c>
      <c r="B3313" t="s">
        <v>4003</v>
      </c>
      <c r="G3313" t="s">
        <v>4003</v>
      </c>
      <c r="P3313" t="s">
        <v>4596</v>
      </c>
      <c r="R3313" t="s">
        <v>822</v>
      </c>
      <c r="S3313" t="s">
        <v>1008</v>
      </c>
      <c r="V3313" t="s">
        <v>4626</v>
      </c>
      <c r="Z3313">
        <v>3</v>
      </c>
      <c r="AA3313">
        <v>3</v>
      </c>
      <c r="AC3313">
        <v>350</v>
      </c>
      <c r="AD3313" s="54">
        <v>2.2999999999999998</v>
      </c>
      <c r="AE3313">
        <v>650</v>
      </c>
      <c r="AF3313" s="54">
        <v>6.8</v>
      </c>
      <c r="AJ3313" t="s">
        <v>1792</v>
      </c>
      <c r="AK3313" t="s">
        <v>4864</v>
      </c>
      <c r="AN3313">
        <v>15.01</v>
      </c>
      <c r="AO3313">
        <v>3.08</v>
      </c>
      <c r="AP3313">
        <v>27.96</v>
      </c>
      <c r="AQ3313">
        <v>2.59</v>
      </c>
      <c r="AU3313" t="s">
        <v>4867</v>
      </c>
      <c r="AW3313" s="28">
        <f t="shared" si="333"/>
        <v>4.5509387902849046</v>
      </c>
      <c r="AX3313">
        <f t="shared" si="334"/>
        <v>0.8</v>
      </c>
      <c r="AY3313" s="73">
        <f t="shared" si="335"/>
        <v>3.6407510322279237</v>
      </c>
      <c r="AZ3313" s="74" t="str">
        <f t="shared" si="336"/>
        <v>No</v>
      </c>
      <c r="BA3313" s="74" t="str">
        <f t="shared" si="337"/>
        <v>No</v>
      </c>
      <c r="BB3313" s="56"/>
      <c r="BC3313" s="56"/>
    </row>
    <row r="3314" spans="1:55" hidden="1">
      <c r="A3314" t="s">
        <v>3914</v>
      </c>
      <c r="B3314" t="s">
        <v>4003</v>
      </c>
      <c r="G3314" t="s">
        <v>4003</v>
      </c>
      <c r="P3314" t="s">
        <v>4596</v>
      </c>
      <c r="R3314" t="s">
        <v>822</v>
      </c>
      <c r="S3314" t="s">
        <v>824</v>
      </c>
      <c r="V3314" t="s">
        <v>4627</v>
      </c>
      <c r="Z3314">
        <v>3</v>
      </c>
      <c r="AA3314">
        <v>3</v>
      </c>
      <c r="AC3314">
        <v>350</v>
      </c>
      <c r="AD3314" s="54">
        <v>2.2999999999999998</v>
      </c>
      <c r="AE3314">
        <v>880</v>
      </c>
      <c r="AF3314" s="54">
        <v>5.6</v>
      </c>
      <c r="AJ3314" t="s">
        <v>1792</v>
      </c>
      <c r="AK3314" t="s">
        <v>4864</v>
      </c>
      <c r="AN3314">
        <v>16.149999999999999</v>
      </c>
      <c r="AO3314">
        <v>2.2799999999999998</v>
      </c>
      <c r="AP3314">
        <v>15.9</v>
      </c>
      <c r="AQ3314">
        <v>2.69</v>
      </c>
      <c r="AU3314" t="s">
        <v>4867</v>
      </c>
      <c r="AW3314" s="28">
        <f t="shared" si="333"/>
        <v>-0.10026303417689397</v>
      </c>
      <c r="AX3314">
        <f t="shared" si="334"/>
        <v>0.8</v>
      </c>
      <c r="AY3314" s="78">
        <f t="shared" si="335"/>
        <v>-8.0210427341515178E-2</v>
      </c>
      <c r="AZ3314" s="79" t="str">
        <f t="shared" si="336"/>
        <v>No</v>
      </c>
      <c r="BA3314" s="79" t="str">
        <f t="shared" si="337"/>
        <v>No</v>
      </c>
      <c r="BB3314" s="77"/>
      <c r="BC3314" s="77"/>
    </row>
    <row r="3315" spans="1:55" hidden="1">
      <c r="A3315" t="s">
        <v>3914</v>
      </c>
      <c r="B3315" t="s">
        <v>4003</v>
      </c>
      <c r="G3315" t="s">
        <v>4003</v>
      </c>
      <c r="P3315" t="s">
        <v>4596</v>
      </c>
      <c r="R3315" t="s">
        <v>822</v>
      </c>
      <c r="S3315" t="s">
        <v>1008</v>
      </c>
      <c r="V3315" t="s">
        <v>4627</v>
      </c>
      <c r="Z3315">
        <v>3</v>
      </c>
      <c r="AA3315">
        <v>3</v>
      </c>
      <c r="AC3315">
        <v>350</v>
      </c>
      <c r="AD3315" s="54">
        <v>2.2999999999999998</v>
      </c>
      <c r="AE3315">
        <v>880</v>
      </c>
      <c r="AF3315" s="54">
        <v>6.8</v>
      </c>
      <c r="AJ3315" t="s">
        <v>1792</v>
      </c>
      <c r="AK3315" t="s">
        <v>4864</v>
      </c>
      <c r="AN3315">
        <v>15.01</v>
      </c>
      <c r="AO3315">
        <v>3.08</v>
      </c>
      <c r="AP3315">
        <v>19.79</v>
      </c>
      <c r="AQ3315">
        <v>2.77</v>
      </c>
      <c r="AU3315" t="s">
        <v>4867</v>
      </c>
      <c r="AW3315" s="28">
        <f t="shared" si="333"/>
        <v>1.6318983783574481</v>
      </c>
      <c r="AX3315">
        <f t="shared" si="334"/>
        <v>0.8</v>
      </c>
      <c r="AY3315" s="62">
        <f t="shared" si="335"/>
        <v>1.3055187026859585</v>
      </c>
      <c r="AZ3315" s="68" t="str">
        <f t="shared" si="336"/>
        <v>No</v>
      </c>
      <c r="BA3315" s="68" t="str">
        <f t="shared" si="337"/>
        <v>No</v>
      </c>
    </row>
    <row r="3316" spans="1:55" hidden="1">
      <c r="A3316" t="s">
        <v>3914</v>
      </c>
      <c r="B3316" t="s">
        <v>4003</v>
      </c>
      <c r="G3316" t="s">
        <v>4003</v>
      </c>
      <c r="P3316" t="s">
        <v>4596</v>
      </c>
      <c r="R3316" t="s">
        <v>822</v>
      </c>
      <c r="S3316" t="s">
        <v>1008</v>
      </c>
      <c r="V3316" t="s">
        <v>4628</v>
      </c>
      <c r="Z3316">
        <v>3</v>
      </c>
      <c r="AA3316">
        <v>3</v>
      </c>
      <c r="AC3316">
        <v>350</v>
      </c>
      <c r="AD3316" s="54">
        <v>2.2999999999999998</v>
      </c>
      <c r="AE3316">
        <v>350</v>
      </c>
      <c r="AF3316" s="54">
        <v>6.8</v>
      </c>
      <c r="AJ3316" t="s">
        <v>1792</v>
      </c>
      <c r="AK3316" t="s">
        <v>4864</v>
      </c>
      <c r="AN3316">
        <v>15.01</v>
      </c>
      <c r="AO3316">
        <v>3.08</v>
      </c>
      <c r="AP3316">
        <v>14.36</v>
      </c>
      <c r="AQ3316">
        <v>2.84</v>
      </c>
      <c r="AU3316" t="s">
        <v>4867</v>
      </c>
      <c r="AW3316" s="28">
        <f t="shared" si="333"/>
        <v>-0.21941436098150588</v>
      </c>
      <c r="AX3316">
        <f t="shared" si="334"/>
        <v>0.8</v>
      </c>
      <c r="AY3316" s="62">
        <f t="shared" si="335"/>
        <v>-0.17553148878520472</v>
      </c>
      <c r="AZ3316" s="68" t="str">
        <f t="shared" si="336"/>
        <v>No</v>
      </c>
      <c r="BA3316" s="68" t="str">
        <f t="shared" si="337"/>
        <v>No</v>
      </c>
    </row>
    <row r="3317" spans="1:55" s="56" customFormat="1" ht="15" hidden="1">
      <c r="A3317" t="s">
        <v>3914</v>
      </c>
      <c r="B3317" t="s">
        <v>4003</v>
      </c>
      <c r="C3317"/>
      <c r="D3317" s="25"/>
      <c r="E3317" s="25"/>
      <c r="F3317"/>
      <c r="G3317" t="s">
        <v>4003</v>
      </c>
      <c r="H3317"/>
      <c r="I3317"/>
      <c r="J3317"/>
      <c r="K3317"/>
      <c r="L3317"/>
      <c r="M3317" s="25"/>
      <c r="N3317"/>
      <c r="O3317"/>
      <c r="P3317" t="s">
        <v>4596</v>
      </c>
      <c r="Q3317"/>
      <c r="R3317" t="s">
        <v>822</v>
      </c>
      <c r="S3317" t="s">
        <v>1008</v>
      </c>
      <c r="T3317"/>
      <c r="U3317"/>
      <c r="V3317" t="s">
        <v>4626</v>
      </c>
      <c r="W3317" s="25"/>
      <c r="X3317"/>
      <c r="Y3317"/>
      <c r="Z3317">
        <v>3</v>
      </c>
      <c r="AA3317">
        <v>3</v>
      </c>
      <c r="AB3317"/>
      <c r="AC3317">
        <v>350</v>
      </c>
      <c r="AD3317" s="54">
        <v>2.2999999999999998</v>
      </c>
      <c r="AE3317">
        <v>650</v>
      </c>
      <c r="AF3317" s="54">
        <v>5.6</v>
      </c>
      <c r="AG3317"/>
      <c r="AH3317"/>
      <c r="AI3317"/>
      <c r="AJ3317" t="s">
        <v>1792</v>
      </c>
      <c r="AK3317" t="s">
        <v>4864</v>
      </c>
      <c r="AL3317" s="25"/>
      <c r="AM3317" s="35"/>
      <c r="AN3317">
        <v>15.01</v>
      </c>
      <c r="AO3317">
        <v>3.08</v>
      </c>
      <c r="AP3317">
        <v>16.2</v>
      </c>
      <c r="AQ3317">
        <v>3.38</v>
      </c>
      <c r="AR3317"/>
      <c r="AS3317"/>
      <c r="AT3317"/>
      <c r="AU3317" t="s">
        <v>4867</v>
      </c>
      <c r="AV3317"/>
      <c r="AW3317" s="28">
        <f t="shared" si="333"/>
        <v>0.36802441844149225</v>
      </c>
      <c r="AX3317">
        <f t="shared" si="334"/>
        <v>0.8</v>
      </c>
      <c r="AY3317" s="62">
        <f t="shared" si="335"/>
        <v>0.29441953475319382</v>
      </c>
      <c r="AZ3317" s="68" t="str">
        <f t="shared" si="336"/>
        <v>No</v>
      </c>
      <c r="BA3317" s="68" t="str">
        <f t="shared" si="337"/>
        <v>No</v>
      </c>
      <c r="BB3317"/>
      <c r="BC3317"/>
    </row>
    <row r="3318" spans="1:55" s="56" customFormat="1" ht="15" hidden="1">
      <c r="A3318" t="s">
        <v>3914</v>
      </c>
      <c r="B3318"/>
      <c r="C3318"/>
      <c r="D3318" s="25"/>
      <c r="E3318" s="25"/>
      <c r="F3318"/>
      <c r="G3318" t="s">
        <v>4003</v>
      </c>
      <c r="H3318"/>
      <c r="I3318"/>
      <c r="J3318"/>
      <c r="K3318"/>
      <c r="L3318"/>
      <c r="M3318" s="25"/>
      <c r="N3318"/>
      <c r="O3318"/>
      <c r="P3318" t="s">
        <v>4596</v>
      </c>
      <c r="Q3318"/>
      <c r="R3318" t="s">
        <v>822</v>
      </c>
      <c r="S3318" t="s">
        <v>824</v>
      </c>
      <c r="T3318"/>
      <c r="U3318"/>
      <c r="V3318" t="s">
        <v>4627</v>
      </c>
      <c r="W3318" s="25"/>
      <c r="X3318"/>
      <c r="Y3318"/>
      <c r="Z3318">
        <v>3</v>
      </c>
      <c r="AA3318">
        <v>3</v>
      </c>
      <c r="AB3318"/>
      <c r="AC3318">
        <v>350</v>
      </c>
      <c r="AD3318" s="54">
        <v>2.2999999999999998</v>
      </c>
      <c r="AE3318">
        <v>880</v>
      </c>
      <c r="AF3318" s="54">
        <v>6.8</v>
      </c>
      <c r="AG3318"/>
      <c r="AH3318"/>
      <c r="AI3318"/>
      <c r="AJ3318" t="s">
        <v>1792</v>
      </c>
      <c r="AK3318" t="s">
        <v>4864</v>
      </c>
      <c r="AL3318" s="25"/>
      <c r="AM3318" s="35"/>
      <c r="AN3318">
        <v>9.6199999999999992</v>
      </c>
      <c r="AO3318">
        <v>1.08</v>
      </c>
      <c r="AP3318">
        <v>16.63</v>
      </c>
      <c r="AQ3318">
        <v>4.26</v>
      </c>
      <c r="AR3318"/>
      <c r="AS3318"/>
      <c r="AT3318"/>
      <c r="AU3318" t="s">
        <v>4867</v>
      </c>
      <c r="AV3318"/>
      <c r="AW3318" s="28">
        <f t="shared" si="333"/>
        <v>2.2557808332942084</v>
      </c>
      <c r="AX3318">
        <f t="shared" si="334"/>
        <v>0.8</v>
      </c>
      <c r="AY3318" s="62">
        <f t="shared" si="335"/>
        <v>1.8046246666353669</v>
      </c>
      <c r="AZ3318" s="68" t="str">
        <f t="shared" si="336"/>
        <v>No</v>
      </c>
      <c r="BA3318" s="68" t="str">
        <f t="shared" si="337"/>
        <v>No</v>
      </c>
      <c r="BB3318"/>
      <c r="BC3318"/>
    </row>
    <row r="3319" spans="1:55" hidden="1">
      <c r="A3319" t="s">
        <v>3914</v>
      </c>
      <c r="G3319" t="s">
        <v>4003</v>
      </c>
      <c r="P3319" t="s">
        <v>4596</v>
      </c>
      <c r="R3319" t="s">
        <v>822</v>
      </c>
      <c r="S3319" t="s">
        <v>824</v>
      </c>
      <c r="V3319" t="s">
        <v>4626</v>
      </c>
      <c r="Z3319">
        <v>3</v>
      </c>
      <c r="AA3319">
        <v>3</v>
      </c>
      <c r="AC3319">
        <v>350</v>
      </c>
      <c r="AD3319" s="54">
        <v>2.2999999999999998</v>
      </c>
      <c r="AE3319">
        <v>650</v>
      </c>
      <c r="AF3319" s="54">
        <v>5.6</v>
      </c>
      <c r="AJ3319" t="s">
        <v>1792</v>
      </c>
      <c r="AK3319" t="s">
        <v>4864</v>
      </c>
      <c r="AN3319">
        <v>9.6199999999999992</v>
      </c>
      <c r="AO3319">
        <v>1.08</v>
      </c>
      <c r="AP3319">
        <v>14.24</v>
      </c>
      <c r="AQ3319">
        <v>4.3499999999999996</v>
      </c>
      <c r="AU3319" t="s">
        <v>4867</v>
      </c>
      <c r="AW3319" s="28">
        <f t="shared" si="333"/>
        <v>1.4577360528890269</v>
      </c>
      <c r="AX3319">
        <f t="shared" si="334"/>
        <v>0.8</v>
      </c>
      <c r="AY3319" s="62">
        <f t="shared" si="335"/>
        <v>1.1661888423112214</v>
      </c>
      <c r="AZ3319" s="68" t="str">
        <f t="shared" si="336"/>
        <v>No</v>
      </c>
      <c r="BA3319" s="68" t="str">
        <f t="shared" si="337"/>
        <v>No</v>
      </c>
    </row>
    <row r="3320" spans="1:55" hidden="1">
      <c r="A3320" t="s">
        <v>3914</v>
      </c>
      <c r="B3320" t="s">
        <v>4862</v>
      </c>
      <c r="G3320" t="s">
        <v>4003</v>
      </c>
      <c r="P3320" t="s">
        <v>4596</v>
      </c>
      <c r="R3320" t="s">
        <v>822</v>
      </c>
      <c r="S3320" t="s">
        <v>824</v>
      </c>
      <c r="V3320" t="s">
        <v>4625</v>
      </c>
      <c r="Z3320">
        <v>3</v>
      </c>
      <c r="AA3320">
        <v>3</v>
      </c>
      <c r="AC3320">
        <v>350</v>
      </c>
      <c r="AD3320" s="54">
        <v>2.2999999999999998</v>
      </c>
      <c r="AE3320">
        <v>350</v>
      </c>
      <c r="AF3320" s="54">
        <v>5.6</v>
      </c>
      <c r="AJ3320" t="s">
        <v>1792</v>
      </c>
      <c r="AK3320" t="s">
        <v>4864</v>
      </c>
      <c r="AN3320">
        <v>16.149999999999999</v>
      </c>
      <c r="AO3320">
        <v>2.2799999999999998</v>
      </c>
      <c r="AP3320">
        <v>16.88</v>
      </c>
      <c r="AQ3320">
        <v>4.6100000000000003</v>
      </c>
      <c r="AU3320" t="s">
        <v>4867</v>
      </c>
      <c r="AW3320" s="28">
        <f t="shared" si="333"/>
        <v>0.20073398896645103</v>
      </c>
      <c r="AX3320">
        <f t="shared" si="334"/>
        <v>0.8</v>
      </c>
      <c r="AY3320" s="78">
        <f t="shared" si="335"/>
        <v>0.16058719117316084</v>
      </c>
      <c r="AZ3320" s="79" t="str">
        <f t="shared" si="336"/>
        <v>No</v>
      </c>
      <c r="BA3320" s="79" t="str">
        <f t="shared" si="337"/>
        <v>No</v>
      </c>
      <c r="BB3320" s="77"/>
      <c r="BC3320" s="77"/>
    </row>
    <row r="3321" spans="1:55" hidden="1">
      <c r="A3321" t="s">
        <v>3914</v>
      </c>
      <c r="B3321" t="s">
        <v>4003</v>
      </c>
      <c r="G3321" t="s">
        <v>4003</v>
      </c>
      <c r="P3321" t="s">
        <v>4596</v>
      </c>
      <c r="R3321" t="s">
        <v>822</v>
      </c>
      <c r="S3321" t="s">
        <v>1008</v>
      </c>
      <c r="V3321" t="s">
        <v>4625</v>
      </c>
      <c r="Z3321">
        <v>3</v>
      </c>
      <c r="AA3321">
        <v>3</v>
      </c>
      <c r="AC3321">
        <v>350</v>
      </c>
      <c r="AD3321" s="54">
        <v>2.2999999999999998</v>
      </c>
      <c r="AE3321">
        <v>350</v>
      </c>
      <c r="AF3321" s="54">
        <v>5.6</v>
      </c>
      <c r="AJ3321" t="s">
        <v>1792</v>
      </c>
      <c r="AK3321" t="s">
        <v>4864</v>
      </c>
      <c r="AN3321">
        <v>15.01</v>
      </c>
      <c r="AO3321">
        <v>3.08</v>
      </c>
      <c r="AP3321">
        <v>14.98</v>
      </c>
      <c r="AQ3321">
        <v>4.8499999999999996</v>
      </c>
      <c r="AU3321" t="s">
        <v>4867</v>
      </c>
      <c r="AW3321" s="28">
        <f t="shared" si="333"/>
        <v>-7.3844937380990357E-3</v>
      </c>
      <c r="AX3321">
        <f t="shared" si="334"/>
        <v>0.8</v>
      </c>
      <c r="AY3321" s="62">
        <f t="shared" si="335"/>
        <v>-5.9075949904792285E-3</v>
      </c>
      <c r="AZ3321" s="68" t="str">
        <f t="shared" si="336"/>
        <v>No</v>
      </c>
      <c r="BA3321" s="68" t="str">
        <f t="shared" si="337"/>
        <v>No</v>
      </c>
    </row>
    <row r="3322" spans="1:55" hidden="1">
      <c r="A3322" t="s">
        <v>3914</v>
      </c>
      <c r="G3322" t="s">
        <v>4003</v>
      </c>
      <c r="P3322" t="s">
        <v>60</v>
      </c>
      <c r="R3322" t="s">
        <v>4005</v>
      </c>
      <c r="S3322" t="s">
        <v>1008</v>
      </c>
      <c r="V3322" t="s">
        <v>3956</v>
      </c>
      <c r="Z3322">
        <v>3</v>
      </c>
      <c r="AA3322">
        <v>3</v>
      </c>
      <c r="AC3322">
        <v>350</v>
      </c>
      <c r="AD3322">
        <v>2.2999999999999998</v>
      </c>
      <c r="AE3322">
        <v>880</v>
      </c>
      <c r="AF3322">
        <v>2.2999999999999998</v>
      </c>
      <c r="AJ3322" t="s">
        <v>1792</v>
      </c>
      <c r="AK3322" t="s">
        <v>904</v>
      </c>
      <c r="AN3322">
        <v>15.01</v>
      </c>
      <c r="AO3322">
        <v>3.08</v>
      </c>
      <c r="AP3322">
        <v>18.100000000000001</v>
      </c>
      <c r="AQ3322">
        <v>5.05</v>
      </c>
      <c r="AW3322" s="28">
        <f t="shared" si="333"/>
        <v>0.73876843742476328</v>
      </c>
      <c r="AX3322">
        <f t="shared" si="334"/>
        <v>0.8</v>
      </c>
      <c r="AY3322" s="62">
        <f t="shared" si="335"/>
        <v>0.59101474993981062</v>
      </c>
      <c r="AZ3322" s="68" t="str">
        <f t="shared" si="336"/>
        <v>No</v>
      </c>
      <c r="BA3322" s="68" t="str">
        <f t="shared" si="337"/>
        <v>No</v>
      </c>
    </row>
    <row r="3323" spans="1:55" hidden="1">
      <c r="A3323" t="s">
        <v>3914</v>
      </c>
      <c r="B3323" t="s">
        <v>4003</v>
      </c>
      <c r="G3323" t="s">
        <v>4003</v>
      </c>
      <c r="P3323" t="s">
        <v>4596</v>
      </c>
      <c r="R3323" t="s">
        <v>822</v>
      </c>
      <c r="S3323" t="s">
        <v>824</v>
      </c>
      <c r="V3323" t="s">
        <v>4628</v>
      </c>
      <c r="Z3323">
        <v>3</v>
      </c>
      <c r="AA3323">
        <v>3</v>
      </c>
      <c r="AC3323">
        <v>350</v>
      </c>
      <c r="AD3323" s="54">
        <v>2.2999999999999998</v>
      </c>
      <c r="AE3323">
        <v>350</v>
      </c>
      <c r="AF3323" s="54">
        <v>6.8</v>
      </c>
      <c r="AJ3323" t="s">
        <v>1792</v>
      </c>
      <c r="AK3323" t="s">
        <v>4864</v>
      </c>
      <c r="AN3323">
        <v>16.149999999999999</v>
      </c>
      <c r="AO3323">
        <v>2.2799999999999998</v>
      </c>
      <c r="AP3323">
        <v>9.91</v>
      </c>
      <c r="AQ3323">
        <v>6.1</v>
      </c>
      <c r="AU3323" t="s">
        <v>4867</v>
      </c>
      <c r="AW3323" s="28">
        <f t="shared" si="333"/>
        <v>-1.3551071717542329</v>
      </c>
      <c r="AX3323">
        <f t="shared" si="334"/>
        <v>0.8</v>
      </c>
      <c r="AY3323" s="62">
        <f t="shared" si="335"/>
        <v>-1.0840857374033863</v>
      </c>
      <c r="AZ3323" s="68" t="str">
        <f t="shared" si="336"/>
        <v>No</v>
      </c>
      <c r="BA3323" s="68" t="str">
        <f t="shared" si="337"/>
        <v>No</v>
      </c>
    </row>
    <row r="3324" spans="1:55" hidden="1">
      <c r="A3324" t="s">
        <v>3914</v>
      </c>
      <c r="G3324" t="s">
        <v>4003</v>
      </c>
      <c r="P3324" t="s">
        <v>4596</v>
      </c>
      <c r="R3324" t="s">
        <v>822</v>
      </c>
      <c r="S3324" t="s">
        <v>1008</v>
      </c>
      <c r="V3324" t="s">
        <v>4627</v>
      </c>
      <c r="Z3324">
        <v>3</v>
      </c>
      <c r="AA3324">
        <v>3</v>
      </c>
      <c r="AC3324">
        <v>350</v>
      </c>
      <c r="AD3324" s="54">
        <v>2.2999999999999998</v>
      </c>
      <c r="AE3324">
        <v>880</v>
      </c>
      <c r="AF3324" s="54">
        <v>6.8</v>
      </c>
      <c r="AJ3324" t="s">
        <v>1792</v>
      </c>
      <c r="AK3324" t="s">
        <v>4864</v>
      </c>
      <c r="AN3324">
        <v>7.72</v>
      </c>
      <c r="AO3324">
        <v>2.89</v>
      </c>
      <c r="AP3324">
        <v>31.31</v>
      </c>
      <c r="AQ3324">
        <v>8.25</v>
      </c>
      <c r="AU3324" t="s">
        <v>4867</v>
      </c>
      <c r="AW3324" s="28">
        <f t="shared" si="333"/>
        <v>3.8164077286305109</v>
      </c>
      <c r="AX3324">
        <f t="shared" si="334"/>
        <v>0.8</v>
      </c>
      <c r="AY3324" s="62">
        <f t="shared" si="335"/>
        <v>3.0531261829044087</v>
      </c>
      <c r="AZ3324" s="68" t="str">
        <f t="shared" si="336"/>
        <v>No</v>
      </c>
      <c r="BA3324" s="68" t="str">
        <f t="shared" si="337"/>
        <v>No</v>
      </c>
    </row>
    <row r="3325" spans="1:55" hidden="1">
      <c r="A3325" t="s">
        <v>3914</v>
      </c>
      <c r="G3325" t="s">
        <v>4866</v>
      </c>
      <c r="P3325" t="s">
        <v>4596</v>
      </c>
      <c r="R3325" t="s">
        <v>822</v>
      </c>
      <c r="S3325" t="s">
        <v>824</v>
      </c>
      <c r="V3325" t="s">
        <v>4627</v>
      </c>
      <c r="Z3325">
        <v>3</v>
      </c>
      <c r="AA3325">
        <v>3</v>
      </c>
      <c r="AC3325">
        <v>350</v>
      </c>
      <c r="AD3325" s="54">
        <v>2.2999999999999998</v>
      </c>
      <c r="AE3325">
        <v>880</v>
      </c>
      <c r="AF3325" s="54">
        <v>5.6</v>
      </c>
      <c r="AJ3325" t="s">
        <v>1792</v>
      </c>
      <c r="AK3325" t="s">
        <v>4864</v>
      </c>
      <c r="AN3325">
        <v>9.6199999999999992</v>
      </c>
      <c r="AO3325">
        <v>1.08</v>
      </c>
      <c r="AP3325">
        <v>19.489999999999998</v>
      </c>
      <c r="AQ3325">
        <v>8.8699999999999992</v>
      </c>
      <c r="AU3325" t="s">
        <v>4867</v>
      </c>
      <c r="AW3325" s="28">
        <f t="shared" si="333"/>
        <v>1.562114671254849</v>
      </c>
      <c r="AX3325">
        <f t="shared" si="334"/>
        <v>0.8</v>
      </c>
      <c r="AY3325" s="62">
        <f t="shared" si="335"/>
        <v>1.2496917370038794</v>
      </c>
      <c r="AZ3325" s="68" t="str">
        <f t="shared" si="336"/>
        <v>No</v>
      </c>
      <c r="BA3325" s="68" t="str">
        <f t="shared" si="337"/>
        <v>No</v>
      </c>
    </row>
    <row r="3326" spans="1:55" hidden="1">
      <c r="A3326" t="s">
        <v>3914</v>
      </c>
      <c r="G3326" t="s">
        <v>4003</v>
      </c>
      <c r="P3326" t="s">
        <v>4596</v>
      </c>
      <c r="R3326" t="s">
        <v>822</v>
      </c>
      <c r="S3326" t="s">
        <v>824</v>
      </c>
      <c r="V3326" t="s">
        <v>4628</v>
      </c>
      <c r="Z3326">
        <v>3</v>
      </c>
      <c r="AA3326">
        <v>3</v>
      </c>
      <c r="AC3326">
        <v>350</v>
      </c>
      <c r="AD3326" s="54">
        <v>2.2999999999999998</v>
      </c>
      <c r="AE3326">
        <v>350</v>
      </c>
      <c r="AF3326" s="54">
        <v>6.8</v>
      </c>
      <c r="AJ3326" t="s">
        <v>1792</v>
      </c>
      <c r="AK3326" t="s">
        <v>4864</v>
      </c>
      <c r="AN3326">
        <v>9.6199999999999992</v>
      </c>
      <c r="AO3326">
        <v>1.08</v>
      </c>
      <c r="AP3326">
        <v>25.72</v>
      </c>
      <c r="AQ3326">
        <v>9.94</v>
      </c>
      <c r="AU3326" t="s">
        <v>4867</v>
      </c>
      <c r="AW3326" s="28">
        <f t="shared" si="333"/>
        <v>2.2772254448600422</v>
      </c>
      <c r="AX3326">
        <f t="shared" si="334"/>
        <v>0.8</v>
      </c>
      <c r="AY3326" s="62">
        <f t="shared" si="335"/>
        <v>1.8217803558880339</v>
      </c>
      <c r="AZ3326" s="68" t="str">
        <f t="shared" si="336"/>
        <v>No</v>
      </c>
      <c r="BA3326" s="68" t="str">
        <f t="shared" si="337"/>
        <v>No</v>
      </c>
    </row>
    <row r="3327" spans="1:55" hidden="1">
      <c r="A3327" t="s">
        <v>3914</v>
      </c>
      <c r="B3327" t="s">
        <v>4003</v>
      </c>
      <c r="G3327" t="s">
        <v>4003</v>
      </c>
      <c r="P3327" t="s">
        <v>4596</v>
      </c>
      <c r="R3327" t="s">
        <v>822</v>
      </c>
      <c r="S3327" t="s">
        <v>824</v>
      </c>
      <c r="V3327" t="s">
        <v>4628</v>
      </c>
      <c r="Z3327">
        <v>3</v>
      </c>
      <c r="AA3327">
        <v>3</v>
      </c>
      <c r="AC3327">
        <v>350</v>
      </c>
      <c r="AD3327" s="54">
        <v>2.2999999999999998</v>
      </c>
      <c r="AE3327">
        <v>350</v>
      </c>
      <c r="AF3327" s="54">
        <v>6.8</v>
      </c>
      <c r="AJ3327" t="s">
        <v>4021</v>
      </c>
      <c r="AK3327" t="s">
        <v>4849</v>
      </c>
      <c r="AN3327">
        <v>0.47199999999999998</v>
      </c>
      <c r="AO3327">
        <v>4.5999999999999999E-2</v>
      </c>
      <c r="AP3327">
        <v>0.52800000000000002</v>
      </c>
      <c r="AQ3327">
        <v>10.105</v>
      </c>
      <c r="AU3327" t="s">
        <v>4867</v>
      </c>
      <c r="AW3327" s="28">
        <f t="shared" si="333"/>
        <v>7.8372230514447919E-3</v>
      </c>
      <c r="AX3327">
        <f t="shared" si="334"/>
        <v>0.8</v>
      </c>
      <c r="AY3327" s="62">
        <f t="shared" si="335"/>
        <v>6.2697784411558342E-3</v>
      </c>
      <c r="AZ3327" s="68" t="str">
        <f t="shared" si="336"/>
        <v>No</v>
      </c>
      <c r="BA3327" s="68" t="str">
        <f t="shared" si="337"/>
        <v>No</v>
      </c>
    </row>
    <row r="3328" spans="1:55" hidden="1">
      <c r="A3328" t="s">
        <v>3914</v>
      </c>
      <c r="G3328" t="s">
        <v>4003</v>
      </c>
      <c r="P3328" t="s">
        <v>4596</v>
      </c>
      <c r="R3328" t="s">
        <v>822</v>
      </c>
      <c r="S3328" t="s">
        <v>824</v>
      </c>
      <c r="V3328" t="s">
        <v>4626</v>
      </c>
      <c r="Z3328">
        <v>3</v>
      </c>
      <c r="AA3328">
        <v>3</v>
      </c>
      <c r="AC3328">
        <v>350</v>
      </c>
      <c r="AD3328" s="54">
        <v>2.2999999999999998</v>
      </c>
      <c r="AE3328">
        <v>650</v>
      </c>
      <c r="AF3328" s="54">
        <v>6.8</v>
      </c>
      <c r="AJ3328" t="s">
        <v>1792</v>
      </c>
      <c r="AK3328" t="s">
        <v>4864</v>
      </c>
      <c r="AN3328">
        <v>9.6199999999999992</v>
      </c>
      <c r="AO3328">
        <v>1.08</v>
      </c>
      <c r="AP3328">
        <v>28.33</v>
      </c>
      <c r="AQ3328">
        <v>10.77</v>
      </c>
      <c r="AU3328" t="s">
        <v>4867</v>
      </c>
      <c r="AW3328" s="28">
        <f t="shared" si="333"/>
        <v>2.4445583116182403</v>
      </c>
      <c r="AX3328">
        <f t="shared" si="334"/>
        <v>0.8</v>
      </c>
      <c r="AY3328" s="62">
        <f t="shared" si="335"/>
        <v>1.9556466492945923</v>
      </c>
      <c r="AZ3328" s="68" t="str">
        <f t="shared" si="336"/>
        <v>No</v>
      </c>
      <c r="BA3328" s="68" t="str">
        <f t="shared" si="337"/>
        <v>No</v>
      </c>
    </row>
    <row r="3329" spans="1:55" hidden="1">
      <c r="A3329" t="s">
        <v>3914</v>
      </c>
      <c r="G3329" t="s">
        <v>4003</v>
      </c>
      <c r="P3329" t="s">
        <v>4596</v>
      </c>
      <c r="R3329" t="s">
        <v>822</v>
      </c>
      <c r="S3329" t="s">
        <v>1008</v>
      </c>
      <c r="V3329" t="s">
        <v>4625</v>
      </c>
      <c r="Z3329">
        <v>3</v>
      </c>
      <c r="AA3329">
        <v>3</v>
      </c>
      <c r="AC3329">
        <v>350</v>
      </c>
      <c r="AD3329" s="54">
        <v>2.2999999999999998</v>
      </c>
      <c r="AE3329">
        <v>350</v>
      </c>
      <c r="AF3329" s="54">
        <v>5.6</v>
      </c>
      <c r="AJ3329" t="s">
        <v>1792</v>
      </c>
      <c r="AK3329" t="s">
        <v>4864</v>
      </c>
      <c r="AN3329">
        <v>7.72</v>
      </c>
      <c r="AO3329">
        <v>2.89</v>
      </c>
      <c r="AP3329">
        <v>26.17</v>
      </c>
      <c r="AQ3329">
        <v>18.38</v>
      </c>
      <c r="AU3329" t="s">
        <v>4867</v>
      </c>
      <c r="AW3329" s="28">
        <f t="shared" si="333"/>
        <v>1.4023698849636912</v>
      </c>
      <c r="AX3329">
        <f t="shared" si="334"/>
        <v>0.8</v>
      </c>
      <c r="AY3329" s="62">
        <f t="shared" si="335"/>
        <v>1.121895907970953</v>
      </c>
      <c r="AZ3329" s="68" t="str">
        <f t="shared" si="336"/>
        <v>No</v>
      </c>
      <c r="BA3329" s="68" t="str">
        <f t="shared" si="337"/>
        <v>No</v>
      </c>
    </row>
    <row r="3330" spans="1:55" hidden="1">
      <c r="A3330" t="s">
        <v>3914</v>
      </c>
      <c r="G3330" t="s">
        <v>4003</v>
      </c>
      <c r="P3330" t="s">
        <v>4596</v>
      </c>
      <c r="R3330" t="s">
        <v>822</v>
      </c>
      <c r="S3330" t="s">
        <v>1008</v>
      </c>
      <c r="V3330" t="s">
        <v>4627</v>
      </c>
      <c r="Z3330">
        <v>3</v>
      </c>
      <c r="AA3330">
        <v>3</v>
      </c>
      <c r="AC3330">
        <v>350</v>
      </c>
      <c r="AD3330" s="54">
        <v>2.2999999999999998</v>
      </c>
      <c r="AE3330">
        <v>880</v>
      </c>
      <c r="AF3330" s="54">
        <v>5.6</v>
      </c>
      <c r="AJ3330" t="s">
        <v>1792</v>
      </c>
      <c r="AK3330" t="s">
        <v>4864</v>
      </c>
      <c r="AN3330">
        <v>7.72</v>
      </c>
      <c r="AO3330">
        <v>2.89</v>
      </c>
      <c r="AP3330">
        <v>27.81</v>
      </c>
      <c r="AQ3330">
        <v>19.91</v>
      </c>
      <c r="AU3330" t="s">
        <v>4867</v>
      </c>
      <c r="AW3330" s="28">
        <f t="shared" si="333"/>
        <v>1.4121994358488101</v>
      </c>
      <c r="AX3330">
        <f t="shared" si="334"/>
        <v>0.8</v>
      </c>
      <c r="AY3330" s="62">
        <f t="shared" si="335"/>
        <v>1.1297595486790482</v>
      </c>
      <c r="AZ3330" s="68" t="str">
        <f t="shared" si="336"/>
        <v>No</v>
      </c>
      <c r="BA3330" s="68" t="str">
        <f t="shared" si="337"/>
        <v>No</v>
      </c>
    </row>
    <row r="3331" spans="1:55" hidden="1">
      <c r="A3331" t="s">
        <v>3914</v>
      </c>
      <c r="B3331" t="s">
        <v>4003</v>
      </c>
      <c r="G3331" t="s">
        <v>4003</v>
      </c>
      <c r="P3331" t="s">
        <v>4596</v>
      </c>
      <c r="R3331" t="s">
        <v>822</v>
      </c>
      <c r="S3331" t="s">
        <v>1008</v>
      </c>
      <c r="V3331" t="s">
        <v>4626</v>
      </c>
      <c r="Z3331">
        <v>3</v>
      </c>
      <c r="AA3331">
        <v>3</v>
      </c>
      <c r="AC3331">
        <v>350</v>
      </c>
      <c r="AD3331" s="54">
        <v>2.2999999999999998</v>
      </c>
      <c r="AE3331">
        <v>650</v>
      </c>
      <c r="AF3331" s="54">
        <v>5.6</v>
      </c>
      <c r="AJ3331" t="s">
        <v>1808</v>
      </c>
      <c r="AK3331" t="s">
        <v>4849</v>
      </c>
      <c r="AN3331">
        <v>931</v>
      </c>
      <c r="AO3331">
        <v>81</v>
      </c>
      <c r="AP3331">
        <v>965</v>
      </c>
      <c r="AQ3331">
        <v>68</v>
      </c>
      <c r="AU3331" t="s">
        <v>4867</v>
      </c>
      <c r="AW3331" s="28">
        <f t="shared" si="333"/>
        <v>0.45464866548792465</v>
      </c>
      <c r="AX3331">
        <f t="shared" si="334"/>
        <v>0.8</v>
      </c>
      <c r="AY3331" s="62">
        <f t="shared" si="335"/>
        <v>0.36371893239033976</v>
      </c>
      <c r="AZ3331" s="68" t="str">
        <f t="shared" si="336"/>
        <v>No</v>
      </c>
      <c r="BA3331" s="68" t="str">
        <f t="shared" si="337"/>
        <v>No</v>
      </c>
    </row>
    <row r="3332" spans="1:55" hidden="1">
      <c r="A3332" t="s">
        <v>3914</v>
      </c>
      <c r="B3332" t="s">
        <v>4003</v>
      </c>
      <c r="G3332" t="s">
        <v>4003</v>
      </c>
      <c r="P3332" t="s">
        <v>4596</v>
      </c>
      <c r="R3332" t="s">
        <v>822</v>
      </c>
      <c r="S3332" t="s">
        <v>824</v>
      </c>
      <c r="V3332" t="s">
        <v>4625</v>
      </c>
      <c r="Z3332">
        <v>3</v>
      </c>
      <c r="AA3332">
        <v>3</v>
      </c>
      <c r="AC3332">
        <v>350</v>
      </c>
      <c r="AD3332" s="54">
        <v>2.2999999999999998</v>
      </c>
      <c r="AE3332">
        <v>350</v>
      </c>
      <c r="AF3332" s="54">
        <v>5.6</v>
      </c>
      <c r="AJ3332" t="s">
        <v>1808</v>
      </c>
      <c r="AK3332" t="s">
        <v>4849</v>
      </c>
      <c r="AN3332">
        <v>1064</v>
      </c>
      <c r="AO3332">
        <v>145</v>
      </c>
      <c r="AP3332">
        <v>1030</v>
      </c>
      <c r="AQ3332">
        <v>76</v>
      </c>
      <c r="AU3332" t="s">
        <v>4867</v>
      </c>
      <c r="AW3332" s="28">
        <f t="shared" si="333"/>
        <v>-0.29370978508860818</v>
      </c>
      <c r="AX3332">
        <f t="shared" si="334"/>
        <v>0.8</v>
      </c>
      <c r="AY3332" s="62">
        <f t="shared" si="335"/>
        <v>-0.23496782807088656</v>
      </c>
      <c r="AZ3332" s="68" t="str">
        <f t="shared" si="336"/>
        <v>No</v>
      </c>
      <c r="BA3332" s="68" t="str">
        <f t="shared" si="337"/>
        <v>No</v>
      </c>
    </row>
    <row r="3333" spans="1:55" hidden="1">
      <c r="A3333" t="s">
        <v>3914</v>
      </c>
      <c r="B3333" t="s">
        <v>4003</v>
      </c>
      <c r="G3333" t="s">
        <v>4003</v>
      </c>
      <c r="P3333" t="s">
        <v>4596</v>
      </c>
      <c r="R3333" t="s">
        <v>822</v>
      </c>
      <c r="S3333" t="s">
        <v>1008</v>
      </c>
      <c r="V3333" t="s">
        <v>4627</v>
      </c>
      <c r="Z3333">
        <v>3</v>
      </c>
      <c r="AA3333">
        <v>3</v>
      </c>
      <c r="AC3333">
        <v>350</v>
      </c>
      <c r="AD3333" s="54">
        <v>2.2999999999999998</v>
      </c>
      <c r="AE3333">
        <v>880</v>
      </c>
      <c r="AF3333" s="54">
        <v>6.8</v>
      </c>
      <c r="AJ3333" t="s">
        <v>1808</v>
      </c>
      <c r="AK3333" t="s">
        <v>4849</v>
      </c>
      <c r="AN3333">
        <v>931</v>
      </c>
      <c r="AO3333">
        <v>81</v>
      </c>
      <c r="AP3333">
        <v>914</v>
      </c>
      <c r="AQ3333">
        <v>77</v>
      </c>
      <c r="AU3333" t="s">
        <v>4867</v>
      </c>
      <c r="AW3333" s="28">
        <f t="shared" si="333"/>
        <v>-0.21512094648660748</v>
      </c>
      <c r="AX3333">
        <f t="shared" si="334"/>
        <v>0.8</v>
      </c>
      <c r="AY3333" s="62">
        <f t="shared" si="335"/>
        <v>-0.17209675718928599</v>
      </c>
      <c r="AZ3333" s="68" t="str">
        <f t="shared" si="336"/>
        <v>No</v>
      </c>
      <c r="BA3333" s="68" t="str">
        <f t="shared" si="337"/>
        <v>No</v>
      </c>
    </row>
    <row r="3334" spans="1:55" hidden="1">
      <c r="A3334" t="s">
        <v>3914</v>
      </c>
      <c r="G3334" t="s">
        <v>4003</v>
      </c>
      <c r="P3334" t="s">
        <v>4596</v>
      </c>
      <c r="R3334" t="s">
        <v>822</v>
      </c>
      <c r="S3334" t="s">
        <v>824</v>
      </c>
      <c r="V3334" t="s">
        <v>4626</v>
      </c>
      <c r="Z3334">
        <v>3</v>
      </c>
      <c r="AA3334">
        <v>3</v>
      </c>
      <c r="AC3334">
        <v>350</v>
      </c>
      <c r="AD3334" s="54">
        <v>2.2999999999999998</v>
      </c>
      <c r="AE3334">
        <v>650</v>
      </c>
      <c r="AF3334" s="54">
        <v>6.8</v>
      </c>
      <c r="AJ3334" t="s">
        <v>1808</v>
      </c>
      <c r="AK3334" t="s">
        <v>4849</v>
      </c>
      <c r="AN3334">
        <v>1033</v>
      </c>
      <c r="AO3334">
        <v>124</v>
      </c>
      <c r="AP3334">
        <v>969</v>
      </c>
      <c r="AQ3334">
        <v>79</v>
      </c>
      <c r="AU3334" t="s">
        <v>4867</v>
      </c>
      <c r="AW3334" s="28">
        <f t="shared" si="333"/>
        <v>-0.61559808553501283</v>
      </c>
      <c r="AX3334">
        <f t="shared" si="334"/>
        <v>0.8</v>
      </c>
      <c r="AY3334" s="62">
        <f t="shared" si="335"/>
        <v>-0.4924784684280103</v>
      </c>
      <c r="AZ3334" s="68" t="str">
        <f t="shared" si="336"/>
        <v>No</v>
      </c>
      <c r="BA3334" s="68" t="str">
        <f t="shared" si="337"/>
        <v>No</v>
      </c>
    </row>
    <row r="3335" spans="1:55" hidden="1">
      <c r="A3335" t="s">
        <v>3914</v>
      </c>
      <c r="G3335" t="s">
        <v>4003</v>
      </c>
      <c r="P3335" t="s">
        <v>4596</v>
      </c>
      <c r="R3335" t="s">
        <v>822</v>
      </c>
      <c r="S3335" t="s">
        <v>1008</v>
      </c>
      <c r="V3335" t="s">
        <v>4625</v>
      </c>
      <c r="Z3335">
        <v>3</v>
      </c>
      <c r="AA3335">
        <v>3</v>
      </c>
      <c r="AC3335">
        <v>350</v>
      </c>
      <c r="AD3335" s="54">
        <v>2.2999999999999998</v>
      </c>
      <c r="AE3335">
        <v>350</v>
      </c>
      <c r="AF3335" s="54">
        <v>5.6</v>
      </c>
      <c r="AJ3335" t="s">
        <v>4865</v>
      </c>
      <c r="AK3335" t="s">
        <v>4849</v>
      </c>
      <c r="AN3335">
        <v>939</v>
      </c>
      <c r="AO3335">
        <v>66</v>
      </c>
      <c r="AP3335">
        <v>994</v>
      </c>
      <c r="AQ3335">
        <v>82</v>
      </c>
      <c r="AU3335" t="s">
        <v>4867</v>
      </c>
      <c r="AW3335" s="28">
        <f t="shared" si="333"/>
        <v>0.73893767048813119</v>
      </c>
      <c r="AX3335">
        <f t="shared" si="334"/>
        <v>0.8</v>
      </c>
      <c r="AY3335" s="62">
        <f t="shared" si="335"/>
        <v>0.59115013639050495</v>
      </c>
      <c r="AZ3335" s="68" t="str">
        <f t="shared" si="336"/>
        <v>No</v>
      </c>
      <c r="BA3335" s="68" t="str">
        <f t="shared" si="337"/>
        <v>No</v>
      </c>
    </row>
    <row r="3336" spans="1:55" hidden="1">
      <c r="A3336" t="s">
        <v>3914</v>
      </c>
      <c r="B3336" t="s">
        <v>4003</v>
      </c>
      <c r="G3336" t="s">
        <v>4003</v>
      </c>
      <c r="P3336" t="s">
        <v>4596</v>
      </c>
      <c r="R3336" t="s">
        <v>822</v>
      </c>
      <c r="S3336" t="s">
        <v>1008</v>
      </c>
      <c r="V3336" t="s">
        <v>4627</v>
      </c>
      <c r="Z3336">
        <v>3</v>
      </c>
      <c r="AA3336">
        <v>3</v>
      </c>
      <c r="AC3336">
        <v>350</v>
      </c>
      <c r="AD3336" s="54">
        <v>2.2999999999999998</v>
      </c>
      <c r="AE3336">
        <v>880</v>
      </c>
      <c r="AF3336" s="54">
        <v>5.6</v>
      </c>
      <c r="AJ3336" t="s">
        <v>1808</v>
      </c>
      <c r="AK3336" t="s">
        <v>4849</v>
      </c>
      <c r="AN3336">
        <v>931</v>
      </c>
      <c r="AO3336">
        <v>81</v>
      </c>
      <c r="AP3336">
        <v>906</v>
      </c>
      <c r="AQ3336">
        <v>89</v>
      </c>
      <c r="AU3336" t="s">
        <v>4867</v>
      </c>
      <c r="AW3336" s="28">
        <f t="shared" si="333"/>
        <v>-0.29379252036327591</v>
      </c>
      <c r="AX3336">
        <f t="shared" si="334"/>
        <v>0.8</v>
      </c>
      <c r="AY3336" s="62">
        <f t="shared" si="335"/>
        <v>-0.23503401629062073</v>
      </c>
      <c r="AZ3336" s="68" t="str">
        <f t="shared" si="336"/>
        <v>No</v>
      </c>
      <c r="BA3336" s="68" t="str">
        <f t="shared" si="337"/>
        <v>No</v>
      </c>
    </row>
    <row r="3337" spans="1:55" s="56" customFormat="1" ht="15" hidden="1">
      <c r="A3337" t="s">
        <v>3914</v>
      </c>
      <c r="B3337"/>
      <c r="C3337"/>
      <c r="D3337" s="25"/>
      <c r="E3337" s="25"/>
      <c r="F3337"/>
      <c r="G3337" t="s">
        <v>4003</v>
      </c>
      <c r="H3337"/>
      <c r="I3337"/>
      <c r="J3337"/>
      <c r="K3337"/>
      <c r="L3337"/>
      <c r="M3337" s="25"/>
      <c r="N3337"/>
      <c r="O3337"/>
      <c r="P3337" t="s">
        <v>4596</v>
      </c>
      <c r="Q3337"/>
      <c r="R3337" t="s">
        <v>822</v>
      </c>
      <c r="S3337" t="s">
        <v>1008</v>
      </c>
      <c r="T3337"/>
      <c r="U3337"/>
      <c r="V3337" t="s">
        <v>4626</v>
      </c>
      <c r="W3337" s="25"/>
      <c r="X3337"/>
      <c r="Y3337"/>
      <c r="Z3337">
        <v>3</v>
      </c>
      <c r="AA3337">
        <v>3</v>
      </c>
      <c r="AB3337"/>
      <c r="AC3337">
        <v>350</v>
      </c>
      <c r="AD3337" s="54">
        <v>2.2999999999999998</v>
      </c>
      <c r="AE3337">
        <v>650</v>
      </c>
      <c r="AF3337" s="54">
        <v>6.8</v>
      </c>
      <c r="AG3337"/>
      <c r="AH3337"/>
      <c r="AI3337"/>
      <c r="AJ3337" t="s">
        <v>1808</v>
      </c>
      <c r="AK3337" t="s">
        <v>4849</v>
      </c>
      <c r="AL3337" s="25"/>
      <c r="AM3337" s="35"/>
      <c r="AN3337">
        <v>939</v>
      </c>
      <c r="AO3337">
        <v>66</v>
      </c>
      <c r="AP3337">
        <v>919</v>
      </c>
      <c r="AQ3337">
        <v>92</v>
      </c>
      <c r="AR3337"/>
      <c r="AS3337"/>
      <c r="AT3337"/>
      <c r="AU3337" t="s">
        <v>4867</v>
      </c>
      <c r="AV3337"/>
      <c r="AW3337" s="28">
        <f t="shared" si="333"/>
        <v>-0.24980491608421956</v>
      </c>
      <c r="AX3337">
        <f t="shared" si="334"/>
        <v>0.8</v>
      </c>
      <c r="AY3337" s="62">
        <f t="shared" si="335"/>
        <v>-0.19984393286737567</v>
      </c>
      <c r="AZ3337" s="68" t="str">
        <f t="shared" si="336"/>
        <v>No</v>
      </c>
      <c r="BA3337" s="68" t="str">
        <f t="shared" si="337"/>
        <v>No</v>
      </c>
      <c r="BB3337"/>
      <c r="BC3337"/>
    </row>
    <row r="3338" spans="1:55" s="56" customFormat="1" ht="15" hidden="1">
      <c r="A3338" t="s">
        <v>3914</v>
      </c>
      <c r="B3338"/>
      <c r="C3338"/>
      <c r="D3338" s="25"/>
      <c r="E3338" s="25"/>
      <c r="F3338"/>
      <c r="G3338" t="s">
        <v>4003</v>
      </c>
      <c r="H3338"/>
      <c r="I3338"/>
      <c r="J3338"/>
      <c r="K3338"/>
      <c r="L3338"/>
      <c r="M3338" s="25"/>
      <c r="N3338"/>
      <c r="O3338"/>
      <c r="P3338" t="s">
        <v>4596</v>
      </c>
      <c r="Q3338"/>
      <c r="R3338" t="s">
        <v>822</v>
      </c>
      <c r="S3338" t="s">
        <v>824</v>
      </c>
      <c r="T3338"/>
      <c r="U3338"/>
      <c r="V3338" t="s">
        <v>4628</v>
      </c>
      <c r="W3338" s="25"/>
      <c r="X3338"/>
      <c r="Y3338"/>
      <c r="Z3338">
        <v>3</v>
      </c>
      <c r="AA3338">
        <v>3</v>
      </c>
      <c r="AB3338"/>
      <c r="AC3338">
        <v>350</v>
      </c>
      <c r="AD3338" s="54">
        <v>2.2999999999999998</v>
      </c>
      <c r="AE3338">
        <v>350</v>
      </c>
      <c r="AF3338" s="54">
        <v>6.8</v>
      </c>
      <c r="AG3338"/>
      <c r="AH3338"/>
      <c r="AI3338"/>
      <c r="AJ3338" t="s">
        <v>1808</v>
      </c>
      <c r="AK3338" t="s">
        <v>4849</v>
      </c>
      <c r="AL3338" s="25"/>
      <c r="AM3338" s="35"/>
      <c r="AN3338">
        <v>1033</v>
      </c>
      <c r="AO3338">
        <v>124</v>
      </c>
      <c r="AP3338">
        <v>983</v>
      </c>
      <c r="AQ3338">
        <v>95</v>
      </c>
      <c r="AR3338"/>
      <c r="AS3338"/>
      <c r="AT3338"/>
      <c r="AU3338" t="s">
        <v>4867</v>
      </c>
      <c r="AV3338"/>
      <c r="AW3338" s="28">
        <f t="shared" si="333"/>
        <v>-0.45266945429422417</v>
      </c>
      <c r="AX3338">
        <f t="shared" si="334"/>
        <v>0.8</v>
      </c>
      <c r="AY3338" s="62">
        <f t="shared" si="335"/>
        <v>-0.36213556343537934</v>
      </c>
      <c r="AZ3338" s="68" t="str">
        <f t="shared" si="336"/>
        <v>No</v>
      </c>
      <c r="BA3338" s="68" t="str">
        <f t="shared" si="337"/>
        <v>No</v>
      </c>
      <c r="BB3338"/>
      <c r="BC3338"/>
    </row>
    <row r="3339" spans="1:55" hidden="1">
      <c r="A3339" t="s">
        <v>3914</v>
      </c>
      <c r="G3339" t="s">
        <v>4003</v>
      </c>
      <c r="P3339" t="s">
        <v>4596</v>
      </c>
      <c r="R3339" t="s">
        <v>822</v>
      </c>
      <c r="S3339" t="s">
        <v>1008</v>
      </c>
      <c r="V3339" t="s">
        <v>4626</v>
      </c>
      <c r="Z3339">
        <v>3</v>
      </c>
      <c r="AA3339">
        <v>3</v>
      </c>
      <c r="AC3339">
        <v>350</v>
      </c>
      <c r="AD3339" s="54">
        <v>2.2999999999999998</v>
      </c>
      <c r="AE3339">
        <v>650</v>
      </c>
      <c r="AF3339" s="54">
        <v>5.6</v>
      </c>
      <c r="AJ3339" t="s">
        <v>1808</v>
      </c>
      <c r="AK3339" t="s">
        <v>4849</v>
      </c>
      <c r="AN3339">
        <v>939</v>
      </c>
      <c r="AO3339">
        <v>66</v>
      </c>
      <c r="AP3339">
        <v>916</v>
      </c>
      <c r="AQ3339">
        <v>96</v>
      </c>
      <c r="AU3339" t="s">
        <v>4867</v>
      </c>
      <c r="AW3339" s="28">
        <f t="shared" si="333"/>
        <v>-0.27920353227953804</v>
      </c>
      <c r="AX3339">
        <f t="shared" si="334"/>
        <v>0.8</v>
      </c>
      <c r="AY3339" s="62">
        <f t="shared" si="335"/>
        <v>-0.22336282582363043</v>
      </c>
      <c r="AZ3339" s="68" t="str">
        <f t="shared" si="336"/>
        <v>No</v>
      </c>
      <c r="BA3339" s="68" t="str">
        <f t="shared" si="337"/>
        <v>No</v>
      </c>
    </row>
    <row r="3340" spans="1:55" hidden="1">
      <c r="A3340" t="s">
        <v>3914</v>
      </c>
      <c r="B3340" t="s">
        <v>4003</v>
      </c>
      <c r="G3340" t="s">
        <v>4003</v>
      </c>
      <c r="P3340" t="s">
        <v>4596</v>
      </c>
      <c r="R3340" t="s">
        <v>822</v>
      </c>
      <c r="S3340" t="s">
        <v>1008</v>
      </c>
      <c r="V3340" t="s">
        <v>4625</v>
      </c>
      <c r="Z3340">
        <v>3</v>
      </c>
      <c r="AA3340">
        <v>3</v>
      </c>
      <c r="AC3340">
        <v>350</v>
      </c>
      <c r="AD3340" s="54">
        <v>2.2999999999999998</v>
      </c>
      <c r="AE3340">
        <v>350</v>
      </c>
      <c r="AF3340" s="54">
        <v>5.6</v>
      </c>
      <c r="AJ3340" t="s">
        <v>4865</v>
      </c>
      <c r="AK3340" t="s">
        <v>4849</v>
      </c>
      <c r="AN3340">
        <v>931</v>
      </c>
      <c r="AO3340">
        <v>81</v>
      </c>
      <c r="AP3340">
        <v>969</v>
      </c>
      <c r="AQ3340">
        <v>97</v>
      </c>
      <c r="AU3340" t="s">
        <v>4867</v>
      </c>
      <c r="AW3340" s="28">
        <f t="shared" si="333"/>
        <v>0.42525177631888494</v>
      </c>
      <c r="AX3340">
        <f t="shared" si="334"/>
        <v>0.8</v>
      </c>
      <c r="AY3340" s="62">
        <f t="shared" si="335"/>
        <v>0.34020142105510798</v>
      </c>
      <c r="AZ3340" s="68" t="str">
        <f t="shared" si="336"/>
        <v>No</v>
      </c>
      <c r="BA3340" s="68" t="str">
        <f t="shared" si="337"/>
        <v>No</v>
      </c>
    </row>
    <row r="3341" spans="1:55" hidden="1">
      <c r="A3341" t="s">
        <v>3914</v>
      </c>
      <c r="B3341" t="s">
        <v>4003</v>
      </c>
      <c r="G3341" t="s">
        <v>4003</v>
      </c>
      <c r="P3341" t="s">
        <v>4596</v>
      </c>
      <c r="R3341" t="s">
        <v>822</v>
      </c>
      <c r="S3341" t="s">
        <v>824</v>
      </c>
      <c r="V3341" t="s">
        <v>4627</v>
      </c>
      <c r="Z3341">
        <v>3</v>
      </c>
      <c r="AA3341">
        <v>3</v>
      </c>
      <c r="AC3341">
        <v>350</v>
      </c>
      <c r="AD3341" s="54">
        <v>2.2999999999999998</v>
      </c>
      <c r="AE3341">
        <v>880</v>
      </c>
      <c r="AF3341" s="54">
        <v>5.6</v>
      </c>
      <c r="AJ3341" t="s">
        <v>1808</v>
      </c>
      <c r="AK3341" t="s">
        <v>4849</v>
      </c>
      <c r="AN3341">
        <v>1064</v>
      </c>
      <c r="AO3341">
        <v>145</v>
      </c>
      <c r="AP3341">
        <v>1011</v>
      </c>
      <c r="AQ3341">
        <v>100</v>
      </c>
      <c r="AU3341" t="s">
        <v>4867</v>
      </c>
      <c r="AW3341" s="28">
        <f t="shared" si="333"/>
        <v>-0.42553469232896113</v>
      </c>
      <c r="AX3341">
        <f t="shared" si="334"/>
        <v>0.8</v>
      </c>
      <c r="AY3341" s="62">
        <f t="shared" si="335"/>
        <v>-0.34042775386316892</v>
      </c>
      <c r="AZ3341" s="68" t="str">
        <f t="shared" si="336"/>
        <v>No</v>
      </c>
      <c r="BA3341" s="68" t="str">
        <f t="shared" si="337"/>
        <v>No</v>
      </c>
    </row>
    <row r="3342" spans="1:55" hidden="1">
      <c r="A3342" t="s">
        <v>3914</v>
      </c>
      <c r="G3342" t="s">
        <v>4003</v>
      </c>
      <c r="P3342" t="s">
        <v>4596</v>
      </c>
      <c r="R3342" t="s">
        <v>822</v>
      </c>
      <c r="S3342" t="s">
        <v>824</v>
      </c>
      <c r="V3342" t="s">
        <v>4626</v>
      </c>
      <c r="Z3342">
        <v>3</v>
      </c>
      <c r="AA3342">
        <v>3</v>
      </c>
      <c r="AC3342">
        <v>350</v>
      </c>
      <c r="AD3342" s="54">
        <v>2.2999999999999998</v>
      </c>
      <c r="AE3342">
        <v>650</v>
      </c>
      <c r="AF3342" s="54">
        <v>5.6</v>
      </c>
      <c r="AJ3342" t="s">
        <v>1808</v>
      </c>
      <c r="AK3342" t="s">
        <v>4849</v>
      </c>
      <c r="AN3342">
        <v>1033</v>
      </c>
      <c r="AO3342">
        <v>124</v>
      </c>
      <c r="AP3342">
        <v>1003</v>
      </c>
      <c r="AQ3342">
        <v>101</v>
      </c>
      <c r="AU3342" t="s">
        <v>4867</v>
      </c>
      <c r="AW3342" s="28">
        <f t="shared" ref="AW3342:AW3405" si="338">(AP3342-$AN3342)/SQRT(((AA3342-1)*AQ3342*AQ3342+($Z3342-1)*$AO3342*$AO3342)/(AA3342+$Z3342-2))</f>
        <v>-0.26528424037869019</v>
      </c>
      <c r="AX3342">
        <f t="shared" ref="AX3342:AX3405" si="339">1-(3/(4*(AA3342+$Z3342-2)-1))</f>
        <v>0.8</v>
      </c>
      <c r="AY3342" s="62">
        <f t="shared" ref="AY3342:AY3405" si="340">AX3342*AW3342</f>
        <v>-0.21222739230295218</v>
      </c>
      <c r="AZ3342" s="68" t="str">
        <f t="shared" ref="AZ3342:AZ3405" si="341">IF(AY3342&gt;10,"Yes","No")</f>
        <v>No</v>
      </c>
      <c r="BA3342" s="68" t="str">
        <f t="shared" ref="BA3342:BA3405" si="342">IF(AY3342&lt;-10,"Yes","No")</f>
        <v>No</v>
      </c>
    </row>
    <row r="3343" spans="1:55" hidden="1">
      <c r="A3343" t="s">
        <v>3914</v>
      </c>
      <c r="B3343" t="s">
        <v>4003</v>
      </c>
      <c r="G3343" t="s">
        <v>4003</v>
      </c>
      <c r="P3343" t="s">
        <v>4596</v>
      </c>
      <c r="R3343" t="s">
        <v>822</v>
      </c>
      <c r="S3343" t="s">
        <v>1008</v>
      </c>
      <c r="V3343" t="s">
        <v>4626</v>
      </c>
      <c r="Z3343">
        <v>3</v>
      </c>
      <c r="AA3343">
        <v>3</v>
      </c>
      <c r="AC3343">
        <v>350</v>
      </c>
      <c r="AD3343" s="54">
        <v>2.2999999999999998</v>
      </c>
      <c r="AE3343">
        <v>650</v>
      </c>
      <c r="AF3343" s="54">
        <v>6.8</v>
      </c>
      <c r="AJ3343" t="s">
        <v>1808</v>
      </c>
      <c r="AK3343" t="s">
        <v>4849</v>
      </c>
      <c r="AN3343">
        <v>931</v>
      </c>
      <c r="AO3343">
        <v>81</v>
      </c>
      <c r="AP3343">
        <v>930</v>
      </c>
      <c r="AQ3343">
        <v>107</v>
      </c>
      <c r="AU3343" t="s">
        <v>4867</v>
      </c>
      <c r="AW3343" s="28">
        <f t="shared" si="338"/>
        <v>-1.0537998718474054E-2</v>
      </c>
      <c r="AX3343">
        <f t="shared" si="339"/>
        <v>0.8</v>
      </c>
      <c r="AY3343" s="62">
        <f t="shared" si="340"/>
        <v>-8.4303989747792438E-3</v>
      </c>
      <c r="AZ3343" s="68" t="str">
        <f t="shared" si="341"/>
        <v>No</v>
      </c>
      <c r="BA3343" s="68" t="str">
        <f t="shared" si="342"/>
        <v>No</v>
      </c>
    </row>
    <row r="3344" spans="1:55" hidden="1">
      <c r="A3344" t="s">
        <v>3914</v>
      </c>
      <c r="B3344" t="s">
        <v>4003</v>
      </c>
      <c r="G3344" t="s">
        <v>4003</v>
      </c>
      <c r="P3344" t="s">
        <v>4596</v>
      </c>
      <c r="R3344" t="s">
        <v>822</v>
      </c>
      <c r="S3344" t="s">
        <v>1008</v>
      </c>
      <c r="V3344" t="s">
        <v>4628</v>
      </c>
      <c r="Z3344">
        <v>3</v>
      </c>
      <c r="AA3344">
        <v>3</v>
      </c>
      <c r="AC3344">
        <v>350</v>
      </c>
      <c r="AD3344" s="54">
        <v>2.2999999999999998</v>
      </c>
      <c r="AE3344">
        <v>350</v>
      </c>
      <c r="AF3344" s="54">
        <v>6.8</v>
      </c>
      <c r="AJ3344" t="s">
        <v>1808</v>
      </c>
      <c r="AK3344" t="s">
        <v>4849</v>
      </c>
      <c r="AN3344">
        <v>931</v>
      </c>
      <c r="AO3344">
        <v>81</v>
      </c>
      <c r="AP3344">
        <v>915</v>
      </c>
      <c r="AQ3344">
        <v>113</v>
      </c>
      <c r="AU3344" t="s">
        <v>4867</v>
      </c>
      <c r="AW3344" s="28">
        <f t="shared" si="338"/>
        <v>-0.16274927158341199</v>
      </c>
      <c r="AX3344">
        <f t="shared" si="339"/>
        <v>0.8</v>
      </c>
      <c r="AY3344" s="62">
        <f t="shared" si="340"/>
        <v>-0.13019941726672959</v>
      </c>
      <c r="AZ3344" s="68" t="str">
        <f t="shared" si="341"/>
        <v>No</v>
      </c>
      <c r="BA3344" s="68" t="str">
        <f t="shared" si="342"/>
        <v>No</v>
      </c>
    </row>
    <row r="3345" spans="1:55" hidden="1">
      <c r="A3345" t="s">
        <v>3914</v>
      </c>
      <c r="G3345" t="s">
        <v>4003</v>
      </c>
      <c r="P3345" t="s">
        <v>4596</v>
      </c>
      <c r="R3345" t="s">
        <v>822</v>
      </c>
      <c r="S3345" t="s">
        <v>1008</v>
      </c>
      <c r="V3345" t="s">
        <v>4628</v>
      </c>
      <c r="Z3345">
        <v>3</v>
      </c>
      <c r="AA3345">
        <v>3</v>
      </c>
      <c r="AC3345">
        <v>350</v>
      </c>
      <c r="AD3345" s="54">
        <v>2.2999999999999998</v>
      </c>
      <c r="AE3345">
        <v>350</v>
      </c>
      <c r="AF3345" s="54">
        <v>6.8</v>
      </c>
      <c r="AJ3345" t="s">
        <v>1808</v>
      </c>
      <c r="AK3345" t="s">
        <v>4849</v>
      </c>
      <c r="AN3345">
        <v>939</v>
      </c>
      <c r="AO3345">
        <v>66</v>
      </c>
      <c r="AP3345">
        <v>983</v>
      </c>
      <c r="AQ3345">
        <v>117</v>
      </c>
      <c r="AU3345" t="s">
        <v>4867</v>
      </c>
      <c r="AW3345" s="28">
        <f t="shared" si="338"/>
        <v>0.46322205736023458</v>
      </c>
      <c r="AX3345">
        <f t="shared" si="339"/>
        <v>0.8</v>
      </c>
      <c r="AY3345" s="62">
        <f t="shared" si="340"/>
        <v>0.3705776458881877</v>
      </c>
      <c r="AZ3345" s="68" t="str">
        <f t="shared" si="341"/>
        <v>No</v>
      </c>
      <c r="BA3345" s="68" t="str">
        <f t="shared" si="342"/>
        <v>No</v>
      </c>
    </row>
    <row r="3346" spans="1:55" hidden="1">
      <c r="A3346" t="s">
        <v>3914</v>
      </c>
      <c r="B3346" t="s">
        <v>4003</v>
      </c>
      <c r="G3346" t="s">
        <v>4003</v>
      </c>
      <c r="P3346" t="s">
        <v>4596</v>
      </c>
      <c r="R3346" t="s">
        <v>822</v>
      </c>
      <c r="S3346" t="s">
        <v>824</v>
      </c>
      <c r="V3346" t="s">
        <v>4627</v>
      </c>
      <c r="Z3346">
        <v>3</v>
      </c>
      <c r="AA3346">
        <v>3</v>
      </c>
      <c r="AC3346">
        <v>350</v>
      </c>
      <c r="AD3346" s="54">
        <v>2.2999999999999998</v>
      </c>
      <c r="AE3346">
        <v>880</v>
      </c>
      <c r="AF3346" s="54">
        <v>6.8</v>
      </c>
      <c r="AJ3346" t="s">
        <v>1808</v>
      </c>
      <c r="AK3346" t="s">
        <v>4849</v>
      </c>
      <c r="AN3346">
        <v>1064</v>
      </c>
      <c r="AO3346">
        <v>145</v>
      </c>
      <c r="AP3346">
        <v>998</v>
      </c>
      <c r="AQ3346">
        <v>117</v>
      </c>
      <c r="AU3346" t="s">
        <v>4867</v>
      </c>
      <c r="AW3346" s="28">
        <f t="shared" si="338"/>
        <v>-0.50096409903181016</v>
      </c>
      <c r="AX3346">
        <f t="shared" si="339"/>
        <v>0.8</v>
      </c>
      <c r="AY3346" s="62">
        <f t="shared" si="340"/>
        <v>-0.40077127922544814</v>
      </c>
      <c r="AZ3346" s="68" t="str">
        <f t="shared" si="341"/>
        <v>No</v>
      </c>
      <c r="BA3346" s="68" t="str">
        <f t="shared" si="342"/>
        <v>No</v>
      </c>
    </row>
    <row r="3347" spans="1:55" hidden="1">
      <c r="A3347" t="s">
        <v>3914</v>
      </c>
      <c r="G3347" t="s">
        <v>4003</v>
      </c>
      <c r="P3347" t="s">
        <v>4596</v>
      </c>
      <c r="R3347" t="s">
        <v>822</v>
      </c>
      <c r="S3347" t="s">
        <v>824</v>
      </c>
      <c r="V3347" t="s">
        <v>4627</v>
      </c>
      <c r="Z3347">
        <v>3</v>
      </c>
      <c r="AA3347">
        <v>3</v>
      </c>
      <c r="AC3347">
        <v>350</v>
      </c>
      <c r="AD3347" s="54">
        <v>2.2999999999999998</v>
      </c>
      <c r="AE3347">
        <v>880</v>
      </c>
      <c r="AF3347" s="54">
        <v>6.8</v>
      </c>
      <c r="AJ3347" t="s">
        <v>1808</v>
      </c>
      <c r="AK3347" t="s">
        <v>4849</v>
      </c>
      <c r="AN3347">
        <v>1033</v>
      </c>
      <c r="AO3347">
        <v>124</v>
      </c>
      <c r="AP3347">
        <v>950</v>
      </c>
      <c r="AQ3347">
        <v>119</v>
      </c>
      <c r="AU3347" t="s">
        <v>4867</v>
      </c>
      <c r="AW3347" s="28">
        <f t="shared" si="338"/>
        <v>-0.68298300760109354</v>
      </c>
      <c r="AX3347">
        <f t="shared" si="339"/>
        <v>0.8</v>
      </c>
      <c r="AY3347" s="62">
        <f t="shared" si="340"/>
        <v>-0.54638640608087485</v>
      </c>
      <c r="AZ3347" s="68" t="str">
        <f t="shared" si="341"/>
        <v>No</v>
      </c>
      <c r="BA3347" s="68" t="str">
        <f t="shared" si="342"/>
        <v>No</v>
      </c>
    </row>
    <row r="3348" spans="1:55" hidden="1">
      <c r="A3348" t="s">
        <v>3914</v>
      </c>
      <c r="G3348" t="s">
        <v>4003</v>
      </c>
      <c r="P3348" t="s">
        <v>4596</v>
      </c>
      <c r="R3348" t="s">
        <v>822</v>
      </c>
      <c r="S3348" t="s">
        <v>1008</v>
      </c>
      <c r="V3348" t="s">
        <v>4627</v>
      </c>
      <c r="Z3348">
        <v>3</v>
      </c>
      <c r="AA3348">
        <v>3</v>
      </c>
      <c r="AC3348">
        <v>350</v>
      </c>
      <c r="AD3348" s="54">
        <v>2.2999999999999998</v>
      </c>
      <c r="AE3348">
        <v>880</v>
      </c>
      <c r="AF3348" s="54">
        <v>5.6</v>
      </c>
      <c r="AJ3348" t="s">
        <v>1808</v>
      </c>
      <c r="AK3348" t="s">
        <v>4849</v>
      </c>
      <c r="AN3348">
        <v>939</v>
      </c>
      <c r="AO3348">
        <v>66</v>
      </c>
      <c r="AP3348">
        <v>914</v>
      </c>
      <c r="AQ3348">
        <v>129</v>
      </c>
      <c r="AU3348" t="s">
        <v>4867</v>
      </c>
      <c r="AW3348" s="28">
        <f t="shared" si="338"/>
        <v>-0.24399244689152827</v>
      </c>
      <c r="AX3348">
        <f t="shared" si="339"/>
        <v>0.8</v>
      </c>
      <c r="AY3348" s="62">
        <f t="shared" si="340"/>
        <v>-0.19519395751322263</v>
      </c>
      <c r="AZ3348" s="68" t="str">
        <f t="shared" si="341"/>
        <v>No</v>
      </c>
      <c r="BA3348" s="68" t="str">
        <f t="shared" si="342"/>
        <v>No</v>
      </c>
    </row>
    <row r="3349" spans="1:55" hidden="1">
      <c r="A3349" t="s">
        <v>3914</v>
      </c>
      <c r="G3349" t="s">
        <v>4003</v>
      </c>
      <c r="P3349" t="s">
        <v>4596</v>
      </c>
      <c r="R3349" t="s">
        <v>822</v>
      </c>
      <c r="S3349" t="s">
        <v>1008</v>
      </c>
      <c r="V3349" t="s">
        <v>4627</v>
      </c>
      <c r="Z3349">
        <v>3</v>
      </c>
      <c r="AA3349">
        <v>3</v>
      </c>
      <c r="AC3349">
        <v>350</v>
      </c>
      <c r="AD3349" s="54">
        <v>2.2999999999999998</v>
      </c>
      <c r="AE3349">
        <v>880</v>
      </c>
      <c r="AF3349" s="54">
        <v>6.8</v>
      </c>
      <c r="AJ3349" t="s">
        <v>1808</v>
      </c>
      <c r="AK3349" t="s">
        <v>4849</v>
      </c>
      <c r="AN3349">
        <v>939</v>
      </c>
      <c r="AO3349">
        <v>66</v>
      </c>
      <c r="AP3349">
        <v>969</v>
      </c>
      <c r="AQ3349">
        <v>133</v>
      </c>
      <c r="AU3349" t="s">
        <v>4867</v>
      </c>
      <c r="AW3349" s="28">
        <f t="shared" si="338"/>
        <v>0.28574668513444029</v>
      </c>
      <c r="AX3349">
        <f t="shared" si="339"/>
        <v>0.8</v>
      </c>
      <c r="AY3349" s="62">
        <f t="shared" si="340"/>
        <v>0.22859734810755225</v>
      </c>
      <c r="AZ3349" s="68" t="str">
        <f t="shared" si="341"/>
        <v>No</v>
      </c>
      <c r="BA3349" s="68" t="str">
        <f t="shared" si="342"/>
        <v>No</v>
      </c>
    </row>
    <row r="3350" spans="1:55" s="56" customFormat="1" ht="15" hidden="1">
      <c r="A3350" t="s">
        <v>3914</v>
      </c>
      <c r="B3350"/>
      <c r="C3350"/>
      <c r="D3350" s="25"/>
      <c r="E3350" s="25"/>
      <c r="F3350"/>
      <c r="G3350" t="s">
        <v>4003</v>
      </c>
      <c r="H3350"/>
      <c r="I3350"/>
      <c r="J3350"/>
      <c r="K3350"/>
      <c r="L3350"/>
      <c r="M3350" s="25"/>
      <c r="N3350"/>
      <c r="O3350"/>
      <c r="P3350" t="s">
        <v>4596</v>
      </c>
      <c r="Q3350"/>
      <c r="R3350" t="s">
        <v>822</v>
      </c>
      <c r="S3350" t="s">
        <v>824</v>
      </c>
      <c r="T3350"/>
      <c r="U3350"/>
      <c r="V3350" t="s">
        <v>4625</v>
      </c>
      <c r="W3350" s="25"/>
      <c r="X3350"/>
      <c r="Y3350"/>
      <c r="Z3350">
        <v>3</v>
      </c>
      <c r="AA3350">
        <v>3</v>
      </c>
      <c r="AB3350"/>
      <c r="AC3350">
        <v>350</v>
      </c>
      <c r="AD3350" s="54">
        <v>2.2999999999999998</v>
      </c>
      <c r="AE3350">
        <v>350</v>
      </c>
      <c r="AF3350" s="54">
        <v>5.6</v>
      </c>
      <c r="AG3350"/>
      <c r="AH3350"/>
      <c r="AI3350"/>
      <c r="AJ3350" t="s">
        <v>1808</v>
      </c>
      <c r="AK3350" t="s">
        <v>4849</v>
      </c>
      <c r="AL3350" s="25"/>
      <c r="AM3350" s="35"/>
      <c r="AN3350">
        <v>1033</v>
      </c>
      <c r="AO3350">
        <v>124</v>
      </c>
      <c r="AP3350">
        <v>975</v>
      </c>
      <c r="AQ3350">
        <v>143</v>
      </c>
      <c r="AR3350"/>
      <c r="AS3350"/>
      <c r="AT3350"/>
      <c r="AU3350" t="s">
        <v>4867</v>
      </c>
      <c r="AV3350"/>
      <c r="AW3350" s="28">
        <f t="shared" si="338"/>
        <v>-0.43336106698160615</v>
      </c>
      <c r="AX3350">
        <f t="shared" si="339"/>
        <v>0.8</v>
      </c>
      <c r="AY3350" s="62">
        <f t="shared" si="340"/>
        <v>-0.34668885358528495</v>
      </c>
      <c r="AZ3350" s="68" t="str">
        <f t="shared" si="341"/>
        <v>No</v>
      </c>
      <c r="BA3350" s="68" t="str">
        <f t="shared" si="342"/>
        <v>No</v>
      </c>
      <c r="BB3350"/>
      <c r="BC3350"/>
    </row>
    <row r="3351" spans="1:55" hidden="1">
      <c r="A3351" t="s">
        <v>3914</v>
      </c>
      <c r="B3351" t="s">
        <v>4003</v>
      </c>
      <c r="G3351" t="s">
        <v>4003</v>
      </c>
      <c r="P3351" t="s">
        <v>4596</v>
      </c>
      <c r="R3351" t="s">
        <v>822</v>
      </c>
      <c r="S3351" t="s">
        <v>824</v>
      </c>
      <c r="V3351" t="s">
        <v>4628</v>
      </c>
      <c r="Z3351">
        <v>3</v>
      </c>
      <c r="AA3351">
        <v>3</v>
      </c>
      <c r="AC3351">
        <v>350</v>
      </c>
      <c r="AD3351" s="54">
        <v>2.2999999999999998</v>
      </c>
      <c r="AE3351">
        <v>350</v>
      </c>
      <c r="AF3351" s="54">
        <v>6.8</v>
      </c>
      <c r="AJ3351" t="s">
        <v>1808</v>
      </c>
      <c r="AK3351" t="s">
        <v>4849</v>
      </c>
      <c r="AN3351">
        <v>1064</v>
      </c>
      <c r="AO3351">
        <v>145</v>
      </c>
      <c r="AP3351">
        <v>1014</v>
      </c>
      <c r="AQ3351">
        <v>174</v>
      </c>
      <c r="AU3351" t="s">
        <v>4867</v>
      </c>
      <c r="AW3351" s="28">
        <f t="shared" si="338"/>
        <v>-0.31219222773282251</v>
      </c>
      <c r="AX3351">
        <f t="shared" si="339"/>
        <v>0.8</v>
      </c>
      <c r="AY3351" s="62">
        <f t="shared" si="340"/>
        <v>-0.24975378218625802</v>
      </c>
      <c r="AZ3351" s="68" t="str">
        <f t="shared" si="341"/>
        <v>No</v>
      </c>
      <c r="BA3351" s="68" t="str">
        <f t="shared" si="342"/>
        <v>No</v>
      </c>
    </row>
    <row r="3352" spans="1:55" hidden="1">
      <c r="A3352" t="s">
        <v>3914</v>
      </c>
      <c r="G3352" t="s">
        <v>4003</v>
      </c>
      <c r="P3352" t="s">
        <v>4596</v>
      </c>
      <c r="R3352" t="s">
        <v>822</v>
      </c>
      <c r="S3352" t="s">
        <v>824</v>
      </c>
      <c r="V3352" t="s">
        <v>4627</v>
      </c>
      <c r="Z3352">
        <v>3</v>
      </c>
      <c r="AA3352">
        <v>3</v>
      </c>
      <c r="AC3352">
        <v>350</v>
      </c>
      <c r="AD3352" s="54">
        <v>2.2999999999999998</v>
      </c>
      <c r="AE3352">
        <v>880</v>
      </c>
      <c r="AF3352" s="54">
        <v>5.6</v>
      </c>
      <c r="AJ3352" t="s">
        <v>1808</v>
      </c>
      <c r="AK3352" t="s">
        <v>4849</v>
      </c>
      <c r="AN3352">
        <v>1033</v>
      </c>
      <c r="AO3352">
        <v>124</v>
      </c>
      <c r="AP3352">
        <v>1008</v>
      </c>
      <c r="AQ3352">
        <v>183</v>
      </c>
      <c r="AU3352" t="s">
        <v>4867</v>
      </c>
      <c r="AW3352" s="28">
        <f t="shared" si="338"/>
        <v>-0.15993961819810107</v>
      </c>
      <c r="AX3352">
        <f t="shared" si="339"/>
        <v>0.8</v>
      </c>
      <c r="AY3352" s="62">
        <f t="shared" si="340"/>
        <v>-0.12795169455848085</v>
      </c>
      <c r="AZ3352" s="68" t="str">
        <f t="shared" si="341"/>
        <v>No</v>
      </c>
      <c r="BA3352" s="68" t="str">
        <f t="shared" si="342"/>
        <v>No</v>
      </c>
    </row>
    <row r="3353" spans="1:55" s="56" customFormat="1" ht="15" hidden="1">
      <c r="A3353" t="s">
        <v>3914</v>
      </c>
      <c r="B3353" t="s">
        <v>4003</v>
      </c>
      <c r="C3353"/>
      <c r="D3353" s="25"/>
      <c r="E3353" s="25"/>
      <c r="F3353"/>
      <c r="G3353" t="s">
        <v>4003</v>
      </c>
      <c r="H3353"/>
      <c r="I3353"/>
      <c r="J3353"/>
      <c r="K3353"/>
      <c r="L3353"/>
      <c r="M3353" s="25"/>
      <c r="N3353"/>
      <c r="O3353"/>
      <c r="P3353" t="s">
        <v>4596</v>
      </c>
      <c r="Q3353"/>
      <c r="R3353" t="s">
        <v>822</v>
      </c>
      <c r="S3353" t="s">
        <v>824</v>
      </c>
      <c r="T3353"/>
      <c r="U3353"/>
      <c r="V3353" t="s">
        <v>4626</v>
      </c>
      <c r="W3353" s="25"/>
      <c r="X3353"/>
      <c r="Y3353"/>
      <c r="Z3353">
        <v>3</v>
      </c>
      <c r="AA3353">
        <v>3</v>
      </c>
      <c r="AB3353"/>
      <c r="AC3353">
        <v>350</v>
      </c>
      <c r="AD3353" s="54">
        <v>2.2999999999999998</v>
      </c>
      <c r="AE3353">
        <v>650</v>
      </c>
      <c r="AF3353" s="54">
        <v>5.6</v>
      </c>
      <c r="AG3353"/>
      <c r="AH3353"/>
      <c r="AI3353"/>
      <c r="AJ3353" t="s">
        <v>4021</v>
      </c>
      <c r="AK3353" t="s">
        <v>4849</v>
      </c>
      <c r="AL3353" s="25"/>
      <c r="AM3353" s="35"/>
      <c r="AN3353">
        <v>0.47199999999999998</v>
      </c>
      <c r="AO3353">
        <v>4.5999999999999999E-2</v>
      </c>
      <c r="AP3353" s="63" t="s">
        <v>5130</v>
      </c>
      <c r="AQ3353" s="63"/>
      <c r="AR3353"/>
      <c r="AS3353"/>
      <c r="AT3353"/>
      <c r="AU3353" t="s">
        <v>4867</v>
      </c>
      <c r="AV3353"/>
      <c r="AW3353" s="28" t="e">
        <f t="shared" si="338"/>
        <v>#VALUE!</v>
      </c>
      <c r="AX3353">
        <f t="shared" si="339"/>
        <v>0.8</v>
      </c>
      <c r="AY3353" s="62" t="e">
        <f t="shared" si="340"/>
        <v>#VALUE!</v>
      </c>
      <c r="AZ3353" s="68" t="e">
        <f t="shared" si="341"/>
        <v>#VALUE!</v>
      </c>
      <c r="BA3353" s="68" t="e">
        <f t="shared" si="342"/>
        <v>#VALUE!</v>
      </c>
      <c r="BB3353"/>
      <c r="BC3353"/>
    </row>
    <row r="3354" spans="1:55" hidden="1">
      <c r="A3354" t="s">
        <v>3914</v>
      </c>
      <c r="B3354" t="s">
        <v>4003</v>
      </c>
      <c r="G3354" t="s">
        <v>4003</v>
      </c>
      <c r="P3354" t="s">
        <v>4596</v>
      </c>
      <c r="R3354" t="s">
        <v>822</v>
      </c>
      <c r="S3354" t="s">
        <v>824</v>
      </c>
      <c r="V3354" t="s">
        <v>4626</v>
      </c>
      <c r="Z3354">
        <v>3</v>
      </c>
      <c r="AA3354">
        <v>3</v>
      </c>
      <c r="AC3354">
        <v>350</v>
      </c>
      <c r="AD3354" s="54">
        <v>2.2999999999999998</v>
      </c>
      <c r="AE3354">
        <v>650</v>
      </c>
      <c r="AF3354" s="54">
        <v>6.8</v>
      </c>
      <c r="AJ3354" t="s">
        <v>4021</v>
      </c>
      <c r="AK3354" t="s">
        <v>4849</v>
      </c>
      <c r="AN3354">
        <v>0.47199999999999998</v>
      </c>
      <c r="AO3354">
        <v>4.5999999999999999E-2</v>
      </c>
      <c r="AP3354" s="63" t="s">
        <v>5130</v>
      </c>
      <c r="AQ3354" s="63"/>
      <c r="AU3354" t="s">
        <v>4867</v>
      </c>
      <c r="AW3354" s="28" t="e">
        <f t="shared" si="338"/>
        <v>#VALUE!</v>
      </c>
      <c r="AX3354">
        <f t="shared" si="339"/>
        <v>0.8</v>
      </c>
      <c r="AY3354" s="62" t="e">
        <f t="shared" si="340"/>
        <v>#VALUE!</v>
      </c>
      <c r="AZ3354" s="68" t="e">
        <f t="shared" si="341"/>
        <v>#VALUE!</v>
      </c>
      <c r="BA3354" s="68" t="e">
        <f t="shared" si="342"/>
        <v>#VALUE!</v>
      </c>
    </row>
    <row r="3355" spans="1:55" hidden="1">
      <c r="A3355" t="s">
        <v>3914</v>
      </c>
      <c r="G3355" t="s">
        <v>3916</v>
      </c>
      <c r="P3355" t="s">
        <v>60</v>
      </c>
      <c r="R3355" t="s">
        <v>3942</v>
      </c>
      <c r="S3355" t="s">
        <v>3944</v>
      </c>
      <c r="V3355" t="s">
        <v>3956</v>
      </c>
      <c r="Z3355">
        <v>20</v>
      </c>
      <c r="AA3355">
        <v>11</v>
      </c>
      <c r="AC3355">
        <v>801.3</v>
      </c>
      <c r="AD3355">
        <v>26</v>
      </c>
      <c r="AE3355">
        <v>1405.4</v>
      </c>
      <c r="AF3355">
        <v>26</v>
      </c>
      <c r="AJ3355" t="s">
        <v>665</v>
      </c>
      <c r="AK3355" t="s">
        <v>904</v>
      </c>
      <c r="AN3355">
        <v>0.87</v>
      </c>
      <c r="AO3355">
        <v>0.3</v>
      </c>
      <c r="AP3355">
        <v>0.7</v>
      </c>
      <c r="AQ3355">
        <v>0.4</v>
      </c>
      <c r="AW3355" s="28">
        <f t="shared" si="338"/>
        <v>-0.50319222660771412</v>
      </c>
      <c r="AX3355">
        <f t="shared" si="339"/>
        <v>0.97391304347826091</v>
      </c>
      <c r="AY3355" s="62">
        <f t="shared" si="340"/>
        <v>-0.49006547287012159</v>
      </c>
      <c r="AZ3355" s="68" t="str">
        <f t="shared" si="341"/>
        <v>No</v>
      </c>
      <c r="BA3355" s="68" t="str">
        <f t="shared" si="342"/>
        <v>No</v>
      </c>
    </row>
    <row r="3356" spans="1:55" ht="15" hidden="1">
      <c r="A3356" s="56" t="s">
        <v>3914</v>
      </c>
      <c r="G3356" s="56" t="s">
        <v>3916</v>
      </c>
      <c r="P3356" s="56" t="s">
        <v>60</v>
      </c>
      <c r="Q3356" s="56"/>
      <c r="R3356" s="56" t="s">
        <v>3942</v>
      </c>
      <c r="S3356" s="56" t="s">
        <v>3944</v>
      </c>
      <c r="T3356" s="56"/>
      <c r="U3356" s="56"/>
      <c r="V3356" s="56" t="s">
        <v>3956</v>
      </c>
      <c r="W3356" s="56"/>
      <c r="X3356" s="56"/>
      <c r="Y3356" s="56"/>
      <c r="Z3356" s="56">
        <v>20</v>
      </c>
      <c r="AA3356" s="56">
        <v>8</v>
      </c>
      <c r="AB3356" s="56"/>
      <c r="AC3356" s="56">
        <v>374.9</v>
      </c>
      <c r="AD3356" s="56">
        <v>26</v>
      </c>
      <c r="AE3356" s="56">
        <v>715</v>
      </c>
      <c r="AF3356" s="56">
        <v>26</v>
      </c>
      <c r="AG3356" s="56"/>
      <c r="AH3356" s="56"/>
      <c r="AI3356" s="56"/>
      <c r="AJ3356" s="56" t="s">
        <v>665</v>
      </c>
      <c r="AK3356" s="56" t="s">
        <v>904</v>
      </c>
      <c r="AN3356" s="56">
        <v>0.87</v>
      </c>
      <c r="AO3356" s="56">
        <v>0.3</v>
      </c>
      <c r="AP3356" s="56">
        <v>0.9</v>
      </c>
      <c r="AQ3356" s="56">
        <v>0.55000000000000004</v>
      </c>
      <c r="AW3356" s="28">
        <f t="shared" si="338"/>
        <v>7.8189840825778387E-2</v>
      </c>
      <c r="AX3356">
        <f t="shared" si="339"/>
        <v>0.970873786407767</v>
      </c>
      <c r="AY3356" s="62">
        <f t="shared" si="340"/>
        <v>7.5912466821144067E-2</v>
      </c>
      <c r="AZ3356" s="68" t="str">
        <f t="shared" si="341"/>
        <v>No</v>
      </c>
      <c r="BA3356" s="68" t="str">
        <f t="shared" si="342"/>
        <v>No</v>
      </c>
    </row>
    <row r="3357" spans="1:55" hidden="1">
      <c r="A3357" t="s">
        <v>3914</v>
      </c>
      <c r="G3357" s="50" t="s">
        <v>4542</v>
      </c>
      <c r="P3357" t="s">
        <v>60</v>
      </c>
      <c r="R3357" t="s">
        <v>4509</v>
      </c>
      <c r="S3357" s="50" t="s">
        <v>4546</v>
      </c>
      <c r="V3357" t="s">
        <v>3956</v>
      </c>
      <c r="Z3357" s="50">
        <v>5</v>
      </c>
      <c r="AA3357" s="50">
        <v>5</v>
      </c>
      <c r="AC3357">
        <v>397</v>
      </c>
      <c r="AD3357">
        <v>4.0999999999999996</v>
      </c>
      <c r="AE3357">
        <v>962.5</v>
      </c>
      <c r="AF3357">
        <v>4.0999999999999996</v>
      </c>
      <c r="AJ3357" s="50" t="s">
        <v>4560</v>
      </c>
      <c r="AK3357" t="s">
        <v>4502</v>
      </c>
      <c r="AN3357">
        <v>0.66</v>
      </c>
      <c r="AO3357">
        <v>2.2360679774997897E-2</v>
      </c>
      <c r="AP3357">
        <v>0.67</v>
      </c>
      <c r="AQ3357">
        <v>2.2360679774997897E-2</v>
      </c>
      <c r="AW3357" s="28">
        <f t="shared" si="338"/>
        <v>0.44721359549995832</v>
      </c>
      <c r="AX3357">
        <f t="shared" si="339"/>
        <v>0.90322580645161288</v>
      </c>
      <c r="AY3357" s="62">
        <f t="shared" si="340"/>
        <v>0.40393486045157523</v>
      </c>
      <c r="AZ3357" s="68" t="str">
        <f t="shared" si="341"/>
        <v>No</v>
      </c>
      <c r="BA3357" s="68" t="str">
        <f t="shared" si="342"/>
        <v>No</v>
      </c>
    </row>
    <row r="3358" spans="1:55" hidden="1">
      <c r="A3358" t="s">
        <v>3914</v>
      </c>
      <c r="G3358" s="50" t="s">
        <v>5092</v>
      </c>
      <c r="P3358" t="s">
        <v>60</v>
      </c>
      <c r="R3358" t="s">
        <v>4509</v>
      </c>
      <c r="S3358" s="50" t="s">
        <v>4546</v>
      </c>
      <c r="V3358" t="s">
        <v>3956</v>
      </c>
      <c r="Z3358" s="50">
        <v>5</v>
      </c>
      <c r="AA3358" s="50">
        <v>5</v>
      </c>
      <c r="AC3358">
        <v>397</v>
      </c>
      <c r="AD3358">
        <v>4.0999999999999996</v>
      </c>
      <c r="AE3358">
        <v>962.5</v>
      </c>
      <c r="AF3358">
        <v>4.0999999999999996</v>
      </c>
      <c r="AJ3358" s="50" t="s">
        <v>4065</v>
      </c>
      <c r="AK3358" t="s">
        <v>4491</v>
      </c>
      <c r="AN3358">
        <v>0.08</v>
      </c>
      <c r="AO3358">
        <v>4.4721359549995794E-2</v>
      </c>
      <c r="AP3358">
        <v>0.02</v>
      </c>
      <c r="AQ3358">
        <v>4.4721359549995794E-2</v>
      </c>
      <c r="AW3358" s="28">
        <f t="shared" si="338"/>
        <v>-1.3416407864998738</v>
      </c>
      <c r="AX3358">
        <f t="shared" si="339"/>
        <v>0.90322580645161288</v>
      </c>
      <c r="AY3358" s="62">
        <f t="shared" si="340"/>
        <v>-1.2118045813547247</v>
      </c>
      <c r="AZ3358" s="68" t="str">
        <f t="shared" si="341"/>
        <v>No</v>
      </c>
      <c r="BA3358" s="68" t="str">
        <f t="shared" si="342"/>
        <v>No</v>
      </c>
    </row>
    <row r="3359" spans="1:55" hidden="1">
      <c r="A3359" t="s">
        <v>3914</v>
      </c>
      <c r="G3359" s="50" t="s">
        <v>4542</v>
      </c>
      <c r="P3359" t="s">
        <v>60</v>
      </c>
      <c r="R3359" t="s">
        <v>4509</v>
      </c>
      <c r="S3359" s="50" t="s">
        <v>4546</v>
      </c>
      <c r="V3359" t="s">
        <v>3956</v>
      </c>
      <c r="Z3359">
        <v>5</v>
      </c>
      <c r="AA3359">
        <v>5</v>
      </c>
      <c r="AC3359">
        <v>397</v>
      </c>
      <c r="AD3359">
        <v>4.0999999999999996</v>
      </c>
      <c r="AE3359">
        <v>962.5</v>
      </c>
      <c r="AF3359">
        <v>4.0999999999999996</v>
      </c>
      <c r="AJ3359" s="50" t="s">
        <v>4557</v>
      </c>
      <c r="AK3359" t="s">
        <v>4502</v>
      </c>
      <c r="AN3359">
        <v>3.75</v>
      </c>
      <c r="AO3359">
        <v>0.1118033988749895</v>
      </c>
      <c r="AP3359">
        <v>4.1500000000000004</v>
      </c>
      <c r="AQ3359">
        <v>0.1118033988749895</v>
      </c>
      <c r="AW3359" s="28">
        <f t="shared" si="338"/>
        <v>3.5777087639996665</v>
      </c>
      <c r="AX3359">
        <f t="shared" si="339"/>
        <v>0.90322580645161288</v>
      </c>
      <c r="AY3359" s="62">
        <f t="shared" si="340"/>
        <v>3.2314788836126018</v>
      </c>
      <c r="AZ3359" s="68" t="str">
        <f t="shared" si="341"/>
        <v>No</v>
      </c>
      <c r="BA3359" s="68" t="str">
        <f t="shared" si="342"/>
        <v>No</v>
      </c>
    </row>
    <row r="3360" spans="1:55" s="56" customFormat="1" ht="15" hidden="1">
      <c r="A3360" t="s">
        <v>3914</v>
      </c>
      <c r="B3360"/>
      <c r="C3360"/>
      <c r="D3360" s="25"/>
      <c r="E3360" s="25"/>
      <c r="F3360"/>
      <c r="G3360" s="50" t="s">
        <v>4542</v>
      </c>
      <c r="H3360"/>
      <c r="I3360"/>
      <c r="J3360"/>
      <c r="K3360"/>
      <c r="L3360"/>
      <c r="M3360" s="25"/>
      <c r="N3360"/>
      <c r="O3360"/>
      <c r="P3360" t="s">
        <v>60</v>
      </c>
      <c r="Q3360"/>
      <c r="R3360" t="s">
        <v>4509</v>
      </c>
      <c r="S3360" s="50" t="s">
        <v>4546</v>
      </c>
      <c r="T3360"/>
      <c r="U3360"/>
      <c r="V3360" t="s">
        <v>3956</v>
      </c>
      <c r="W3360" s="25"/>
      <c r="X3360"/>
      <c r="Y3360"/>
      <c r="Z3360" s="50">
        <v>5</v>
      </c>
      <c r="AA3360" s="50">
        <v>5</v>
      </c>
      <c r="AB3360"/>
      <c r="AC3360">
        <v>397</v>
      </c>
      <c r="AD3360">
        <v>4.0999999999999996</v>
      </c>
      <c r="AE3360">
        <v>962.5</v>
      </c>
      <c r="AF3360">
        <v>4.0999999999999996</v>
      </c>
      <c r="AG3360"/>
      <c r="AH3360"/>
      <c r="AI3360"/>
      <c r="AJ3360" s="50" t="s">
        <v>4559</v>
      </c>
      <c r="AK3360" t="s">
        <v>4502</v>
      </c>
      <c r="AL3360" s="25"/>
      <c r="AM3360" s="35"/>
      <c r="AN3360">
        <v>0.67</v>
      </c>
      <c r="AO3360">
        <v>6.7082039324993695E-2</v>
      </c>
      <c r="AP3360">
        <v>0.93</v>
      </c>
      <c r="AQ3360">
        <v>0.3801315561749643</v>
      </c>
      <c r="AR3360"/>
      <c r="AS3360"/>
      <c r="AT3360"/>
      <c r="AU3360"/>
      <c r="AV3360"/>
      <c r="AW3360" s="28">
        <f t="shared" si="338"/>
        <v>0.9525662970815052</v>
      </c>
      <c r="AX3360">
        <f t="shared" si="339"/>
        <v>0.90322580645161288</v>
      </c>
      <c r="AY3360" s="62">
        <f t="shared" si="340"/>
        <v>0.86038246188006917</v>
      </c>
      <c r="AZ3360" s="68" t="str">
        <f t="shared" si="341"/>
        <v>No</v>
      </c>
      <c r="BA3360" s="68" t="str">
        <f t="shared" si="342"/>
        <v>No</v>
      </c>
      <c r="BB3360"/>
      <c r="BC3360"/>
    </row>
    <row r="3361" spans="1:55" hidden="1">
      <c r="A3361" t="s">
        <v>3914</v>
      </c>
      <c r="G3361" s="50" t="s">
        <v>4542</v>
      </c>
      <c r="P3361" t="s">
        <v>60</v>
      </c>
      <c r="R3361" t="s">
        <v>4509</v>
      </c>
      <c r="S3361" s="50" t="s">
        <v>4546</v>
      </c>
      <c r="V3361" t="s">
        <v>3956</v>
      </c>
      <c r="Z3361">
        <v>5</v>
      </c>
      <c r="AA3361">
        <v>5</v>
      </c>
      <c r="AC3361">
        <v>397</v>
      </c>
      <c r="AD3361">
        <v>4.0999999999999996</v>
      </c>
      <c r="AE3361">
        <v>962.5</v>
      </c>
      <c r="AF3361">
        <v>4.0999999999999996</v>
      </c>
      <c r="AJ3361" s="50" t="s">
        <v>4556</v>
      </c>
      <c r="AK3361" t="s">
        <v>4502</v>
      </c>
      <c r="AN3361">
        <v>12.7</v>
      </c>
      <c r="AO3361">
        <v>1.1180339887498949</v>
      </c>
      <c r="AP3361">
        <v>15</v>
      </c>
      <c r="AQ3361">
        <v>0.67082039324993692</v>
      </c>
      <c r="AW3361" s="28">
        <f t="shared" si="338"/>
        <v>2.4947002649145467</v>
      </c>
      <c r="AX3361">
        <f t="shared" si="339"/>
        <v>0.90322580645161288</v>
      </c>
      <c r="AY3361" s="62">
        <f t="shared" si="340"/>
        <v>2.2532776586324936</v>
      </c>
      <c r="AZ3361" s="68" t="str">
        <f t="shared" si="341"/>
        <v>No</v>
      </c>
      <c r="BA3361" s="68" t="str">
        <f t="shared" si="342"/>
        <v>No</v>
      </c>
    </row>
    <row r="3362" spans="1:55" hidden="1">
      <c r="A3362" t="s">
        <v>3914</v>
      </c>
      <c r="G3362" t="s">
        <v>3999</v>
      </c>
      <c r="P3362" t="s">
        <v>60</v>
      </c>
      <c r="R3362" t="s">
        <v>4005</v>
      </c>
      <c r="S3362" t="s">
        <v>4008</v>
      </c>
      <c r="V3362" t="s">
        <v>3956</v>
      </c>
      <c r="Z3362">
        <v>10</v>
      </c>
      <c r="AA3362">
        <v>9</v>
      </c>
      <c r="AC3362">
        <v>380</v>
      </c>
      <c r="AD3362">
        <v>20</v>
      </c>
      <c r="AE3362">
        <v>1000</v>
      </c>
      <c r="AF3362">
        <v>20</v>
      </c>
      <c r="AJ3362" t="s">
        <v>4018</v>
      </c>
      <c r="AK3362" t="s">
        <v>3983</v>
      </c>
      <c r="AN3362">
        <v>6.8</v>
      </c>
      <c r="AO3362">
        <v>3.8</v>
      </c>
      <c r="AP3362">
        <v>6.3</v>
      </c>
      <c r="AQ3362">
        <v>2.2999999999999998</v>
      </c>
      <c r="AW3362" s="28">
        <f t="shared" si="338"/>
        <v>-0.15706413739350561</v>
      </c>
      <c r="AX3362">
        <f t="shared" si="339"/>
        <v>0.95522388059701491</v>
      </c>
      <c r="AY3362" s="62">
        <f t="shared" si="340"/>
        <v>-0.15003141482364715</v>
      </c>
      <c r="AZ3362" s="68" t="str">
        <f t="shared" si="341"/>
        <v>No</v>
      </c>
      <c r="BA3362" s="68" t="str">
        <f t="shared" si="342"/>
        <v>No</v>
      </c>
    </row>
    <row r="3363" spans="1:55" hidden="1">
      <c r="A3363" t="s">
        <v>3914</v>
      </c>
      <c r="G3363" t="s">
        <v>3999</v>
      </c>
      <c r="P3363" t="s">
        <v>60</v>
      </c>
      <c r="R3363" t="s">
        <v>4005</v>
      </c>
      <c r="S3363" t="s">
        <v>4008</v>
      </c>
      <c r="V3363" t="s">
        <v>3956</v>
      </c>
      <c r="Z3363">
        <v>10</v>
      </c>
      <c r="AA3363">
        <v>9</v>
      </c>
      <c r="AC3363">
        <v>380</v>
      </c>
      <c r="AD3363">
        <v>20</v>
      </c>
      <c r="AE3363">
        <v>1000</v>
      </c>
      <c r="AF3363">
        <v>20</v>
      </c>
      <c r="AJ3363" t="s">
        <v>1792</v>
      </c>
      <c r="AK3363" t="s">
        <v>904</v>
      </c>
      <c r="AN3363">
        <v>7.75</v>
      </c>
      <c r="AO3363">
        <v>4.17</v>
      </c>
      <c r="AP3363">
        <v>7.2</v>
      </c>
      <c r="AQ3363">
        <v>2.38</v>
      </c>
      <c r="AW3363" s="28">
        <f t="shared" si="338"/>
        <v>-0.15962838002469501</v>
      </c>
      <c r="AX3363">
        <f t="shared" si="339"/>
        <v>0.95522388059701491</v>
      </c>
      <c r="AY3363" s="62">
        <f t="shared" si="340"/>
        <v>-0.15248084062060419</v>
      </c>
      <c r="AZ3363" s="68" t="str">
        <f t="shared" si="341"/>
        <v>No</v>
      </c>
      <c r="BA3363" s="68" t="str">
        <f t="shared" si="342"/>
        <v>No</v>
      </c>
    </row>
    <row r="3364" spans="1:55" hidden="1">
      <c r="A3364" t="s">
        <v>3914</v>
      </c>
      <c r="G3364" t="s">
        <v>3999</v>
      </c>
      <c r="P3364" t="s">
        <v>60</v>
      </c>
      <c r="R3364" t="s">
        <v>4005</v>
      </c>
      <c r="S3364" t="s">
        <v>4010</v>
      </c>
      <c r="V3364" t="s">
        <v>3956</v>
      </c>
      <c r="Z3364">
        <v>17</v>
      </c>
      <c r="AA3364">
        <v>18</v>
      </c>
      <c r="AC3364">
        <v>380</v>
      </c>
      <c r="AD3364">
        <v>20</v>
      </c>
      <c r="AE3364">
        <v>1000</v>
      </c>
      <c r="AF3364">
        <v>20</v>
      </c>
      <c r="AJ3364" t="s">
        <v>4018</v>
      </c>
      <c r="AK3364" t="s">
        <v>3983</v>
      </c>
      <c r="AN3364">
        <v>8.1999999999999993</v>
      </c>
      <c r="AO3364">
        <v>3.7</v>
      </c>
      <c r="AP3364">
        <v>5.9</v>
      </c>
      <c r="AQ3364">
        <v>2.6</v>
      </c>
      <c r="AW3364" s="28">
        <f t="shared" si="338"/>
        <v>-0.72299880548122075</v>
      </c>
      <c r="AX3364">
        <f t="shared" si="339"/>
        <v>0.97709923664122134</v>
      </c>
      <c r="AY3364" s="62">
        <f t="shared" si="340"/>
        <v>-0.70644158092821563</v>
      </c>
      <c r="AZ3364" s="68" t="str">
        <f t="shared" si="341"/>
        <v>No</v>
      </c>
      <c r="BA3364" s="68" t="str">
        <f t="shared" si="342"/>
        <v>No</v>
      </c>
    </row>
    <row r="3365" spans="1:55" hidden="1">
      <c r="A3365" t="s">
        <v>3914</v>
      </c>
      <c r="G3365" t="s">
        <v>3999</v>
      </c>
      <c r="P3365" t="s">
        <v>60</v>
      </c>
      <c r="R3365" t="s">
        <v>4005</v>
      </c>
      <c r="S3365" t="s">
        <v>4007</v>
      </c>
      <c r="V3365" t="s">
        <v>3956</v>
      </c>
      <c r="Z3365">
        <v>19</v>
      </c>
      <c r="AA3365">
        <v>3</v>
      </c>
      <c r="AC3365">
        <v>380</v>
      </c>
      <c r="AD3365">
        <v>20</v>
      </c>
      <c r="AE3365">
        <v>1000</v>
      </c>
      <c r="AF3365">
        <v>20</v>
      </c>
      <c r="AJ3365" t="s">
        <v>1792</v>
      </c>
      <c r="AK3365" t="s">
        <v>904</v>
      </c>
      <c r="AN3365">
        <v>7.31</v>
      </c>
      <c r="AO3365">
        <v>3.64</v>
      </c>
      <c r="AP3365">
        <v>7.07</v>
      </c>
      <c r="AQ3365">
        <v>3.57</v>
      </c>
      <c r="AW3365" s="28">
        <f t="shared" si="338"/>
        <v>-6.6060002920822258E-2</v>
      </c>
      <c r="AX3365">
        <f t="shared" si="339"/>
        <v>0.96202531645569622</v>
      </c>
      <c r="AY3365" s="62">
        <f t="shared" si="340"/>
        <v>-6.3551395214968248E-2</v>
      </c>
      <c r="AZ3365" s="68" t="str">
        <f t="shared" si="341"/>
        <v>No</v>
      </c>
      <c r="BA3365" s="68" t="str">
        <f t="shared" si="342"/>
        <v>No</v>
      </c>
    </row>
    <row r="3366" spans="1:55" hidden="1">
      <c r="A3366" t="s">
        <v>3914</v>
      </c>
      <c r="G3366" t="s">
        <v>3999</v>
      </c>
      <c r="P3366" t="s">
        <v>60</v>
      </c>
      <c r="R3366" t="s">
        <v>4005</v>
      </c>
      <c r="S3366" t="s">
        <v>4007</v>
      </c>
      <c r="V3366" t="s">
        <v>3956</v>
      </c>
      <c r="Z3366">
        <v>19</v>
      </c>
      <c r="AA3366">
        <v>3</v>
      </c>
      <c r="AC3366">
        <v>380</v>
      </c>
      <c r="AD3366">
        <v>20</v>
      </c>
      <c r="AE3366">
        <v>1000</v>
      </c>
      <c r="AF3366">
        <v>20</v>
      </c>
      <c r="AJ3366" t="s">
        <v>4018</v>
      </c>
      <c r="AK3366" t="s">
        <v>3983</v>
      </c>
      <c r="AN3366">
        <v>10.5</v>
      </c>
      <c r="AO3366">
        <v>4.2</v>
      </c>
      <c r="AP3366">
        <v>8.4600000000000009</v>
      </c>
      <c r="AQ3366">
        <v>4.4000000000000004</v>
      </c>
      <c r="AW3366" s="28">
        <f t="shared" si="338"/>
        <v>-0.48336346834770566</v>
      </c>
      <c r="AX3366">
        <f t="shared" si="339"/>
        <v>0.96202531645569622</v>
      </c>
      <c r="AY3366" s="62">
        <f t="shared" si="340"/>
        <v>-0.46500789360032446</v>
      </c>
      <c r="AZ3366" s="68" t="str">
        <f t="shared" si="341"/>
        <v>No</v>
      </c>
      <c r="BA3366" s="68" t="str">
        <f t="shared" si="342"/>
        <v>No</v>
      </c>
    </row>
    <row r="3367" spans="1:55" s="56" customFormat="1" ht="15" hidden="1">
      <c r="A3367" t="s">
        <v>3914</v>
      </c>
      <c r="B3367"/>
      <c r="C3367"/>
      <c r="D3367" s="25"/>
      <c r="E3367" s="25"/>
      <c r="F3367"/>
      <c r="G3367" t="s">
        <v>3999</v>
      </c>
      <c r="H3367"/>
      <c r="I3367"/>
      <c r="J3367"/>
      <c r="K3367"/>
      <c r="L3367"/>
      <c r="M3367" s="25"/>
      <c r="N3367"/>
      <c r="O3367"/>
      <c r="P3367" t="s">
        <v>60</v>
      </c>
      <c r="Q3367"/>
      <c r="R3367" t="s">
        <v>4005</v>
      </c>
      <c r="S3367" t="s">
        <v>4011</v>
      </c>
      <c r="T3367"/>
      <c r="U3367"/>
      <c r="V3367" t="s">
        <v>3956</v>
      </c>
      <c r="W3367" s="25"/>
      <c r="X3367"/>
      <c r="Y3367"/>
      <c r="Z3367">
        <v>12</v>
      </c>
      <c r="AA3367">
        <v>7</v>
      </c>
      <c r="AB3367"/>
      <c r="AC3367">
        <v>380</v>
      </c>
      <c r="AD3367">
        <v>20</v>
      </c>
      <c r="AE3367">
        <v>1000</v>
      </c>
      <c r="AF3367">
        <v>20</v>
      </c>
      <c r="AG3367"/>
      <c r="AH3367"/>
      <c r="AI3367"/>
      <c r="AJ3367" t="s">
        <v>1792</v>
      </c>
      <c r="AK3367" t="s">
        <v>904</v>
      </c>
      <c r="AL3367" s="25"/>
      <c r="AM3367" s="35"/>
      <c r="AN3367">
        <v>10.62</v>
      </c>
      <c r="AO3367">
        <v>5.63</v>
      </c>
      <c r="AP3367">
        <v>5.01</v>
      </c>
      <c r="AQ3367">
        <v>4.7300000000000004</v>
      </c>
      <c r="AR3367"/>
      <c r="AS3367"/>
      <c r="AT3367"/>
      <c r="AU3367"/>
      <c r="AV3367"/>
      <c r="AW3367" s="28">
        <f t="shared" si="338"/>
        <v>-1.0525851419617878</v>
      </c>
      <c r="AX3367">
        <f t="shared" si="339"/>
        <v>0.95522388059701491</v>
      </c>
      <c r="AY3367" s="62">
        <f t="shared" si="340"/>
        <v>-1.0054544639634988</v>
      </c>
      <c r="AZ3367" s="68" t="str">
        <f t="shared" si="341"/>
        <v>No</v>
      </c>
      <c r="BA3367" s="68" t="str">
        <f t="shared" si="342"/>
        <v>No</v>
      </c>
      <c r="BB3367"/>
      <c r="BC3367"/>
    </row>
    <row r="3368" spans="1:55" hidden="1">
      <c r="A3368" t="s">
        <v>3914</v>
      </c>
      <c r="G3368" t="s">
        <v>3999</v>
      </c>
      <c r="P3368" t="s">
        <v>60</v>
      </c>
      <c r="R3368" t="s">
        <v>4005</v>
      </c>
      <c r="S3368" t="s">
        <v>4011</v>
      </c>
      <c r="V3368" t="s">
        <v>3956</v>
      </c>
      <c r="Z3368">
        <v>12</v>
      </c>
      <c r="AA3368">
        <v>7</v>
      </c>
      <c r="AC3368">
        <v>380</v>
      </c>
      <c r="AD3368">
        <v>20</v>
      </c>
      <c r="AE3368">
        <v>1000</v>
      </c>
      <c r="AF3368">
        <v>20</v>
      </c>
      <c r="AJ3368" t="s">
        <v>4018</v>
      </c>
      <c r="AK3368" t="s">
        <v>3983</v>
      </c>
      <c r="AN3368">
        <v>9.6999999999999993</v>
      </c>
      <c r="AO3368">
        <v>3.3</v>
      </c>
      <c r="AP3368">
        <v>10.9</v>
      </c>
      <c r="AQ3368">
        <v>6.2</v>
      </c>
      <c r="AW3368" s="28">
        <f t="shared" si="338"/>
        <v>0.26430481037674813</v>
      </c>
      <c r="AX3368">
        <f t="shared" si="339"/>
        <v>0.95522388059701491</v>
      </c>
      <c r="AY3368" s="62">
        <f t="shared" si="340"/>
        <v>0.2524702666285355</v>
      </c>
      <c r="AZ3368" s="68" t="str">
        <f t="shared" si="341"/>
        <v>No</v>
      </c>
      <c r="BA3368" s="68" t="str">
        <f t="shared" si="342"/>
        <v>No</v>
      </c>
    </row>
    <row r="3369" spans="1:55" hidden="1">
      <c r="A3369" t="s">
        <v>3914</v>
      </c>
      <c r="G3369" t="s">
        <v>3999</v>
      </c>
      <c r="P3369" t="s">
        <v>60</v>
      </c>
      <c r="R3369" t="s">
        <v>4005</v>
      </c>
      <c r="S3369" t="s">
        <v>4009</v>
      </c>
      <c r="V3369" t="s">
        <v>3956</v>
      </c>
      <c r="Z3369">
        <v>13</v>
      </c>
      <c r="AA3369">
        <v>18</v>
      </c>
      <c r="AC3369">
        <v>380</v>
      </c>
      <c r="AD3369">
        <v>20</v>
      </c>
      <c r="AE3369">
        <v>1000</v>
      </c>
      <c r="AF3369">
        <v>20</v>
      </c>
      <c r="AJ3369" t="s">
        <v>4018</v>
      </c>
      <c r="AK3369" t="s">
        <v>3983</v>
      </c>
      <c r="AN3369">
        <v>9.1</v>
      </c>
      <c r="AO3369">
        <v>4.9000000000000004</v>
      </c>
      <c r="AP3369">
        <v>13.5</v>
      </c>
      <c r="AQ3369">
        <v>6.9</v>
      </c>
      <c r="AW3369" s="28">
        <f t="shared" si="338"/>
        <v>0.71523933307286724</v>
      </c>
      <c r="AX3369">
        <f t="shared" si="339"/>
        <v>0.97391304347826091</v>
      </c>
      <c r="AY3369" s="62">
        <f t="shared" si="340"/>
        <v>0.69658091568835767</v>
      </c>
      <c r="AZ3369" s="68" t="str">
        <f t="shared" si="341"/>
        <v>No</v>
      </c>
      <c r="BA3369" s="68" t="str">
        <f t="shared" si="342"/>
        <v>No</v>
      </c>
    </row>
    <row r="3370" spans="1:55" s="77" customFormat="1" hidden="1">
      <c r="A3370" t="s">
        <v>3914</v>
      </c>
      <c r="B3370"/>
      <c r="C3370"/>
      <c r="D3370" s="25"/>
      <c r="E3370" s="25"/>
      <c r="F3370"/>
      <c r="G3370" t="s">
        <v>3999</v>
      </c>
      <c r="H3370"/>
      <c r="I3370"/>
      <c r="J3370"/>
      <c r="K3370"/>
      <c r="L3370"/>
      <c r="M3370" s="25"/>
      <c r="N3370"/>
      <c r="O3370"/>
      <c r="P3370" t="s">
        <v>60</v>
      </c>
      <c r="Q3370"/>
      <c r="R3370" t="s">
        <v>4005</v>
      </c>
      <c r="S3370" t="s">
        <v>4010</v>
      </c>
      <c r="T3370"/>
      <c r="U3370"/>
      <c r="V3370" t="s">
        <v>3956</v>
      </c>
      <c r="W3370" s="25"/>
      <c r="X3370"/>
      <c r="Y3370"/>
      <c r="Z3370">
        <v>17</v>
      </c>
      <c r="AA3370">
        <v>18</v>
      </c>
      <c r="AB3370"/>
      <c r="AC3370">
        <v>380</v>
      </c>
      <c r="AD3370">
        <v>20</v>
      </c>
      <c r="AE3370">
        <v>1000</v>
      </c>
      <c r="AF3370">
        <v>20</v>
      </c>
      <c r="AG3370"/>
      <c r="AH3370"/>
      <c r="AI3370"/>
      <c r="AJ3370" t="s">
        <v>1792</v>
      </c>
      <c r="AK3370" t="s">
        <v>904</v>
      </c>
      <c r="AL3370" s="25"/>
      <c r="AM3370" s="35"/>
      <c r="AN3370">
        <v>10.26</v>
      </c>
      <c r="AO3370">
        <v>6.26</v>
      </c>
      <c r="AP3370">
        <v>12.82</v>
      </c>
      <c r="AQ3370">
        <v>7.45</v>
      </c>
      <c r="AR3370"/>
      <c r="AS3370"/>
      <c r="AT3370"/>
      <c r="AU3370"/>
      <c r="AV3370"/>
      <c r="AW3370" s="28">
        <f t="shared" si="338"/>
        <v>0.3710836907855764</v>
      </c>
      <c r="AX3370">
        <f t="shared" si="339"/>
        <v>0.97709923664122134</v>
      </c>
      <c r="AY3370" s="62">
        <f t="shared" si="340"/>
        <v>0.36258559099659371</v>
      </c>
      <c r="AZ3370" s="68" t="str">
        <f t="shared" si="341"/>
        <v>No</v>
      </c>
      <c r="BA3370" s="68" t="str">
        <f t="shared" si="342"/>
        <v>No</v>
      </c>
      <c r="BB3370"/>
      <c r="BC3370"/>
    </row>
    <row r="3371" spans="1:55" hidden="1">
      <c r="A3371" t="s">
        <v>3914</v>
      </c>
      <c r="G3371" t="s">
        <v>3999</v>
      </c>
      <c r="P3371" t="s">
        <v>60</v>
      </c>
      <c r="R3371" t="s">
        <v>4005</v>
      </c>
      <c r="S3371" t="s">
        <v>4009</v>
      </c>
      <c r="V3371" t="s">
        <v>3956</v>
      </c>
      <c r="Z3371">
        <v>13</v>
      </c>
      <c r="AA3371">
        <v>18</v>
      </c>
      <c r="AC3371">
        <v>380</v>
      </c>
      <c r="AD3371">
        <v>20</v>
      </c>
      <c r="AE3371">
        <v>1000</v>
      </c>
      <c r="AF3371">
        <v>20</v>
      </c>
      <c r="AJ3371" t="s">
        <v>1792</v>
      </c>
      <c r="AK3371" t="s">
        <v>904</v>
      </c>
      <c r="AN3371">
        <v>9.9600000000000009</v>
      </c>
      <c r="AO3371">
        <v>4.8</v>
      </c>
      <c r="AP3371">
        <v>8.5500000000000007</v>
      </c>
      <c r="AQ3371">
        <v>7.8</v>
      </c>
      <c r="AW3371" s="28">
        <f t="shared" si="338"/>
        <v>-0.20972805137652406</v>
      </c>
      <c r="AX3371">
        <f t="shared" si="339"/>
        <v>0.97391304347826091</v>
      </c>
      <c r="AY3371" s="62">
        <f t="shared" si="340"/>
        <v>-0.20425688481887561</v>
      </c>
      <c r="AZ3371" s="68" t="str">
        <f t="shared" si="341"/>
        <v>No</v>
      </c>
      <c r="BA3371" s="68" t="str">
        <f t="shared" si="342"/>
        <v>No</v>
      </c>
    </row>
    <row r="3372" spans="1:55" hidden="1">
      <c r="A3372" t="s">
        <v>3914</v>
      </c>
      <c r="G3372" t="s">
        <v>4000</v>
      </c>
      <c r="P3372" t="s">
        <v>60</v>
      </c>
      <c r="R3372" t="s">
        <v>4005</v>
      </c>
      <c r="S3372" t="s">
        <v>4015</v>
      </c>
      <c r="V3372" t="s">
        <v>3956</v>
      </c>
      <c r="Z3372">
        <v>6</v>
      </c>
      <c r="AA3372">
        <v>4</v>
      </c>
      <c r="AC3372">
        <v>303.3</v>
      </c>
      <c r="AD3372">
        <v>10</v>
      </c>
      <c r="AE3372">
        <v>631.20000000000005</v>
      </c>
      <c r="AF3372">
        <v>10</v>
      </c>
      <c r="AJ3372" t="s">
        <v>4019</v>
      </c>
      <c r="AK3372" t="s">
        <v>3983</v>
      </c>
      <c r="AN3372">
        <v>3.5999999999999999E-3</v>
      </c>
      <c r="AO3372">
        <v>1.0777754868245982E-3</v>
      </c>
      <c r="AP3372">
        <v>2.2000000000000001E-3</v>
      </c>
      <c r="AQ3372">
        <v>5.8E-4</v>
      </c>
      <c r="AW3372" s="28">
        <f t="shared" si="338"/>
        <v>-1.5165963677351568</v>
      </c>
      <c r="AX3372">
        <f t="shared" si="339"/>
        <v>0.90322580645161288</v>
      </c>
      <c r="AY3372" s="62">
        <f t="shared" si="340"/>
        <v>-1.3698289773091739</v>
      </c>
      <c r="AZ3372" s="68" t="str">
        <f t="shared" si="341"/>
        <v>No</v>
      </c>
      <c r="BA3372" s="68" t="str">
        <f t="shared" si="342"/>
        <v>No</v>
      </c>
    </row>
    <row r="3373" spans="1:55" hidden="1">
      <c r="A3373" t="s">
        <v>3914</v>
      </c>
      <c r="G3373" t="s">
        <v>4000</v>
      </c>
      <c r="P3373" t="s">
        <v>60</v>
      </c>
      <c r="R3373" t="s">
        <v>4005</v>
      </c>
      <c r="S3373" t="s">
        <v>1008</v>
      </c>
      <c r="V3373" t="s">
        <v>3956</v>
      </c>
      <c r="Z3373">
        <v>7</v>
      </c>
      <c r="AA3373">
        <v>8</v>
      </c>
      <c r="AC3373">
        <v>303.3</v>
      </c>
      <c r="AD3373">
        <v>10</v>
      </c>
      <c r="AE3373">
        <v>631.20000000000005</v>
      </c>
      <c r="AF3373">
        <v>10</v>
      </c>
      <c r="AJ3373" t="s">
        <v>4019</v>
      </c>
      <c r="AK3373" t="s">
        <v>3983</v>
      </c>
      <c r="AN3373">
        <v>1.4E-3</v>
      </c>
      <c r="AO3373">
        <v>6.8789534087679348E-4</v>
      </c>
      <c r="AP3373">
        <v>1.49E-3</v>
      </c>
      <c r="AQ3373">
        <v>5.9396969619669997E-4</v>
      </c>
      <c r="AW3373" s="28">
        <f t="shared" si="338"/>
        <v>0.14083675286802336</v>
      </c>
      <c r="AX3373">
        <f t="shared" si="339"/>
        <v>0.94117647058823528</v>
      </c>
      <c r="AY3373" s="78">
        <f t="shared" si="340"/>
        <v>0.13255223799343374</v>
      </c>
      <c r="AZ3373" s="79" t="str">
        <f t="shared" si="341"/>
        <v>No</v>
      </c>
      <c r="BA3373" s="79" t="str">
        <f t="shared" si="342"/>
        <v>No</v>
      </c>
      <c r="BB3373" s="77"/>
      <c r="BC3373" s="77"/>
    </row>
    <row r="3374" spans="1:55" hidden="1">
      <c r="A3374" t="s">
        <v>3914</v>
      </c>
      <c r="G3374" t="s">
        <v>4000</v>
      </c>
      <c r="P3374" t="s">
        <v>60</v>
      </c>
      <c r="R3374" t="s">
        <v>4005</v>
      </c>
      <c r="S3374" t="s">
        <v>4014</v>
      </c>
      <c r="V3374" t="s">
        <v>3956</v>
      </c>
      <c r="Z3374">
        <v>8</v>
      </c>
      <c r="AA3374">
        <v>4</v>
      </c>
      <c r="AC3374">
        <v>324.8</v>
      </c>
      <c r="AD3374">
        <v>10</v>
      </c>
      <c r="AE3374">
        <v>742.4</v>
      </c>
      <c r="AF3374">
        <v>10</v>
      </c>
      <c r="AJ3374" t="s">
        <v>4019</v>
      </c>
      <c r="AK3374" t="s">
        <v>3983</v>
      </c>
      <c r="AN3374">
        <v>6.2599999999999999E-3</v>
      </c>
      <c r="AO3374">
        <v>3.2887687665751142E-3</v>
      </c>
      <c r="AP3374">
        <v>5.0800000000000003E-3</v>
      </c>
      <c r="AQ3374">
        <v>9.7999999999999997E-4</v>
      </c>
      <c r="AW3374" s="28">
        <f t="shared" si="338"/>
        <v>-0.42091026896203609</v>
      </c>
      <c r="AX3374">
        <f t="shared" si="339"/>
        <v>0.92307692307692313</v>
      </c>
      <c r="AY3374" s="62">
        <f t="shared" si="340"/>
        <v>-0.38853255596495639</v>
      </c>
      <c r="AZ3374" s="68" t="str">
        <f t="shared" si="341"/>
        <v>No</v>
      </c>
      <c r="BA3374" s="68" t="str">
        <f t="shared" si="342"/>
        <v>No</v>
      </c>
    </row>
    <row r="3375" spans="1:55" hidden="1">
      <c r="A3375" t="s">
        <v>3914</v>
      </c>
      <c r="G3375" t="s">
        <v>4000</v>
      </c>
      <c r="P3375" t="s">
        <v>60</v>
      </c>
      <c r="R3375" t="s">
        <v>4005</v>
      </c>
      <c r="S3375" t="s">
        <v>4015</v>
      </c>
      <c r="V3375" t="s">
        <v>3956</v>
      </c>
      <c r="Z3375">
        <v>10</v>
      </c>
      <c r="AA3375">
        <v>8</v>
      </c>
      <c r="AC3375">
        <v>324.8</v>
      </c>
      <c r="AD3375">
        <v>10</v>
      </c>
      <c r="AE3375">
        <v>742.4</v>
      </c>
      <c r="AF3375">
        <v>10</v>
      </c>
      <c r="AJ3375" t="s">
        <v>4019</v>
      </c>
      <c r="AK3375" t="s">
        <v>3983</v>
      </c>
      <c r="AN3375">
        <v>4.0000000000000001E-3</v>
      </c>
      <c r="AO3375">
        <v>1.2016655108639843E-3</v>
      </c>
      <c r="AP3375">
        <v>2.8900000000000002E-3</v>
      </c>
      <c r="AQ3375">
        <v>9.8994949366116658E-4</v>
      </c>
      <c r="AW3375" s="28">
        <f t="shared" si="338"/>
        <v>-0.99640772990899706</v>
      </c>
      <c r="AX3375">
        <f t="shared" si="339"/>
        <v>0.95238095238095233</v>
      </c>
      <c r="AY3375" s="78">
        <f t="shared" si="340"/>
        <v>-0.94895974277047335</v>
      </c>
      <c r="AZ3375" s="79" t="str">
        <f t="shared" si="341"/>
        <v>No</v>
      </c>
      <c r="BA3375" s="79" t="str">
        <f t="shared" si="342"/>
        <v>No</v>
      </c>
      <c r="BB3375" s="77"/>
      <c r="BC3375" s="77"/>
    </row>
    <row r="3376" spans="1:55" hidden="1">
      <c r="A3376" t="s">
        <v>3914</v>
      </c>
      <c r="G3376" t="s">
        <v>4000</v>
      </c>
      <c r="P3376" t="s">
        <v>60</v>
      </c>
      <c r="R3376" t="s">
        <v>4005</v>
      </c>
      <c r="S3376" t="s">
        <v>824</v>
      </c>
      <c r="V3376" t="s">
        <v>3956</v>
      </c>
      <c r="Z3376">
        <v>12</v>
      </c>
      <c r="AA3376">
        <v>13</v>
      </c>
      <c r="AC3376">
        <v>324.8</v>
      </c>
      <c r="AD3376">
        <v>10</v>
      </c>
      <c r="AE3376">
        <v>742.4</v>
      </c>
      <c r="AF3376">
        <v>10</v>
      </c>
      <c r="AJ3376" t="s">
        <v>4019</v>
      </c>
      <c r="AK3376" t="s">
        <v>3983</v>
      </c>
      <c r="AN3376">
        <v>2.81E-3</v>
      </c>
      <c r="AO3376">
        <v>1.2817175976009691E-3</v>
      </c>
      <c r="AP3376">
        <v>2.8400000000000001E-3</v>
      </c>
      <c r="AQ3376">
        <v>1.1177208953938365E-3</v>
      </c>
      <c r="AW3376" s="28">
        <f t="shared" si="338"/>
        <v>2.5021767526979773E-2</v>
      </c>
      <c r="AX3376">
        <f t="shared" si="339"/>
        <v>0.96703296703296704</v>
      </c>
      <c r="AY3376" s="62">
        <f t="shared" si="340"/>
        <v>2.4196874092024395E-2</v>
      </c>
      <c r="AZ3376" s="68" t="str">
        <f t="shared" si="341"/>
        <v>No</v>
      </c>
      <c r="BA3376" s="68" t="str">
        <f t="shared" si="342"/>
        <v>No</v>
      </c>
    </row>
    <row r="3377" spans="1:55" hidden="1">
      <c r="A3377" t="s">
        <v>3914</v>
      </c>
      <c r="G3377" t="s">
        <v>4000</v>
      </c>
      <c r="P3377" t="s">
        <v>60</v>
      </c>
      <c r="R3377" t="s">
        <v>4005</v>
      </c>
      <c r="S3377" t="s">
        <v>4014</v>
      </c>
      <c r="V3377" t="s">
        <v>3956</v>
      </c>
      <c r="Z3377">
        <v>5</v>
      </c>
      <c r="AA3377">
        <v>8</v>
      </c>
      <c r="AC3377">
        <v>303.3</v>
      </c>
      <c r="AD3377">
        <v>10</v>
      </c>
      <c r="AE3377">
        <v>631.20000000000005</v>
      </c>
      <c r="AF3377">
        <v>10</v>
      </c>
      <c r="AJ3377" t="s">
        <v>4019</v>
      </c>
      <c r="AK3377" t="s">
        <v>3983</v>
      </c>
      <c r="AN3377">
        <v>1.3299999999999999E-2</v>
      </c>
      <c r="AO3377">
        <v>1.3863621460498696E-3</v>
      </c>
      <c r="AP3377">
        <v>1.5559999999999999E-2</v>
      </c>
      <c r="AQ3377">
        <v>4.2143564158718238E-3</v>
      </c>
      <c r="AW3377" s="28">
        <f t="shared" si="338"/>
        <v>0.65237219799724455</v>
      </c>
      <c r="AX3377">
        <f t="shared" si="339"/>
        <v>0.93023255813953487</v>
      </c>
      <c r="AY3377" s="78">
        <f t="shared" si="340"/>
        <v>0.60685785860208796</v>
      </c>
      <c r="AZ3377" s="79" t="str">
        <f t="shared" si="341"/>
        <v>No</v>
      </c>
      <c r="BA3377" s="79" t="str">
        <f t="shared" si="342"/>
        <v>No</v>
      </c>
      <c r="BB3377" s="77"/>
      <c r="BC3377" s="77"/>
    </row>
    <row r="3378" spans="1:55" hidden="1">
      <c r="A3378" t="s">
        <v>3914</v>
      </c>
      <c r="G3378" t="s">
        <v>4000</v>
      </c>
      <c r="P3378" t="s">
        <v>60</v>
      </c>
      <c r="R3378" t="s">
        <v>4005</v>
      </c>
      <c r="S3378" t="s">
        <v>4012</v>
      </c>
      <c r="V3378" t="s">
        <v>3956</v>
      </c>
      <c r="Z3378">
        <v>9</v>
      </c>
      <c r="AA3378">
        <v>9</v>
      </c>
      <c r="AC3378">
        <v>324.8</v>
      </c>
      <c r="AD3378">
        <v>10</v>
      </c>
      <c r="AE3378">
        <v>742.4</v>
      </c>
      <c r="AF3378">
        <v>10</v>
      </c>
      <c r="AJ3378" t="s">
        <v>4019</v>
      </c>
      <c r="AK3378" t="s">
        <v>3983</v>
      </c>
      <c r="AN3378">
        <v>1.8759999999999999E-2</v>
      </c>
      <c r="AO3378">
        <v>1.188E-2</v>
      </c>
      <c r="AP3378">
        <v>1.6830000000000001E-2</v>
      </c>
      <c r="AQ3378">
        <v>8.5199999999999998E-3</v>
      </c>
      <c r="AW3378" s="28">
        <f t="shared" si="338"/>
        <v>-0.18670022750646259</v>
      </c>
      <c r="AX3378">
        <f t="shared" si="339"/>
        <v>0.95238095238095233</v>
      </c>
      <c r="AY3378" s="62">
        <f t="shared" si="340"/>
        <v>-0.17780974048234532</v>
      </c>
      <c r="AZ3378" s="68" t="str">
        <f t="shared" si="341"/>
        <v>No</v>
      </c>
      <c r="BA3378" s="68" t="str">
        <f t="shared" si="342"/>
        <v>No</v>
      </c>
    </row>
    <row r="3379" spans="1:55" hidden="1">
      <c r="A3379" t="s">
        <v>3914</v>
      </c>
      <c r="G3379" t="s">
        <v>4000</v>
      </c>
      <c r="P3379" t="s">
        <v>60</v>
      </c>
      <c r="R3379" t="s">
        <v>4005</v>
      </c>
      <c r="S3379" t="s">
        <v>4013</v>
      </c>
      <c r="V3379" t="s">
        <v>3956</v>
      </c>
      <c r="Z3379">
        <v>8</v>
      </c>
      <c r="AA3379">
        <v>10</v>
      </c>
      <c r="AC3379">
        <v>324.8</v>
      </c>
      <c r="AD3379">
        <v>10</v>
      </c>
      <c r="AE3379">
        <v>742.4</v>
      </c>
      <c r="AF3379">
        <v>10</v>
      </c>
      <c r="AJ3379" t="s">
        <v>4019</v>
      </c>
      <c r="AK3379" t="s">
        <v>3983</v>
      </c>
      <c r="AN3379">
        <v>3.7179999999999998E-2</v>
      </c>
      <c r="AO3379">
        <v>8.9378297141979608E-3</v>
      </c>
      <c r="AP3379">
        <v>3.5889999999999998E-2</v>
      </c>
      <c r="AQ3379">
        <v>8.5381496824546259E-3</v>
      </c>
      <c r="AW3379" s="28">
        <f t="shared" si="338"/>
        <v>-0.14801614744027791</v>
      </c>
      <c r="AX3379">
        <f t="shared" si="339"/>
        <v>0.95238095238095233</v>
      </c>
      <c r="AY3379" s="62">
        <f t="shared" si="340"/>
        <v>-0.14096775946693132</v>
      </c>
      <c r="AZ3379" s="68" t="str">
        <f t="shared" si="341"/>
        <v>No</v>
      </c>
      <c r="BA3379" s="68" t="str">
        <f t="shared" si="342"/>
        <v>No</v>
      </c>
    </row>
    <row r="3380" spans="1:55" hidden="1">
      <c r="A3380" t="s">
        <v>3914</v>
      </c>
      <c r="G3380" t="s">
        <v>4000</v>
      </c>
      <c r="P3380" t="s">
        <v>60</v>
      </c>
      <c r="R3380" t="s">
        <v>4005</v>
      </c>
      <c r="S3380" t="s">
        <v>4009</v>
      </c>
      <c r="V3380" t="s">
        <v>3956</v>
      </c>
      <c r="Z3380">
        <v>9</v>
      </c>
      <c r="AA3380">
        <v>8</v>
      </c>
      <c r="AC3380">
        <v>303.3</v>
      </c>
      <c r="AD3380">
        <v>10</v>
      </c>
      <c r="AE3380">
        <v>631.20000000000005</v>
      </c>
      <c r="AF3380">
        <v>10</v>
      </c>
      <c r="AJ3380" t="s">
        <v>4019</v>
      </c>
      <c r="AK3380" t="s">
        <v>3983</v>
      </c>
      <c r="AN3380">
        <v>2.6460000000000001E-2</v>
      </c>
      <c r="AO3380">
        <v>7.7399999999999995E-3</v>
      </c>
      <c r="AP3380">
        <v>2.3550000000000001E-2</v>
      </c>
      <c r="AQ3380">
        <v>1.0436896090313442E-2</v>
      </c>
      <c r="AW3380" s="28">
        <f t="shared" si="338"/>
        <v>-0.31983012350680995</v>
      </c>
      <c r="AX3380">
        <f t="shared" si="339"/>
        <v>0.94915254237288138</v>
      </c>
      <c r="AY3380" s="78">
        <f t="shared" si="340"/>
        <v>-0.30356757485392133</v>
      </c>
      <c r="AZ3380" s="79" t="str">
        <f t="shared" si="341"/>
        <v>No</v>
      </c>
      <c r="BA3380" s="79" t="str">
        <f t="shared" si="342"/>
        <v>No</v>
      </c>
      <c r="BB3380" s="77"/>
      <c r="BC3380" s="77"/>
    </row>
    <row r="3381" spans="1:55" hidden="1">
      <c r="A3381" t="s">
        <v>3914</v>
      </c>
      <c r="G3381" t="s">
        <v>4000</v>
      </c>
      <c r="P3381" t="s">
        <v>60</v>
      </c>
      <c r="R3381" t="s">
        <v>4005</v>
      </c>
      <c r="S3381" t="s">
        <v>4009</v>
      </c>
      <c r="V3381" t="s">
        <v>3956</v>
      </c>
      <c r="Z3381">
        <v>10</v>
      </c>
      <c r="AA3381">
        <v>8</v>
      </c>
      <c r="AC3381">
        <v>324.8</v>
      </c>
      <c r="AD3381">
        <v>10</v>
      </c>
      <c r="AE3381">
        <v>742.4</v>
      </c>
      <c r="AF3381">
        <v>10</v>
      </c>
      <c r="AJ3381" t="s">
        <v>4019</v>
      </c>
      <c r="AK3381" t="s">
        <v>3983</v>
      </c>
      <c r="AN3381">
        <v>1.9439999999999999E-2</v>
      </c>
      <c r="AO3381">
        <v>1.290209285348699E-2</v>
      </c>
      <c r="AP3381">
        <v>1.41E-2</v>
      </c>
      <c r="AQ3381">
        <v>1.2303657992645926E-2</v>
      </c>
      <c r="AW3381" s="28">
        <f t="shared" si="338"/>
        <v>-0.42234261111594468</v>
      </c>
      <c r="AX3381">
        <f t="shared" si="339"/>
        <v>0.95238095238095233</v>
      </c>
      <c r="AY3381" s="62">
        <f t="shared" si="340"/>
        <v>-0.40223105820566157</v>
      </c>
      <c r="AZ3381" s="68" t="str">
        <f t="shared" si="341"/>
        <v>No</v>
      </c>
      <c r="BA3381" s="68" t="str">
        <f t="shared" si="342"/>
        <v>No</v>
      </c>
    </row>
    <row r="3382" spans="1:55" hidden="1">
      <c r="A3382" t="s">
        <v>3914</v>
      </c>
      <c r="G3382" t="s">
        <v>4000</v>
      </c>
      <c r="P3382" t="s">
        <v>60</v>
      </c>
      <c r="R3382" t="s">
        <v>4005</v>
      </c>
      <c r="S3382" t="s">
        <v>4016</v>
      </c>
      <c r="V3382" t="s">
        <v>3956</v>
      </c>
      <c r="Z3382">
        <v>4</v>
      </c>
      <c r="AA3382">
        <v>7</v>
      </c>
      <c r="AC3382">
        <v>303.3</v>
      </c>
      <c r="AD3382">
        <v>10</v>
      </c>
      <c r="AE3382">
        <v>631.20000000000005</v>
      </c>
      <c r="AF3382">
        <v>10</v>
      </c>
      <c r="AJ3382" t="s">
        <v>4019</v>
      </c>
      <c r="AK3382" t="s">
        <v>3983</v>
      </c>
      <c r="AN3382">
        <v>1.8290000000000001E-2</v>
      </c>
      <c r="AO3382">
        <v>1.1259999999999999E-2</v>
      </c>
      <c r="AP3382">
        <v>2.1299999999999999E-2</v>
      </c>
      <c r="AQ3382">
        <v>1.6826978338370796E-2</v>
      </c>
      <c r="AW3382" s="28">
        <f t="shared" si="338"/>
        <v>0.19803174436564386</v>
      </c>
      <c r="AX3382">
        <f t="shared" si="339"/>
        <v>0.91428571428571426</v>
      </c>
      <c r="AY3382" s="78">
        <f t="shared" si="340"/>
        <v>0.18105759484858866</v>
      </c>
      <c r="AZ3382" s="79" t="str">
        <f t="shared" si="341"/>
        <v>No</v>
      </c>
      <c r="BA3382" s="79" t="str">
        <f t="shared" si="342"/>
        <v>No</v>
      </c>
      <c r="BB3382" s="77"/>
      <c r="BC3382" s="77"/>
    </row>
    <row r="3383" spans="1:55" hidden="1">
      <c r="A3383" t="s">
        <v>3914</v>
      </c>
      <c r="G3383" t="s">
        <v>4000</v>
      </c>
      <c r="P3383" t="s">
        <v>60</v>
      </c>
      <c r="R3383" t="s">
        <v>4005</v>
      </c>
      <c r="S3383" t="s">
        <v>4014</v>
      </c>
      <c r="V3383" t="s">
        <v>3956</v>
      </c>
      <c r="Z3383">
        <v>5</v>
      </c>
      <c r="AA3383">
        <v>8</v>
      </c>
      <c r="AC3383">
        <v>303.3</v>
      </c>
      <c r="AD3383">
        <v>10</v>
      </c>
      <c r="AE3383">
        <v>631.20000000000005</v>
      </c>
      <c r="AF3383">
        <v>10</v>
      </c>
      <c r="AJ3383" t="s">
        <v>108</v>
      </c>
      <c r="AK3383" t="s">
        <v>904</v>
      </c>
      <c r="AN3383">
        <v>3.53</v>
      </c>
      <c r="AO3383">
        <v>0.98386991009990754</v>
      </c>
      <c r="AP3383">
        <v>3.34</v>
      </c>
      <c r="AQ3383">
        <v>1.1596551211459381</v>
      </c>
      <c r="AW3383" s="28">
        <f t="shared" si="338"/>
        <v>-0.1728858132578972</v>
      </c>
      <c r="AX3383">
        <f t="shared" si="339"/>
        <v>0.93023255813953487</v>
      </c>
      <c r="AY3383" s="62">
        <f t="shared" si="340"/>
        <v>-0.16082401233292762</v>
      </c>
      <c r="AZ3383" s="68" t="str">
        <f t="shared" si="341"/>
        <v>No</v>
      </c>
      <c r="BA3383" s="68" t="str">
        <f t="shared" si="342"/>
        <v>No</v>
      </c>
    </row>
    <row r="3384" spans="1:55" hidden="1">
      <c r="A3384" t="s">
        <v>3914</v>
      </c>
      <c r="G3384" t="s">
        <v>4000</v>
      </c>
      <c r="P3384" t="s">
        <v>60</v>
      </c>
      <c r="R3384" t="s">
        <v>4005</v>
      </c>
      <c r="S3384" t="s">
        <v>4016</v>
      </c>
      <c r="V3384" t="s">
        <v>3956</v>
      </c>
      <c r="Z3384">
        <v>4</v>
      </c>
      <c r="AA3384">
        <v>7</v>
      </c>
      <c r="AC3384">
        <v>303.3</v>
      </c>
      <c r="AD3384">
        <v>10</v>
      </c>
      <c r="AE3384">
        <v>631.20000000000005</v>
      </c>
      <c r="AF3384">
        <v>10</v>
      </c>
      <c r="AJ3384" t="s">
        <v>108</v>
      </c>
      <c r="AK3384" t="s">
        <v>904</v>
      </c>
      <c r="AN3384">
        <v>3.41</v>
      </c>
      <c r="AO3384">
        <v>1.1200000000000001</v>
      </c>
      <c r="AP3384">
        <v>3.53</v>
      </c>
      <c r="AQ3384">
        <v>1.5080782473068166</v>
      </c>
      <c r="AW3384" s="28">
        <f t="shared" si="338"/>
        <v>8.6281083078853349E-2</v>
      </c>
      <c r="AX3384">
        <f t="shared" si="339"/>
        <v>0.91428571428571426</v>
      </c>
      <c r="AY3384" s="62">
        <f t="shared" si="340"/>
        <v>7.8885561672094484E-2</v>
      </c>
      <c r="AZ3384" s="68" t="str">
        <f t="shared" si="341"/>
        <v>No</v>
      </c>
      <c r="BA3384" s="68" t="str">
        <f t="shared" si="342"/>
        <v>No</v>
      </c>
    </row>
    <row r="3385" spans="1:55" hidden="1">
      <c r="A3385" t="s">
        <v>3914</v>
      </c>
      <c r="G3385" t="s">
        <v>4000</v>
      </c>
      <c r="P3385" t="s">
        <v>60</v>
      </c>
      <c r="R3385" t="s">
        <v>4005</v>
      </c>
      <c r="S3385" t="s">
        <v>4013</v>
      </c>
      <c r="V3385" t="s">
        <v>3956</v>
      </c>
      <c r="Z3385">
        <v>8</v>
      </c>
      <c r="AA3385">
        <v>10</v>
      </c>
      <c r="AC3385">
        <v>324.8</v>
      </c>
      <c r="AD3385">
        <v>10</v>
      </c>
      <c r="AE3385">
        <v>742.4</v>
      </c>
      <c r="AF3385">
        <v>10</v>
      </c>
      <c r="AJ3385" t="s">
        <v>108</v>
      </c>
      <c r="AK3385" t="s">
        <v>904</v>
      </c>
      <c r="AN3385">
        <v>4.4400000000000004</v>
      </c>
      <c r="AO3385">
        <v>1.5839191898578666</v>
      </c>
      <c r="AP3385">
        <v>4.09</v>
      </c>
      <c r="AQ3385">
        <v>1.6127616066858736</v>
      </c>
      <c r="AW3385" s="28">
        <f t="shared" si="338"/>
        <v>-0.21872170043888359</v>
      </c>
      <c r="AX3385">
        <f t="shared" si="339"/>
        <v>0.95238095238095233</v>
      </c>
      <c r="AY3385" s="62">
        <f t="shared" si="340"/>
        <v>-0.20830638137036531</v>
      </c>
      <c r="AZ3385" s="68" t="str">
        <f t="shared" si="341"/>
        <v>No</v>
      </c>
      <c r="BA3385" s="68" t="str">
        <f t="shared" si="342"/>
        <v>No</v>
      </c>
    </row>
    <row r="3386" spans="1:55" hidden="1">
      <c r="A3386" t="s">
        <v>3914</v>
      </c>
      <c r="G3386" t="s">
        <v>4000</v>
      </c>
      <c r="P3386" t="s">
        <v>60</v>
      </c>
      <c r="R3386" t="s">
        <v>4005</v>
      </c>
      <c r="S3386" t="s">
        <v>4009</v>
      </c>
      <c r="V3386" t="s">
        <v>3956</v>
      </c>
      <c r="Z3386">
        <v>9</v>
      </c>
      <c r="AA3386">
        <v>8</v>
      </c>
      <c r="AC3386">
        <v>303.3</v>
      </c>
      <c r="AD3386">
        <v>10</v>
      </c>
      <c r="AE3386">
        <v>631.20000000000005</v>
      </c>
      <c r="AF3386">
        <v>10</v>
      </c>
      <c r="AJ3386" t="s">
        <v>108</v>
      </c>
      <c r="AK3386" t="s">
        <v>904</v>
      </c>
      <c r="AN3386">
        <v>5.43</v>
      </c>
      <c r="AO3386">
        <v>1.35</v>
      </c>
      <c r="AP3386">
        <v>4.3899999999999997</v>
      </c>
      <c r="AQ3386">
        <v>1.697056274847714</v>
      </c>
      <c r="AW3386" s="28">
        <f t="shared" si="338"/>
        <v>-0.68338282814979867</v>
      </c>
      <c r="AX3386">
        <f t="shared" si="339"/>
        <v>0.94915254237288138</v>
      </c>
      <c r="AY3386" s="62">
        <f t="shared" si="340"/>
        <v>-0.64863454875235127</v>
      </c>
      <c r="AZ3386" s="68" t="str">
        <f t="shared" si="341"/>
        <v>No</v>
      </c>
      <c r="BA3386" s="68" t="str">
        <f t="shared" si="342"/>
        <v>No</v>
      </c>
    </row>
    <row r="3387" spans="1:55" hidden="1">
      <c r="A3387" t="s">
        <v>3914</v>
      </c>
      <c r="G3387" t="s">
        <v>4000</v>
      </c>
      <c r="P3387" t="s">
        <v>60</v>
      </c>
      <c r="R3387" t="s">
        <v>4005</v>
      </c>
      <c r="S3387" t="s">
        <v>1008</v>
      </c>
      <c r="V3387" t="s">
        <v>3956</v>
      </c>
      <c r="Z3387">
        <v>7</v>
      </c>
      <c r="AA3387">
        <v>8</v>
      </c>
      <c r="AC3387">
        <v>303.3</v>
      </c>
      <c r="AD3387">
        <v>10</v>
      </c>
      <c r="AE3387">
        <v>631.20000000000005</v>
      </c>
      <c r="AF3387">
        <v>10</v>
      </c>
      <c r="AJ3387" t="s">
        <v>108</v>
      </c>
      <c r="AK3387" t="s">
        <v>904</v>
      </c>
      <c r="AN3387">
        <v>5.26</v>
      </c>
      <c r="AO3387">
        <v>3.0955290339455708</v>
      </c>
      <c r="AP3387">
        <v>5.51</v>
      </c>
      <c r="AQ3387">
        <v>1.9516147160748711</v>
      </c>
      <c r="AW3387" s="28">
        <f t="shared" si="338"/>
        <v>9.8258626826296228E-2</v>
      </c>
      <c r="AX3387">
        <f t="shared" si="339"/>
        <v>0.94117647058823528</v>
      </c>
      <c r="AY3387" s="62">
        <f t="shared" si="340"/>
        <v>9.2478707601219984E-2</v>
      </c>
      <c r="AZ3387" s="68" t="str">
        <f t="shared" si="341"/>
        <v>No</v>
      </c>
      <c r="BA3387" s="68" t="str">
        <f t="shared" si="342"/>
        <v>No</v>
      </c>
    </row>
    <row r="3388" spans="1:55" hidden="1">
      <c r="A3388" t="s">
        <v>3914</v>
      </c>
      <c r="G3388" t="s">
        <v>4000</v>
      </c>
      <c r="P3388" t="s">
        <v>60</v>
      </c>
      <c r="R3388" t="s">
        <v>4005</v>
      </c>
      <c r="S3388" t="s">
        <v>824</v>
      </c>
      <c r="V3388" t="s">
        <v>3956</v>
      </c>
      <c r="Z3388">
        <v>12</v>
      </c>
      <c r="AA3388">
        <v>13</v>
      </c>
      <c r="AC3388">
        <v>324.8</v>
      </c>
      <c r="AD3388">
        <v>10</v>
      </c>
      <c r="AE3388">
        <v>742.4</v>
      </c>
      <c r="AF3388">
        <v>10</v>
      </c>
      <c r="AJ3388" t="s">
        <v>108</v>
      </c>
      <c r="AK3388" t="s">
        <v>904</v>
      </c>
      <c r="AN3388">
        <v>10.33</v>
      </c>
      <c r="AO3388">
        <v>4.0529988897111719</v>
      </c>
      <c r="AP3388">
        <v>10.1</v>
      </c>
      <c r="AQ3388">
        <v>2.0191087142598341</v>
      </c>
      <c r="AW3388" s="28">
        <f t="shared" si="338"/>
        <v>-7.2793114643343218E-2</v>
      </c>
      <c r="AX3388">
        <f t="shared" si="339"/>
        <v>0.96703296703296704</v>
      </c>
      <c r="AY3388" s="62">
        <f t="shared" si="340"/>
        <v>-7.0393341633123108E-2</v>
      </c>
      <c r="AZ3388" s="68" t="str">
        <f t="shared" si="341"/>
        <v>No</v>
      </c>
      <c r="BA3388" s="68" t="str">
        <f t="shared" si="342"/>
        <v>No</v>
      </c>
    </row>
    <row r="3389" spans="1:55" hidden="1">
      <c r="A3389" t="s">
        <v>3914</v>
      </c>
      <c r="G3389" t="s">
        <v>4000</v>
      </c>
      <c r="P3389" t="s">
        <v>60</v>
      </c>
      <c r="R3389" t="s">
        <v>4005</v>
      </c>
      <c r="S3389" t="s">
        <v>4015</v>
      </c>
      <c r="V3389" t="s">
        <v>3956</v>
      </c>
      <c r="Z3389">
        <v>10</v>
      </c>
      <c r="AA3389">
        <v>8</v>
      </c>
      <c r="AC3389">
        <v>324.8</v>
      </c>
      <c r="AD3389">
        <v>10</v>
      </c>
      <c r="AE3389">
        <v>742.4</v>
      </c>
      <c r="AF3389">
        <v>10</v>
      </c>
      <c r="AJ3389" t="s">
        <v>108</v>
      </c>
      <c r="AK3389" t="s">
        <v>904</v>
      </c>
      <c r="AN3389">
        <v>13.96</v>
      </c>
      <c r="AO3389">
        <v>5.6920997883030831</v>
      </c>
      <c r="AP3389">
        <v>15.95</v>
      </c>
      <c r="AQ3389">
        <v>2.4607315985291853</v>
      </c>
      <c r="AW3389" s="28">
        <f t="shared" si="338"/>
        <v>0.43556068930393593</v>
      </c>
      <c r="AX3389">
        <f t="shared" si="339"/>
        <v>0.95238095238095233</v>
      </c>
      <c r="AY3389" s="62">
        <f t="shared" si="340"/>
        <v>0.41481970409898655</v>
      </c>
      <c r="AZ3389" s="68" t="str">
        <f t="shared" si="341"/>
        <v>No</v>
      </c>
      <c r="BA3389" s="68" t="str">
        <f t="shared" si="342"/>
        <v>No</v>
      </c>
    </row>
    <row r="3390" spans="1:55" hidden="1">
      <c r="A3390" t="s">
        <v>3914</v>
      </c>
      <c r="G3390" t="s">
        <v>4000</v>
      </c>
      <c r="P3390" t="s">
        <v>60</v>
      </c>
      <c r="R3390" t="s">
        <v>4005</v>
      </c>
      <c r="S3390" t="s">
        <v>4014</v>
      </c>
      <c r="V3390" t="s">
        <v>3956</v>
      </c>
      <c r="Z3390">
        <v>8</v>
      </c>
      <c r="AA3390">
        <v>4</v>
      </c>
      <c r="AC3390">
        <v>324.8</v>
      </c>
      <c r="AD3390">
        <v>10</v>
      </c>
      <c r="AE3390">
        <v>742.4</v>
      </c>
      <c r="AF3390">
        <v>10</v>
      </c>
      <c r="AJ3390" t="s">
        <v>108</v>
      </c>
      <c r="AK3390" t="s">
        <v>904</v>
      </c>
      <c r="AN3390">
        <v>14.3</v>
      </c>
      <c r="AO3390">
        <v>4.1860721446243616</v>
      </c>
      <c r="AP3390">
        <v>13.81</v>
      </c>
      <c r="AQ3390">
        <v>2.78</v>
      </c>
      <c r="AW3390" s="28">
        <f t="shared" si="338"/>
        <v>-0.12830584362355499</v>
      </c>
      <c r="AX3390">
        <f t="shared" si="339"/>
        <v>0.92307692307692313</v>
      </c>
      <c r="AY3390" s="62">
        <f t="shared" si="340"/>
        <v>-0.11843616334481999</v>
      </c>
      <c r="AZ3390" s="68" t="str">
        <f t="shared" si="341"/>
        <v>No</v>
      </c>
      <c r="BA3390" s="68" t="str">
        <f t="shared" si="342"/>
        <v>No</v>
      </c>
    </row>
    <row r="3391" spans="1:55" hidden="1">
      <c r="A3391" t="s">
        <v>3914</v>
      </c>
      <c r="G3391" t="s">
        <v>4000</v>
      </c>
      <c r="P3391" t="s">
        <v>60</v>
      </c>
      <c r="R3391" t="s">
        <v>4005</v>
      </c>
      <c r="S3391" t="s">
        <v>4012</v>
      </c>
      <c r="V3391" t="s">
        <v>3956</v>
      </c>
      <c r="Z3391">
        <v>9</v>
      </c>
      <c r="AA3391">
        <v>9</v>
      </c>
      <c r="AC3391">
        <v>324.8</v>
      </c>
      <c r="AD3391">
        <v>10</v>
      </c>
      <c r="AE3391">
        <v>742.4</v>
      </c>
      <c r="AF3391">
        <v>10</v>
      </c>
      <c r="AJ3391" t="s">
        <v>108</v>
      </c>
      <c r="AK3391" t="s">
        <v>904</v>
      </c>
      <c r="AN3391">
        <v>4.3099999999999996</v>
      </c>
      <c r="AO3391">
        <v>2.5499999999999998</v>
      </c>
      <c r="AP3391">
        <v>4.53</v>
      </c>
      <c r="AQ3391">
        <v>3.3899999999999997</v>
      </c>
      <c r="AW3391" s="28">
        <f t="shared" si="338"/>
        <v>7.3344335808952457E-2</v>
      </c>
      <c r="AX3391">
        <f t="shared" si="339"/>
        <v>0.95238095238095233</v>
      </c>
      <c r="AY3391" s="62">
        <f t="shared" si="340"/>
        <v>6.9851748389478524E-2</v>
      </c>
      <c r="AZ3391" s="68" t="str">
        <f t="shared" si="341"/>
        <v>No</v>
      </c>
      <c r="BA3391" s="68" t="str">
        <f t="shared" si="342"/>
        <v>No</v>
      </c>
    </row>
    <row r="3392" spans="1:55" hidden="1">
      <c r="A3392" t="s">
        <v>3914</v>
      </c>
      <c r="G3392" t="s">
        <v>4000</v>
      </c>
      <c r="P3392" t="s">
        <v>60</v>
      </c>
      <c r="R3392" t="s">
        <v>4005</v>
      </c>
      <c r="S3392" t="s">
        <v>4009</v>
      </c>
      <c r="V3392" t="s">
        <v>3956</v>
      </c>
      <c r="Z3392">
        <v>10</v>
      </c>
      <c r="AA3392">
        <v>8</v>
      </c>
      <c r="AC3392">
        <v>324.8</v>
      </c>
      <c r="AD3392">
        <v>10</v>
      </c>
      <c r="AE3392">
        <v>742.4</v>
      </c>
      <c r="AF3392">
        <v>10</v>
      </c>
      <c r="AJ3392" t="s">
        <v>108</v>
      </c>
      <c r="AK3392" t="s">
        <v>904</v>
      </c>
      <c r="AN3392">
        <v>7.81</v>
      </c>
      <c r="AO3392">
        <v>2.2452171387195494</v>
      </c>
      <c r="AP3392">
        <v>8.5500000000000007</v>
      </c>
      <c r="AQ3392">
        <v>4.1860721446243616</v>
      </c>
      <c r="AW3392" s="28">
        <f t="shared" si="338"/>
        <v>0.2283476193122132</v>
      </c>
      <c r="AX3392">
        <f t="shared" si="339"/>
        <v>0.95238095238095233</v>
      </c>
      <c r="AY3392" s="62">
        <f t="shared" si="340"/>
        <v>0.21747392315448874</v>
      </c>
      <c r="AZ3392" s="68" t="str">
        <f t="shared" si="341"/>
        <v>No</v>
      </c>
      <c r="BA3392" s="68" t="str">
        <f t="shared" si="342"/>
        <v>No</v>
      </c>
    </row>
    <row r="3393" spans="1:55" hidden="1">
      <c r="A3393" t="s">
        <v>3914</v>
      </c>
      <c r="G3393" t="s">
        <v>4000</v>
      </c>
      <c r="P3393" t="s">
        <v>60</v>
      </c>
      <c r="R3393" t="s">
        <v>4005</v>
      </c>
      <c r="S3393" t="s">
        <v>4015</v>
      </c>
      <c r="V3393" t="s">
        <v>3956</v>
      </c>
      <c r="Z3393">
        <v>6</v>
      </c>
      <c r="AA3393">
        <v>4</v>
      </c>
      <c r="AC3393">
        <v>303.3</v>
      </c>
      <c r="AD3393">
        <v>10</v>
      </c>
      <c r="AE3393">
        <v>631.20000000000005</v>
      </c>
      <c r="AF3393">
        <v>10</v>
      </c>
      <c r="AJ3393" t="s">
        <v>108</v>
      </c>
      <c r="AK3393" t="s">
        <v>904</v>
      </c>
      <c r="AN3393">
        <v>5.3</v>
      </c>
      <c r="AO3393">
        <v>2.9393876913398134</v>
      </c>
      <c r="AP3393">
        <v>7.73</v>
      </c>
      <c r="AQ3393">
        <v>4.28</v>
      </c>
      <c r="AW3393" s="28">
        <f t="shared" si="338"/>
        <v>0.69373660547355764</v>
      </c>
      <c r="AX3393">
        <f t="shared" si="339"/>
        <v>0.90322580645161288</v>
      </c>
      <c r="AY3393" s="62">
        <f t="shared" si="340"/>
        <v>0.6266008049438585</v>
      </c>
      <c r="AZ3393" s="68" t="str">
        <f t="shared" si="341"/>
        <v>No</v>
      </c>
      <c r="BA3393" s="68" t="str">
        <f t="shared" si="342"/>
        <v>No</v>
      </c>
    </row>
    <row r="3394" spans="1:55" hidden="1">
      <c r="A3394" t="s">
        <v>3914</v>
      </c>
      <c r="G3394" t="s">
        <v>4004</v>
      </c>
      <c r="P3394" t="s">
        <v>60</v>
      </c>
      <c r="R3394" t="s">
        <v>4005</v>
      </c>
      <c r="S3394" t="s">
        <v>824</v>
      </c>
      <c r="V3394" t="s">
        <v>3956</v>
      </c>
      <c r="Z3394">
        <v>9</v>
      </c>
      <c r="AA3394">
        <v>2</v>
      </c>
      <c r="AC3394">
        <v>464</v>
      </c>
      <c r="AD3394">
        <v>8</v>
      </c>
      <c r="AE3394">
        <v>1177</v>
      </c>
      <c r="AF3394">
        <v>8</v>
      </c>
      <c r="AJ3394" t="s">
        <v>1151</v>
      </c>
      <c r="AK3394" t="s">
        <v>904</v>
      </c>
      <c r="AN3394">
        <v>0.15</v>
      </c>
      <c r="AO3394">
        <v>0.03</v>
      </c>
      <c r="AP3394">
        <v>0.2</v>
      </c>
      <c r="AQ3394">
        <v>1.4142135623730952E-2</v>
      </c>
      <c r="AW3394" s="28">
        <f t="shared" si="338"/>
        <v>1.7437145811572901</v>
      </c>
      <c r="AX3394">
        <f t="shared" si="339"/>
        <v>0.91428571428571426</v>
      </c>
      <c r="AY3394" s="62">
        <f t="shared" si="340"/>
        <v>1.5942533313438081</v>
      </c>
      <c r="AZ3394" s="68" t="str">
        <f t="shared" si="341"/>
        <v>No</v>
      </c>
      <c r="BA3394" s="68" t="str">
        <f t="shared" si="342"/>
        <v>No</v>
      </c>
    </row>
    <row r="3395" spans="1:55" hidden="1">
      <c r="A3395" t="s">
        <v>3914</v>
      </c>
      <c r="G3395" t="s">
        <v>4004</v>
      </c>
      <c r="P3395" t="s">
        <v>60</v>
      </c>
      <c r="R3395" t="s">
        <v>4005</v>
      </c>
      <c r="S3395" t="s">
        <v>824</v>
      </c>
      <c r="V3395" t="s">
        <v>3956</v>
      </c>
      <c r="Z3395">
        <v>8</v>
      </c>
      <c r="AA3395">
        <v>9</v>
      </c>
      <c r="AC3395">
        <v>464</v>
      </c>
      <c r="AD3395">
        <v>8</v>
      </c>
      <c r="AE3395">
        <v>1177</v>
      </c>
      <c r="AF3395">
        <v>8</v>
      </c>
      <c r="AJ3395" t="s">
        <v>108</v>
      </c>
      <c r="AK3395" t="s">
        <v>904</v>
      </c>
      <c r="AN3395">
        <v>3.5</v>
      </c>
      <c r="AO3395">
        <v>1.4142135623730951</v>
      </c>
      <c r="AP3395">
        <v>6</v>
      </c>
      <c r="AQ3395">
        <v>1.5</v>
      </c>
      <c r="AW3395" s="28">
        <f t="shared" si="338"/>
        <v>1.7116329922036442</v>
      </c>
      <c r="AX3395">
        <f t="shared" si="339"/>
        <v>0.94915254237288138</v>
      </c>
      <c r="AY3395" s="62">
        <f t="shared" si="340"/>
        <v>1.6246008061593911</v>
      </c>
      <c r="AZ3395" s="68" t="str">
        <f t="shared" si="341"/>
        <v>No</v>
      </c>
      <c r="BA3395" s="68" t="str">
        <f t="shared" si="342"/>
        <v>No</v>
      </c>
    </row>
    <row r="3396" spans="1:55" s="56" customFormat="1" ht="14.5" hidden="1" customHeight="1">
      <c r="A3396" t="s">
        <v>3914</v>
      </c>
      <c r="B3396"/>
      <c r="C3396"/>
      <c r="D3396" s="25"/>
      <c r="E3396" s="25"/>
      <c r="F3396"/>
      <c r="G3396" t="s">
        <v>4314</v>
      </c>
      <c r="H3396"/>
      <c r="I3396"/>
      <c r="J3396"/>
      <c r="K3396"/>
      <c r="L3396"/>
      <c r="M3396" s="25"/>
      <c r="N3396"/>
      <c r="O3396"/>
      <c r="P3396" t="s">
        <v>60</v>
      </c>
      <c r="Q3396"/>
      <c r="R3396" t="s">
        <v>4286</v>
      </c>
      <c r="S3396" t="s">
        <v>4323</v>
      </c>
      <c r="T3396"/>
      <c r="U3396"/>
      <c r="V3396" t="s">
        <v>3956</v>
      </c>
      <c r="W3396" s="25"/>
      <c r="X3396"/>
      <c r="Y3396"/>
      <c r="Z3396">
        <v>4</v>
      </c>
      <c r="AA3396">
        <v>4</v>
      </c>
      <c r="AB3396"/>
      <c r="AC3396">
        <v>403</v>
      </c>
      <c r="AD3396">
        <v>23.44</v>
      </c>
      <c r="AE3396">
        <v>963</v>
      </c>
      <c r="AF3396">
        <v>13.28</v>
      </c>
      <c r="AG3396"/>
      <c r="AH3396"/>
      <c r="AI3396"/>
      <c r="AJ3396" t="s">
        <v>4272</v>
      </c>
      <c r="AK3396" t="s">
        <v>4266</v>
      </c>
      <c r="AL3396" s="25"/>
      <c r="AM3396" s="35"/>
      <c r="AN3396">
        <v>0.37</v>
      </c>
      <c r="AO3396">
        <v>0.13</v>
      </c>
      <c r="AP3396">
        <v>0.32</v>
      </c>
      <c r="AQ3396">
        <v>0.02</v>
      </c>
      <c r="AR3396"/>
      <c r="AS3396"/>
      <c r="AT3396"/>
      <c r="AU3396"/>
      <c r="AV3396"/>
      <c r="AW3396" s="28">
        <f t="shared" si="338"/>
        <v>-0.53760333057047027</v>
      </c>
      <c r="AX3396">
        <f t="shared" si="339"/>
        <v>0.86956521739130432</v>
      </c>
      <c r="AY3396" s="62">
        <f t="shared" si="340"/>
        <v>-0.46748115701780024</v>
      </c>
      <c r="AZ3396" s="68" t="str">
        <f t="shared" si="341"/>
        <v>No</v>
      </c>
      <c r="BA3396" s="68" t="str">
        <f t="shared" si="342"/>
        <v>No</v>
      </c>
      <c r="BB3396"/>
      <c r="BC3396"/>
    </row>
    <row r="3397" spans="1:55" hidden="1">
      <c r="A3397" t="s">
        <v>3914</v>
      </c>
      <c r="G3397" t="s">
        <v>4314</v>
      </c>
      <c r="P3397" t="s">
        <v>60</v>
      </c>
      <c r="R3397" t="s">
        <v>4286</v>
      </c>
      <c r="S3397" t="s">
        <v>4323</v>
      </c>
      <c r="V3397" t="s">
        <v>3956</v>
      </c>
      <c r="Z3397">
        <v>6</v>
      </c>
      <c r="AA3397">
        <v>6</v>
      </c>
      <c r="AC3397">
        <v>403</v>
      </c>
      <c r="AD3397">
        <v>23.44</v>
      </c>
      <c r="AE3397">
        <v>1822</v>
      </c>
      <c r="AF3397">
        <v>23.33</v>
      </c>
      <c r="AJ3397" t="s">
        <v>4218</v>
      </c>
      <c r="AK3397" t="s">
        <v>4244</v>
      </c>
      <c r="AN3397">
        <v>0.81</v>
      </c>
      <c r="AO3397">
        <v>0.04</v>
      </c>
      <c r="AP3397">
        <v>0.73</v>
      </c>
      <c r="AQ3397">
        <v>0.06</v>
      </c>
      <c r="AW3397" s="28">
        <f t="shared" si="338"/>
        <v>-1.5689290811054737</v>
      </c>
      <c r="AX3397">
        <f t="shared" si="339"/>
        <v>0.92307692307692313</v>
      </c>
      <c r="AY3397" s="62">
        <f t="shared" si="340"/>
        <v>-1.448242228712745</v>
      </c>
      <c r="AZ3397" s="68" t="str">
        <f t="shared" si="341"/>
        <v>No</v>
      </c>
      <c r="BA3397" s="68" t="str">
        <f t="shared" si="342"/>
        <v>No</v>
      </c>
    </row>
    <row r="3398" spans="1:55" hidden="1">
      <c r="A3398" t="s">
        <v>3914</v>
      </c>
      <c r="G3398" t="s">
        <v>4314</v>
      </c>
      <c r="P3398" t="s">
        <v>60</v>
      </c>
      <c r="R3398" t="s">
        <v>4286</v>
      </c>
      <c r="S3398" t="s">
        <v>4323</v>
      </c>
      <c r="V3398" t="s">
        <v>3956</v>
      </c>
      <c r="Z3398">
        <v>6</v>
      </c>
      <c r="AA3398">
        <v>6</v>
      </c>
      <c r="AC3398">
        <v>403</v>
      </c>
      <c r="AD3398">
        <v>23.44</v>
      </c>
      <c r="AE3398">
        <v>963</v>
      </c>
      <c r="AF3398">
        <v>23.28</v>
      </c>
      <c r="AJ3398" t="s">
        <v>4218</v>
      </c>
      <c r="AK3398" t="s">
        <v>4244</v>
      </c>
      <c r="AN3398">
        <v>0.81</v>
      </c>
      <c r="AO3398">
        <v>0.04</v>
      </c>
      <c r="AP3398">
        <v>0.74</v>
      </c>
      <c r="AQ3398">
        <v>0.13</v>
      </c>
      <c r="AW3398" s="28">
        <f t="shared" si="338"/>
        <v>-0.72782534287405154</v>
      </c>
      <c r="AX3398">
        <f t="shared" si="339"/>
        <v>0.92307692307692313</v>
      </c>
      <c r="AY3398" s="62">
        <f t="shared" si="340"/>
        <v>-0.67183877803758607</v>
      </c>
      <c r="AZ3398" s="68" t="str">
        <f t="shared" si="341"/>
        <v>No</v>
      </c>
      <c r="BA3398" s="68" t="str">
        <f t="shared" si="342"/>
        <v>No</v>
      </c>
    </row>
    <row r="3399" spans="1:55" hidden="1">
      <c r="A3399" t="s">
        <v>3914</v>
      </c>
      <c r="G3399" t="s">
        <v>4314</v>
      </c>
      <c r="P3399" t="s">
        <v>60</v>
      </c>
      <c r="R3399" t="s">
        <v>4286</v>
      </c>
      <c r="S3399" t="s">
        <v>4323</v>
      </c>
      <c r="V3399" t="s">
        <v>3956</v>
      </c>
      <c r="Z3399">
        <v>6</v>
      </c>
      <c r="AA3399">
        <v>6</v>
      </c>
      <c r="AC3399">
        <v>403</v>
      </c>
      <c r="AD3399">
        <v>23.44</v>
      </c>
      <c r="AE3399">
        <v>1822</v>
      </c>
      <c r="AF3399">
        <v>23.33</v>
      </c>
      <c r="AJ3399" t="s">
        <v>4059</v>
      </c>
      <c r="AK3399" t="s">
        <v>4093</v>
      </c>
      <c r="AN3399">
        <v>48</v>
      </c>
      <c r="AO3399">
        <v>28</v>
      </c>
      <c r="AP3399">
        <v>99</v>
      </c>
      <c r="AQ3399">
        <v>1</v>
      </c>
      <c r="AW3399" s="28">
        <f t="shared" si="338"/>
        <v>2.5742477721378507</v>
      </c>
      <c r="AX3399">
        <f t="shared" si="339"/>
        <v>0.92307692307692313</v>
      </c>
      <c r="AY3399" s="62">
        <f t="shared" si="340"/>
        <v>2.3762287127426314</v>
      </c>
      <c r="AZ3399" s="68" t="str">
        <f t="shared" si="341"/>
        <v>No</v>
      </c>
      <c r="BA3399" s="68" t="str">
        <f t="shared" si="342"/>
        <v>No</v>
      </c>
    </row>
    <row r="3400" spans="1:55" hidden="1">
      <c r="A3400" t="s">
        <v>3914</v>
      </c>
      <c r="G3400" t="s">
        <v>4989</v>
      </c>
      <c r="P3400" t="s">
        <v>60</v>
      </c>
      <c r="R3400" t="s">
        <v>4286</v>
      </c>
      <c r="S3400" t="s">
        <v>4323</v>
      </c>
      <c r="V3400" t="s">
        <v>3956</v>
      </c>
      <c r="Z3400">
        <v>6</v>
      </c>
      <c r="AA3400">
        <v>6</v>
      </c>
      <c r="AC3400">
        <v>403</v>
      </c>
      <c r="AD3400">
        <v>23.44</v>
      </c>
      <c r="AE3400">
        <v>1822</v>
      </c>
      <c r="AF3400">
        <v>23.33</v>
      </c>
      <c r="AJ3400" t="s">
        <v>4065</v>
      </c>
      <c r="AK3400" t="s">
        <v>4258</v>
      </c>
      <c r="AN3400">
        <v>88</v>
      </c>
      <c r="AO3400">
        <v>2.6</v>
      </c>
      <c r="AP3400">
        <v>87.4</v>
      </c>
      <c r="AQ3400">
        <v>2.6</v>
      </c>
      <c r="AW3400" s="28">
        <f t="shared" si="338"/>
        <v>-0.23076923076922856</v>
      </c>
      <c r="AX3400">
        <f t="shared" si="339"/>
        <v>0.92307692307692313</v>
      </c>
      <c r="AY3400" s="62">
        <f t="shared" si="340"/>
        <v>-0.21301775147928792</v>
      </c>
      <c r="AZ3400" s="68" t="str">
        <f t="shared" si="341"/>
        <v>No</v>
      </c>
      <c r="BA3400" s="68" t="str">
        <f t="shared" si="342"/>
        <v>No</v>
      </c>
    </row>
    <row r="3401" spans="1:55" hidden="1">
      <c r="A3401" t="s">
        <v>3914</v>
      </c>
      <c r="G3401" t="s">
        <v>4989</v>
      </c>
      <c r="P3401" t="s">
        <v>60</v>
      </c>
      <c r="R3401" t="s">
        <v>4286</v>
      </c>
      <c r="S3401" t="s">
        <v>4323</v>
      </c>
      <c r="V3401" t="s">
        <v>3956</v>
      </c>
      <c r="Z3401">
        <v>6</v>
      </c>
      <c r="AA3401">
        <v>6</v>
      </c>
      <c r="AC3401">
        <v>403</v>
      </c>
      <c r="AD3401">
        <v>23.44</v>
      </c>
      <c r="AE3401">
        <v>963</v>
      </c>
      <c r="AF3401">
        <v>13.28</v>
      </c>
      <c r="AJ3401" t="s">
        <v>4065</v>
      </c>
      <c r="AK3401" t="s">
        <v>4258</v>
      </c>
      <c r="AN3401">
        <v>88</v>
      </c>
      <c r="AO3401">
        <v>2.6</v>
      </c>
      <c r="AP3401">
        <v>88</v>
      </c>
      <c r="AQ3401">
        <v>4</v>
      </c>
      <c r="AW3401" s="28">
        <f t="shared" si="338"/>
        <v>0</v>
      </c>
      <c r="AX3401">
        <f t="shared" si="339"/>
        <v>0.92307692307692313</v>
      </c>
      <c r="AY3401" s="62">
        <f t="shared" si="340"/>
        <v>0</v>
      </c>
      <c r="AZ3401" s="68" t="str">
        <f t="shared" si="341"/>
        <v>No</v>
      </c>
      <c r="BA3401" s="68" t="str">
        <f t="shared" si="342"/>
        <v>No</v>
      </c>
    </row>
    <row r="3402" spans="1:55" hidden="1">
      <c r="A3402" t="s">
        <v>3914</v>
      </c>
      <c r="G3402" t="s">
        <v>4314</v>
      </c>
      <c r="P3402" t="s">
        <v>60</v>
      </c>
      <c r="R3402" t="s">
        <v>4286</v>
      </c>
      <c r="S3402" t="s">
        <v>4323</v>
      </c>
      <c r="V3402" t="s">
        <v>3956</v>
      </c>
      <c r="Z3402">
        <v>6</v>
      </c>
      <c r="AA3402">
        <v>6</v>
      </c>
      <c r="AC3402">
        <v>403</v>
      </c>
      <c r="AD3402">
        <v>23.44</v>
      </c>
      <c r="AE3402">
        <v>963</v>
      </c>
      <c r="AF3402">
        <v>23.28</v>
      </c>
      <c r="AJ3402" t="s">
        <v>4059</v>
      </c>
      <c r="AK3402" t="s">
        <v>4093</v>
      </c>
      <c r="AN3402">
        <v>48</v>
      </c>
      <c r="AO3402">
        <v>28</v>
      </c>
      <c r="AP3402">
        <v>72</v>
      </c>
      <c r="AQ3402">
        <v>10</v>
      </c>
      <c r="AW3402" s="28">
        <f t="shared" si="338"/>
        <v>1.1415635859707858</v>
      </c>
      <c r="AX3402">
        <f t="shared" si="339"/>
        <v>0.92307692307692313</v>
      </c>
      <c r="AY3402" s="62">
        <f t="shared" si="340"/>
        <v>1.0537510024345715</v>
      </c>
      <c r="AZ3402" s="68" t="str">
        <f t="shared" si="341"/>
        <v>No</v>
      </c>
      <c r="BA3402" s="68" t="str">
        <f t="shared" si="342"/>
        <v>No</v>
      </c>
    </row>
    <row r="3403" spans="1:55" ht="15" hidden="1">
      <c r="A3403" t="s">
        <v>3914</v>
      </c>
      <c r="G3403" t="s">
        <v>4023</v>
      </c>
      <c r="P3403" t="s">
        <v>60</v>
      </c>
      <c r="R3403" t="s">
        <v>4005</v>
      </c>
      <c r="S3403" t="s">
        <v>824</v>
      </c>
      <c r="V3403" t="s">
        <v>3956</v>
      </c>
      <c r="Z3403">
        <v>3</v>
      </c>
      <c r="AA3403">
        <v>3</v>
      </c>
      <c r="AC3403">
        <v>327</v>
      </c>
      <c r="AD3403">
        <v>7</v>
      </c>
      <c r="AE3403">
        <v>722</v>
      </c>
      <c r="AF3403">
        <v>7</v>
      </c>
      <c r="AJ3403" t="s">
        <v>4027</v>
      </c>
      <c r="AK3403" t="s">
        <v>904</v>
      </c>
      <c r="AN3403">
        <v>17</v>
      </c>
      <c r="AO3403">
        <v>0.88369939161677413</v>
      </c>
      <c r="AP3403">
        <v>12.5</v>
      </c>
      <c r="AQ3403">
        <v>0.70695951329341933</v>
      </c>
      <c r="AW3403" s="28">
        <f t="shared" si="338"/>
        <v>-5.6234266092186429</v>
      </c>
      <c r="AX3403">
        <f t="shared" si="339"/>
        <v>0.8</v>
      </c>
      <c r="AY3403" s="73">
        <f t="shared" si="340"/>
        <v>-4.4987412873749149</v>
      </c>
      <c r="AZ3403" s="74" t="str">
        <f t="shared" si="341"/>
        <v>No</v>
      </c>
      <c r="BA3403" s="74" t="str">
        <f t="shared" si="342"/>
        <v>No</v>
      </c>
      <c r="BB3403" s="56"/>
      <c r="BC3403" s="56"/>
    </row>
    <row r="3404" spans="1:55" ht="15" hidden="1">
      <c r="A3404" t="s">
        <v>3914</v>
      </c>
      <c r="G3404" t="s">
        <v>3919</v>
      </c>
      <c r="P3404" t="s">
        <v>60</v>
      </c>
      <c r="R3404" t="s">
        <v>3942</v>
      </c>
      <c r="S3404" t="s">
        <v>1011</v>
      </c>
      <c r="V3404" t="s">
        <v>3956</v>
      </c>
      <c r="Z3404">
        <v>3</v>
      </c>
      <c r="AA3404">
        <v>3</v>
      </c>
      <c r="AC3404">
        <v>378.8</v>
      </c>
      <c r="AD3404">
        <v>1</v>
      </c>
      <c r="AE3404">
        <v>708.7</v>
      </c>
      <c r="AF3404">
        <v>1.1000000000000001</v>
      </c>
      <c r="AJ3404" t="s">
        <v>3933</v>
      </c>
      <c r="AK3404" t="s">
        <v>904</v>
      </c>
      <c r="AN3404">
        <v>1.1499999999999999</v>
      </c>
      <c r="AO3404">
        <v>6.1858957413174188E-2</v>
      </c>
      <c r="AP3404">
        <v>0.8</v>
      </c>
      <c r="AQ3404">
        <v>3.5347975664670968E-2</v>
      </c>
      <c r="AW3404" s="28">
        <f t="shared" si="338"/>
        <v>-6.9473920581939508</v>
      </c>
      <c r="AX3404">
        <f t="shared" si="339"/>
        <v>0.8</v>
      </c>
      <c r="AY3404" s="73">
        <f t="shared" si="340"/>
        <v>-5.5579136465551606</v>
      </c>
      <c r="AZ3404" s="74" t="str">
        <f t="shared" si="341"/>
        <v>No</v>
      </c>
      <c r="BA3404" s="74" t="str">
        <f t="shared" si="342"/>
        <v>No</v>
      </c>
      <c r="BB3404" s="56"/>
      <c r="BC3404" s="56"/>
    </row>
    <row r="3405" spans="1:55" ht="15" hidden="1">
      <c r="A3405" t="s">
        <v>3914</v>
      </c>
      <c r="G3405" t="s">
        <v>3919</v>
      </c>
      <c r="P3405" t="s">
        <v>60</v>
      </c>
      <c r="R3405" t="s">
        <v>3942</v>
      </c>
      <c r="S3405" t="s">
        <v>1011</v>
      </c>
      <c r="V3405" t="s">
        <v>3956</v>
      </c>
      <c r="Z3405">
        <v>3</v>
      </c>
      <c r="AA3405">
        <v>3</v>
      </c>
      <c r="AC3405">
        <v>378.8</v>
      </c>
      <c r="AD3405">
        <v>1</v>
      </c>
      <c r="AE3405">
        <v>708.7</v>
      </c>
      <c r="AF3405">
        <v>1.1000000000000001</v>
      </c>
      <c r="AJ3405" t="s">
        <v>3933</v>
      </c>
      <c r="AK3405" t="s">
        <v>904</v>
      </c>
      <c r="AN3405">
        <v>1.22</v>
      </c>
      <c r="AO3405">
        <v>6.1858957413174188E-2</v>
      </c>
      <c r="AP3405">
        <v>0.76</v>
      </c>
      <c r="AQ3405">
        <v>4.4184969580838708E-2</v>
      </c>
      <c r="AW3405" s="28">
        <f t="shared" si="338"/>
        <v>-8.5576084897045295</v>
      </c>
      <c r="AX3405">
        <f t="shared" si="339"/>
        <v>0.8</v>
      </c>
      <c r="AY3405" s="73">
        <f t="shared" si="340"/>
        <v>-6.8460867917636241</v>
      </c>
      <c r="AZ3405" s="74" t="str">
        <f t="shared" si="341"/>
        <v>No</v>
      </c>
      <c r="BA3405" s="74" t="str">
        <f t="shared" si="342"/>
        <v>No</v>
      </c>
      <c r="BB3405" s="56"/>
      <c r="BC3405" s="56"/>
    </row>
    <row r="3406" spans="1:55" ht="15" hidden="1">
      <c r="A3406" t="s">
        <v>3914</v>
      </c>
      <c r="G3406" t="s">
        <v>3919</v>
      </c>
      <c r="P3406" t="s">
        <v>60</v>
      </c>
      <c r="R3406" t="s">
        <v>3942</v>
      </c>
      <c r="S3406" t="s">
        <v>1011</v>
      </c>
      <c r="V3406" t="s">
        <v>3956</v>
      </c>
      <c r="Z3406">
        <v>3</v>
      </c>
      <c r="AA3406">
        <v>3</v>
      </c>
      <c r="AC3406">
        <v>378.8</v>
      </c>
      <c r="AD3406">
        <v>1</v>
      </c>
      <c r="AE3406">
        <v>708.7</v>
      </c>
      <c r="AF3406">
        <v>1.1000000000000001</v>
      </c>
      <c r="AJ3406" t="s">
        <v>3974</v>
      </c>
      <c r="AK3406" t="s">
        <v>40</v>
      </c>
      <c r="AN3406">
        <v>169</v>
      </c>
      <c r="AO3406">
        <v>9.720693307784515</v>
      </c>
      <c r="AP3406">
        <v>150</v>
      </c>
      <c r="AQ3406">
        <v>7.0695951329341931</v>
      </c>
      <c r="AW3406" s="28">
        <f t="shared" ref="AW3406:AW3469" si="343">(AP3406-$AN3406)/SQRT(((AA3406-1)*AQ3406*AQ3406+($Z3406-1)*$AO3406*$AO3406)/(AA3406+$Z3406-2))</f>
        <v>-2.2355180385988613</v>
      </c>
      <c r="AX3406">
        <f t="shared" ref="AX3406:AX3469" si="344">1-(3/(4*(AA3406+$Z3406-2)-1))</f>
        <v>0.8</v>
      </c>
      <c r="AY3406" s="73">
        <f t="shared" ref="AY3406:AY3469" si="345">AX3406*AW3406</f>
        <v>-1.7884144308790892</v>
      </c>
      <c r="AZ3406" s="74" t="str">
        <f t="shared" ref="AZ3406:AZ3469" si="346">IF(AY3406&gt;10,"Yes","No")</f>
        <v>No</v>
      </c>
      <c r="BA3406" s="74" t="str">
        <f t="shared" ref="BA3406:BA3469" si="347">IF(AY3406&lt;-10,"Yes","No")</f>
        <v>No</v>
      </c>
      <c r="BB3406" s="56"/>
      <c r="BC3406" s="56"/>
    </row>
    <row r="3407" spans="1:55" ht="15" hidden="1">
      <c r="A3407" t="s">
        <v>3914</v>
      </c>
      <c r="G3407" t="s">
        <v>3919</v>
      </c>
      <c r="P3407" t="s">
        <v>60</v>
      </c>
      <c r="R3407" t="s">
        <v>3942</v>
      </c>
      <c r="S3407" t="s">
        <v>1011</v>
      </c>
      <c r="V3407" t="s">
        <v>3956</v>
      </c>
      <c r="Z3407">
        <v>3</v>
      </c>
      <c r="AA3407">
        <v>3</v>
      </c>
      <c r="AC3407">
        <v>378.8</v>
      </c>
      <c r="AD3407">
        <v>1</v>
      </c>
      <c r="AE3407">
        <v>708.7</v>
      </c>
      <c r="AF3407">
        <v>1.1000000000000001</v>
      </c>
      <c r="AJ3407" t="s">
        <v>3975</v>
      </c>
      <c r="AK3407" t="s">
        <v>40</v>
      </c>
      <c r="AN3407">
        <v>310</v>
      </c>
      <c r="AO3407">
        <v>14.139190265868386</v>
      </c>
      <c r="AP3407">
        <v>270</v>
      </c>
      <c r="AQ3407">
        <v>13.255490874251612</v>
      </c>
      <c r="AW3407" s="28">
        <f t="shared" si="343"/>
        <v>-2.9187567009157647</v>
      </c>
      <c r="AX3407">
        <f t="shared" si="344"/>
        <v>0.8</v>
      </c>
      <c r="AY3407" s="73">
        <f t="shared" si="345"/>
        <v>-2.335005360732612</v>
      </c>
      <c r="AZ3407" s="74" t="str">
        <f t="shared" si="346"/>
        <v>No</v>
      </c>
      <c r="BA3407" s="74" t="str">
        <f t="shared" si="347"/>
        <v>No</v>
      </c>
      <c r="BB3407" s="56"/>
      <c r="BC3407" s="56"/>
    </row>
    <row r="3408" spans="1:55" ht="15" hidden="1">
      <c r="A3408" s="77" t="s">
        <v>3914</v>
      </c>
      <c r="G3408" s="77" t="s">
        <v>4024</v>
      </c>
      <c r="P3408" s="77" t="s">
        <v>60</v>
      </c>
      <c r="Q3408" s="77"/>
      <c r="R3408" s="77" t="s">
        <v>4005</v>
      </c>
      <c r="S3408" s="77" t="s">
        <v>4025</v>
      </c>
      <c r="T3408" s="77"/>
      <c r="U3408" s="77"/>
      <c r="V3408" s="77" t="s">
        <v>3956</v>
      </c>
      <c r="W3408" s="77"/>
      <c r="X3408" s="77"/>
      <c r="Y3408" s="77"/>
      <c r="Z3408" s="77">
        <v>4</v>
      </c>
      <c r="AA3408" s="77">
        <v>4</v>
      </c>
      <c r="AB3408" s="77"/>
      <c r="AC3408" s="77">
        <v>357</v>
      </c>
      <c r="AD3408" s="77">
        <v>14.6</v>
      </c>
      <c r="AE3408" s="77">
        <v>645.9</v>
      </c>
      <c r="AF3408" s="77">
        <v>14.6</v>
      </c>
      <c r="AG3408" s="77"/>
      <c r="AH3408" s="77"/>
      <c r="AI3408" s="77"/>
      <c r="AJ3408" s="77" t="s">
        <v>4028</v>
      </c>
      <c r="AK3408" s="77" t="s">
        <v>904</v>
      </c>
      <c r="AN3408" s="77">
        <v>6</v>
      </c>
      <c r="AO3408" s="77">
        <v>0.8</v>
      </c>
      <c r="AP3408" s="77">
        <v>4.9000000000000004</v>
      </c>
      <c r="AQ3408" s="77">
        <v>0.6</v>
      </c>
      <c r="AW3408" s="28">
        <f t="shared" si="343"/>
        <v>-1.5556349186104039</v>
      </c>
      <c r="AX3408">
        <f t="shared" si="344"/>
        <v>0.86956521739130432</v>
      </c>
      <c r="AY3408" s="73">
        <f t="shared" si="345"/>
        <v>-1.35272601618296</v>
      </c>
      <c r="AZ3408" s="74" t="str">
        <f t="shared" si="346"/>
        <v>No</v>
      </c>
      <c r="BA3408" s="74" t="str">
        <f t="shared" si="347"/>
        <v>No</v>
      </c>
      <c r="BB3408" s="56"/>
      <c r="BC3408" s="56"/>
    </row>
    <row r="3409" spans="1:55" hidden="1">
      <c r="A3409" t="s">
        <v>3914</v>
      </c>
      <c r="G3409" t="s">
        <v>4292</v>
      </c>
      <c r="P3409" t="s">
        <v>60</v>
      </c>
      <c r="R3409" t="s">
        <v>4286</v>
      </c>
      <c r="S3409" t="s">
        <v>4295</v>
      </c>
      <c r="V3409" t="s">
        <v>3956</v>
      </c>
      <c r="Z3409">
        <v>3</v>
      </c>
      <c r="AA3409">
        <v>3</v>
      </c>
      <c r="AC3409">
        <v>398.24</v>
      </c>
      <c r="AD3409">
        <v>11.32</v>
      </c>
      <c r="AE3409">
        <v>1077.68</v>
      </c>
      <c r="AF3409">
        <v>11.41</v>
      </c>
      <c r="AJ3409" t="s">
        <v>4301</v>
      </c>
      <c r="AK3409" t="s">
        <v>4151</v>
      </c>
      <c r="AN3409">
        <v>44.5</v>
      </c>
      <c r="AO3409">
        <v>1</v>
      </c>
      <c r="AP3409">
        <v>51</v>
      </c>
      <c r="AQ3409">
        <v>1</v>
      </c>
      <c r="AW3409" s="28">
        <f t="shared" si="343"/>
        <v>6.5</v>
      </c>
      <c r="AX3409">
        <f t="shared" si="344"/>
        <v>0.8</v>
      </c>
      <c r="AY3409" s="62">
        <f t="shared" si="345"/>
        <v>5.2</v>
      </c>
      <c r="AZ3409" s="68" t="str">
        <f t="shared" si="346"/>
        <v>No</v>
      </c>
      <c r="BA3409" s="68" t="str">
        <f t="shared" si="347"/>
        <v>No</v>
      </c>
    </row>
    <row r="3410" spans="1:55" hidden="1">
      <c r="A3410" t="s">
        <v>3914</v>
      </c>
      <c r="G3410" t="s">
        <v>4292</v>
      </c>
      <c r="P3410" t="s">
        <v>60</v>
      </c>
      <c r="R3410" t="s">
        <v>4286</v>
      </c>
      <c r="S3410" t="s">
        <v>4295</v>
      </c>
      <c r="V3410" t="s">
        <v>3956</v>
      </c>
      <c r="Z3410">
        <v>3</v>
      </c>
      <c r="AA3410">
        <v>3</v>
      </c>
      <c r="AC3410">
        <v>398.24</v>
      </c>
      <c r="AD3410">
        <v>11.32</v>
      </c>
      <c r="AE3410">
        <v>1077.68</v>
      </c>
      <c r="AF3410">
        <v>11.41</v>
      </c>
      <c r="AJ3410" t="s">
        <v>4301</v>
      </c>
      <c r="AK3410" t="s">
        <v>4151</v>
      </c>
      <c r="AN3410">
        <v>48</v>
      </c>
      <c r="AO3410">
        <v>2</v>
      </c>
      <c r="AP3410">
        <v>56</v>
      </c>
      <c r="AQ3410">
        <v>1</v>
      </c>
      <c r="AW3410" s="28">
        <f t="shared" si="343"/>
        <v>5.0596442562694071</v>
      </c>
      <c r="AX3410">
        <f t="shared" si="344"/>
        <v>0.8</v>
      </c>
      <c r="AY3410" s="62">
        <f t="shared" si="345"/>
        <v>4.0477154050155262</v>
      </c>
      <c r="AZ3410" s="68" t="str">
        <f t="shared" si="346"/>
        <v>No</v>
      </c>
      <c r="BA3410" s="68" t="str">
        <f t="shared" si="347"/>
        <v>No</v>
      </c>
    </row>
    <row r="3411" spans="1:55" hidden="1">
      <c r="A3411" t="s">
        <v>3914</v>
      </c>
      <c r="G3411" t="s">
        <v>4292</v>
      </c>
      <c r="P3411" t="s">
        <v>60</v>
      </c>
      <c r="R3411" t="s">
        <v>4286</v>
      </c>
      <c r="S3411" t="s">
        <v>4295</v>
      </c>
      <c r="V3411" t="s">
        <v>3956</v>
      </c>
      <c r="Z3411">
        <v>3</v>
      </c>
      <c r="AA3411">
        <v>3</v>
      </c>
      <c r="AC3411">
        <v>398.24</v>
      </c>
      <c r="AD3411">
        <v>11.32</v>
      </c>
      <c r="AE3411">
        <v>1077.68</v>
      </c>
      <c r="AF3411">
        <v>11.41</v>
      </c>
      <c r="AJ3411" t="s">
        <v>4301</v>
      </c>
      <c r="AK3411" t="s">
        <v>4151</v>
      </c>
      <c r="AN3411">
        <v>68</v>
      </c>
      <c r="AO3411">
        <v>1</v>
      </c>
      <c r="AP3411">
        <v>72.5</v>
      </c>
      <c r="AQ3411">
        <v>1.3</v>
      </c>
      <c r="AW3411" s="28">
        <f t="shared" si="343"/>
        <v>3.8801755220330412</v>
      </c>
      <c r="AX3411">
        <f t="shared" si="344"/>
        <v>0.8</v>
      </c>
      <c r="AY3411" s="62">
        <f t="shared" si="345"/>
        <v>3.1041404176264331</v>
      </c>
      <c r="AZ3411" s="68" t="str">
        <f t="shared" si="346"/>
        <v>No</v>
      </c>
      <c r="BA3411" s="68" t="str">
        <f t="shared" si="347"/>
        <v>No</v>
      </c>
    </row>
    <row r="3412" spans="1:55" ht="15" hidden="1">
      <c r="A3412" t="s">
        <v>3914</v>
      </c>
      <c r="G3412" t="s">
        <v>4292</v>
      </c>
      <c r="P3412" t="s">
        <v>60</v>
      </c>
      <c r="R3412" t="s">
        <v>4286</v>
      </c>
      <c r="S3412" t="s">
        <v>4295</v>
      </c>
      <c r="V3412" t="s">
        <v>3956</v>
      </c>
      <c r="Z3412">
        <v>3</v>
      </c>
      <c r="AA3412">
        <v>3</v>
      </c>
      <c r="AC3412">
        <v>398.24</v>
      </c>
      <c r="AD3412">
        <v>11.32</v>
      </c>
      <c r="AE3412">
        <v>1077.68</v>
      </c>
      <c r="AF3412">
        <v>11.41</v>
      </c>
      <c r="AJ3412" t="s">
        <v>677</v>
      </c>
      <c r="AK3412" t="s">
        <v>4093</v>
      </c>
      <c r="AN3412">
        <v>100</v>
      </c>
      <c r="AO3412">
        <v>0</v>
      </c>
      <c r="AP3412">
        <v>94</v>
      </c>
      <c r="AQ3412">
        <v>3</v>
      </c>
      <c r="AW3412" s="28">
        <f t="shared" si="343"/>
        <v>-2.8284271247461903</v>
      </c>
      <c r="AX3412">
        <f t="shared" si="344"/>
        <v>0.8</v>
      </c>
      <c r="AY3412" s="73">
        <f t="shared" si="345"/>
        <v>-2.2627416997969525</v>
      </c>
      <c r="AZ3412" s="74" t="str">
        <f t="shared" si="346"/>
        <v>No</v>
      </c>
      <c r="BA3412" s="74" t="str">
        <f t="shared" si="347"/>
        <v>No</v>
      </c>
      <c r="BB3412" s="56"/>
      <c r="BC3412" s="56"/>
    </row>
    <row r="3413" spans="1:55" hidden="1">
      <c r="A3413" t="s">
        <v>3914</v>
      </c>
      <c r="G3413" t="s">
        <v>4292</v>
      </c>
      <c r="P3413" t="s">
        <v>60</v>
      </c>
      <c r="R3413" t="s">
        <v>4286</v>
      </c>
      <c r="S3413" t="s">
        <v>4295</v>
      </c>
      <c r="V3413" t="s">
        <v>3956</v>
      </c>
      <c r="Z3413">
        <v>4</v>
      </c>
      <c r="AA3413">
        <v>4</v>
      </c>
      <c r="AC3413">
        <v>398.24</v>
      </c>
      <c r="AD3413">
        <v>11.32</v>
      </c>
      <c r="AE3413">
        <v>1077.68</v>
      </c>
      <c r="AF3413">
        <v>11.41</v>
      </c>
      <c r="AJ3413" t="s">
        <v>4335</v>
      </c>
      <c r="AK3413" t="s">
        <v>4244</v>
      </c>
      <c r="AN3413">
        <v>260</v>
      </c>
      <c r="AO3413">
        <v>8</v>
      </c>
      <c r="AP3413">
        <v>265</v>
      </c>
      <c r="AQ3413">
        <v>4</v>
      </c>
      <c r="AW3413" s="28">
        <f t="shared" si="343"/>
        <v>0.79056941504209477</v>
      </c>
      <c r="AX3413">
        <f t="shared" si="344"/>
        <v>0.86956521739130432</v>
      </c>
      <c r="AY3413" s="62">
        <f t="shared" si="345"/>
        <v>0.68745166525399548</v>
      </c>
      <c r="AZ3413" s="68" t="str">
        <f t="shared" si="346"/>
        <v>No</v>
      </c>
      <c r="BA3413" s="68" t="str">
        <f t="shared" si="347"/>
        <v>No</v>
      </c>
    </row>
    <row r="3414" spans="1:55" hidden="1">
      <c r="A3414" t="s">
        <v>3914</v>
      </c>
      <c r="G3414" t="s">
        <v>4986</v>
      </c>
      <c r="P3414" t="s">
        <v>60</v>
      </c>
      <c r="R3414" t="s">
        <v>4286</v>
      </c>
      <c r="S3414" t="s">
        <v>4295</v>
      </c>
      <c r="V3414" t="s">
        <v>3956</v>
      </c>
      <c r="Z3414">
        <v>3</v>
      </c>
      <c r="AA3414">
        <v>3</v>
      </c>
      <c r="AC3414">
        <v>365.44</v>
      </c>
      <c r="AD3414">
        <v>12.59</v>
      </c>
      <c r="AE3414">
        <v>685.59</v>
      </c>
      <c r="AF3414">
        <v>12.6</v>
      </c>
      <c r="AJ3414" t="s">
        <v>4065</v>
      </c>
      <c r="AK3414" t="s">
        <v>4258</v>
      </c>
      <c r="AN3414">
        <v>100</v>
      </c>
      <c r="AO3414">
        <v>0</v>
      </c>
      <c r="AP3414">
        <v>95</v>
      </c>
      <c r="AQ3414">
        <v>4</v>
      </c>
      <c r="AW3414" s="28">
        <f t="shared" si="343"/>
        <v>-1.7677669529663687</v>
      </c>
      <c r="AX3414">
        <f t="shared" si="344"/>
        <v>0.8</v>
      </c>
      <c r="AY3414" s="62">
        <f t="shared" si="345"/>
        <v>-1.4142135623730949</v>
      </c>
      <c r="AZ3414" s="68" t="str">
        <f t="shared" si="346"/>
        <v>No</v>
      </c>
      <c r="BA3414" s="68" t="str">
        <f t="shared" si="347"/>
        <v>No</v>
      </c>
    </row>
    <row r="3415" spans="1:55" ht="15" hidden="1">
      <c r="A3415" t="s">
        <v>3914</v>
      </c>
      <c r="G3415" t="s">
        <v>4292</v>
      </c>
      <c r="P3415" t="s">
        <v>60</v>
      </c>
      <c r="R3415" t="s">
        <v>4286</v>
      </c>
      <c r="S3415" t="s">
        <v>4295</v>
      </c>
      <c r="V3415" t="s">
        <v>3956</v>
      </c>
      <c r="Z3415">
        <v>3</v>
      </c>
      <c r="AA3415">
        <v>3</v>
      </c>
      <c r="AC3415">
        <v>398.24</v>
      </c>
      <c r="AD3415">
        <v>11.32</v>
      </c>
      <c r="AE3415">
        <v>1077.68</v>
      </c>
      <c r="AF3415">
        <v>11.41</v>
      </c>
      <c r="AJ3415" t="s">
        <v>677</v>
      </c>
      <c r="AK3415" t="s">
        <v>4093</v>
      </c>
      <c r="AN3415">
        <v>95</v>
      </c>
      <c r="AO3415">
        <v>0.5</v>
      </c>
      <c r="AP3415">
        <v>90</v>
      </c>
      <c r="AQ3415">
        <v>5</v>
      </c>
      <c r="AW3415" s="28">
        <f t="shared" si="343"/>
        <v>-1.4071950894605838</v>
      </c>
      <c r="AX3415">
        <f t="shared" si="344"/>
        <v>0.8</v>
      </c>
      <c r="AY3415" s="73">
        <f t="shared" si="345"/>
        <v>-1.1257560715684671</v>
      </c>
      <c r="AZ3415" s="74" t="str">
        <f t="shared" si="346"/>
        <v>No</v>
      </c>
      <c r="BA3415" s="74" t="str">
        <f t="shared" si="347"/>
        <v>No</v>
      </c>
      <c r="BB3415" s="56"/>
      <c r="BC3415" s="56"/>
    </row>
    <row r="3416" spans="1:55" ht="15" hidden="1">
      <c r="A3416" t="s">
        <v>3914</v>
      </c>
      <c r="G3416" t="s">
        <v>4292</v>
      </c>
      <c r="P3416" t="s">
        <v>60</v>
      </c>
      <c r="R3416" t="s">
        <v>4286</v>
      </c>
      <c r="S3416" t="s">
        <v>4295</v>
      </c>
      <c r="V3416" t="s">
        <v>3956</v>
      </c>
      <c r="Z3416">
        <v>3</v>
      </c>
      <c r="AA3416">
        <v>3</v>
      </c>
      <c r="AC3416">
        <v>398.24</v>
      </c>
      <c r="AD3416">
        <v>11.32</v>
      </c>
      <c r="AE3416">
        <v>1077.68</v>
      </c>
      <c r="AF3416">
        <v>11.41</v>
      </c>
      <c r="AJ3416" t="s">
        <v>677</v>
      </c>
      <c r="AK3416" t="s">
        <v>4093</v>
      </c>
      <c r="AN3416">
        <v>98</v>
      </c>
      <c r="AO3416">
        <v>2</v>
      </c>
      <c r="AP3416">
        <v>92</v>
      </c>
      <c r="AQ3416">
        <v>5</v>
      </c>
      <c r="AW3416" s="28">
        <f t="shared" si="343"/>
        <v>-1.5756771943166705</v>
      </c>
      <c r="AX3416">
        <f t="shared" si="344"/>
        <v>0.8</v>
      </c>
      <c r="AY3416" s="73">
        <f t="shared" si="345"/>
        <v>-1.2605417554533365</v>
      </c>
      <c r="AZ3416" s="74" t="str">
        <f t="shared" si="346"/>
        <v>No</v>
      </c>
      <c r="BA3416" s="74" t="str">
        <f t="shared" si="347"/>
        <v>No</v>
      </c>
      <c r="BB3416" s="56"/>
      <c r="BC3416" s="56"/>
    </row>
    <row r="3417" spans="1:55" hidden="1">
      <c r="A3417" t="s">
        <v>3914</v>
      </c>
      <c r="G3417" t="s">
        <v>4292</v>
      </c>
      <c r="P3417" t="s">
        <v>60</v>
      </c>
      <c r="R3417" t="s">
        <v>4286</v>
      </c>
      <c r="S3417" t="s">
        <v>4295</v>
      </c>
      <c r="V3417" t="s">
        <v>3956</v>
      </c>
      <c r="Z3417">
        <v>4</v>
      </c>
      <c r="AA3417">
        <v>4</v>
      </c>
      <c r="AC3417">
        <v>398.24</v>
      </c>
      <c r="AD3417">
        <v>11.32</v>
      </c>
      <c r="AE3417">
        <v>1077.68</v>
      </c>
      <c r="AF3417">
        <v>11.41</v>
      </c>
      <c r="AJ3417" t="s">
        <v>4335</v>
      </c>
      <c r="AK3417" t="s">
        <v>4244</v>
      </c>
      <c r="AN3417">
        <v>266</v>
      </c>
      <c r="AO3417">
        <v>16</v>
      </c>
      <c r="AP3417">
        <v>266</v>
      </c>
      <c r="AQ3417">
        <v>7</v>
      </c>
      <c r="AW3417" s="28">
        <f t="shared" si="343"/>
        <v>0</v>
      </c>
      <c r="AX3417">
        <f t="shared" si="344"/>
        <v>0.86956521739130432</v>
      </c>
      <c r="AY3417" s="62">
        <f t="shared" si="345"/>
        <v>0</v>
      </c>
      <c r="AZ3417" s="68" t="str">
        <f t="shared" si="346"/>
        <v>No</v>
      </c>
      <c r="BA3417" s="68" t="str">
        <f t="shared" si="347"/>
        <v>No</v>
      </c>
    </row>
    <row r="3418" spans="1:55" hidden="1">
      <c r="A3418" t="s">
        <v>3914</v>
      </c>
      <c r="G3418" t="s">
        <v>4292</v>
      </c>
      <c r="P3418" t="s">
        <v>60</v>
      </c>
      <c r="R3418" t="s">
        <v>4286</v>
      </c>
      <c r="S3418" t="s">
        <v>4295</v>
      </c>
      <c r="V3418" t="s">
        <v>3956</v>
      </c>
      <c r="Z3418">
        <v>3</v>
      </c>
      <c r="AA3418">
        <v>3</v>
      </c>
      <c r="AC3418">
        <v>365.44</v>
      </c>
      <c r="AD3418">
        <v>12.59</v>
      </c>
      <c r="AE3418">
        <v>979.46</v>
      </c>
      <c r="AF3418">
        <v>12.64</v>
      </c>
      <c r="AJ3418" t="s">
        <v>4065</v>
      </c>
      <c r="AK3418" t="s">
        <v>4258</v>
      </c>
      <c r="AN3418">
        <v>100</v>
      </c>
      <c r="AO3418">
        <v>0</v>
      </c>
      <c r="AP3418">
        <v>36</v>
      </c>
      <c r="AQ3418">
        <v>22</v>
      </c>
      <c r="AW3418" s="28">
        <f t="shared" si="343"/>
        <v>-4.1140758178126404</v>
      </c>
      <c r="AX3418">
        <f t="shared" si="344"/>
        <v>0.8</v>
      </c>
      <c r="AY3418" s="62">
        <f t="shared" si="345"/>
        <v>-3.2912606542501126</v>
      </c>
      <c r="AZ3418" s="68" t="str">
        <f t="shared" si="346"/>
        <v>No</v>
      </c>
      <c r="BA3418" s="68" t="str">
        <f t="shared" si="347"/>
        <v>No</v>
      </c>
    </row>
    <row r="3419" spans="1:55" ht="15" hidden="1">
      <c r="A3419" s="56" t="s">
        <v>3914</v>
      </c>
      <c r="G3419" s="56" t="s">
        <v>3958</v>
      </c>
      <c r="P3419" s="56" t="s">
        <v>60</v>
      </c>
      <c r="Q3419" s="56"/>
      <c r="R3419" s="56" t="s">
        <v>3942</v>
      </c>
      <c r="S3419" s="56" t="s">
        <v>3964</v>
      </c>
      <c r="T3419" s="56"/>
      <c r="U3419" s="56"/>
      <c r="V3419" s="56" t="s">
        <v>3956</v>
      </c>
      <c r="W3419" s="56"/>
      <c r="X3419" s="56"/>
      <c r="Y3419" s="56"/>
      <c r="Z3419" s="56">
        <v>3</v>
      </c>
      <c r="AA3419" s="56">
        <v>3</v>
      </c>
      <c r="AB3419" s="56"/>
      <c r="AC3419" s="56">
        <v>491.6</v>
      </c>
      <c r="AD3419" s="56">
        <v>27.32</v>
      </c>
      <c r="AE3419" s="56">
        <v>1096.4000000000001</v>
      </c>
      <c r="AF3419" s="56">
        <v>27.32</v>
      </c>
      <c r="AG3419" s="56"/>
      <c r="AH3419" s="56"/>
      <c r="AI3419" s="56"/>
      <c r="AJ3419" s="56" t="s">
        <v>3977</v>
      </c>
      <c r="AK3419" s="56" t="s">
        <v>40</v>
      </c>
      <c r="AN3419" s="56">
        <v>1.1100000000000001</v>
      </c>
      <c r="AO3419" s="56">
        <v>0.13856406460551018</v>
      </c>
      <c r="AP3419" s="56">
        <v>0.92500000000000004</v>
      </c>
      <c r="AQ3419" s="56">
        <v>9.5262794416288252E-2</v>
      </c>
      <c r="AW3419" s="28">
        <f t="shared" si="343"/>
        <v>-1.5559133940653664</v>
      </c>
      <c r="AX3419">
        <f t="shared" si="344"/>
        <v>0.8</v>
      </c>
      <c r="AY3419" s="62">
        <f t="shared" si="345"/>
        <v>-1.2447307152522933</v>
      </c>
      <c r="AZ3419" s="68" t="str">
        <f t="shared" si="346"/>
        <v>No</v>
      </c>
      <c r="BA3419" s="68" t="str">
        <f t="shared" si="347"/>
        <v>No</v>
      </c>
    </row>
    <row r="3420" spans="1:55" ht="15" hidden="1">
      <c r="A3420" s="56" t="s">
        <v>3914</v>
      </c>
      <c r="G3420" s="56" t="s">
        <v>3958</v>
      </c>
      <c r="P3420" s="56" t="s">
        <v>60</v>
      </c>
      <c r="Q3420" s="56"/>
      <c r="R3420" s="56" t="s">
        <v>3942</v>
      </c>
      <c r="S3420" s="56" t="s">
        <v>3964</v>
      </c>
      <c r="T3420" s="56"/>
      <c r="U3420" s="56"/>
      <c r="V3420" s="56" t="s">
        <v>3956</v>
      </c>
      <c r="W3420" s="56"/>
      <c r="X3420" s="56"/>
      <c r="Y3420" s="56"/>
      <c r="Z3420" s="56">
        <v>3</v>
      </c>
      <c r="AA3420" s="56">
        <v>3</v>
      </c>
      <c r="AB3420" s="56"/>
      <c r="AC3420" s="56">
        <v>491.6</v>
      </c>
      <c r="AD3420" s="56">
        <v>27.32</v>
      </c>
      <c r="AE3420" s="56">
        <v>4787.2</v>
      </c>
      <c r="AF3420" s="56">
        <v>27.32</v>
      </c>
      <c r="AG3420" s="56"/>
      <c r="AH3420" s="56"/>
      <c r="AI3420" s="56"/>
      <c r="AJ3420" s="56" t="s">
        <v>3977</v>
      </c>
      <c r="AK3420" s="56" t="s">
        <v>40</v>
      </c>
      <c r="AN3420" s="56">
        <v>1.1100000000000001</v>
      </c>
      <c r="AO3420" s="56">
        <v>0.13856406460551018</v>
      </c>
      <c r="AP3420" s="56">
        <v>0.88</v>
      </c>
      <c r="AQ3420" s="56">
        <v>0.10392304845413262</v>
      </c>
      <c r="AW3420" s="28">
        <f t="shared" si="343"/>
        <v>-1.8779421361337707</v>
      </c>
      <c r="AX3420">
        <f t="shared" si="344"/>
        <v>0.8</v>
      </c>
      <c r="AY3420" s="62">
        <f t="shared" si="345"/>
        <v>-1.5023537089070167</v>
      </c>
      <c r="AZ3420" s="68" t="str">
        <f t="shared" si="346"/>
        <v>No</v>
      </c>
      <c r="BA3420" s="68" t="str">
        <f t="shared" si="347"/>
        <v>No</v>
      </c>
    </row>
    <row r="3421" spans="1:55" ht="15" hidden="1">
      <c r="A3421" s="56" t="s">
        <v>3914</v>
      </c>
      <c r="G3421" s="56" t="s">
        <v>3958</v>
      </c>
      <c r="P3421" s="56" t="s">
        <v>60</v>
      </c>
      <c r="Q3421" s="56"/>
      <c r="R3421" s="56" t="s">
        <v>3942</v>
      </c>
      <c r="S3421" s="56" t="s">
        <v>3964</v>
      </c>
      <c r="T3421" s="56"/>
      <c r="U3421" s="56"/>
      <c r="V3421" s="56" t="s">
        <v>3956</v>
      </c>
      <c r="W3421" s="56"/>
      <c r="X3421" s="56"/>
      <c r="Y3421" s="56"/>
      <c r="Z3421" s="56">
        <v>3</v>
      </c>
      <c r="AA3421" s="56">
        <v>3</v>
      </c>
      <c r="AB3421" s="56"/>
      <c r="AC3421" s="56">
        <v>491.6</v>
      </c>
      <c r="AD3421" s="56">
        <v>27.32</v>
      </c>
      <c r="AE3421" s="56">
        <v>2324.3000000000002</v>
      </c>
      <c r="AF3421" s="56">
        <v>27.32</v>
      </c>
      <c r="AG3421" s="56"/>
      <c r="AH3421" s="56"/>
      <c r="AI3421" s="56"/>
      <c r="AJ3421" s="56" t="s">
        <v>3977</v>
      </c>
      <c r="AK3421" s="56" t="s">
        <v>40</v>
      </c>
      <c r="AN3421" s="56">
        <v>1.1100000000000001</v>
      </c>
      <c r="AO3421" s="56">
        <v>0.13856406460551018</v>
      </c>
      <c r="AP3421" s="56">
        <v>0.84</v>
      </c>
      <c r="AQ3421" s="56">
        <v>0.17320508075688773</v>
      </c>
      <c r="AW3421" s="28">
        <f t="shared" si="343"/>
        <v>-1.7214571252710142</v>
      </c>
      <c r="AX3421">
        <f t="shared" si="344"/>
        <v>0.8</v>
      </c>
      <c r="AY3421" s="62">
        <f t="shared" si="345"/>
        <v>-1.3771657002168114</v>
      </c>
      <c r="AZ3421" s="68" t="str">
        <f t="shared" si="346"/>
        <v>No</v>
      </c>
      <c r="BA3421" s="68" t="str">
        <f t="shared" si="347"/>
        <v>No</v>
      </c>
    </row>
    <row r="3422" spans="1:55" ht="15" hidden="1">
      <c r="A3422" s="56" t="s">
        <v>3914</v>
      </c>
      <c r="G3422" s="56" t="s">
        <v>3963</v>
      </c>
      <c r="P3422" s="56" t="s">
        <v>4596</v>
      </c>
      <c r="Q3422" s="56"/>
      <c r="R3422" s="56" t="s">
        <v>4908</v>
      </c>
      <c r="S3422" s="56" t="s">
        <v>3964</v>
      </c>
      <c r="T3422" s="56"/>
      <c r="U3422" s="56"/>
      <c r="V3422" s="56" t="s">
        <v>4598</v>
      </c>
      <c r="W3422" s="56"/>
      <c r="X3422" s="56"/>
      <c r="Y3422" s="56"/>
      <c r="Z3422" s="56">
        <v>5</v>
      </c>
      <c r="AA3422" s="56">
        <v>5</v>
      </c>
      <c r="AB3422" s="56"/>
      <c r="AC3422" s="56">
        <v>333.2</v>
      </c>
      <c r="AD3422" s="76">
        <v>26.9</v>
      </c>
      <c r="AE3422" s="56">
        <v>331.5</v>
      </c>
      <c r="AF3422" s="76">
        <v>28.2</v>
      </c>
      <c r="AG3422" s="56"/>
      <c r="AH3422" s="56"/>
      <c r="AI3422" s="56"/>
      <c r="AJ3422" s="56" t="s">
        <v>4910</v>
      </c>
      <c r="AK3422" s="56" t="s">
        <v>904</v>
      </c>
      <c r="AL3422" s="59"/>
      <c r="AM3422" s="60"/>
      <c r="AN3422" s="56">
        <v>6.0000000000000001E-3</v>
      </c>
      <c r="AO3422" s="75">
        <v>2.417910447761198E-3</v>
      </c>
      <c r="AP3422" s="56">
        <v>2E-3</v>
      </c>
      <c r="AQ3422" s="75">
        <v>1.8805970149253699E-3</v>
      </c>
      <c r="AR3422" s="37"/>
      <c r="AS3422" s="37"/>
      <c r="AT3422" s="37"/>
      <c r="AU3422" s="37"/>
      <c r="AV3422" s="37"/>
      <c r="AW3422" s="28">
        <f t="shared" si="343"/>
        <v>-1.8467393816615476</v>
      </c>
      <c r="AX3422">
        <f t="shared" si="344"/>
        <v>0.90322580645161288</v>
      </c>
      <c r="AY3422" s="62">
        <f t="shared" si="345"/>
        <v>-1.6680226673072043</v>
      </c>
      <c r="AZ3422" s="68" t="str">
        <f t="shared" si="346"/>
        <v>No</v>
      </c>
      <c r="BA3422" s="68" t="str">
        <f t="shared" si="347"/>
        <v>No</v>
      </c>
    </row>
    <row r="3423" spans="1:55" ht="15" hidden="1">
      <c r="A3423" s="56" t="s">
        <v>3914</v>
      </c>
      <c r="G3423" s="56" t="s">
        <v>3963</v>
      </c>
      <c r="P3423" s="56" t="s">
        <v>60</v>
      </c>
      <c r="Q3423" s="56"/>
      <c r="R3423" s="56" t="s">
        <v>3942</v>
      </c>
      <c r="S3423" s="56" t="s">
        <v>3964</v>
      </c>
      <c r="T3423" s="56"/>
      <c r="U3423" s="56"/>
      <c r="V3423" s="56" t="s">
        <v>3956</v>
      </c>
      <c r="W3423" s="56"/>
      <c r="X3423" s="56"/>
      <c r="Y3423" s="56"/>
      <c r="Z3423" s="56">
        <v>5</v>
      </c>
      <c r="AA3423" s="56">
        <v>5</v>
      </c>
      <c r="AB3423" s="56"/>
      <c r="AC3423" s="56">
        <v>333.2</v>
      </c>
      <c r="AD3423" s="56">
        <v>26.9</v>
      </c>
      <c r="AE3423" s="56">
        <v>571</v>
      </c>
      <c r="AF3423" s="56">
        <v>27.1</v>
      </c>
      <c r="AG3423" s="56"/>
      <c r="AH3423" s="56"/>
      <c r="AI3423" s="56"/>
      <c r="AJ3423" s="56" t="s">
        <v>108</v>
      </c>
      <c r="AK3423" s="56" t="s">
        <v>904</v>
      </c>
      <c r="AN3423" s="56">
        <v>6.0000000000000001E-3</v>
      </c>
      <c r="AO3423" s="56">
        <v>2.2500000000000003E-3</v>
      </c>
      <c r="AP3423" s="56">
        <v>3.0000000000000001E-3</v>
      </c>
      <c r="AQ3423" s="56">
        <v>2.2500000000000003E-3</v>
      </c>
      <c r="AW3423" s="28">
        <f t="shared" si="343"/>
        <v>-1.3333333333333333</v>
      </c>
      <c r="AX3423">
        <f t="shared" si="344"/>
        <v>0.90322580645161288</v>
      </c>
      <c r="AY3423" s="62">
        <f t="shared" si="345"/>
        <v>-1.204301075268817</v>
      </c>
      <c r="AZ3423" s="68" t="str">
        <f t="shared" si="346"/>
        <v>No</v>
      </c>
      <c r="BA3423" s="68" t="str">
        <f t="shared" si="347"/>
        <v>No</v>
      </c>
    </row>
    <row r="3424" spans="1:55" ht="15" hidden="1">
      <c r="A3424" s="56" t="s">
        <v>3914</v>
      </c>
      <c r="G3424" s="56" t="s">
        <v>3963</v>
      </c>
      <c r="P3424" s="56" t="s">
        <v>4596</v>
      </c>
      <c r="Q3424" s="56"/>
      <c r="R3424" s="56" t="s">
        <v>4908</v>
      </c>
      <c r="S3424" s="56" t="s">
        <v>3964</v>
      </c>
      <c r="T3424" s="56"/>
      <c r="U3424" s="56"/>
      <c r="V3424" s="56" t="s">
        <v>4600</v>
      </c>
      <c r="W3424" s="56"/>
      <c r="X3424" s="56"/>
      <c r="Y3424" s="56"/>
      <c r="Z3424" s="56">
        <v>5</v>
      </c>
      <c r="AA3424" s="56">
        <v>5</v>
      </c>
      <c r="AB3424" s="56"/>
      <c r="AC3424" s="56">
        <v>333.2</v>
      </c>
      <c r="AD3424" s="76">
        <v>26.9</v>
      </c>
      <c r="AE3424" s="56">
        <v>636.5</v>
      </c>
      <c r="AF3424" s="76">
        <v>28.3</v>
      </c>
      <c r="AG3424" s="56"/>
      <c r="AH3424" s="56"/>
      <c r="AI3424" s="56"/>
      <c r="AJ3424" s="56" t="s">
        <v>108</v>
      </c>
      <c r="AK3424" s="56" t="s">
        <v>904</v>
      </c>
      <c r="AL3424" s="59"/>
      <c r="AM3424" s="60"/>
      <c r="AN3424" s="56">
        <v>6.0000000000000001E-3</v>
      </c>
      <c r="AO3424" s="75">
        <v>2.417910447761198E-3</v>
      </c>
      <c r="AP3424" s="56">
        <v>8.0000000000000002E-3</v>
      </c>
      <c r="AQ3424" s="75">
        <v>5.2835820895521749E-3</v>
      </c>
      <c r="AR3424" s="37"/>
      <c r="AS3424" s="37"/>
      <c r="AT3424" s="37"/>
      <c r="AU3424" s="37"/>
      <c r="AV3424" s="37"/>
      <c r="AW3424" s="28">
        <f t="shared" si="343"/>
        <v>0.48677413969656785</v>
      </c>
      <c r="AX3424">
        <f t="shared" si="344"/>
        <v>0.90322580645161288</v>
      </c>
      <c r="AY3424" s="62">
        <f t="shared" si="345"/>
        <v>0.43966696488722257</v>
      </c>
      <c r="AZ3424" s="68" t="str">
        <f t="shared" si="346"/>
        <v>No</v>
      </c>
      <c r="BA3424" s="68" t="str">
        <f t="shared" si="347"/>
        <v>No</v>
      </c>
    </row>
    <row r="3425" spans="1:53" ht="15" hidden="1">
      <c r="A3425" s="56" t="s">
        <v>3914</v>
      </c>
      <c r="G3425" s="56" t="s">
        <v>3963</v>
      </c>
      <c r="P3425" s="56" t="s">
        <v>4596</v>
      </c>
      <c r="Q3425" s="56"/>
      <c r="R3425" s="56" t="s">
        <v>4908</v>
      </c>
      <c r="S3425" s="56" t="s">
        <v>3964</v>
      </c>
      <c r="T3425" s="56"/>
      <c r="U3425" s="56"/>
      <c r="V3425" s="56" t="s">
        <v>4598</v>
      </c>
      <c r="W3425" s="56"/>
      <c r="X3425" s="56"/>
      <c r="Y3425" s="56"/>
      <c r="Z3425" s="56">
        <v>5</v>
      </c>
      <c r="AA3425" s="56">
        <v>5</v>
      </c>
      <c r="AB3425" s="56"/>
      <c r="AC3425" s="56">
        <v>333.2</v>
      </c>
      <c r="AD3425" s="76">
        <v>26.9</v>
      </c>
      <c r="AE3425" s="56">
        <v>331.5</v>
      </c>
      <c r="AF3425" s="76">
        <v>28.2</v>
      </c>
      <c r="AG3425" s="56"/>
      <c r="AH3425" s="56"/>
      <c r="AI3425" s="56"/>
      <c r="AJ3425" s="56" t="s">
        <v>4915</v>
      </c>
      <c r="AK3425" s="56" t="s">
        <v>4849</v>
      </c>
      <c r="AL3425" s="59"/>
      <c r="AM3425" s="60"/>
      <c r="AN3425" s="56">
        <v>0.14499999999999999</v>
      </c>
      <c r="AO3425" s="75">
        <v>6.9009584664536994E-2</v>
      </c>
      <c r="AP3425" s="56">
        <v>2.5000000000000001E-2</v>
      </c>
      <c r="AQ3425" s="75">
        <v>2.9832268370607002E-2</v>
      </c>
      <c r="AR3425" s="37"/>
      <c r="AS3425" s="37"/>
      <c r="AT3425" s="37"/>
      <c r="AU3425" s="37"/>
      <c r="AV3425" s="37"/>
      <c r="AW3425" s="28">
        <f t="shared" si="343"/>
        <v>-2.2572732798628192</v>
      </c>
      <c r="AX3425">
        <f t="shared" si="344"/>
        <v>0.90322580645161288</v>
      </c>
      <c r="AY3425" s="62">
        <f t="shared" si="345"/>
        <v>-2.0388274785857723</v>
      </c>
      <c r="AZ3425" s="68" t="str">
        <f t="shared" si="346"/>
        <v>No</v>
      </c>
      <c r="BA3425" s="68" t="str">
        <f t="shared" si="347"/>
        <v>No</v>
      </c>
    </row>
    <row r="3426" spans="1:53" ht="15" hidden="1">
      <c r="A3426" s="56" t="s">
        <v>3914</v>
      </c>
      <c r="G3426" s="56" t="s">
        <v>5124</v>
      </c>
      <c r="P3426" s="56" t="s">
        <v>4596</v>
      </c>
      <c r="Q3426" s="56"/>
      <c r="R3426" s="56" t="s">
        <v>4908</v>
      </c>
      <c r="S3426" s="56" t="s">
        <v>3964</v>
      </c>
      <c r="T3426" s="56"/>
      <c r="U3426" s="56"/>
      <c r="V3426" s="56" t="s">
        <v>4600</v>
      </c>
      <c r="W3426" s="56"/>
      <c r="X3426" s="56"/>
      <c r="Y3426" s="56"/>
      <c r="Z3426" s="56">
        <v>5</v>
      </c>
      <c r="AA3426" s="56">
        <v>5</v>
      </c>
      <c r="AB3426" s="56"/>
      <c r="AC3426" s="56">
        <v>333.2</v>
      </c>
      <c r="AD3426" s="76">
        <v>26.9</v>
      </c>
      <c r="AE3426" s="56">
        <v>636.5</v>
      </c>
      <c r="AF3426" s="76">
        <v>28.3</v>
      </c>
      <c r="AG3426" s="56"/>
      <c r="AH3426" s="56"/>
      <c r="AI3426" s="56"/>
      <c r="AJ3426" s="56" t="s">
        <v>4911</v>
      </c>
      <c r="AK3426" s="56" t="s">
        <v>4849</v>
      </c>
      <c r="AL3426" s="59"/>
      <c r="AM3426" s="60"/>
      <c r="AN3426" s="56">
        <v>0.14499999999999999</v>
      </c>
      <c r="AO3426" s="75">
        <v>6.9009584664536994E-2</v>
      </c>
      <c r="AP3426" s="56">
        <v>7.0000000000000007E-2</v>
      </c>
      <c r="AQ3426" s="75">
        <v>4.888178913737954E-2</v>
      </c>
      <c r="AR3426" s="37"/>
      <c r="AS3426" s="37"/>
      <c r="AT3426" s="37"/>
      <c r="AU3426" s="37"/>
      <c r="AV3426" s="37"/>
      <c r="AW3426" s="28">
        <f t="shared" si="343"/>
        <v>-1.2542093544095856</v>
      </c>
      <c r="AX3426">
        <f t="shared" si="344"/>
        <v>0.90322580645161288</v>
      </c>
      <c r="AY3426" s="62">
        <f t="shared" si="345"/>
        <v>-1.1328342555957547</v>
      </c>
      <c r="AZ3426" s="68" t="str">
        <f t="shared" si="346"/>
        <v>No</v>
      </c>
      <c r="BA3426" s="68" t="str">
        <f t="shared" si="347"/>
        <v>No</v>
      </c>
    </row>
    <row r="3427" spans="1:53" ht="15" hidden="1">
      <c r="A3427" s="56" t="s">
        <v>3914</v>
      </c>
      <c r="G3427" s="56" t="s">
        <v>5124</v>
      </c>
      <c r="P3427" s="56" t="s">
        <v>60</v>
      </c>
      <c r="Q3427" s="56"/>
      <c r="R3427" s="56" t="s">
        <v>3942</v>
      </c>
      <c r="S3427" s="56" t="s">
        <v>3964</v>
      </c>
      <c r="T3427" s="56"/>
      <c r="U3427" s="56"/>
      <c r="V3427" s="56" t="s">
        <v>3956</v>
      </c>
      <c r="W3427" s="56"/>
      <c r="X3427" s="56"/>
      <c r="Y3427" s="56"/>
      <c r="Z3427" s="56">
        <v>5</v>
      </c>
      <c r="AA3427" s="56">
        <v>5</v>
      </c>
      <c r="AB3427" s="56"/>
      <c r="AC3427" s="56">
        <v>333.2</v>
      </c>
      <c r="AD3427" s="56">
        <v>26.9</v>
      </c>
      <c r="AE3427" s="56">
        <v>571</v>
      </c>
      <c r="AF3427" s="56">
        <v>27.1</v>
      </c>
      <c r="AG3427" s="56"/>
      <c r="AH3427" s="56"/>
      <c r="AI3427" s="56"/>
      <c r="AJ3427" s="56" t="s">
        <v>3982</v>
      </c>
      <c r="AK3427" s="56" t="s">
        <v>40</v>
      </c>
      <c r="AN3427" s="56">
        <v>0.2</v>
      </c>
      <c r="AO3427" s="56">
        <v>0.20124611797498107</v>
      </c>
      <c r="AP3427" s="56">
        <v>0.17499999999999999</v>
      </c>
      <c r="AQ3427" s="56">
        <v>0.10062305898749054</v>
      </c>
      <c r="AW3427" s="28">
        <f t="shared" si="343"/>
        <v>-0.15713484026367738</v>
      </c>
      <c r="AX3427">
        <f t="shared" si="344"/>
        <v>0.90322580645161288</v>
      </c>
      <c r="AY3427" s="62">
        <f t="shared" si="345"/>
        <v>-0.14192824281880537</v>
      </c>
      <c r="AZ3427" s="68" t="str">
        <f t="shared" si="346"/>
        <v>No</v>
      </c>
      <c r="BA3427" s="68" t="str">
        <f t="shared" si="347"/>
        <v>No</v>
      </c>
    </row>
    <row r="3428" spans="1:53" ht="15" hidden="1">
      <c r="A3428" s="56" t="s">
        <v>3914</v>
      </c>
      <c r="G3428" s="56" t="s">
        <v>3963</v>
      </c>
      <c r="P3428" s="56" t="s">
        <v>4596</v>
      </c>
      <c r="Q3428" s="56"/>
      <c r="R3428" s="56" t="s">
        <v>4908</v>
      </c>
      <c r="S3428" s="56" t="s">
        <v>3964</v>
      </c>
      <c r="T3428" s="56"/>
      <c r="U3428" s="56"/>
      <c r="V3428" s="56" t="s">
        <v>4600</v>
      </c>
      <c r="W3428" s="56"/>
      <c r="X3428" s="56"/>
      <c r="Y3428" s="56"/>
      <c r="Z3428" s="56">
        <v>5</v>
      </c>
      <c r="AA3428" s="56">
        <v>5</v>
      </c>
      <c r="AB3428" s="56"/>
      <c r="AC3428" s="56">
        <v>333.2</v>
      </c>
      <c r="AD3428" s="76">
        <v>26.9</v>
      </c>
      <c r="AE3428" s="56">
        <v>636.5</v>
      </c>
      <c r="AF3428" s="76">
        <v>28.3</v>
      </c>
      <c r="AG3428" s="56"/>
      <c r="AH3428" s="56"/>
      <c r="AI3428" s="56"/>
      <c r="AJ3428" s="56" t="s">
        <v>3995</v>
      </c>
      <c r="AK3428" s="56" t="s">
        <v>904</v>
      </c>
      <c r="AL3428" s="59"/>
      <c r="AM3428" s="60"/>
      <c r="AN3428" s="56">
        <v>27.7</v>
      </c>
      <c r="AO3428" s="75">
        <v>0.77319587628869968</v>
      </c>
      <c r="AP3428" s="56">
        <v>27</v>
      </c>
      <c r="AQ3428" s="75">
        <v>1.6494845360824497</v>
      </c>
      <c r="AR3428" s="37"/>
      <c r="AS3428" s="37"/>
      <c r="AT3428" s="37"/>
      <c r="AU3428" s="37"/>
      <c r="AV3428" s="37"/>
      <c r="AW3428" s="28">
        <f t="shared" si="343"/>
        <v>-0.54341741045497394</v>
      </c>
      <c r="AX3428">
        <f t="shared" si="344"/>
        <v>0.90322580645161288</v>
      </c>
      <c r="AY3428" s="62">
        <f t="shared" si="345"/>
        <v>-0.49082862879804096</v>
      </c>
      <c r="AZ3428" s="68" t="str">
        <f t="shared" si="346"/>
        <v>No</v>
      </c>
      <c r="BA3428" s="68" t="str">
        <f t="shared" si="347"/>
        <v>No</v>
      </c>
    </row>
    <row r="3429" spans="1:53" ht="15" hidden="1">
      <c r="A3429" s="56" t="s">
        <v>3914</v>
      </c>
      <c r="G3429" s="56" t="s">
        <v>3963</v>
      </c>
      <c r="P3429" s="56" t="s">
        <v>4596</v>
      </c>
      <c r="Q3429" s="56"/>
      <c r="R3429" s="56" t="s">
        <v>4908</v>
      </c>
      <c r="S3429" s="56" t="s">
        <v>3964</v>
      </c>
      <c r="T3429" s="56"/>
      <c r="U3429" s="56"/>
      <c r="V3429" s="56" t="s">
        <v>4598</v>
      </c>
      <c r="W3429" s="56"/>
      <c r="X3429" s="56"/>
      <c r="Y3429" s="56"/>
      <c r="Z3429" s="56">
        <v>5</v>
      </c>
      <c r="AA3429" s="56">
        <v>5</v>
      </c>
      <c r="AB3429" s="56"/>
      <c r="AC3429" s="56">
        <v>333.2</v>
      </c>
      <c r="AD3429" s="76">
        <v>26.9</v>
      </c>
      <c r="AE3429" s="56">
        <v>331.5</v>
      </c>
      <c r="AF3429" s="76">
        <v>28.2</v>
      </c>
      <c r="AG3429" s="56"/>
      <c r="AH3429" s="56"/>
      <c r="AI3429" s="56"/>
      <c r="AJ3429" s="56" t="s">
        <v>4916</v>
      </c>
      <c r="AK3429" s="56" t="s">
        <v>904</v>
      </c>
      <c r="AL3429" s="59"/>
      <c r="AM3429" s="60"/>
      <c r="AN3429" s="56">
        <v>27.7</v>
      </c>
      <c r="AO3429" s="75">
        <v>0.77319587628869968</v>
      </c>
      <c r="AP3429" s="56">
        <v>23</v>
      </c>
      <c r="AQ3429" s="75">
        <v>2.3711340206185509</v>
      </c>
      <c r="AR3429" s="37"/>
      <c r="AS3429" s="37"/>
      <c r="AT3429" s="37"/>
      <c r="AU3429" s="37"/>
      <c r="AV3429" s="37"/>
      <c r="AW3429" s="28">
        <f t="shared" si="343"/>
        <v>-2.6651022678780207</v>
      </c>
      <c r="AX3429">
        <f t="shared" si="344"/>
        <v>0.90322580645161288</v>
      </c>
      <c r="AY3429" s="62">
        <f t="shared" si="345"/>
        <v>-2.4071891451801477</v>
      </c>
      <c r="AZ3429" s="68" t="str">
        <f t="shared" si="346"/>
        <v>No</v>
      </c>
      <c r="BA3429" s="68" t="str">
        <f t="shared" si="347"/>
        <v>No</v>
      </c>
    </row>
    <row r="3430" spans="1:53" ht="15" hidden="1">
      <c r="A3430" s="56" t="s">
        <v>3914</v>
      </c>
      <c r="G3430" s="56" t="s">
        <v>5124</v>
      </c>
      <c r="P3430" s="56" t="s">
        <v>4596</v>
      </c>
      <c r="Q3430" s="56"/>
      <c r="R3430" s="56" t="s">
        <v>4908</v>
      </c>
      <c r="S3430" s="56" t="s">
        <v>3964</v>
      </c>
      <c r="T3430" s="56"/>
      <c r="U3430" s="56"/>
      <c r="V3430" s="56" t="s">
        <v>4598</v>
      </c>
      <c r="W3430" s="56"/>
      <c r="X3430" s="56"/>
      <c r="Y3430" s="56"/>
      <c r="Z3430" s="56">
        <v>5</v>
      </c>
      <c r="AA3430" s="56">
        <v>5</v>
      </c>
      <c r="AB3430" s="56"/>
      <c r="AC3430" s="56">
        <v>333.2</v>
      </c>
      <c r="AD3430" s="76">
        <v>26.9</v>
      </c>
      <c r="AE3430" s="56">
        <v>331.5</v>
      </c>
      <c r="AF3430" s="76">
        <v>28.2</v>
      </c>
      <c r="AG3430" s="56"/>
      <c r="AH3430" s="56"/>
      <c r="AI3430" s="56"/>
      <c r="AJ3430" s="56" t="s">
        <v>4914</v>
      </c>
      <c r="AK3430" s="56" t="s">
        <v>69</v>
      </c>
      <c r="AL3430" s="59"/>
      <c r="AM3430" s="60"/>
      <c r="AN3430" s="56">
        <v>7.7</v>
      </c>
      <c r="AO3430" s="75">
        <v>4.3421052631578885</v>
      </c>
      <c r="AP3430" s="56">
        <v>11</v>
      </c>
      <c r="AQ3430" s="75">
        <v>4.3914473684210407</v>
      </c>
      <c r="AR3430" s="37"/>
      <c r="AS3430" s="37"/>
      <c r="AT3430" s="37"/>
      <c r="AU3430" s="37"/>
      <c r="AV3430" s="37"/>
      <c r="AW3430" s="28">
        <f t="shared" si="343"/>
        <v>0.7556941541682809</v>
      </c>
      <c r="AX3430">
        <f t="shared" si="344"/>
        <v>0.90322580645161288</v>
      </c>
      <c r="AY3430" s="62">
        <f t="shared" si="345"/>
        <v>0.68256246182941493</v>
      </c>
      <c r="AZ3430" s="68" t="str">
        <f t="shared" si="346"/>
        <v>No</v>
      </c>
      <c r="BA3430" s="68" t="str">
        <f t="shared" si="347"/>
        <v>No</v>
      </c>
    </row>
    <row r="3431" spans="1:53" ht="15" hidden="1">
      <c r="A3431" s="56" t="s">
        <v>3914</v>
      </c>
      <c r="G3431" s="56" t="s">
        <v>3963</v>
      </c>
      <c r="P3431" s="56" t="s">
        <v>60</v>
      </c>
      <c r="Q3431" s="56"/>
      <c r="R3431" s="56" t="s">
        <v>3942</v>
      </c>
      <c r="S3431" s="56" t="s">
        <v>3964</v>
      </c>
      <c r="T3431" s="56"/>
      <c r="U3431" s="56"/>
      <c r="V3431" s="56" t="s">
        <v>3956</v>
      </c>
      <c r="W3431" s="56"/>
      <c r="X3431" s="56"/>
      <c r="Y3431" s="56"/>
      <c r="Z3431" s="56">
        <v>5</v>
      </c>
      <c r="AA3431" s="56">
        <v>5</v>
      </c>
      <c r="AB3431" s="56"/>
      <c r="AC3431" s="56">
        <v>333.2</v>
      </c>
      <c r="AD3431" s="56">
        <v>26.9</v>
      </c>
      <c r="AE3431" s="56">
        <v>571</v>
      </c>
      <c r="AF3431" s="56">
        <v>27.1</v>
      </c>
      <c r="AG3431" s="56"/>
      <c r="AH3431" s="56"/>
      <c r="AI3431" s="56"/>
      <c r="AJ3431" s="56" t="s">
        <v>3995</v>
      </c>
      <c r="AK3431" s="56" t="s">
        <v>904</v>
      </c>
      <c r="AN3431" s="56">
        <v>27.7</v>
      </c>
      <c r="AO3431" s="56">
        <v>0.75</v>
      </c>
      <c r="AP3431" s="56">
        <v>31</v>
      </c>
      <c r="AQ3431" s="56">
        <v>6.75</v>
      </c>
      <c r="AW3431" s="28">
        <f t="shared" si="343"/>
        <v>0.68716455230986684</v>
      </c>
      <c r="AX3431">
        <f t="shared" si="344"/>
        <v>0.90322580645161288</v>
      </c>
      <c r="AY3431" s="62">
        <f t="shared" si="345"/>
        <v>0.62066475692504097</v>
      </c>
      <c r="AZ3431" s="68" t="str">
        <f t="shared" si="346"/>
        <v>No</v>
      </c>
      <c r="BA3431" s="68" t="str">
        <f t="shared" si="347"/>
        <v>No</v>
      </c>
    </row>
    <row r="3432" spans="1:53" ht="15" hidden="1">
      <c r="A3432" s="56" t="s">
        <v>3914</v>
      </c>
      <c r="G3432" s="56" t="s">
        <v>3963</v>
      </c>
      <c r="P3432" s="56" t="s">
        <v>4596</v>
      </c>
      <c r="Q3432" s="56"/>
      <c r="R3432" s="56" t="s">
        <v>4908</v>
      </c>
      <c r="S3432" s="56" t="s">
        <v>3964</v>
      </c>
      <c r="T3432" s="56"/>
      <c r="U3432" s="56"/>
      <c r="V3432" s="56" t="s">
        <v>4600</v>
      </c>
      <c r="W3432" s="56"/>
      <c r="X3432" s="56"/>
      <c r="Y3432" s="56"/>
      <c r="Z3432" s="56">
        <v>5</v>
      </c>
      <c r="AA3432" s="56">
        <v>5</v>
      </c>
      <c r="AB3432" s="56"/>
      <c r="AC3432" s="56">
        <v>333.2</v>
      </c>
      <c r="AD3432" s="76">
        <v>26.9</v>
      </c>
      <c r="AE3432" s="56">
        <v>636.5</v>
      </c>
      <c r="AF3432" s="76">
        <v>28.3</v>
      </c>
      <c r="AG3432" s="56"/>
      <c r="AH3432" s="56"/>
      <c r="AI3432" s="56"/>
      <c r="AJ3432" s="56" t="s">
        <v>4909</v>
      </c>
      <c r="AK3432" s="56" t="s">
        <v>4848</v>
      </c>
      <c r="AL3432" s="59"/>
      <c r="AM3432" s="60"/>
      <c r="AN3432" s="56">
        <v>7.7</v>
      </c>
      <c r="AO3432" s="75">
        <v>4.3421052631578885</v>
      </c>
      <c r="AP3432" s="56">
        <v>8.5</v>
      </c>
      <c r="AQ3432" s="75">
        <v>8.9309210526315539</v>
      </c>
      <c r="AR3432" s="37"/>
      <c r="AS3432" s="37"/>
      <c r="AT3432" s="37"/>
      <c r="AU3432" s="37"/>
      <c r="AV3432" s="37"/>
      <c r="AW3432" s="28">
        <f t="shared" si="343"/>
        <v>0.11392866046559988</v>
      </c>
      <c r="AX3432">
        <f t="shared" si="344"/>
        <v>0.90322580645161288</v>
      </c>
      <c r="AY3432" s="62">
        <f t="shared" si="345"/>
        <v>0.10290330622699344</v>
      </c>
      <c r="AZ3432" s="68" t="str">
        <f t="shared" si="346"/>
        <v>No</v>
      </c>
      <c r="BA3432" s="68" t="str">
        <f t="shared" si="347"/>
        <v>No</v>
      </c>
    </row>
    <row r="3433" spans="1:53" ht="15" hidden="1">
      <c r="A3433" s="56" t="s">
        <v>3914</v>
      </c>
      <c r="G3433" s="56" t="s">
        <v>3963</v>
      </c>
      <c r="P3433" s="56" t="s">
        <v>4596</v>
      </c>
      <c r="Q3433" s="56"/>
      <c r="R3433" s="56" t="s">
        <v>4908</v>
      </c>
      <c r="S3433" s="56" t="s">
        <v>3964</v>
      </c>
      <c r="T3433" s="56"/>
      <c r="U3433" s="56"/>
      <c r="V3433" s="56" t="s">
        <v>4598</v>
      </c>
      <c r="W3433" s="56"/>
      <c r="X3433" s="56"/>
      <c r="Y3433" s="56"/>
      <c r="Z3433" s="56">
        <v>5</v>
      </c>
      <c r="AA3433" s="56">
        <v>5</v>
      </c>
      <c r="AB3433" s="56"/>
      <c r="AC3433" s="56">
        <v>333.2</v>
      </c>
      <c r="AD3433" s="76">
        <v>26.9</v>
      </c>
      <c r="AE3433" s="56">
        <v>331.5</v>
      </c>
      <c r="AF3433" s="76">
        <v>28.2</v>
      </c>
      <c r="AG3433" s="56"/>
      <c r="AH3433" s="56"/>
      <c r="AI3433" s="56"/>
      <c r="AJ3433" s="56" t="s">
        <v>4912</v>
      </c>
      <c r="AK3433" s="56" t="s">
        <v>904</v>
      </c>
      <c r="AL3433" s="59"/>
      <c r="AM3433" s="60"/>
      <c r="AN3433" s="56">
        <v>123</v>
      </c>
      <c r="AO3433" s="75">
        <f>23*0.75</f>
        <v>17.25</v>
      </c>
      <c r="AP3433" s="56">
        <v>90</v>
      </c>
      <c r="AQ3433" s="75">
        <f>15*0.75</f>
        <v>11.25</v>
      </c>
      <c r="AR3433" s="37"/>
      <c r="AS3433" s="37"/>
      <c r="AT3433" s="37"/>
      <c r="AU3433" s="37"/>
      <c r="AV3433" s="37"/>
      <c r="AW3433" s="28">
        <f t="shared" si="343"/>
        <v>-2.2661152915482607</v>
      </c>
      <c r="AX3433">
        <f t="shared" si="344"/>
        <v>0.90322580645161288</v>
      </c>
      <c r="AY3433" s="62">
        <f t="shared" si="345"/>
        <v>-2.0468138117210097</v>
      </c>
      <c r="AZ3433" s="68" t="str">
        <f t="shared" si="346"/>
        <v>No</v>
      </c>
      <c r="BA3433" s="68" t="str">
        <f t="shared" si="347"/>
        <v>No</v>
      </c>
    </row>
    <row r="3434" spans="1:53" ht="15" hidden="1">
      <c r="A3434" s="56" t="s">
        <v>3914</v>
      </c>
      <c r="G3434" s="56" t="s">
        <v>3963</v>
      </c>
      <c r="P3434" s="56" t="s">
        <v>4596</v>
      </c>
      <c r="Q3434" s="56"/>
      <c r="R3434" s="56" t="s">
        <v>4908</v>
      </c>
      <c r="S3434" s="56" t="s">
        <v>3964</v>
      </c>
      <c r="T3434" s="56"/>
      <c r="U3434" s="56"/>
      <c r="V3434" s="56" t="s">
        <v>4600</v>
      </c>
      <c r="W3434" s="56"/>
      <c r="X3434" s="56"/>
      <c r="Y3434" s="56"/>
      <c r="Z3434" s="56">
        <v>5</v>
      </c>
      <c r="AA3434" s="56">
        <v>5</v>
      </c>
      <c r="AB3434" s="56"/>
      <c r="AC3434" s="56">
        <v>333.2</v>
      </c>
      <c r="AD3434" s="76">
        <v>26.9</v>
      </c>
      <c r="AE3434" s="56">
        <v>636.5</v>
      </c>
      <c r="AF3434" s="76">
        <v>28.3</v>
      </c>
      <c r="AG3434" s="56"/>
      <c r="AH3434" s="56"/>
      <c r="AI3434" s="56"/>
      <c r="AJ3434" s="56" t="s">
        <v>4913</v>
      </c>
      <c r="AK3434" s="56" t="s">
        <v>904</v>
      </c>
      <c r="AL3434" s="59"/>
      <c r="AM3434" s="60"/>
      <c r="AN3434" s="56">
        <v>127</v>
      </c>
      <c r="AO3434" s="75">
        <v>11.423076923076739</v>
      </c>
      <c r="AP3434" s="56">
        <v>38</v>
      </c>
      <c r="AQ3434" s="75">
        <v>13.500000000000004</v>
      </c>
      <c r="AR3434" s="37"/>
      <c r="AS3434" s="37"/>
      <c r="AT3434" s="37"/>
      <c r="AU3434" s="37"/>
      <c r="AV3434" s="37"/>
      <c r="AW3434" s="28">
        <f t="shared" si="343"/>
        <v>-7.1173051993168723</v>
      </c>
      <c r="AX3434">
        <f t="shared" si="344"/>
        <v>0.90322580645161288</v>
      </c>
      <c r="AY3434" s="62">
        <f t="shared" si="345"/>
        <v>-6.4285337284152391</v>
      </c>
      <c r="AZ3434" s="68" t="str">
        <f t="shared" si="346"/>
        <v>No</v>
      </c>
      <c r="BA3434" s="68" t="str">
        <f t="shared" si="347"/>
        <v>No</v>
      </c>
    </row>
    <row r="3435" spans="1:53" ht="15" hidden="1">
      <c r="A3435" s="56" t="s">
        <v>3914</v>
      </c>
      <c r="G3435" s="56" t="s">
        <v>3963</v>
      </c>
      <c r="P3435" s="56" t="s">
        <v>4596</v>
      </c>
      <c r="Q3435" s="56"/>
      <c r="R3435" s="56" t="s">
        <v>4908</v>
      </c>
      <c r="S3435" s="56" t="s">
        <v>3964</v>
      </c>
      <c r="T3435" s="56"/>
      <c r="U3435" s="56"/>
      <c r="V3435" s="56" t="s">
        <v>4600</v>
      </c>
      <c r="W3435" s="56"/>
      <c r="X3435" s="56"/>
      <c r="Y3435" s="56"/>
      <c r="Z3435" s="56">
        <v>5</v>
      </c>
      <c r="AA3435" s="56">
        <v>5</v>
      </c>
      <c r="AB3435" s="56"/>
      <c r="AC3435" s="56">
        <v>333.2</v>
      </c>
      <c r="AD3435" s="76">
        <v>26.9</v>
      </c>
      <c r="AE3435" s="56">
        <v>636.5</v>
      </c>
      <c r="AF3435" s="76">
        <v>28.3</v>
      </c>
      <c r="AG3435" s="56"/>
      <c r="AH3435" s="56"/>
      <c r="AI3435" s="56"/>
      <c r="AJ3435" s="56" t="s">
        <v>4912</v>
      </c>
      <c r="AK3435" s="56" t="s">
        <v>904</v>
      </c>
      <c r="AL3435" s="59"/>
      <c r="AM3435" s="60"/>
      <c r="AN3435" s="56">
        <v>123</v>
      </c>
      <c r="AO3435" s="75">
        <f>23*0.75</f>
        <v>17.25</v>
      </c>
      <c r="AP3435" s="56">
        <v>57</v>
      </c>
      <c r="AQ3435" s="75">
        <f>20*0.75</f>
        <v>15</v>
      </c>
      <c r="AR3435" s="37"/>
      <c r="AS3435" s="37"/>
      <c r="AT3435" s="37"/>
      <c r="AU3435" s="37"/>
      <c r="AV3435" s="37"/>
      <c r="AW3435" s="28">
        <f t="shared" si="343"/>
        <v>-4.0830980871436013</v>
      </c>
      <c r="AX3435">
        <f t="shared" si="344"/>
        <v>0.90322580645161288</v>
      </c>
      <c r="AY3435" s="62">
        <f t="shared" si="345"/>
        <v>-3.6879595625813173</v>
      </c>
      <c r="AZ3435" s="68" t="str">
        <f t="shared" si="346"/>
        <v>No</v>
      </c>
      <c r="BA3435" s="68" t="str">
        <f t="shared" si="347"/>
        <v>No</v>
      </c>
    </row>
    <row r="3436" spans="1:53" ht="15" hidden="1">
      <c r="A3436" s="56" t="s">
        <v>3914</v>
      </c>
      <c r="G3436" s="56" t="s">
        <v>3963</v>
      </c>
      <c r="P3436" s="56" t="s">
        <v>4596</v>
      </c>
      <c r="Q3436" s="56"/>
      <c r="R3436" s="56" t="s">
        <v>4908</v>
      </c>
      <c r="S3436" s="56" t="s">
        <v>3964</v>
      </c>
      <c r="T3436" s="56"/>
      <c r="U3436" s="56"/>
      <c r="V3436" s="56" t="s">
        <v>4598</v>
      </c>
      <c r="W3436" s="56"/>
      <c r="X3436" s="56"/>
      <c r="Y3436" s="56"/>
      <c r="Z3436" s="56">
        <v>5</v>
      </c>
      <c r="AA3436" s="56">
        <v>5</v>
      </c>
      <c r="AB3436" s="56"/>
      <c r="AC3436" s="56">
        <v>333.2</v>
      </c>
      <c r="AD3436" s="76">
        <v>26.9</v>
      </c>
      <c r="AE3436" s="56">
        <v>331.5</v>
      </c>
      <c r="AF3436" s="76">
        <v>28.2</v>
      </c>
      <c r="AG3436" s="56"/>
      <c r="AH3436" s="56"/>
      <c r="AI3436" s="56"/>
      <c r="AJ3436" s="56" t="s">
        <v>4913</v>
      </c>
      <c r="AK3436" s="56" t="s">
        <v>904</v>
      </c>
      <c r="AL3436" s="59"/>
      <c r="AM3436" s="60"/>
      <c r="AN3436" s="56">
        <v>127</v>
      </c>
      <c r="AO3436" s="75">
        <v>11.423076923076739</v>
      </c>
      <c r="AP3436" s="56">
        <v>30</v>
      </c>
      <c r="AQ3436" s="75">
        <v>18.69230769230775</v>
      </c>
      <c r="AR3436" s="37"/>
      <c r="AS3436" s="37"/>
      <c r="AT3436" s="37"/>
      <c r="AU3436" s="37"/>
      <c r="AV3436" s="37"/>
      <c r="AW3436" s="28">
        <f t="shared" si="343"/>
        <v>-6.2620468199791439</v>
      </c>
      <c r="AX3436">
        <f t="shared" si="344"/>
        <v>0.90322580645161288</v>
      </c>
      <c r="AY3436" s="62">
        <f t="shared" si="345"/>
        <v>-5.6560422890134205</v>
      </c>
      <c r="AZ3436" s="68" t="str">
        <f t="shared" si="346"/>
        <v>No</v>
      </c>
      <c r="BA3436" s="68" t="str">
        <f t="shared" si="347"/>
        <v>No</v>
      </c>
    </row>
    <row r="3437" spans="1:53" hidden="1">
      <c r="A3437" t="s">
        <v>3914</v>
      </c>
      <c r="G3437" t="s">
        <v>4405</v>
      </c>
      <c r="P3437" t="s">
        <v>60</v>
      </c>
      <c r="R3437" t="s">
        <v>4357</v>
      </c>
      <c r="S3437" t="s">
        <v>1148</v>
      </c>
      <c r="V3437" t="s">
        <v>3956</v>
      </c>
      <c r="Z3437">
        <v>30</v>
      </c>
      <c r="AA3437">
        <v>30</v>
      </c>
      <c r="AC3437">
        <v>412</v>
      </c>
      <c r="AD3437">
        <v>20.100000000000001</v>
      </c>
      <c r="AE3437">
        <v>1161</v>
      </c>
      <c r="AF3437">
        <v>20.100000000000001</v>
      </c>
      <c r="AJ3437" t="s">
        <v>4493</v>
      </c>
      <c r="AK3437" t="s">
        <v>4123</v>
      </c>
      <c r="AN3437">
        <v>2.0082372505443331E-2</v>
      </c>
      <c r="AO3437">
        <v>1.7519330705429017E-2</v>
      </c>
      <c r="AP3437">
        <v>2.4589774593216866E-2</v>
      </c>
      <c r="AQ3437">
        <v>5.756137888062716E-3</v>
      </c>
      <c r="AW3437" s="28">
        <f t="shared" si="343"/>
        <v>0.34567142365222858</v>
      </c>
      <c r="AX3437">
        <f t="shared" si="344"/>
        <v>0.98701298701298701</v>
      </c>
      <c r="AY3437" s="62">
        <f t="shared" si="345"/>
        <v>0.34118218438401782</v>
      </c>
      <c r="AZ3437" s="68" t="str">
        <f t="shared" si="346"/>
        <v>No</v>
      </c>
      <c r="BA3437" s="68" t="str">
        <f t="shared" si="347"/>
        <v>No</v>
      </c>
    </row>
    <row r="3438" spans="1:53" hidden="1">
      <c r="A3438" t="s">
        <v>3914</v>
      </c>
      <c r="G3438" t="s">
        <v>4405</v>
      </c>
      <c r="P3438" t="s">
        <v>60</v>
      </c>
      <c r="R3438" t="s">
        <v>4357</v>
      </c>
      <c r="S3438" t="s">
        <v>1148</v>
      </c>
      <c r="V3438" t="s">
        <v>3956</v>
      </c>
      <c r="Z3438">
        <v>30</v>
      </c>
      <c r="AA3438">
        <v>30</v>
      </c>
      <c r="AC3438">
        <v>412</v>
      </c>
      <c r="AD3438">
        <v>20.100000000000001</v>
      </c>
      <c r="AE3438">
        <v>1996</v>
      </c>
      <c r="AF3438">
        <v>20.100000000000001</v>
      </c>
      <c r="AJ3438" t="s">
        <v>4493</v>
      </c>
      <c r="AK3438" t="s">
        <v>4123</v>
      </c>
      <c r="AN3438">
        <v>2.0082372505443331E-2</v>
      </c>
      <c r="AO3438">
        <v>1.7519330705429017E-2</v>
      </c>
      <c r="AP3438">
        <v>3.4718198618482923E-2</v>
      </c>
      <c r="AQ3438">
        <v>3.0319180831234194E-2</v>
      </c>
      <c r="AW3438" s="28">
        <f t="shared" si="343"/>
        <v>0.59109213729743448</v>
      </c>
      <c r="AX3438">
        <f t="shared" si="344"/>
        <v>0.98701298701298701</v>
      </c>
      <c r="AY3438" s="62">
        <f t="shared" si="345"/>
        <v>0.58341561603383141</v>
      </c>
      <c r="AZ3438" s="68" t="str">
        <f t="shared" si="346"/>
        <v>No</v>
      </c>
      <c r="BA3438" s="68" t="str">
        <f t="shared" si="347"/>
        <v>No</v>
      </c>
    </row>
    <row r="3439" spans="1:53" hidden="1">
      <c r="A3439" t="s">
        <v>3914</v>
      </c>
      <c r="G3439" t="s">
        <v>5041</v>
      </c>
      <c r="P3439" t="s">
        <v>60</v>
      </c>
      <c r="R3439" t="s">
        <v>4357</v>
      </c>
      <c r="S3439" t="s">
        <v>1148</v>
      </c>
      <c r="V3439" t="s">
        <v>3956</v>
      </c>
      <c r="Z3439">
        <v>30</v>
      </c>
      <c r="AA3439">
        <v>30</v>
      </c>
      <c r="AC3439">
        <v>412</v>
      </c>
      <c r="AD3439">
        <v>20.100000000000001</v>
      </c>
      <c r="AE3439">
        <v>1161</v>
      </c>
      <c r="AF3439">
        <v>20.100000000000001</v>
      </c>
      <c r="AJ3439" t="s">
        <v>4216</v>
      </c>
      <c r="AK3439" t="s">
        <v>4244</v>
      </c>
      <c r="AN3439">
        <v>540</v>
      </c>
      <c r="AO3439">
        <v>20</v>
      </c>
      <c r="AP3439">
        <v>525</v>
      </c>
      <c r="AQ3439">
        <v>20</v>
      </c>
      <c r="AW3439" s="28">
        <f t="shared" si="343"/>
        <v>-0.75</v>
      </c>
      <c r="AX3439">
        <f t="shared" si="344"/>
        <v>0.98701298701298701</v>
      </c>
      <c r="AY3439" s="62">
        <f t="shared" si="345"/>
        <v>-0.74025974025974028</v>
      </c>
      <c r="AZ3439" s="68" t="str">
        <f t="shared" si="346"/>
        <v>No</v>
      </c>
      <c r="BA3439" s="68" t="str">
        <f t="shared" si="347"/>
        <v>No</v>
      </c>
    </row>
    <row r="3440" spans="1:53" hidden="1">
      <c r="A3440" t="s">
        <v>3914</v>
      </c>
      <c r="G3440" s="50" t="s">
        <v>4405</v>
      </c>
      <c r="P3440" t="s">
        <v>60</v>
      </c>
      <c r="R3440" t="s">
        <v>4357</v>
      </c>
      <c r="S3440" s="50" t="s">
        <v>1148</v>
      </c>
      <c r="V3440" t="s">
        <v>3956</v>
      </c>
      <c r="Z3440">
        <v>30</v>
      </c>
      <c r="AA3440">
        <v>30</v>
      </c>
      <c r="AC3440">
        <v>412</v>
      </c>
      <c r="AD3440">
        <v>20.100000000000001</v>
      </c>
      <c r="AE3440">
        <v>1996</v>
      </c>
      <c r="AF3440">
        <v>20.100000000000001</v>
      </c>
      <c r="AJ3440" s="50" t="s">
        <v>4447</v>
      </c>
      <c r="AK3440" t="s">
        <v>4244</v>
      </c>
      <c r="AN3440">
        <v>280</v>
      </c>
      <c r="AO3440">
        <v>20</v>
      </c>
      <c r="AP3440">
        <v>240</v>
      </c>
      <c r="AQ3440">
        <v>20</v>
      </c>
      <c r="AW3440" s="28">
        <f t="shared" si="343"/>
        <v>-2</v>
      </c>
      <c r="AX3440">
        <f t="shared" si="344"/>
        <v>0.98701298701298701</v>
      </c>
      <c r="AY3440" s="62">
        <f t="shared" si="345"/>
        <v>-1.974025974025974</v>
      </c>
      <c r="AZ3440" s="68" t="str">
        <f t="shared" si="346"/>
        <v>No</v>
      </c>
      <c r="BA3440" s="68" t="str">
        <f t="shared" si="347"/>
        <v>No</v>
      </c>
    </row>
    <row r="3441" spans="1:55" hidden="1">
      <c r="A3441" t="s">
        <v>3914</v>
      </c>
      <c r="G3441" s="50" t="s">
        <v>4405</v>
      </c>
      <c r="P3441" t="s">
        <v>60</v>
      </c>
      <c r="R3441" t="s">
        <v>4357</v>
      </c>
      <c r="S3441" s="50" t="s">
        <v>1148</v>
      </c>
      <c r="V3441" t="s">
        <v>3956</v>
      </c>
      <c r="Z3441" s="50">
        <v>30</v>
      </c>
      <c r="AA3441" s="50">
        <v>30</v>
      </c>
      <c r="AC3441">
        <v>412</v>
      </c>
      <c r="AD3441">
        <v>20.100000000000001</v>
      </c>
      <c r="AE3441">
        <v>1161</v>
      </c>
      <c r="AF3441">
        <v>20.100000000000001</v>
      </c>
      <c r="AJ3441" s="50" t="s">
        <v>4447</v>
      </c>
      <c r="AK3441" t="s">
        <v>4244</v>
      </c>
      <c r="AN3441">
        <v>280</v>
      </c>
      <c r="AO3441">
        <v>20</v>
      </c>
      <c r="AP3441">
        <v>277</v>
      </c>
      <c r="AQ3441">
        <v>23</v>
      </c>
      <c r="AW3441" s="28">
        <f t="shared" si="343"/>
        <v>-0.13919652569807731</v>
      </c>
      <c r="AX3441">
        <f t="shared" si="344"/>
        <v>0.98701298701298701</v>
      </c>
      <c r="AY3441" s="62">
        <f t="shared" si="345"/>
        <v>-0.13738877861108928</v>
      </c>
      <c r="AZ3441" s="68" t="str">
        <f t="shared" si="346"/>
        <v>No</v>
      </c>
      <c r="BA3441" s="68" t="str">
        <f t="shared" si="347"/>
        <v>No</v>
      </c>
    </row>
    <row r="3442" spans="1:55" hidden="1">
      <c r="A3442" t="s">
        <v>3914</v>
      </c>
      <c r="G3442" s="50" t="s">
        <v>4405</v>
      </c>
      <c r="P3442" t="s">
        <v>60</v>
      </c>
      <c r="R3442" t="s">
        <v>4357</v>
      </c>
      <c r="S3442" s="50" t="s">
        <v>1148</v>
      </c>
      <c r="V3442" t="s">
        <v>3956</v>
      </c>
      <c r="Z3442">
        <v>30</v>
      </c>
      <c r="AA3442">
        <v>30</v>
      </c>
      <c r="AC3442">
        <v>412</v>
      </c>
      <c r="AD3442">
        <v>20.100000000000001</v>
      </c>
      <c r="AE3442">
        <v>3624</v>
      </c>
      <c r="AF3442">
        <v>20.100000000000001</v>
      </c>
      <c r="AJ3442" s="50" t="s">
        <v>4447</v>
      </c>
      <c r="AK3442" t="s">
        <v>4244</v>
      </c>
      <c r="AN3442">
        <v>280</v>
      </c>
      <c r="AO3442">
        <v>20</v>
      </c>
      <c r="AP3442">
        <v>150</v>
      </c>
      <c r="AQ3442">
        <v>30</v>
      </c>
      <c r="AW3442" s="28">
        <f t="shared" si="343"/>
        <v>-5.0990195135927845</v>
      </c>
      <c r="AX3442">
        <f t="shared" si="344"/>
        <v>0.98701298701298701</v>
      </c>
      <c r="AY3442" s="62">
        <f t="shared" si="345"/>
        <v>-5.0327984809487223</v>
      </c>
      <c r="AZ3442" s="68" t="str">
        <f t="shared" si="346"/>
        <v>No</v>
      </c>
      <c r="BA3442" s="68" t="str">
        <f t="shared" si="347"/>
        <v>No</v>
      </c>
    </row>
    <row r="3443" spans="1:55" hidden="1">
      <c r="A3443" t="s">
        <v>3914</v>
      </c>
      <c r="G3443" t="s">
        <v>4405</v>
      </c>
      <c r="P3443" t="s">
        <v>60</v>
      </c>
      <c r="R3443" t="s">
        <v>4357</v>
      </c>
      <c r="S3443" t="s">
        <v>1148</v>
      </c>
      <c r="V3443" t="s">
        <v>3956</v>
      </c>
      <c r="Z3443">
        <v>30</v>
      </c>
      <c r="AA3443">
        <v>30</v>
      </c>
      <c r="AC3443">
        <v>412</v>
      </c>
      <c r="AD3443">
        <v>20.100000000000001</v>
      </c>
      <c r="AE3443">
        <v>1996</v>
      </c>
      <c r="AF3443">
        <v>20.100000000000001</v>
      </c>
      <c r="AJ3443" t="s">
        <v>4216</v>
      </c>
      <c r="AK3443" t="s">
        <v>4244</v>
      </c>
      <c r="AN3443">
        <v>540</v>
      </c>
      <c r="AO3443">
        <v>20</v>
      </c>
      <c r="AP3443">
        <v>490</v>
      </c>
      <c r="AQ3443">
        <v>35</v>
      </c>
      <c r="AW3443" s="28">
        <f t="shared" si="343"/>
        <v>-1.7541160386140584</v>
      </c>
      <c r="AX3443">
        <f t="shared" si="344"/>
        <v>0.98701298701298701</v>
      </c>
      <c r="AY3443" s="62">
        <f t="shared" si="345"/>
        <v>-1.7313353108398499</v>
      </c>
      <c r="AZ3443" s="68" t="str">
        <f t="shared" si="346"/>
        <v>No</v>
      </c>
      <c r="BA3443" s="68" t="str">
        <f t="shared" si="347"/>
        <v>No</v>
      </c>
    </row>
    <row r="3444" spans="1:55" hidden="1">
      <c r="A3444" t="s">
        <v>3914</v>
      </c>
      <c r="G3444" t="s">
        <v>4405</v>
      </c>
      <c r="P3444" t="s">
        <v>60</v>
      </c>
      <c r="R3444" t="s">
        <v>4357</v>
      </c>
      <c r="S3444" t="s">
        <v>1148</v>
      </c>
      <c r="V3444" t="s">
        <v>3956</v>
      </c>
      <c r="Z3444">
        <v>30</v>
      </c>
      <c r="AA3444">
        <v>30</v>
      </c>
      <c r="AC3444">
        <v>412</v>
      </c>
      <c r="AD3444">
        <v>20.100000000000001</v>
      </c>
      <c r="AE3444">
        <v>3624</v>
      </c>
      <c r="AF3444">
        <v>20.100000000000001</v>
      </c>
      <c r="AJ3444" t="s">
        <v>4216</v>
      </c>
      <c r="AK3444" t="s">
        <v>4244</v>
      </c>
      <c r="AN3444">
        <v>540</v>
      </c>
      <c r="AO3444">
        <v>20</v>
      </c>
      <c r="AP3444">
        <v>335</v>
      </c>
      <c r="AQ3444">
        <v>35</v>
      </c>
      <c r="AW3444" s="28">
        <f t="shared" si="343"/>
        <v>-7.1918757583176394</v>
      </c>
      <c r="AX3444">
        <f t="shared" si="344"/>
        <v>0.98701298701298701</v>
      </c>
      <c r="AY3444" s="62">
        <f t="shared" si="345"/>
        <v>-7.0984747744433845</v>
      </c>
      <c r="AZ3444" s="68" t="str">
        <f t="shared" si="346"/>
        <v>No</v>
      </c>
      <c r="BA3444" s="68" t="str">
        <f t="shared" si="347"/>
        <v>No</v>
      </c>
    </row>
    <row r="3445" spans="1:55" hidden="1">
      <c r="A3445" t="s">
        <v>3914</v>
      </c>
      <c r="G3445" t="s">
        <v>4408</v>
      </c>
      <c r="P3445" t="s">
        <v>60</v>
      </c>
      <c r="R3445" t="s">
        <v>4357</v>
      </c>
      <c r="S3445" t="s">
        <v>1747</v>
      </c>
      <c r="V3445" t="s">
        <v>3956</v>
      </c>
      <c r="Z3445">
        <v>30</v>
      </c>
      <c r="AA3445">
        <v>30</v>
      </c>
      <c r="AC3445">
        <v>365.4</v>
      </c>
      <c r="AD3445">
        <v>15.6</v>
      </c>
      <c r="AE3445">
        <v>1444.1</v>
      </c>
      <c r="AF3445">
        <v>15.6</v>
      </c>
      <c r="AJ3445" t="s">
        <v>4356</v>
      </c>
      <c r="AK3445" t="s">
        <v>4244</v>
      </c>
      <c r="AN3445">
        <v>381</v>
      </c>
      <c r="AO3445">
        <v>19</v>
      </c>
      <c r="AP3445">
        <v>330</v>
      </c>
      <c r="AQ3445">
        <v>18</v>
      </c>
      <c r="AW3445" s="28">
        <f t="shared" si="343"/>
        <v>-2.7557504574873257</v>
      </c>
      <c r="AX3445">
        <f t="shared" si="344"/>
        <v>0.98701298701298701</v>
      </c>
      <c r="AY3445" s="62">
        <f t="shared" si="345"/>
        <v>-2.7199614905069707</v>
      </c>
      <c r="AZ3445" s="68" t="str">
        <f t="shared" si="346"/>
        <v>No</v>
      </c>
      <c r="BA3445" s="68" t="str">
        <f t="shared" si="347"/>
        <v>No</v>
      </c>
    </row>
    <row r="3446" spans="1:55" hidden="1">
      <c r="A3446" t="s">
        <v>3914</v>
      </c>
      <c r="G3446" s="50" t="s">
        <v>4408</v>
      </c>
      <c r="P3446" t="s">
        <v>60</v>
      </c>
      <c r="R3446" t="s">
        <v>4357</v>
      </c>
      <c r="S3446" s="50" t="s">
        <v>1747</v>
      </c>
      <c r="V3446" t="s">
        <v>3956</v>
      </c>
      <c r="Z3446">
        <v>30</v>
      </c>
      <c r="AA3446">
        <v>30</v>
      </c>
      <c r="AC3446">
        <v>365.4</v>
      </c>
      <c r="AD3446">
        <v>15.6</v>
      </c>
      <c r="AE3446">
        <v>1444.1</v>
      </c>
      <c r="AF3446">
        <v>15.6</v>
      </c>
      <c r="AJ3446" s="50" t="s">
        <v>4444</v>
      </c>
      <c r="AK3446" t="s">
        <v>4244</v>
      </c>
      <c r="AN3446">
        <v>193</v>
      </c>
      <c r="AO3446">
        <v>17</v>
      </c>
      <c r="AP3446">
        <v>155</v>
      </c>
      <c r="AQ3446">
        <v>18</v>
      </c>
      <c r="AW3446" s="28">
        <f t="shared" si="343"/>
        <v>-2.1705428163146512</v>
      </c>
      <c r="AX3446">
        <f t="shared" si="344"/>
        <v>0.98701298701298701</v>
      </c>
      <c r="AY3446" s="62">
        <f t="shared" si="345"/>
        <v>-2.1423539485703049</v>
      </c>
      <c r="AZ3446" s="68" t="str">
        <f t="shared" si="346"/>
        <v>No</v>
      </c>
      <c r="BA3446" s="68" t="str">
        <f t="shared" si="347"/>
        <v>No</v>
      </c>
    </row>
    <row r="3447" spans="1:55" hidden="1">
      <c r="A3447" t="s">
        <v>3914</v>
      </c>
      <c r="G3447" s="50" t="s">
        <v>4408</v>
      </c>
      <c r="P3447" t="s">
        <v>60</v>
      </c>
      <c r="R3447" t="s">
        <v>4357</v>
      </c>
      <c r="S3447" s="50" t="s">
        <v>1747</v>
      </c>
      <c r="V3447" t="s">
        <v>3956</v>
      </c>
      <c r="Z3447" s="50">
        <v>30</v>
      </c>
      <c r="AA3447" s="50">
        <v>30</v>
      </c>
      <c r="AC3447">
        <v>365.4</v>
      </c>
      <c r="AD3447">
        <v>15.6</v>
      </c>
      <c r="AE3447">
        <v>1038.9000000000001</v>
      </c>
      <c r="AF3447">
        <v>15.6</v>
      </c>
      <c r="AJ3447" s="50" t="s">
        <v>4444</v>
      </c>
      <c r="AK3447" t="s">
        <v>4244</v>
      </c>
      <c r="AN3447">
        <v>193</v>
      </c>
      <c r="AO3447">
        <v>17</v>
      </c>
      <c r="AP3447">
        <v>172</v>
      </c>
      <c r="AQ3447">
        <v>20</v>
      </c>
      <c r="AW3447" s="28">
        <f t="shared" si="343"/>
        <v>-1.1314221627247671</v>
      </c>
      <c r="AX3447">
        <f t="shared" si="344"/>
        <v>0.98701298701298701</v>
      </c>
      <c r="AY3447" s="62">
        <f t="shared" si="345"/>
        <v>-1.1167283684036662</v>
      </c>
      <c r="AZ3447" s="68" t="str">
        <f t="shared" si="346"/>
        <v>No</v>
      </c>
      <c r="BA3447" s="68" t="str">
        <f t="shared" si="347"/>
        <v>No</v>
      </c>
    </row>
    <row r="3448" spans="1:55" hidden="1">
      <c r="A3448" t="s">
        <v>3914</v>
      </c>
      <c r="G3448" t="s">
        <v>5045</v>
      </c>
      <c r="P3448" t="s">
        <v>60</v>
      </c>
      <c r="R3448" t="s">
        <v>4357</v>
      </c>
      <c r="S3448" t="s">
        <v>1747</v>
      </c>
      <c r="V3448" t="s">
        <v>3956</v>
      </c>
      <c r="Z3448">
        <v>30</v>
      </c>
      <c r="AA3448">
        <v>30</v>
      </c>
      <c r="AC3448">
        <v>365.4</v>
      </c>
      <c r="AD3448">
        <v>15.6</v>
      </c>
      <c r="AE3448">
        <v>1038.9000000000001</v>
      </c>
      <c r="AF3448">
        <v>15.6</v>
      </c>
      <c r="AJ3448" t="s">
        <v>4356</v>
      </c>
      <c r="AK3448" t="s">
        <v>4244</v>
      </c>
      <c r="AN3448">
        <v>381</v>
      </c>
      <c r="AO3448">
        <v>19</v>
      </c>
      <c r="AP3448">
        <v>352</v>
      </c>
      <c r="AQ3448">
        <v>24</v>
      </c>
      <c r="AW3448" s="28">
        <f t="shared" si="343"/>
        <v>-1.3398099548249467</v>
      </c>
      <c r="AX3448">
        <f t="shared" si="344"/>
        <v>0.98701298701298701</v>
      </c>
      <c r="AY3448" s="62">
        <f t="shared" si="345"/>
        <v>-1.3224098255415058</v>
      </c>
      <c r="AZ3448" s="68" t="str">
        <f t="shared" si="346"/>
        <v>No</v>
      </c>
      <c r="BA3448" s="68" t="str">
        <f t="shared" si="347"/>
        <v>No</v>
      </c>
    </row>
    <row r="3449" spans="1:55" hidden="1">
      <c r="A3449" t="s">
        <v>3914</v>
      </c>
      <c r="G3449" t="s">
        <v>4085</v>
      </c>
      <c r="P3449" t="s">
        <v>60</v>
      </c>
      <c r="R3449" t="s">
        <v>4090</v>
      </c>
      <c r="S3449" t="s">
        <v>4091</v>
      </c>
      <c r="V3449" t="s">
        <v>3956</v>
      </c>
      <c r="Z3449">
        <v>4</v>
      </c>
      <c r="AA3449">
        <v>5</v>
      </c>
      <c r="AC3449">
        <v>343.3</v>
      </c>
      <c r="AD3449">
        <v>28</v>
      </c>
      <c r="AE3449">
        <v>3030.8</v>
      </c>
      <c r="AF3449">
        <v>28</v>
      </c>
      <c r="AJ3449" t="s">
        <v>4059</v>
      </c>
      <c r="AK3449" t="s">
        <v>4093</v>
      </c>
      <c r="AN3449">
        <v>19.95</v>
      </c>
      <c r="AO3449">
        <v>11.563304026099113</v>
      </c>
      <c r="AP3449">
        <v>11.6</v>
      </c>
      <c r="AQ3449">
        <v>10.685270235235047</v>
      </c>
      <c r="AW3449" s="28">
        <f t="shared" si="343"/>
        <v>-0.75428397369675337</v>
      </c>
      <c r="AX3449">
        <f t="shared" si="344"/>
        <v>0.88888888888888884</v>
      </c>
      <c r="AY3449" s="62">
        <f t="shared" si="345"/>
        <v>-0.67047464328600292</v>
      </c>
      <c r="AZ3449" s="68" t="str">
        <f t="shared" si="346"/>
        <v>No</v>
      </c>
      <c r="BA3449" s="68" t="str">
        <f t="shared" si="347"/>
        <v>No</v>
      </c>
    </row>
    <row r="3450" spans="1:55" hidden="1">
      <c r="A3450" t="s">
        <v>3914</v>
      </c>
      <c r="G3450" t="s">
        <v>3957</v>
      </c>
      <c r="P3450" t="s">
        <v>60</v>
      </c>
      <c r="R3450" t="s">
        <v>3942</v>
      </c>
      <c r="S3450" t="s">
        <v>3964</v>
      </c>
      <c r="V3450" t="s">
        <v>3956</v>
      </c>
      <c r="Z3450">
        <v>2</v>
      </c>
      <c r="AA3450">
        <v>2</v>
      </c>
      <c r="AC3450">
        <v>469.7</v>
      </c>
      <c r="AD3450">
        <v>25</v>
      </c>
      <c r="AE3450">
        <v>963.4</v>
      </c>
      <c r="AF3450">
        <v>25</v>
      </c>
      <c r="AJ3450" t="s">
        <v>3976</v>
      </c>
      <c r="AK3450" t="s">
        <v>40</v>
      </c>
      <c r="AN3450">
        <v>39</v>
      </c>
      <c r="AO3450">
        <v>10</v>
      </c>
      <c r="AP3450">
        <v>35</v>
      </c>
      <c r="AQ3450">
        <v>4</v>
      </c>
      <c r="AW3450" s="28">
        <f t="shared" si="343"/>
        <v>-0.52522573143889018</v>
      </c>
      <c r="AX3450">
        <f t="shared" si="344"/>
        <v>0.5714285714285714</v>
      </c>
      <c r="AY3450" s="62">
        <f t="shared" si="345"/>
        <v>-0.30012898939365151</v>
      </c>
      <c r="AZ3450" s="68" t="str">
        <f t="shared" si="346"/>
        <v>No</v>
      </c>
      <c r="BA3450" s="68" t="str">
        <f t="shared" si="347"/>
        <v>No</v>
      </c>
    </row>
    <row r="3451" spans="1:55" hidden="1">
      <c r="A3451" t="s">
        <v>3914</v>
      </c>
      <c r="G3451" t="s">
        <v>3957</v>
      </c>
      <c r="P3451" t="s">
        <v>60</v>
      </c>
      <c r="R3451" t="s">
        <v>3942</v>
      </c>
      <c r="S3451" t="s">
        <v>3964</v>
      </c>
      <c r="V3451" t="s">
        <v>3956</v>
      </c>
      <c r="Z3451">
        <v>2</v>
      </c>
      <c r="AA3451">
        <v>2</v>
      </c>
      <c r="AC3451">
        <v>453.8</v>
      </c>
      <c r="AD3451">
        <v>25</v>
      </c>
      <c r="AE3451">
        <v>2335.9</v>
      </c>
      <c r="AF3451">
        <v>25</v>
      </c>
      <c r="AJ3451" t="s">
        <v>3976</v>
      </c>
      <c r="AK3451" t="s">
        <v>40</v>
      </c>
      <c r="AN3451">
        <v>29</v>
      </c>
      <c r="AO3451">
        <v>10</v>
      </c>
      <c r="AP3451">
        <v>45</v>
      </c>
      <c r="AQ3451">
        <v>9</v>
      </c>
      <c r="AW3451" s="28">
        <f t="shared" si="343"/>
        <v>1.6818826599284376</v>
      </c>
      <c r="AX3451">
        <f t="shared" si="344"/>
        <v>0.5714285714285714</v>
      </c>
      <c r="AY3451" s="62">
        <f t="shared" si="345"/>
        <v>0.96107580567339279</v>
      </c>
      <c r="AZ3451" s="68" t="str">
        <f t="shared" si="346"/>
        <v>No</v>
      </c>
      <c r="BA3451" s="68" t="str">
        <f t="shared" si="347"/>
        <v>No</v>
      </c>
    </row>
    <row r="3452" spans="1:55" hidden="1">
      <c r="A3452" t="s">
        <v>3914</v>
      </c>
      <c r="G3452" t="s">
        <v>4247</v>
      </c>
      <c r="P3452" t="s">
        <v>60</v>
      </c>
      <c r="R3452" t="s">
        <v>4116</v>
      </c>
      <c r="S3452" t="s">
        <v>1068</v>
      </c>
      <c r="V3452" t="s">
        <v>3956</v>
      </c>
      <c r="Z3452">
        <v>5</v>
      </c>
      <c r="AA3452">
        <v>5</v>
      </c>
      <c r="AC3452">
        <v>414.9</v>
      </c>
      <c r="AD3452">
        <v>22.3</v>
      </c>
      <c r="AE3452">
        <v>3109.5</v>
      </c>
      <c r="AF3452">
        <v>22.5</v>
      </c>
      <c r="AJ3452" t="s">
        <v>4248</v>
      </c>
      <c r="AK3452" t="s">
        <v>4093</v>
      </c>
      <c r="AN3452">
        <v>80</v>
      </c>
      <c r="AO3452">
        <v>29.068883707497267</v>
      </c>
      <c r="AP3452">
        <v>73</v>
      </c>
      <c r="AQ3452">
        <v>6.7082039324993694</v>
      </c>
      <c r="AW3452" s="28">
        <f t="shared" si="343"/>
        <v>-0.33183182419798402</v>
      </c>
      <c r="AX3452">
        <f t="shared" si="344"/>
        <v>0.90322580645161288</v>
      </c>
      <c r="AY3452" s="62">
        <f t="shared" si="345"/>
        <v>-0.29971906701753392</v>
      </c>
      <c r="AZ3452" s="68" t="str">
        <f t="shared" si="346"/>
        <v>No</v>
      </c>
      <c r="BA3452" s="68" t="str">
        <f t="shared" si="347"/>
        <v>No</v>
      </c>
    </row>
    <row r="3453" spans="1:55" hidden="1">
      <c r="A3453" t="s">
        <v>3914</v>
      </c>
      <c r="G3453" t="s">
        <v>4247</v>
      </c>
      <c r="P3453" t="s">
        <v>60</v>
      </c>
      <c r="R3453" t="s">
        <v>4116</v>
      </c>
      <c r="S3453" t="s">
        <v>1068</v>
      </c>
      <c r="V3453" t="s">
        <v>3956</v>
      </c>
      <c r="Z3453">
        <v>5</v>
      </c>
      <c r="AA3453">
        <v>5</v>
      </c>
      <c r="AC3453">
        <v>414.9</v>
      </c>
      <c r="AD3453">
        <v>22.3</v>
      </c>
      <c r="AE3453">
        <v>3109.5</v>
      </c>
      <c r="AF3453">
        <v>22.5</v>
      </c>
      <c r="AJ3453" t="s">
        <v>4248</v>
      </c>
      <c r="AK3453" t="s">
        <v>4093</v>
      </c>
      <c r="AN3453">
        <v>69</v>
      </c>
      <c r="AO3453">
        <v>11.180339887498949</v>
      </c>
      <c r="AP3453">
        <v>60</v>
      </c>
      <c r="AQ3453">
        <v>6.7082039324993694</v>
      </c>
      <c r="AW3453" s="28">
        <f t="shared" si="343"/>
        <v>-0.97618706018395263</v>
      </c>
      <c r="AX3453">
        <f t="shared" si="344"/>
        <v>0.90322580645161288</v>
      </c>
      <c r="AY3453" s="62">
        <f t="shared" si="345"/>
        <v>-0.8817173446822798</v>
      </c>
      <c r="AZ3453" s="68" t="str">
        <f t="shared" si="346"/>
        <v>No</v>
      </c>
      <c r="BA3453" s="68" t="str">
        <f t="shared" si="347"/>
        <v>No</v>
      </c>
    </row>
    <row r="3454" spans="1:55" hidden="1">
      <c r="A3454" t="s">
        <v>3914</v>
      </c>
      <c r="G3454" t="s">
        <v>4310</v>
      </c>
      <c r="P3454" t="s">
        <v>60</v>
      </c>
      <c r="R3454" t="s">
        <v>4286</v>
      </c>
      <c r="S3454" t="s">
        <v>4320</v>
      </c>
      <c r="V3454" t="s">
        <v>3956</v>
      </c>
      <c r="Z3454">
        <v>3</v>
      </c>
      <c r="AA3454">
        <v>3</v>
      </c>
      <c r="AC3454">
        <v>633</v>
      </c>
      <c r="AD3454">
        <v>21.4</v>
      </c>
      <c r="AE3454">
        <v>3923</v>
      </c>
      <c r="AF3454">
        <v>21.5</v>
      </c>
      <c r="AJ3454" t="s">
        <v>4326</v>
      </c>
      <c r="AK3454" t="s">
        <v>4093</v>
      </c>
      <c r="AN3454">
        <v>16.899999999999999</v>
      </c>
      <c r="AO3454">
        <v>6.4</v>
      </c>
      <c r="AP3454">
        <v>1</v>
      </c>
      <c r="AQ3454">
        <v>0.8</v>
      </c>
      <c r="AW3454" s="28">
        <f t="shared" si="343"/>
        <v>-3.4863056267454406</v>
      </c>
      <c r="AX3454">
        <f t="shared" si="344"/>
        <v>0.8</v>
      </c>
      <c r="AY3454" s="62">
        <f t="shared" si="345"/>
        <v>-2.7890445013963525</v>
      </c>
      <c r="AZ3454" s="68" t="str">
        <f t="shared" si="346"/>
        <v>No</v>
      </c>
      <c r="BA3454" s="68" t="str">
        <f t="shared" si="347"/>
        <v>No</v>
      </c>
    </row>
    <row r="3455" spans="1:55" hidden="1">
      <c r="A3455" t="s">
        <v>3914</v>
      </c>
      <c r="G3455" t="s">
        <v>4310</v>
      </c>
      <c r="P3455" t="s">
        <v>60</v>
      </c>
      <c r="R3455" t="s">
        <v>4286</v>
      </c>
      <c r="S3455" t="s">
        <v>4320</v>
      </c>
      <c r="V3455" t="s">
        <v>3956</v>
      </c>
      <c r="Z3455">
        <v>3</v>
      </c>
      <c r="AA3455">
        <v>3</v>
      </c>
      <c r="AC3455">
        <v>633</v>
      </c>
      <c r="AD3455">
        <v>21.4</v>
      </c>
      <c r="AE3455">
        <v>1385</v>
      </c>
      <c r="AF3455">
        <v>21.4</v>
      </c>
      <c r="AJ3455" t="s">
        <v>4326</v>
      </c>
      <c r="AK3455" t="s">
        <v>4151</v>
      </c>
      <c r="AN3455">
        <v>16.899999999999999</v>
      </c>
      <c r="AO3455">
        <v>6.4</v>
      </c>
      <c r="AP3455">
        <v>5.3</v>
      </c>
      <c r="AQ3455">
        <v>1.9</v>
      </c>
      <c r="AW3455" s="28">
        <f t="shared" si="343"/>
        <v>-2.457263162168223</v>
      </c>
      <c r="AX3455">
        <f t="shared" si="344"/>
        <v>0.8</v>
      </c>
      <c r="AY3455" s="62">
        <f t="shared" si="345"/>
        <v>-1.9658105297345785</v>
      </c>
      <c r="AZ3455" s="68" t="str">
        <f t="shared" si="346"/>
        <v>No</v>
      </c>
      <c r="BA3455" s="68" t="str">
        <f t="shared" si="347"/>
        <v>No</v>
      </c>
    </row>
    <row r="3456" spans="1:55" s="77" customFormat="1" hidden="1">
      <c r="A3456" t="s">
        <v>3914</v>
      </c>
      <c r="B3456"/>
      <c r="C3456"/>
      <c r="D3456" s="25"/>
      <c r="E3456" s="25"/>
      <c r="F3456"/>
      <c r="G3456" t="s">
        <v>4169</v>
      </c>
      <c r="H3456"/>
      <c r="I3456"/>
      <c r="J3456"/>
      <c r="K3456"/>
      <c r="L3456"/>
      <c r="M3456" s="25"/>
      <c r="N3456"/>
      <c r="O3456"/>
      <c r="P3456" t="s">
        <v>60</v>
      </c>
      <c r="Q3456"/>
      <c r="R3456" t="s">
        <v>4116</v>
      </c>
      <c r="S3456" t="s">
        <v>1068</v>
      </c>
      <c r="T3456"/>
      <c r="U3456"/>
      <c r="V3456" t="s">
        <v>3956</v>
      </c>
      <c r="W3456" s="25"/>
      <c r="X3456"/>
      <c r="Y3456"/>
      <c r="Z3456">
        <v>3</v>
      </c>
      <c r="AA3456">
        <v>3</v>
      </c>
      <c r="AB3456"/>
      <c r="AC3456">
        <v>284</v>
      </c>
      <c r="AD3456">
        <v>25</v>
      </c>
      <c r="AE3456">
        <v>840</v>
      </c>
      <c r="AF3456">
        <v>25</v>
      </c>
      <c r="AG3456"/>
      <c r="AH3456"/>
      <c r="AI3456"/>
      <c r="AJ3456" t="s">
        <v>665</v>
      </c>
      <c r="AK3456" t="s">
        <v>4266</v>
      </c>
      <c r="AL3456" s="25"/>
      <c r="AM3456" s="35"/>
      <c r="AN3456">
        <v>3.6</v>
      </c>
      <c r="AO3456">
        <v>0.17320508075688773</v>
      </c>
      <c r="AP3456">
        <v>2.75</v>
      </c>
      <c r="AQ3456">
        <v>0.17320508075688773</v>
      </c>
      <c r="AR3456"/>
      <c r="AS3456"/>
      <c r="AT3456"/>
      <c r="AU3456"/>
      <c r="AV3456"/>
      <c r="AW3456" s="28">
        <f t="shared" si="343"/>
        <v>-4.9074772881118198</v>
      </c>
      <c r="AX3456">
        <f t="shared" si="344"/>
        <v>0.8</v>
      </c>
      <c r="AY3456" s="62">
        <f t="shared" si="345"/>
        <v>-3.925981830489456</v>
      </c>
      <c r="AZ3456" s="68" t="str">
        <f t="shared" si="346"/>
        <v>No</v>
      </c>
      <c r="BA3456" s="68" t="str">
        <f t="shared" si="347"/>
        <v>No</v>
      </c>
      <c r="BB3456"/>
      <c r="BC3456"/>
    </row>
    <row r="3457" spans="1:55" hidden="1">
      <c r="A3457" t="s">
        <v>3914</v>
      </c>
      <c r="G3457" t="s">
        <v>4169</v>
      </c>
      <c r="P3457" t="s">
        <v>60</v>
      </c>
      <c r="R3457" t="s">
        <v>4116</v>
      </c>
      <c r="S3457" t="s">
        <v>4208</v>
      </c>
      <c r="V3457" t="s">
        <v>3956</v>
      </c>
      <c r="Z3457">
        <v>3</v>
      </c>
      <c r="AA3457">
        <v>3</v>
      </c>
      <c r="AC3457">
        <v>291</v>
      </c>
      <c r="AD3457">
        <v>25</v>
      </c>
      <c r="AE3457">
        <v>823</v>
      </c>
      <c r="AF3457">
        <v>25</v>
      </c>
      <c r="AJ3457" t="s">
        <v>665</v>
      </c>
      <c r="AK3457" t="s">
        <v>4266</v>
      </c>
      <c r="AN3457">
        <v>2.35</v>
      </c>
      <c r="AO3457">
        <v>0.69282032302755092</v>
      </c>
      <c r="AP3457">
        <v>2</v>
      </c>
      <c r="AQ3457">
        <v>0.17320508075688773</v>
      </c>
      <c r="AW3457" s="28">
        <f t="shared" si="343"/>
        <v>-0.69310328008367217</v>
      </c>
      <c r="AX3457">
        <f t="shared" si="344"/>
        <v>0.8</v>
      </c>
      <c r="AY3457" s="62">
        <f t="shared" si="345"/>
        <v>-0.55448262406693771</v>
      </c>
      <c r="AZ3457" s="68" t="str">
        <f t="shared" si="346"/>
        <v>No</v>
      </c>
      <c r="BA3457" s="68" t="str">
        <f t="shared" si="347"/>
        <v>No</v>
      </c>
    </row>
    <row r="3458" spans="1:55" hidden="1">
      <c r="A3458" t="s">
        <v>3914</v>
      </c>
      <c r="G3458" t="s">
        <v>4169</v>
      </c>
      <c r="P3458" t="s">
        <v>60</v>
      </c>
      <c r="R3458" t="s">
        <v>4116</v>
      </c>
      <c r="S3458" t="s">
        <v>1068</v>
      </c>
      <c r="V3458" t="s">
        <v>3956</v>
      </c>
      <c r="Z3458">
        <v>3</v>
      </c>
      <c r="AA3458">
        <v>3</v>
      </c>
      <c r="AC3458">
        <v>284</v>
      </c>
      <c r="AD3458">
        <v>25</v>
      </c>
      <c r="AE3458">
        <v>840</v>
      </c>
      <c r="AF3458">
        <v>25</v>
      </c>
      <c r="AJ3458" t="s">
        <v>4217</v>
      </c>
      <c r="AK3458" t="s">
        <v>4244</v>
      </c>
      <c r="AN3458">
        <v>115</v>
      </c>
      <c r="AO3458">
        <v>3.4641016151377544</v>
      </c>
      <c r="AP3458">
        <v>103</v>
      </c>
      <c r="AQ3458">
        <v>3.4641016151377544</v>
      </c>
      <c r="AW3458" s="28">
        <f t="shared" si="343"/>
        <v>-3.4641016151377548</v>
      </c>
      <c r="AX3458">
        <f t="shared" si="344"/>
        <v>0.8</v>
      </c>
      <c r="AY3458" s="62">
        <f t="shared" si="345"/>
        <v>-2.7712812921102041</v>
      </c>
      <c r="AZ3458" s="68" t="str">
        <f t="shared" si="346"/>
        <v>No</v>
      </c>
      <c r="BA3458" s="68" t="str">
        <f t="shared" si="347"/>
        <v>No</v>
      </c>
    </row>
    <row r="3459" spans="1:55" hidden="1">
      <c r="A3459" t="s">
        <v>3914</v>
      </c>
      <c r="G3459" t="s">
        <v>4169</v>
      </c>
      <c r="P3459" t="s">
        <v>60</v>
      </c>
      <c r="R3459" t="s">
        <v>4116</v>
      </c>
      <c r="S3459" t="s">
        <v>4208</v>
      </c>
      <c r="V3459" t="s">
        <v>3956</v>
      </c>
      <c r="Z3459">
        <v>3</v>
      </c>
      <c r="AA3459">
        <v>3</v>
      </c>
      <c r="AC3459">
        <v>291</v>
      </c>
      <c r="AD3459">
        <v>25</v>
      </c>
      <c r="AE3459">
        <v>823</v>
      </c>
      <c r="AF3459">
        <v>25</v>
      </c>
      <c r="AJ3459" t="s">
        <v>4217</v>
      </c>
      <c r="AK3459" t="s">
        <v>4244</v>
      </c>
      <c r="AN3459">
        <v>75</v>
      </c>
      <c r="AO3459">
        <v>12.124355652982141</v>
      </c>
      <c r="AP3459">
        <v>75</v>
      </c>
      <c r="AQ3459">
        <v>5.196152422706632</v>
      </c>
      <c r="AW3459" s="28">
        <f t="shared" si="343"/>
        <v>0</v>
      </c>
      <c r="AX3459">
        <f t="shared" si="344"/>
        <v>0.8</v>
      </c>
      <c r="AY3459" s="62">
        <f t="shared" si="345"/>
        <v>0</v>
      </c>
      <c r="AZ3459" s="68" t="str">
        <f t="shared" si="346"/>
        <v>No</v>
      </c>
      <c r="BA3459" s="68" t="str">
        <f t="shared" si="347"/>
        <v>No</v>
      </c>
    </row>
    <row r="3460" spans="1:55" hidden="1">
      <c r="A3460" t="s">
        <v>3914</v>
      </c>
      <c r="G3460" t="s">
        <v>4508</v>
      </c>
      <c r="P3460" t="s">
        <v>60</v>
      </c>
      <c r="R3460" t="s">
        <v>4509</v>
      </c>
      <c r="S3460" t="s">
        <v>4513</v>
      </c>
      <c r="V3460" t="s">
        <v>3956</v>
      </c>
      <c r="Z3460">
        <v>2</v>
      </c>
      <c r="AA3460">
        <v>2</v>
      </c>
      <c r="AC3460">
        <v>466</v>
      </c>
      <c r="AD3460">
        <v>12.11</v>
      </c>
      <c r="AE3460">
        <v>3920</v>
      </c>
      <c r="AF3460">
        <v>12.11</v>
      </c>
      <c r="AJ3460" t="s">
        <v>4553</v>
      </c>
      <c r="AK3460" t="s">
        <v>4491</v>
      </c>
      <c r="AN3460">
        <v>57.9</v>
      </c>
      <c r="AO3460">
        <v>11.808683245815331</v>
      </c>
      <c r="AP3460">
        <v>21.1</v>
      </c>
      <c r="AQ3460">
        <v>0</v>
      </c>
      <c r="AW3460" s="28">
        <f t="shared" si="343"/>
        <v>-4.4071856287425195</v>
      </c>
      <c r="AX3460">
        <f t="shared" si="344"/>
        <v>0.5714285714285714</v>
      </c>
      <c r="AY3460" s="62">
        <f t="shared" si="345"/>
        <v>-2.5183917878528681</v>
      </c>
      <c r="AZ3460" s="68" t="str">
        <f t="shared" si="346"/>
        <v>No</v>
      </c>
      <c r="BA3460" s="68" t="str">
        <f t="shared" si="347"/>
        <v>No</v>
      </c>
    </row>
    <row r="3461" spans="1:55" hidden="1">
      <c r="A3461" t="s">
        <v>3914</v>
      </c>
      <c r="G3461" t="s">
        <v>4508</v>
      </c>
      <c r="P3461" t="s">
        <v>60</v>
      </c>
      <c r="R3461" t="s">
        <v>4509</v>
      </c>
      <c r="S3461" t="s">
        <v>4513</v>
      </c>
      <c r="V3461" t="s">
        <v>3956</v>
      </c>
      <c r="Z3461">
        <v>2</v>
      </c>
      <c r="AA3461">
        <v>2</v>
      </c>
      <c r="AC3461">
        <v>466</v>
      </c>
      <c r="AD3461">
        <v>12.11</v>
      </c>
      <c r="AE3461">
        <v>1781</v>
      </c>
      <c r="AF3461">
        <v>12.11</v>
      </c>
      <c r="AJ3461" t="s">
        <v>4553</v>
      </c>
      <c r="AK3461" t="s">
        <v>4491</v>
      </c>
      <c r="AN3461">
        <v>57.9</v>
      </c>
      <c r="AO3461">
        <v>11.808683245815331</v>
      </c>
      <c r="AP3461">
        <v>13.5</v>
      </c>
      <c r="AQ3461">
        <v>4.3840620433565975</v>
      </c>
      <c r="AW3461" s="28">
        <f t="shared" si="343"/>
        <v>-4.9849108971671665</v>
      </c>
      <c r="AX3461">
        <f t="shared" si="344"/>
        <v>0.5714285714285714</v>
      </c>
      <c r="AY3461" s="62">
        <f t="shared" si="345"/>
        <v>-2.8485205126669522</v>
      </c>
      <c r="AZ3461" s="68" t="str">
        <f t="shared" si="346"/>
        <v>No</v>
      </c>
      <c r="BA3461" s="68" t="str">
        <f t="shared" si="347"/>
        <v>No</v>
      </c>
    </row>
    <row r="3462" spans="1:55" s="56" customFormat="1" ht="15" hidden="1">
      <c r="A3462" t="s">
        <v>3914</v>
      </c>
      <c r="B3462"/>
      <c r="C3462"/>
      <c r="D3462" s="25"/>
      <c r="E3462" s="25"/>
      <c r="F3462"/>
      <c r="G3462" t="s">
        <v>5080</v>
      </c>
      <c r="H3462"/>
      <c r="I3462"/>
      <c r="J3462"/>
      <c r="K3462"/>
      <c r="L3462"/>
      <c r="M3462" s="25"/>
      <c r="N3462"/>
      <c r="O3462"/>
      <c r="P3462" t="s">
        <v>60</v>
      </c>
      <c r="Q3462"/>
      <c r="R3462" t="s">
        <v>4509</v>
      </c>
      <c r="S3462" t="s">
        <v>4513</v>
      </c>
      <c r="T3462"/>
      <c r="U3462"/>
      <c r="V3462" t="s">
        <v>3956</v>
      </c>
      <c r="W3462" s="25"/>
      <c r="X3462"/>
      <c r="Y3462"/>
      <c r="Z3462">
        <v>2</v>
      </c>
      <c r="AA3462">
        <v>2</v>
      </c>
      <c r="AB3462"/>
      <c r="AC3462">
        <v>466</v>
      </c>
      <c r="AD3462">
        <v>12.11</v>
      </c>
      <c r="AE3462">
        <v>1781</v>
      </c>
      <c r="AF3462">
        <v>12.11</v>
      </c>
      <c r="AG3462"/>
      <c r="AH3462"/>
      <c r="AI3462"/>
      <c r="AJ3462" t="s">
        <v>4122</v>
      </c>
      <c r="AK3462" t="s">
        <v>4516</v>
      </c>
      <c r="AL3462" s="25"/>
      <c r="AM3462" s="35"/>
      <c r="AN3462">
        <v>77</v>
      </c>
      <c r="AO3462">
        <v>10.823062977345115</v>
      </c>
      <c r="AP3462">
        <v>59</v>
      </c>
      <c r="AQ3462">
        <v>15.87382570010617</v>
      </c>
      <c r="AR3462"/>
      <c r="AS3462"/>
      <c r="AT3462"/>
      <c r="AU3462"/>
      <c r="AV3462"/>
      <c r="AW3462" s="28">
        <f t="shared" si="343"/>
        <v>-1.3249682115568309</v>
      </c>
      <c r="AX3462">
        <f t="shared" si="344"/>
        <v>0.5714285714285714</v>
      </c>
      <c r="AY3462" s="62">
        <f t="shared" si="345"/>
        <v>-0.75712469231818902</v>
      </c>
      <c r="AZ3462" s="68" t="str">
        <f t="shared" si="346"/>
        <v>No</v>
      </c>
      <c r="BA3462" s="68" t="str">
        <f t="shared" si="347"/>
        <v>No</v>
      </c>
      <c r="BB3462"/>
      <c r="BC3462"/>
    </row>
    <row r="3463" spans="1:55" hidden="1">
      <c r="A3463" t="s">
        <v>3914</v>
      </c>
      <c r="G3463" t="s">
        <v>4206</v>
      </c>
      <c r="P3463" t="s">
        <v>60</v>
      </c>
      <c r="R3463" t="s">
        <v>4116</v>
      </c>
      <c r="S3463" t="s">
        <v>1068</v>
      </c>
      <c r="V3463" t="s">
        <v>3956</v>
      </c>
      <c r="Z3463">
        <v>3</v>
      </c>
      <c r="AA3463">
        <v>3</v>
      </c>
      <c r="AC3463">
        <v>280</v>
      </c>
      <c r="AD3463">
        <v>25</v>
      </c>
      <c r="AE3463">
        <v>840</v>
      </c>
      <c r="AF3463">
        <v>25</v>
      </c>
      <c r="AJ3463" t="s">
        <v>4242</v>
      </c>
      <c r="AK3463" t="s">
        <v>4244</v>
      </c>
      <c r="AP3463">
        <v>48476</v>
      </c>
      <c r="AQ3463">
        <v>2513.2057217824408</v>
      </c>
      <c r="AW3463" s="28">
        <f t="shared" si="343"/>
        <v>27.27807598694173</v>
      </c>
      <c r="AX3463">
        <f t="shared" si="344"/>
        <v>0.8</v>
      </c>
      <c r="AY3463" s="62">
        <f t="shared" si="345"/>
        <v>21.822460789553386</v>
      </c>
      <c r="AZ3463" s="68" t="str">
        <f t="shared" si="346"/>
        <v>Yes</v>
      </c>
      <c r="BA3463" s="68" t="str">
        <f t="shared" si="347"/>
        <v>No</v>
      </c>
    </row>
    <row r="3464" spans="1:55" hidden="1">
      <c r="A3464" t="s">
        <v>3914</v>
      </c>
      <c r="G3464" t="s">
        <v>4394</v>
      </c>
      <c r="P3464" t="s">
        <v>4596</v>
      </c>
      <c r="R3464" t="s">
        <v>4357</v>
      </c>
      <c r="S3464" t="s">
        <v>950</v>
      </c>
      <c r="V3464" t="s">
        <v>4598</v>
      </c>
      <c r="Z3464">
        <v>7</v>
      </c>
      <c r="AA3464">
        <v>7</v>
      </c>
      <c r="AC3464">
        <v>488.9</v>
      </c>
      <c r="AD3464" s="54">
        <v>24</v>
      </c>
      <c r="AE3464">
        <v>530.4</v>
      </c>
      <c r="AF3464" s="54">
        <v>27</v>
      </c>
      <c r="AJ3464" t="s">
        <v>4894</v>
      </c>
      <c r="AK3464" t="s">
        <v>4844</v>
      </c>
      <c r="AN3464">
        <v>30</v>
      </c>
      <c r="AO3464">
        <v>15.176193267961217</v>
      </c>
      <c r="AP3464">
        <v>36</v>
      </c>
      <c r="AQ3464">
        <v>4.9864635023300554</v>
      </c>
      <c r="AW3464" s="28">
        <f t="shared" si="343"/>
        <v>0.53117976047965365</v>
      </c>
      <c r="AX3464">
        <f t="shared" si="344"/>
        <v>0.93617021276595747</v>
      </c>
      <c r="AY3464" s="62">
        <f t="shared" si="345"/>
        <v>0.4972746693852077</v>
      </c>
      <c r="AZ3464" s="68" t="str">
        <f t="shared" si="346"/>
        <v>No</v>
      </c>
      <c r="BA3464" s="68" t="str">
        <f t="shared" si="347"/>
        <v>No</v>
      </c>
    </row>
    <row r="3465" spans="1:55" hidden="1">
      <c r="A3465" t="s">
        <v>3914</v>
      </c>
      <c r="G3465" t="s">
        <v>4394</v>
      </c>
      <c r="P3465" t="s">
        <v>4596</v>
      </c>
      <c r="R3465" t="s">
        <v>4357</v>
      </c>
      <c r="S3465" t="s">
        <v>950</v>
      </c>
      <c r="V3465" t="s">
        <v>4600</v>
      </c>
      <c r="Z3465">
        <v>7</v>
      </c>
      <c r="AA3465">
        <v>7</v>
      </c>
      <c r="AC3465">
        <v>488.9</v>
      </c>
      <c r="AD3465" s="54">
        <v>24</v>
      </c>
      <c r="AE3465">
        <v>984.3</v>
      </c>
      <c r="AF3465" s="54">
        <v>27</v>
      </c>
      <c r="AJ3465" t="s">
        <v>4059</v>
      </c>
      <c r="AK3465" t="s">
        <v>4844</v>
      </c>
      <c r="AN3465">
        <v>30</v>
      </c>
      <c r="AO3465">
        <v>15.176193267961217</v>
      </c>
      <c r="AP3465">
        <v>64</v>
      </c>
      <c r="AQ3465">
        <v>7.9133007754369507</v>
      </c>
      <c r="AW3465" s="28">
        <f t="shared" si="343"/>
        <v>2.8093553329581189</v>
      </c>
      <c r="AX3465">
        <f t="shared" si="344"/>
        <v>0.93617021276595747</v>
      </c>
      <c r="AY3465" s="62">
        <f t="shared" si="345"/>
        <v>2.6300347797905794</v>
      </c>
      <c r="AZ3465" s="68" t="str">
        <f t="shared" si="346"/>
        <v>No</v>
      </c>
      <c r="BA3465" s="68" t="str">
        <f t="shared" si="347"/>
        <v>No</v>
      </c>
    </row>
    <row r="3466" spans="1:55" hidden="1">
      <c r="A3466" t="s">
        <v>3914</v>
      </c>
      <c r="G3466" t="s">
        <v>5032</v>
      </c>
      <c r="P3466" t="s">
        <v>60</v>
      </c>
      <c r="R3466" t="s">
        <v>4357</v>
      </c>
      <c r="S3466" t="s">
        <v>950</v>
      </c>
      <c r="V3466" t="s">
        <v>3956</v>
      </c>
      <c r="Z3466">
        <v>7</v>
      </c>
      <c r="AA3466">
        <v>7</v>
      </c>
      <c r="AC3466">
        <v>490.6</v>
      </c>
      <c r="AD3466">
        <v>24.4</v>
      </c>
      <c r="AE3466">
        <v>930.4</v>
      </c>
      <c r="AF3466">
        <v>24.3</v>
      </c>
      <c r="AJ3466" t="s">
        <v>4059</v>
      </c>
      <c r="AK3466" t="s">
        <v>4093</v>
      </c>
      <c r="AN3466">
        <v>30</v>
      </c>
      <c r="AO3466">
        <v>26.457513110645905</v>
      </c>
      <c r="AP3466">
        <v>49</v>
      </c>
      <c r="AQ3466">
        <v>23.811761799581316</v>
      </c>
      <c r="AW3466" s="28">
        <f t="shared" si="343"/>
        <v>0.75488412320256082</v>
      </c>
      <c r="AX3466">
        <f t="shared" si="344"/>
        <v>0.93617021276595747</v>
      </c>
      <c r="AY3466" s="62">
        <f t="shared" si="345"/>
        <v>0.70670003023218464</v>
      </c>
      <c r="AZ3466" s="68" t="str">
        <f t="shared" si="346"/>
        <v>No</v>
      </c>
      <c r="BA3466" s="68" t="str">
        <f t="shared" si="347"/>
        <v>No</v>
      </c>
    </row>
    <row r="3467" spans="1:55" ht="15" hidden="1">
      <c r="A3467" s="56" t="s">
        <v>3914</v>
      </c>
      <c r="G3467" s="56" t="s">
        <v>4396</v>
      </c>
      <c r="P3467" s="56" t="s">
        <v>60</v>
      </c>
      <c r="Q3467" s="56"/>
      <c r="R3467" s="56" t="s">
        <v>4357</v>
      </c>
      <c r="S3467" s="56" t="s">
        <v>952</v>
      </c>
      <c r="T3467" s="56"/>
      <c r="U3467" s="56"/>
      <c r="V3467" s="56" t="s">
        <v>3956</v>
      </c>
      <c r="W3467" s="56"/>
      <c r="X3467" s="56"/>
      <c r="Y3467" s="56"/>
      <c r="Z3467" s="56">
        <v>10</v>
      </c>
      <c r="AA3467" s="56">
        <v>10</v>
      </c>
      <c r="AB3467" s="56"/>
      <c r="AC3467" s="56">
        <v>491.1</v>
      </c>
      <c r="AD3467" s="56">
        <v>22.5</v>
      </c>
      <c r="AE3467" s="56">
        <v>1777.9</v>
      </c>
      <c r="AF3467" s="56">
        <v>22.5</v>
      </c>
      <c r="AG3467" s="56"/>
      <c r="AH3467" s="56"/>
      <c r="AI3467" s="56"/>
      <c r="AJ3467" s="56" t="s">
        <v>4059</v>
      </c>
      <c r="AK3467" s="56" t="s">
        <v>4093</v>
      </c>
      <c r="AN3467" s="56">
        <v>75</v>
      </c>
      <c r="AO3467" s="56">
        <v>15.811388300841898</v>
      </c>
      <c r="AP3467" s="56">
        <v>77</v>
      </c>
      <c r="AQ3467" s="56">
        <v>11.067971810589329</v>
      </c>
      <c r="AW3467" s="28">
        <f t="shared" si="343"/>
        <v>0.14654866108946232</v>
      </c>
      <c r="AX3467">
        <f t="shared" si="344"/>
        <v>0.95774647887323949</v>
      </c>
      <c r="AY3467" s="62">
        <f t="shared" si="345"/>
        <v>0.14035646414202027</v>
      </c>
      <c r="AZ3467" s="68" t="str">
        <f t="shared" si="346"/>
        <v>No</v>
      </c>
      <c r="BA3467" s="68" t="str">
        <f t="shared" si="347"/>
        <v>No</v>
      </c>
    </row>
    <row r="3468" spans="1:55" ht="15" hidden="1">
      <c r="A3468" s="56" t="s">
        <v>3914</v>
      </c>
      <c r="G3468" s="56" t="s">
        <v>5034</v>
      </c>
      <c r="P3468" s="56" t="s">
        <v>60</v>
      </c>
      <c r="Q3468" s="56"/>
      <c r="R3468" s="56" t="s">
        <v>4357</v>
      </c>
      <c r="S3468" s="56" t="s">
        <v>952</v>
      </c>
      <c r="T3468" s="56"/>
      <c r="U3468" s="56"/>
      <c r="V3468" s="56" t="s">
        <v>3956</v>
      </c>
      <c r="W3468" s="56"/>
      <c r="X3468" s="56"/>
      <c r="Y3468" s="56"/>
      <c r="Z3468" s="56">
        <v>10</v>
      </c>
      <c r="AA3468" s="56">
        <v>10</v>
      </c>
      <c r="AB3468" s="56"/>
      <c r="AC3468" s="56">
        <v>491.1</v>
      </c>
      <c r="AD3468" s="56">
        <v>22.5</v>
      </c>
      <c r="AE3468" s="56">
        <v>1079.5999999999999</v>
      </c>
      <c r="AF3468" s="56">
        <v>22.5</v>
      </c>
      <c r="AG3468" s="56"/>
      <c r="AH3468" s="56"/>
      <c r="AI3468" s="56"/>
      <c r="AJ3468" s="56" t="s">
        <v>4059</v>
      </c>
      <c r="AK3468" s="56" t="s">
        <v>4093</v>
      </c>
      <c r="AN3468" s="56">
        <v>75</v>
      </c>
      <c r="AO3468" s="56">
        <v>15.811388300841898</v>
      </c>
      <c r="AP3468" s="56">
        <v>72</v>
      </c>
      <c r="AQ3468" s="56">
        <v>15.811388300841898</v>
      </c>
      <c r="AW3468" s="28">
        <f t="shared" si="343"/>
        <v>-0.18973665961010278</v>
      </c>
      <c r="AX3468">
        <f t="shared" si="344"/>
        <v>0.95774647887323949</v>
      </c>
      <c r="AY3468" s="62">
        <f t="shared" si="345"/>
        <v>-0.18171961765474634</v>
      </c>
      <c r="AZ3468" s="68" t="str">
        <f t="shared" si="346"/>
        <v>No</v>
      </c>
      <c r="BA3468" s="68" t="str">
        <f t="shared" si="347"/>
        <v>No</v>
      </c>
    </row>
    <row r="3469" spans="1:55" hidden="1">
      <c r="A3469" t="s">
        <v>3914</v>
      </c>
      <c r="G3469" s="50" t="s">
        <v>4363</v>
      </c>
      <c r="P3469" t="s">
        <v>60</v>
      </c>
      <c r="R3469" t="s">
        <v>4357</v>
      </c>
      <c r="S3469" s="50" t="s">
        <v>1148</v>
      </c>
      <c r="V3469" t="s">
        <v>3956</v>
      </c>
      <c r="Z3469">
        <v>3</v>
      </c>
      <c r="AA3469">
        <v>3</v>
      </c>
      <c r="AC3469">
        <v>507.99</v>
      </c>
      <c r="AD3469">
        <v>12.7</v>
      </c>
      <c r="AE3469">
        <v>4292.58</v>
      </c>
      <c r="AF3469">
        <v>12.7</v>
      </c>
      <c r="AJ3469" s="50" t="s">
        <v>4430</v>
      </c>
      <c r="AK3469" t="s">
        <v>4244</v>
      </c>
      <c r="AN3469">
        <v>0.38</v>
      </c>
      <c r="AO3469">
        <v>0.02</v>
      </c>
      <c r="AP3469">
        <v>0.28000000000000003</v>
      </c>
      <c r="AQ3469">
        <v>0.01</v>
      </c>
      <c r="AW3469" s="28">
        <f t="shared" si="343"/>
        <v>-6.3245553203367573</v>
      </c>
      <c r="AX3469">
        <f t="shared" si="344"/>
        <v>0.8</v>
      </c>
      <c r="AY3469" s="62">
        <f t="shared" si="345"/>
        <v>-5.0596442562694062</v>
      </c>
      <c r="AZ3469" s="68" t="str">
        <f t="shared" si="346"/>
        <v>No</v>
      </c>
      <c r="BA3469" s="68" t="str">
        <f t="shared" si="347"/>
        <v>No</v>
      </c>
    </row>
    <row r="3470" spans="1:55" hidden="1">
      <c r="A3470" t="s">
        <v>3914</v>
      </c>
      <c r="G3470" s="50" t="s">
        <v>4363</v>
      </c>
      <c r="P3470" t="s">
        <v>60</v>
      </c>
      <c r="R3470" t="s">
        <v>4357</v>
      </c>
      <c r="S3470" s="50" t="s">
        <v>1148</v>
      </c>
      <c r="V3470" t="s">
        <v>3956</v>
      </c>
      <c r="Z3470" s="50">
        <v>3</v>
      </c>
      <c r="AA3470" s="50">
        <v>3</v>
      </c>
      <c r="AC3470">
        <v>507.99</v>
      </c>
      <c r="AD3470">
        <v>12.7</v>
      </c>
      <c r="AE3470">
        <v>1743.88</v>
      </c>
      <c r="AF3470">
        <v>12.7</v>
      </c>
      <c r="AJ3470" s="50" t="s">
        <v>4430</v>
      </c>
      <c r="AK3470" t="s">
        <v>4244</v>
      </c>
      <c r="AN3470">
        <v>0.38</v>
      </c>
      <c r="AO3470">
        <v>0.02</v>
      </c>
      <c r="AP3470">
        <v>0.37</v>
      </c>
      <c r="AQ3470">
        <v>0.02</v>
      </c>
      <c r="AW3470" s="28">
        <f t="shared" ref="AW3470:AW3533" si="348">(AP3470-$AN3470)/SQRT(((AA3470-1)*AQ3470*AQ3470+($Z3470-1)*$AO3470*$AO3470)/(AA3470+$Z3470-2))</f>
        <v>-0.50000000000000044</v>
      </c>
      <c r="AX3470">
        <f t="shared" ref="AX3470:AX3533" si="349">1-(3/(4*(AA3470+$Z3470-2)-1))</f>
        <v>0.8</v>
      </c>
      <c r="AY3470" s="62">
        <f t="shared" ref="AY3470:AY3533" si="350">AX3470*AW3470</f>
        <v>-0.40000000000000036</v>
      </c>
      <c r="AZ3470" s="68" t="str">
        <f t="shared" ref="AZ3470:AZ3533" si="351">IF(AY3470&gt;10,"Yes","No")</f>
        <v>No</v>
      </c>
      <c r="BA3470" s="68" t="str">
        <f t="shared" ref="BA3470:BA3533" si="352">IF(AY3470&lt;-10,"Yes","No")</f>
        <v>No</v>
      </c>
    </row>
    <row r="3471" spans="1:55" hidden="1">
      <c r="A3471" t="s">
        <v>3914</v>
      </c>
      <c r="G3471" s="50" t="s">
        <v>5044</v>
      </c>
      <c r="P3471" t="s">
        <v>60</v>
      </c>
      <c r="R3471" t="s">
        <v>4357</v>
      </c>
      <c r="S3471" s="50" t="s">
        <v>1148</v>
      </c>
      <c r="V3471" t="s">
        <v>3956</v>
      </c>
      <c r="Z3471" s="50">
        <v>3</v>
      </c>
      <c r="AA3471" s="50">
        <v>3</v>
      </c>
      <c r="AC3471">
        <v>507.99</v>
      </c>
      <c r="AD3471">
        <v>12.7</v>
      </c>
      <c r="AE3471">
        <v>829.64</v>
      </c>
      <c r="AF3471">
        <v>12.7</v>
      </c>
      <c r="AJ3471" s="50" t="s">
        <v>4430</v>
      </c>
      <c r="AK3471" t="s">
        <v>4244</v>
      </c>
      <c r="AN3471">
        <v>0.38</v>
      </c>
      <c r="AO3471">
        <v>0.02</v>
      </c>
      <c r="AP3471">
        <v>0.38</v>
      </c>
      <c r="AQ3471">
        <v>0.03</v>
      </c>
      <c r="AW3471" s="28">
        <f t="shared" si="348"/>
        <v>0</v>
      </c>
      <c r="AX3471">
        <f t="shared" si="349"/>
        <v>0.8</v>
      </c>
      <c r="AY3471" s="62">
        <f t="shared" si="350"/>
        <v>0</v>
      </c>
      <c r="AZ3471" s="68" t="str">
        <f t="shared" si="351"/>
        <v>No</v>
      </c>
      <c r="BA3471" s="68" t="str">
        <f t="shared" si="352"/>
        <v>No</v>
      </c>
    </row>
    <row r="3472" spans="1:55" hidden="1">
      <c r="A3472" t="s">
        <v>3914</v>
      </c>
      <c r="G3472" t="s">
        <v>4363</v>
      </c>
      <c r="P3472" t="s">
        <v>60</v>
      </c>
      <c r="R3472" t="s">
        <v>4357</v>
      </c>
      <c r="S3472" t="s">
        <v>1148</v>
      </c>
      <c r="V3472" t="s">
        <v>3956</v>
      </c>
      <c r="Z3472">
        <v>3</v>
      </c>
      <c r="AA3472">
        <v>3</v>
      </c>
      <c r="AC3472">
        <v>507.99</v>
      </c>
      <c r="AD3472">
        <v>12.7</v>
      </c>
      <c r="AE3472">
        <v>829.64</v>
      </c>
      <c r="AF3472">
        <v>12.7</v>
      </c>
      <c r="AJ3472" t="s">
        <v>4146</v>
      </c>
      <c r="AK3472" t="s">
        <v>4151</v>
      </c>
      <c r="AN3472">
        <v>98</v>
      </c>
      <c r="AO3472">
        <v>0.5</v>
      </c>
      <c r="AP3472">
        <v>98</v>
      </c>
      <c r="AQ3472">
        <v>0.5</v>
      </c>
      <c r="AW3472" s="28">
        <f t="shared" si="348"/>
        <v>0</v>
      </c>
      <c r="AX3472">
        <f t="shared" si="349"/>
        <v>0.8</v>
      </c>
      <c r="AY3472" s="62">
        <f t="shared" si="350"/>
        <v>0</v>
      </c>
      <c r="AZ3472" s="68" t="str">
        <f t="shared" si="351"/>
        <v>No</v>
      </c>
      <c r="BA3472" s="68" t="str">
        <f t="shared" si="352"/>
        <v>No</v>
      </c>
    </row>
    <row r="3473" spans="1:53" hidden="1">
      <c r="A3473" t="s">
        <v>3914</v>
      </c>
      <c r="G3473" t="s">
        <v>4363</v>
      </c>
      <c r="P3473" t="s">
        <v>60</v>
      </c>
      <c r="R3473" t="s">
        <v>4357</v>
      </c>
      <c r="S3473" t="s">
        <v>1148</v>
      </c>
      <c r="V3473" t="s">
        <v>3956</v>
      </c>
      <c r="Z3473">
        <v>3</v>
      </c>
      <c r="AA3473">
        <v>3</v>
      </c>
      <c r="AC3473">
        <v>507.99</v>
      </c>
      <c r="AD3473">
        <v>12.7</v>
      </c>
      <c r="AE3473">
        <v>1743.88</v>
      </c>
      <c r="AF3473">
        <v>12.7</v>
      </c>
      <c r="AJ3473" t="s">
        <v>4146</v>
      </c>
      <c r="AK3473" t="s">
        <v>4151</v>
      </c>
      <c r="AN3473">
        <v>98</v>
      </c>
      <c r="AO3473">
        <v>0.5</v>
      </c>
      <c r="AP3473">
        <v>95</v>
      </c>
      <c r="AQ3473">
        <v>0.5</v>
      </c>
      <c r="AW3473" s="28">
        <f t="shared" si="348"/>
        <v>-6</v>
      </c>
      <c r="AX3473">
        <f t="shared" si="349"/>
        <v>0.8</v>
      </c>
      <c r="AY3473" s="62">
        <f t="shared" si="350"/>
        <v>-4.8000000000000007</v>
      </c>
      <c r="AZ3473" s="68" t="str">
        <f t="shared" si="351"/>
        <v>No</v>
      </c>
      <c r="BA3473" s="68" t="str">
        <f t="shared" si="352"/>
        <v>No</v>
      </c>
    </row>
    <row r="3474" spans="1:53" hidden="1">
      <c r="A3474" t="s">
        <v>3914</v>
      </c>
      <c r="G3474" t="s">
        <v>5099</v>
      </c>
      <c r="P3474" t="s">
        <v>60</v>
      </c>
      <c r="R3474" t="s">
        <v>4570</v>
      </c>
      <c r="S3474" t="s">
        <v>4572</v>
      </c>
      <c r="V3474" t="s">
        <v>3956</v>
      </c>
      <c r="Z3474">
        <v>3</v>
      </c>
      <c r="AA3474">
        <v>3</v>
      </c>
      <c r="AC3474">
        <v>461.6</v>
      </c>
      <c r="AD3474">
        <v>17.8</v>
      </c>
      <c r="AE3474">
        <v>1016.3</v>
      </c>
      <c r="AF3474">
        <v>17.899999999999999</v>
      </c>
      <c r="AJ3474" t="s">
        <v>1797</v>
      </c>
      <c r="AK3474" t="s">
        <v>4525</v>
      </c>
      <c r="AN3474">
        <v>58</v>
      </c>
      <c r="AO3474">
        <v>10.5</v>
      </c>
      <c r="AP3474">
        <v>60</v>
      </c>
      <c r="AQ3474">
        <v>10.5</v>
      </c>
      <c r="AW3474" s="28">
        <f t="shared" si="348"/>
        <v>0.19047619047619047</v>
      </c>
      <c r="AX3474">
        <f t="shared" si="349"/>
        <v>0.8</v>
      </c>
      <c r="AY3474" s="62">
        <f t="shared" si="350"/>
        <v>0.15238095238095239</v>
      </c>
      <c r="AZ3474" s="68" t="str">
        <f t="shared" si="351"/>
        <v>No</v>
      </c>
      <c r="BA3474" s="68" t="str">
        <f t="shared" si="352"/>
        <v>No</v>
      </c>
    </row>
    <row r="3475" spans="1:53" hidden="1">
      <c r="A3475" t="s">
        <v>3914</v>
      </c>
      <c r="G3475" t="s">
        <v>4001</v>
      </c>
      <c r="P3475" t="s">
        <v>60</v>
      </c>
      <c r="R3475" t="s">
        <v>4005</v>
      </c>
      <c r="S3475" t="s">
        <v>4017</v>
      </c>
      <c r="V3475" t="s">
        <v>3956</v>
      </c>
      <c r="Z3475">
        <v>4</v>
      </c>
      <c r="AA3475">
        <v>4</v>
      </c>
      <c r="AC3475">
        <v>396</v>
      </c>
      <c r="AD3475">
        <v>14</v>
      </c>
      <c r="AE3475">
        <v>668.5</v>
      </c>
      <c r="AF3475">
        <v>14</v>
      </c>
      <c r="AJ3475" t="s">
        <v>4029</v>
      </c>
      <c r="AK3475" t="s">
        <v>904</v>
      </c>
      <c r="AN3475">
        <v>1.6E-2</v>
      </c>
      <c r="AO3475">
        <v>3.7499999999999999E-3</v>
      </c>
      <c r="AP3475">
        <v>1.4999999999999999E-2</v>
      </c>
      <c r="AQ3475">
        <v>6.7499999999999991E-3</v>
      </c>
      <c r="AW3475" s="28">
        <f t="shared" si="348"/>
        <v>-0.18314741859825223</v>
      </c>
      <c r="AX3475">
        <f t="shared" si="349"/>
        <v>0.86956521739130432</v>
      </c>
      <c r="AY3475" s="62">
        <f t="shared" si="350"/>
        <v>-0.1592586248680454</v>
      </c>
      <c r="AZ3475" s="68" t="str">
        <f t="shared" si="351"/>
        <v>No</v>
      </c>
      <c r="BA3475" s="68" t="str">
        <f t="shared" si="352"/>
        <v>No</v>
      </c>
    </row>
    <row r="3476" spans="1:53" hidden="1">
      <c r="A3476" t="s">
        <v>3914</v>
      </c>
      <c r="G3476" t="s">
        <v>4001</v>
      </c>
      <c r="P3476" t="s">
        <v>60</v>
      </c>
      <c r="R3476" t="s">
        <v>4005</v>
      </c>
      <c r="S3476" t="s">
        <v>4017</v>
      </c>
      <c r="V3476" t="s">
        <v>3956</v>
      </c>
      <c r="Z3476">
        <v>3</v>
      </c>
      <c r="AA3476">
        <v>3</v>
      </c>
      <c r="AC3476">
        <v>396</v>
      </c>
      <c r="AD3476">
        <v>14</v>
      </c>
      <c r="AE3476">
        <v>668.5</v>
      </c>
      <c r="AF3476">
        <v>14</v>
      </c>
      <c r="AJ3476" t="s">
        <v>108</v>
      </c>
      <c r="AK3476" t="s">
        <v>904</v>
      </c>
      <c r="AN3476">
        <v>0.17</v>
      </c>
      <c r="AO3476">
        <v>0.11249999999999999</v>
      </c>
      <c r="AP3476">
        <v>0.17</v>
      </c>
      <c r="AQ3476">
        <v>0.12</v>
      </c>
      <c r="AW3476" s="28">
        <f t="shared" si="348"/>
        <v>0</v>
      </c>
      <c r="AX3476">
        <f t="shared" si="349"/>
        <v>0.8</v>
      </c>
      <c r="AY3476" s="62">
        <f t="shared" si="350"/>
        <v>0</v>
      </c>
      <c r="AZ3476" s="68" t="str">
        <f t="shared" si="351"/>
        <v>No</v>
      </c>
      <c r="BA3476" s="68" t="str">
        <f t="shared" si="352"/>
        <v>No</v>
      </c>
    </row>
    <row r="3477" spans="1:53" hidden="1">
      <c r="A3477" t="s">
        <v>3914</v>
      </c>
      <c r="G3477" t="s">
        <v>4276</v>
      </c>
      <c r="P3477" t="s">
        <v>60</v>
      </c>
      <c r="R3477" t="s">
        <v>4285</v>
      </c>
      <c r="S3477" t="s">
        <v>4280</v>
      </c>
      <c r="V3477" t="s">
        <v>3956</v>
      </c>
      <c r="Z3477">
        <v>3</v>
      </c>
      <c r="AA3477">
        <v>3</v>
      </c>
      <c r="AC3477">
        <v>344</v>
      </c>
      <c r="AD3477">
        <v>22.8</v>
      </c>
      <c r="AE3477">
        <v>1965</v>
      </c>
      <c r="AF3477">
        <v>22.6</v>
      </c>
      <c r="AJ3477" t="s">
        <v>1202</v>
      </c>
      <c r="AK3477" t="s">
        <v>4093</v>
      </c>
      <c r="AN3477">
        <v>98</v>
      </c>
      <c r="AO3477">
        <v>2</v>
      </c>
      <c r="AP3477">
        <v>87</v>
      </c>
      <c r="AQ3477">
        <v>6</v>
      </c>
      <c r="AW3477" s="28">
        <f t="shared" si="348"/>
        <v>-2.4596747752497685</v>
      </c>
      <c r="AX3477">
        <f t="shared" si="349"/>
        <v>0.8</v>
      </c>
      <c r="AY3477" s="62">
        <f t="shared" si="350"/>
        <v>-1.9677398201998149</v>
      </c>
      <c r="AZ3477" s="68" t="str">
        <f t="shared" si="351"/>
        <v>No</v>
      </c>
      <c r="BA3477" s="68" t="str">
        <f t="shared" si="352"/>
        <v>No</v>
      </c>
    </row>
    <row r="3478" spans="1:53" hidden="1">
      <c r="A3478" t="s">
        <v>3914</v>
      </c>
      <c r="G3478" t="s">
        <v>4047</v>
      </c>
      <c r="P3478" t="s">
        <v>60</v>
      </c>
      <c r="R3478" t="s">
        <v>4035</v>
      </c>
      <c r="S3478" t="s">
        <v>4037</v>
      </c>
      <c r="V3478" t="s">
        <v>3956</v>
      </c>
      <c r="Z3478">
        <v>5</v>
      </c>
      <c r="AA3478">
        <v>5</v>
      </c>
      <c r="AC3478">
        <v>331</v>
      </c>
      <c r="AD3478">
        <v>26.3</v>
      </c>
      <c r="AE3478">
        <v>1172</v>
      </c>
      <c r="AF3478">
        <v>26.2</v>
      </c>
      <c r="AJ3478" t="s">
        <v>4079</v>
      </c>
      <c r="AK3478" t="s">
        <v>4081</v>
      </c>
      <c r="AN3478">
        <v>1.83E-4</v>
      </c>
      <c r="AO3478">
        <v>5.1999999999999997E-5</v>
      </c>
      <c r="AP3478">
        <v>2.02E-4</v>
      </c>
      <c r="AQ3478">
        <v>6.6000000000000005E-5</v>
      </c>
      <c r="AW3478" s="28">
        <f t="shared" si="348"/>
        <v>0.31979100824107198</v>
      </c>
      <c r="AX3478">
        <f t="shared" si="349"/>
        <v>0.90322580645161288</v>
      </c>
      <c r="AY3478" s="62">
        <f t="shared" si="350"/>
        <v>0.28884349131451664</v>
      </c>
      <c r="AZ3478" s="68" t="str">
        <f t="shared" si="351"/>
        <v>No</v>
      </c>
      <c r="BA3478" s="68" t="str">
        <f t="shared" si="352"/>
        <v>No</v>
      </c>
    </row>
    <row r="3479" spans="1:53" hidden="1">
      <c r="A3479" t="s">
        <v>3914</v>
      </c>
      <c r="G3479" t="s">
        <v>4047</v>
      </c>
      <c r="P3479" t="s">
        <v>60</v>
      </c>
      <c r="R3479" t="s">
        <v>4035</v>
      </c>
      <c r="S3479" t="s">
        <v>4037</v>
      </c>
      <c r="V3479" t="s">
        <v>3956</v>
      </c>
      <c r="Z3479">
        <v>12</v>
      </c>
      <c r="AA3479">
        <v>12</v>
      </c>
      <c r="AC3479">
        <v>331</v>
      </c>
      <c r="AD3479">
        <v>26.3</v>
      </c>
      <c r="AE3479">
        <v>2011</v>
      </c>
      <c r="AF3479">
        <v>26.6</v>
      </c>
      <c r="AJ3479" t="s">
        <v>69</v>
      </c>
      <c r="AK3479" t="s">
        <v>4066</v>
      </c>
      <c r="AN3479">
        <v>46</v>
      </c>
      <c r="AO3479">
        <v>17.320508075688771</v>
      </c>
      <c r="AP3479">
        <v>54</v>
      </c>
      <c r="AQ3479">
        <v>10.392304845413264</v>
      </c>
      <c r="AW3479" s="28">
        <f t="shared" si="348"/>
        <v>0.56011203361120387</v>
      </c>
      <c r="AX3479">
        <f t="shared" si="349"/>
        <v>0.96551724137931039</v>
      </c>
      <c r="AY3479" s="62">
        <f t="shared" si="350"/>
        <v>0.54079782555564515</v>
      </c>
      <c r="AZ3479" s="68" t="str">
        <f t="shared" si="351"/>
        <v>No</v>
      </c>
      <c r="BA3479" s="68" t="str">
        <f t="shared" si="352"/>
        <v>No</v>
      </c>
    </row>
    <row r="3480" spans="1:53" hidden="1">
      <c r="A3480" s="77" t="s">
        <v>3914</v>
      </c>
      <c r="G3480" s="77" t="s">
        <v>4047</v>
      </c>
      <c r="P3480" s="77" t="s">
        <v>60</v>
      </c>
      <c r="Q3480" s="77"/>
      <c r="R3480" s="77" t="s">
        <v>4035</v>
      </c>
      <c r="S3480" s="77" t="s">
        <v>4037</v>
      </c>
      <c r="T3480" s="77"/>
      <c r="U3480" s="77"/>
      <c r="V3480" s="77" t="s">
        <v>3956</v>
      </c>
      <c r="W3480" s="77"/>
      <c r="X3480" s="77"/>
      <c r="Y3480" s="77"/>
      <c r="Z3480" s="77">
        <v>9</v>
      </c>
      <c r="AA3480" s="77">
        <v>99</v>
      </c>
      <c r="AB3480" s="77"/>
      <c r="AC3480" s="77">
        <v>331</v>
      </c>
      <c r="AD3480" s="77">
        <v>26.3</v>
      </c>
      <c r="AE3480" s="77">
        <v>2011</v>
      </c>
      <c r="AF3480" s="77">
        <v>26.6</v>
      </c>
      <c r="AG3480" s="77"/>
      <c r="AH3480" s="77"/>
      <c r="AI3480" s="77"/>
      <c r="AJ3480" s="77" t="s">
        <v>1202</v>
      </c>
      <c r="AK3480" s="77" t="s">
        <v>4041</v>
      </c>
      <c r="AN3480" s="77">
        <v>98.5</v>
      </c>
      <c r="AO3480" s="77">
        <v>4.5</v>
      </c>
      <c r="AP3480" s="77">
        <v>83.5</v>
      </c>
      <c r="AQ3480" s="77">
        <v>16.5</v>
      </c>
      <c r="AW3480" s="28">
        <f t="shared" si="348"/>
        <v>-0.94261144982854017</v>
      </c>
      <c r="AX3480">
        <f t="shared" si="349"/>
        <v>0.99290780141843971</v>
      </c>
      <c r="AY3480" s="62">
        <f t="shared" si="350"/>
        <v>-0.93592626224110376</v>
      </c>
      <c r="AZ3480" s="68" t="str">
        <f t="shared" si="351"/>
        <v>No</v>
      </c>
      <c r="BA3480" s="68" t="str">
        <f t="shared" si="352"/>
        <v>No</v>
      </c>
    </row>
    <row r="3481" spans="1:53" hidden="1">
      <c r="A3481" t="s">
        <v>3914</v>
      </c>
      <c r="G3481" t="s">
        <v>4047</v>
      </c>
      <c r="P3481" t="s">
        <v>60</v>
      </c>
      <c r="R3481" t="s">
        <v>4035</v>
      </c>
      <c r="S3481" t="s">
        <v>4037</v>
      </c>
      <c r="V3481" t="s">
        <v>3956</v>
      </c>
      <c r="Z3481">
        <v>9</v>
      </c>
      <c r="AA3481">
        <v>9</v>
      </c>
      <c r="AC3481">
        <v>331</v>
      </c>
      <c r="AD3481">
        <v>26.3</v>
      </c>
      <c r="AE3481">
        <v>1172</v>
      </c>
      <c r="AF3481">
        <v>26.2</v>
      </c>
      <c r="AJ3481" t="s">
        <v>1202</v>
      </c>
      <c r="AK3481" t="s">
        <v>4041</v>
      </c>
      <c r="AN3481">
        <v>98.5</v>
      </c>
      <c r="AO3481">
        <v>4.5</v>
      </c>
      <c r="AP3481">
        <v>83.5</v>
      </c>
      <c r="AQ3481">
        <v>17.399999999999999</v>
      </c>
      <c r="AW3481" s="28">
        <f t="shared" si="348"/>
        <v>-1.1803159420437523</v>
      </c>
      <c r="AX3481">
        <f t="shared" si="349"/>
        <v>0.95238095238095233</v>
      </c>
      <c r="AY3481" s="62">
        <f t="shared" si="350"/>
        <v>-1.1241104209940498</v>
      </c>
      <c r="AZ3481" s="68" t="str">
        <f t="shared" si="351"/>
        <v>No</v>
      </c>
      <c r="BA3481" s="68" t="str">
        <f t="shared" si="352"/>
        <v>No</v>
      </c>
    </row>
    <row r="3482" spans="1:53" hidden="1">
      <c r="A3482" t="s">
        <v>3914</v>
      </c>
      <c r="G3482" t="s">
        <v>4047</v>
      </c>
      <c r="P3482" t="s">
        <v>60</v>
      </c>
      <c r="R3482" t="s">
        <v>4035</v>
      </c>
      <c r="S3482" t="s">
        <v>4037</v>
      </c>
      <c r="V3482" t="s">
        <v>3956</v>
      </c>
      <c r="Z3482">
        <v>12</v>
      </c>
      <c r="AA3482">
        <v>12</v>
      </c>
      <c r="AC3482">
        <v>331</v>
      </c>
      <c r="AD3482">
        <v>26.3</v>
      </c>
      <c r="AE3482">
        <v>1172</v>
      </c>
      <c r="AF3482">
        <v>26.2</v>
      </c>
      <c r="AJ3482" t="s">
        <v>69</v>
      </c>
      <c r="AK3482" t="s">
        <v>4066</v>
      </c>
      <c r="AN3482">
        <v>46</v>
      </c>
      <c r="AO3482">
        <v>17.320508075688771</v>
      </c>
      <c r="AP3482">
        <v>51</v>
      </c>
      <c r="AQ3482">
        <v>20.784609690826528</v>
      </c>
      <c r="AW3482" s="28">
        <f t="shared" si="348"/>
        <v>0.26135418674465832</v>
      </c>
      <c r="AX3482">
        <f t="shared" si="349"/>
        <v>0.96551724137931039</v>
      </c>
      <c r="AY3482" s="62">
        <f t="shared" si="350"/>
        <v>0.25234197340863562</v>
      </c>
      <c r="AZ3482" s="68" t="str">
        <f t="shared" si="351"/>
        <v>No</v>
      </c>
      <c r="BA3482" s="68" t="str">
        <f t="shared" si="352"/>
        <v>No</v>
      </c>
    </row>
    <row r="3483" spans="1:53" hidden="1">
      <c r="A3483" t="s">
        <v>3914</v>
      </c>
      <c r="G3483" t="s">
        <v>4330</v>
      </c>
      <c r="P3483" t="s">
        <v>60</v>
      </c>
      <c r="R3483" t="s">
        <v>4286</v>
      </c>
      <c r="S3483" t="s">
        <v>4324</v>
      </c>
      <c r="V3483" t="s">
        <v>3956</v>
      </c>
      <c r="Z3483">
        <v>72</v>
      </c>
      <c r="AA3483">
        <v>72</v>
      </c>
      <c r="AC3483">
        <v>323</v>
      </c>
      <c r="AD3483">
        <v>9.6999999999999993</v>
      </c>
      <c r="AE3483">
        <v>729</v>
      </c>
      <c r="AF3483">
        <v>9.8000000000000007</v>
      </c>
      <c r="AJ3483" t="s">
        <v>4223</v>
      </c>
      <c r="AK3483" t="s">
        <v>4244</v>
      </c>
      <c r="AN3483">
        <v>860</v>
      </c>
      <c r="AO3483">
        <v>84.852813742385692</v>
      </c>
      <c r="AP3483">
        <v>800</v>
      </c>
      <c r="AQ3483">
        <v>16.970562748477139</v>
      </c>
      <c r="AW3483" s="28">
        <f t="shared" si="348"/>
        <v>-0.98058067569092022</v>
      </c>
      <c r="AX3483">
        <f t="shared" si="349"/>
        <v>0.99470899470899465</v>
      </c>
      <c r="AY3483" s="62">
        <f t="shared" si="350"/>
        <v>-0.97539241814758193</v>
      </c>
      <c r="AZ3483" s="68" t="str">
        <f t="shared" si="351"/>
        <v>No</v>
      </c>
      <c r="BA3483" s="68" t="str">
        <f t="shared" si="352"/>
        <v>No</v>
      </c>
    </row>
    <row r="3484" spans="1:53" hidden="1">
      <c r="A3484" t="s">
        <v>3914</v>
      </c>
      <c r="G3484" t="s">
        <v>4330</v>
      </c>
      <c r="P3484" t="s">
        <v>60</v>
      </c>
      <c r="R3484" t="s">
        <v>4286</v>
      </c>
      <c r="S3484" t="s">
        <v>4324</v>
      </c>
      <c r="V3484" t="s">
        <v>3956</v>
      </c>
      <c r="Z3484">
        <v>72</v>
      </c>
      <c r="AA3484">
        <v>72</v>
      </c>
      <c r="AC3484">
        <v>323</v>
      </c>
      <c r="AD3484">
        <v>9.6999999999999993</v>
      </c>
      <c r="AE3484">
        <v>1487</v>
      </c>
      <c r="AF3484">
        <v>9.5</v>
      </c>
      <c r="AJ3484" t="s">
        <v>4223</v>
      </c>
      <c r="AK3484" t="s">
        <v>4244</v>
      </c>
      <c r="AN3484">
        <v>860</v>
      </c>
      <c r="AO3484">
        <v>84.852813742385692</v>
      </c>
      <c r="AP3484">
        <v>750</v>
      </c>
      <c r="AQ3484">
        <v>33.941125496954278</v>
      </c>
      <c r="AW3484" s="28">
        <f t="shared" si="348"/>
        <v>-1.7022072666229755</v>
      </c>
      <c r="AX3484">
        <f t="shared" si="349"/>
        <v>0.99470899470899465</v>
      </c>
      <c r="AY3484" s="62">
        <f t="shared" si="350"/>
        <v>-1.6932008789688855</v>
      </c>
      <c r="AZ3484" s="68" t="str">
        <f t="shared" si="351"/>
        <v>No</v>
      </c>
      <c r="BA3484" s="68" t="str">
        <f t="shared" si="352"/>
        <v>No</v>
      </c>
    </row>
    <row r="3485" spans="1:53" ht="15" hidden="1">
      <c r="A3485" s="56" t="s">
        <v>3914</v>
      </c>
      <c r="G3485" s="56" t="s">
        <v>4403</v>
      </c>
      <c r="P3485" s="56" t="s">
        <v>60</v>
      </c>
      <c r="Q3485" s="56"/>
      <c r="R3485" s="56" t="s">
        <v>4357</v>
      </c>
      <c r="S3485" s="56" t="s">
        <v>4423</v>
      </c>
      <c r="T3485" s="56"/>
      <c r="U3485" s="56"/>
      <c r="V3485" s="56" t="s">
        <v>3956</v>
      </c>
      <c r="W3485" s="56"/>
      <c r="X3485" s="56"/>
      <c r="Y3485" s="56"/>
      <c r="Z3485" s="56">
        <v>4</v>
      </c>
      <c r="AA3485" s="56">
        <v>4</v>
      </c>
      <c r="AB3485" s="56"/>
      <c r="AC3485" s="56">
        <v>760.9</v>
      </c>
      <c r="AD3485" s="56">
        <v>18.5</v>
      </c>
      <c r="AE3485" s="56">
        <v>1112</v>
      </c>
      <c r="AF3485" s="56">
        <v>18.5</v>
      </c>
      <c r="AG3485" s="56"/>
      <c r="AH3485" s="56"/>
      <c r="AI3485" s="56"/>
      <c r="AJ3485" s="56" t="s">
        <v>4445</v>
      </c>
      <c r="AK3485" s="56" t="s">
        <v>4244</v>
      </c>
      <c r="AN3485" s="56">
        <v>275</v>
      </c>
      <c r="AO3485" s="56">
        <v>6</v>
      </c>
      <c r="AP3485" s="56">
        <v>260</v>
      </c>
      <c r="AQ3485" s="56">
        <v>6</v>
      </c>
      <c r="AW3485" s="28">
        <f t="shared" si="348"/>
        <v>-2.5</v>
      </c>
      <c r="AX3485">
        <f t="shared" si="349"/>
        <v>0.86956521739130432</v>
      </c>
      <c r="AY3485" s="62">
        <f t="shared" si="350"/>
        <v>-2.1739130434782608</v>
      </c>
      <c r="AZ3485" s="68" t="str">
        <f t="shared" si="351"/>
        <v>No</v>
      </c>
      <c r="BA3485" s="68" t="str">
        <f t="shared" si="352"/>
        <v>No</v>
      </c>
    </row>
    <row r="3486" spans="1:53" ht="15" hidden="1">
      <c r="A3486" s="56" t="s">
        <v>3914</v>
      </c>
      <c r="G3486" s="56" t="s">
        <v>5037</v>
      </c>
      <c r="P3486" s="56" t="s">
        <v>60</v>
      </c>
      <c r="Q3486" s="56"/>
      <c r="R3486" s="56" t="s">
        <v>4357</v>
      </c>
      <c r="S3486" s="56" t="s">
        <v>4423</v>
      </c>
      <c r="T3486" s="56"/>
      <c r="U3486" s="56"/>
      <c r="V3486" s="56" t="s">
        <v>3956</v>
      </c>
      <c r="W3486" s="56"/>
      <c r="X3486" s="56"/>
      <c r="Y3486" s="56"/>
      <c r="Z3486" s="56">
        <v>4</v>
      </c>
      <c r="AA3486" s="56">
        <v>4</v>
      </c>
      <c r="AB3486" s="56"/>
      <c r="AC3486" s="56">
        <v>760.9</v>
      </c>
      <c r="AD3486" s="56">
        <v>18.5</v>
      </c>
      <c r="AE3486" s="56">
        <v>1112</v>
      </c>
      <c r="AF3486" s="56">
        <v>18.5</v>
      </c>
      <c r="AG3486" s="56"/>
      <c r="AH3486" s="56"/>
      <c r="AI3486" s="56"/>
      <c r="AJ3486" s="56" t="s">
        <v>4427</v>
      </c>
      <c r="AK3486" s="56" t="s">
        <v>4244</v>
      </c>
      <c r="AN3486" s="56">
        <v>1000</v>
      </c>
      <c r="AO3486" s="56">
        <v>12</v>
      </c>
      <c r="AP3486" s="56">
        <v>910</v>
      </c>
      <c r="AQ3486" s="56">
        <v>12</v>
      </c>
      <c r="AW3486" s="28">
        <f t="shared" si="348"/>
        <v>-7.5</v>
      </c>
      <c r="AX3486">
        <f t="shared" si="349"/>
        <v>0.86956521739130432</v>
      </c>
      <c r="AY3486" s="62">
        <f t="shared" si="350"/>
        <v>-6.5217391304347823</v>
      </c>
      <c r="AZ3486" s="68" t="str">
        <f t="shared" si="351"/>
        <v>No</v>
      </c>
      <c r="BA3486" s="68" t="str">
        <f t="shared" si="352"/>
        <v>No</v>
      </c>
    </row>
    <row r="3487" spans="1:53" hidden="1">
      <c r="A3487" t="s">
        <v>3914</v>
      </c>
      <c r="G3487" t="s">
        <v>4313</v>
      </c>
      <c r="P3487" t="s">
        <v>60</v>
      </c>
      <c r="R3487" t="s">
        <v>4286</v>
      </c>
      <c r="S3487" t="s">
        <v>4322</v>
      </c>
      <c r="V3487" t="s">
        <v>3956</v>
      </c>
      <c r="Z3487">
        <v>7</v>
      </c>
      <c r="AA3487">
        <v>7</v>
      </c>
      <c r="AC3487">
        <v>418.5</v>
      </c>
      <c r="AD3487">
        <v>14.77</v>
      </c>
      <c r="AE3487">
        <v>2012.9</v>
      </c>
      <c r="AF3487">
        <v>14.25</v>
      </c>
      <c r="AJ3487" t="s">
        <v>4059</v>
      </c>
      <c r="AK3487" t="s">
        <v>4093</v>
      </c>
      <c r="AN3487">
        <v>14</v>
      </c>
      <c r="AO3487">
        <v>6</v>
      </c>
      <c r="AP3487">
        <v>14</v>
      </c>
      <c r="AQ3487">
        <v>1</v>
      </c>
      <c r="AW3487" s="28">
        <f t="shared" si="348"/>
        <v>0</v>
      </c>
      <c r="AX3487">
        <f t="shared" si="349"/>
        <v>0.93617021276595747</v>
      </c>
      <c r="AY3487" s="62">
        <f t="shared" si="350"/>
        <v>0</v>
      </c>
      <c r="AZ3487" s="68" t="str">
        <f t="shared" si="351"/>
        <v>No</v>
      </c>
      <c r="BA3487" s="68" t="str">
        <f t="shared" si="352"/>
        <v>No</v>
      </c>
    </row>
    <row r="3488" spans="1:53" hidden="1">
      <c r="A3488" t="s">
        <v>3914</v>
      </c>
      <c r="G3488" t="s">
        <v>4313</v>
      </c>
      <c r="P3488" t="s">
        <v>60</v>
      </c>
      <c r="R3488" t="s">
        <v>4286</v>
      </c>
      <c r="S3488" t="s">
        <v>4322</v>
      </c>
      <c r="V3488" t="s">
        <v>3956</v>
      </c>
      <c r="Z3488">
        <v>7</v>
      </c>
      <c r="AA3488">
        <v>7</v>
      </c>
      <c r="AC3488">
        <v>418.5</v>
      </c>
      <c r="AD3488">
        <v>14.77</v>
      </c>
      <c r="AE3488">
        <v>1175.5</v>
      </c>
      <c r="AF3488">
        <v>14.2</v>
      </c>
      <c r="AJ3488" t="s">
        <v>4059</v>
      </c>
      <c r="AK3488" t="s">
        <v>4093</v>
      </c>
      <c r="AN3488">
        <v>14</v>
      </c>
      <c r="AO3488">
        <v>6</v>
      </c>
      <c r="AP3488">
        <v>10.199999999999999</v>
      </c>
      <c r="AQ3488">
        <v>3.8</v>
      </c>
      <c r="AW3488" s="28">
        <f t="shared" si="348"/>
        <v>-0.75667790978685079</v>
      </c>
      <c r="AX3488">
        <f t="shared" si="349"/>
        <v>0.93617021276595747</v>
      </c>
      <c r="AY3488" s="62">
        <f t="shared" si="350"/>
        <v>-0.7083793198004561</v>
      </c>
      <c r="AZ3488" s="68" t="str">
        <f t="shared" si="351"/>
        <v>No</v>
      </c>
      <c r="BA3488" s="68" t="str">
        <f t="shared" si="352"/>
        <v>No</v>
      </c>
    </row>
    <row r="3489" spans="1:53" hidden="1">
      <c r="A3489" t="s">
        <v>3914</v>
      </c>
      <c r="G3489" t="s">
        <v>4949</v>
      </c>
      <c r="P3489" t="s">
        <v>4596</v>
      </c>
      <c r="R3489" t="s">
        <v>4888</v>
      </c>
      <c r="S3489" t="s">
        <v>1752</v>
      </c>
      <c r="V3489" t="s">
        <v>4598</v>
      </c>
      <c r="Z3489">
        <v>4</v>
      </c>
      <c r="AA3489">
        <v>4</v>
      </c>
      <c r="AC3489">
        <v>539</v>
      </c>
      <c r="AD3489" s="54">
        <v>18</v>
      </c>
      <c r="AE3489">
        <v>486</v>
      </c>
      <c r="AF3489" s="54">
        <v>22</v>
      </c>
      <c r="AJ3489" t="s">
        <v>4256</v>
      </c>
      <c r="AK3489" t="s">
        <v>4848</v>
      </c>
      <c r="AN3489">
        <v>83</v>
      </c>
      <c r="AO3489" s="63" t="s">
        <v>4970</v>
      </c>
      <c r="AP3489">
        <v>94</v>
      </c>
      <c r="AQ3489" s="63" t="s">
        <v>4970</v>
      </c>
      <c r="AU3489" s="57" t="s">
        <v>4907</v>
      </c>
      <c r="AW3489" s="28" t="e">
        <f t="shared" si="348"/>
        <v>#VALUE!</v>
      </c>
      <c r="AX3489">
        <f t="shared" si="349"/>
        <v>0.86956521739130432</v>
      </c>
      <c r="AY3489" s="62" t="e">
        <f t="shared" si="350"/>
        <v>#VALUE!</v>
      </c>
      <c r="AZ3489" s="68" t="e">
        <f t="shared" si="351"/>
        <v>#VALUE!</v>
      </c>
      <c r="BA3489" s="68" t="e">
        <f t="shared" si="352"/>
        <v>#VALUE!</v>
      </c>
    </row>
    <row r="3490" spans="1:53" hidden="1">
      <c r="A3490" t="s">
        <v>3914</v>
      </c>
      <c r="G3490" t="s">
        <v>4917</v>
      </c>
      <c r="P3490" t="s">
        <v>4596</v>
      </c>
      <c r="R3490" t="s">
        <v>4888</v>
      </c>
      <c r="S3490" t="s">
        <v>1752</v>
      </c>
      <c r="V3490" t="s">
        <v>4626</v>
      </c>
      <c r="Z3490">
        <v>4</v>
      </c>
      <c r="AA3490">
        <v>4</v>
      </c>
      <c r="AC3490">
        <v>539</v>
      </c>
      <c r="AD3490" s="54">
        <v>18</v>
      </c>
      <c r="AE3490">
        <v>1921</v>
      </c>
      <c r="AF3490" s="54">
        <v>22</v>
      </c>
      <c r="AJ3490" t="s">
        <v>4256</v>
      </c>
      <c r="AK3490" t="s">
        <v>4848</v>
      </c>
      <c r="AN3490">
        <v>83</v>
      </c>
      <c r="AO3490" s="63" t="s">
        <v>4970</v>
      </c>
      <c r="AP3490">
        <v>97</v>
      </c>
      <c r="AQ3490" s="63" t="s">
        <v>4970</v>
      </c>
      <c r="AU3490" s="57" t="s">
        <v>4907</v>
      </c>
      <c r="AW3490" s="28" t="e">
        <f t="shared" si="348"/>
        <v>#VALUE!</v>
      </c>
      <c r="AX3490">
        <f t="shared" si="349"/>
        <v>0.86956521739130432</v>
      </c>
      <c r="AY3490" s="62" t="e">
        <f t="shared" si="350"/>
        <v>#VALUE!</v>
      </c>
      <c r="AZ3490" s="68" t="e">
        <f t="shared" si="351"/>
        <v>#VALUE!</v>
      </c>
      <c r="BA3490" s="68" t="e">
        <f t="shared" si="352"/>
        <v>#VALUE!</v>
      </c>
    </row>
    <row r="3491" spans="1:53" hidden="1">
      <c r="A3491" t="s">
        <v>3914</v>
      </c>
      <c r="G3491" t="s">
        <v>4917</v>
      </c>
      <c r="P3491" t="s">
        <v>4596</v>
      </c>
      <c r="R3491" t="s">
        <v>4888</v>
      </c>
      <c r="S3491" t="s">
        <v>1752</v>
      </c>
      <c r="V3491" t="s">
        <v>4627</v>
      </c>
      <c r="Z3491">
        <v>4</v>
      </c>
      <c r="AA3491">
        <v>4</v>
      </c>
      <c r="AC3491">
        <v>539</v>
      </c>
      <c r="AD3491" s="54">
        <v>18</v>
      </c>
      <c r="AE3491">
        <v>3828</v>
      </c>
      <c r="AF3491" s="54">
        <v>22</v>
      </c>
      <c r="AJ3491" t="s">
        <v>4256</v>
      </c>
      <c r="AK3491" t="s">
        <v>4848</v>
      </c>
      <c r="AN3491">
        <v>83</v>
      </c>
      <c r="AO3491" s="63" t="s">
        <v>4970</v>
      </c>
      <c r="AP3491">
        <v>100</v>
      </c>
      <c r="AQ3491" s="63" t="s">
        <v>4970</v>
      </c>
      <c r="AU3491" s="57" t="s">
        <v>4907</v>
      </c>
      <c r="AW3491" s="28" t="e">
        <f t="shared" si="348"/>
        <v>#VALUE!</v>
      </c>
      <c r="AX3491">
        <f t="shared" si="349"/>
        <v>0.86956521739130432</v>
      </c>
      <c r="AY3491" s="62" t="e">
        <f t="shared" si="350"/>
        <v>#VALUE!</v>
      </c>
      <c r="AZ3491" s="68" t="e">
        <f t="shared" si="351"/>
        <v>#VALUE!</v>
      </c>
      <c r="BA3491" s="68" t="e">
        <f t="shared" si="352"/>
        <v>#VALUE!</v>
      </c>
    </row>
    <row r="3492" spans="1:53" hidden="1">
      <c r="A3492" t="s">
        <v>3914</v>
      </c>
      <c r="G3492" t="s">
        <v>4917</v>
      </c>
      <c r="P3492" t="s">
        <v>4596</v>
      </c>
      <c r="R3492" t="s">
        <v>4888</v>
      </c>
      <c r="S3492" t="s">
        <v>1752</v>
      </c>
      <c r="V3492" t="s">
        <v>4598</v>
      </c>
      <c r="Z3492">
        <v>24</v>
      </c>
      <c r="AA3492">
        <v>24</v>
      </c>
      <c r="AC3492">
        <v>539</v>
      </c>
      <c r="AD3492" s="54">
        <v>18</v>
      </c>
      <c r="AE3492">
        <v>486</v>
      </c>
      <c r="AF3492" s="54">
        <v>22</v>
      </c>
      <c r="AJ3492" t="s">
        <v>4918</v>
      </c>
      <c r="AK3492" t="s">
        <v>4844</v>
      </c>
      <c r="AN3492">
        <v>15</v>
      </c>
      <c r="AO3492" s="63" t="s">
        <v>4970</v>
      </c>
      <c r="AP3492">
        <v>42</v>
      </c>
      <c r="AQ3492" s="63" t="s">
        <v>4970</v>
      </c>
      <c r="AU3492" s="57" t="s">
        <v>4907</v>
      </c>
      <c r="AW3492" s="28" t="e">
        <f t="shared" si="348"/>
        <v>#VALUE!</v>
      </c>
      <c r="AX3492">
        <f t="shared" si="349"/>
        <v>0.98360655737704916</v>
      </c>
      <c r="AY3492" s="62" t="e">
        <f t="shared" si="350"/>
        <v>#VALUE!</v>
      </c>
      <c r="AZ3492" s="68" t="e">
        <f t="shared" si="351"/>
        <v>#VALUE!</v>
      </c>
      <c r="BA3492" s="68" t="e">
        <f t="shared" si="352"/>
        <v>#VALUE!</v>
      </c>
    </row>
    <row r="3493" spans="1:53" hidden="1">
      <c r="A3493" t="s">
        <v>3914</v>
      </c>
      <c r="G3493" t="s">
        <v>4917</v>
      </c>
      <c r="P3493" t="s">
        <v>4596</v>
      </c>
      <c r="R3493" t="s">
        <v>4888</v>
      </c>
      <c r="S3493" t="s">
        <v>1752</v>
      </c>
      <c r="V3493" t="s">
        <v>4626</v>
      </c>
      <c r="Z3493">
        <v>24</v>
      </c>
      <c r="AA3493">
        <v>24</v>
      </c>
      <c r="AC3493">
        <v>539</v>
      </c>
      <c r="AD3493" s="54">
        <v>18</v>
      </c>
      <c r="AE3493">
        <v>1921</v>
      </c>
      <c r="AF3493" s="54">
        <v>22</v>
      </c>
      <c r="AJ3493" t="s">
        <v>4902</v>
      </c>
      <c r="AK3493" t="s">
        <v>4844</v>
      </c>
      <c r="AN3493">
        <v>15</v>
      </c>
      <c r="AO3493" s="63" t="s">
        <v>4970</v>
      </c>
      <c r="AP3493">
        <v>42</v>
      </c>
      <c r="AQ3493" s="63" t="s">
        <v>4970</v>
      </c>
      <c r="AU3493" s="57" t="s">
        <v>4907</v>
      </c>
      <c r="AW3493" s="28" t="e">
        <f t="shared" si="348"/>
        <v>#VALUE!</v>
      </c>
      <c r="AX3493">
        <f t="shared" si="349"/>
        <v>0.98360655737704916</v>
      </c>
      <c r="AY3493" s="62" t="e">
        <f t="shared" si="350"/>
        <v>#VALUE!</v>
      </c>
      <c r="AZ3493" s="68" t="e">
        <f t="shared" si="351"/>
        <v>#VALUE!</v>
      </c>
      <c r="BA3493" s="68" t="e">
        <f t="shared" si="352"/>
        <v>#VALUE!</v>
      </c>
    </row>
    <row r="3494" spans="1:53" hidden="1">
      <c r="A3494" t="s">
        <v>3914</v>
      </c>
      <c r="G3494" t="s">
        <v>4917</v>
      </c>
      <c r="P3494" t="s">
        <v>4596</v>
      </c>
      <c r="R3494" t="s">
        <v>4888</v>
      </c>
      <c r="S3494" t="s">
        <v>1752</v>
      </c>
      <c r="V3494" t="s">
        <v>4598</v>
      </c>
      <c r="Z3494">
        <v>24</v>
      </c>
      <c r="AA3494">
        <v>24</v>
      </c>
      <c r="AC3494">
        <v>539</v>
      </c>
      <c r="AD3494" s="54">
        <v>18</v>
      </c>
      <c r="AE3494">
        <v>486</v>
      </c>
      <c r="AF3494" s="54">
        <v>22</v>
      </c>
      <c r="AJ3494" t="s">
        <v>4919</v>
      </c>
      <c r="AK3494" t="s">
        <v>4849</v>
      </c>
      <c r="AN3494">
        <v>2.69</v>
      </c>
      <c r="AO3494" s="63" t="s">
        <v>4970</v>
      </c>
      <c r="AP3494">
        <v>14.06</v>
      </c>
      <c r="AQ3494" s="63" t="s">
        <v>4970</v>
      </c>
      <c r="AU3494" s="57" t="s">
        <v>4907</v>
      </c>
      <c r="AW3494" s="28" t="e">
        <f t="shared" si="348"/>
        <v>#VALUE!</v>
      </c>
      <c r="AX3494">
        <f t="shared" si="349"/>
        <v>0.98360655737704916</v>
      </c>
      <c r="AY3494" s="62" t="e">
        <f t="shared" si="350"/>
        <v>#VALUE!</v>
      </c>
      <c r="AZ3494" s="68" t="e">
        <f t="shared" si="351"/>
        <v>#VALUE!</v>
      </c>
      <c r="BA3494" s="68" t="e">
        <f t="shared" si="352"/>
        <v>#VALUE!</v>
      </c>
    </row>
    <row r="3495" spans="1:53" hidden="1">
      <c r="A3495" t="s">
        <v>3914</v>
      </c>
      <c r="G3495" t="s">
        <v>4917</v>
      </c>
      <c r="P3495" t="s">
        <v>4596</v>
      </c>
      <c r="R3495" t="s">
        <v>4888</v>
      </c>
      <c r="S3495" t="s">
        <v>1752</v>
      </c>
      <c r="V3495" t="s">
        <v>4627</v>
      </c>
      <c r="Z3495">
        <v>24</v>
      </c>
      <c r="AA3495">
        <v>24</v>
      </c>
      <c r="AC3495">
        <v>539</v>
      </c>
      <c r="AD3495" s="54">
        <v>18</v>
      </c>
      <c r="AE3495">
        <v>3828</v>
      </c>
      <c r="AF3495" s="54">
        <v>22</v>
      </c>
      <c r="AJ3495" t="s">
        <v>50</v>
      </c>
      <c r="AK3495" t="s">
        <v>4849</v>
      </c>
      <c r="AN3495">
        <v>2.69</v>
      </c>
      <c r="AO3495" s="63" t="s">
        <v>4970</v>
      </c>
      <c r="AP3495">
        <v>19.79</v>
      </c>
      <c r="AQ3495" s="63" t="s">
        <v>4970</v>
      </c>
      <c r="AU3495" s="57" t="s">
        <v>4907</v>
      </c>
      <c r="AW3495" s="28" t="e">
        <f t="shared" si="348"/>
        <v>#VALUE!</v>
      </c>
      <c r="AX3495">
        <f t="shared" si="349"/>
        <v>0.98360655737704916</v>
      </c>
      <c r="AY3495" s="62" t="e">
        <f t="shared" si="350"/>
        <v>#VALUE!</v>
      </c>
      <c r="AZ3495" s="68" t="e">
        <f t="shared" si="351"/>
        <v>#VALUE!</v>
      </c>
      <c r="BA3495" s="68" t="e">
        <f t="shared" si="352"/>
        <v>#VALUE!</v>
      </c>
    </row>
    <row r="3496" spans="1:53" hidden="1">
      <c r="A3496" t="s">
        <v>3914</v>
      </c>
      <c r="G3496" t="s">
        <v>4303</v>
      </c>
      <c r="P3496" t="s">
        <v>60</v>
      </c>
      <c r="R3496" t="s">
        <v>4286</v>
      </c>
      <c r="S3496" t="s">
        <v>1646</v>
      </c>
      <c r="V3496" t="s">
        <v>3956</v>
      </c>
      <c r="Z3496">
        <v>5</v>
      </c>
      <c r="AA3496">
        <v>5</v>
      </c>
      <c r="AC3496">
        <v>433.8</v>
      </c>
      <c r="AD3496">
        <v>24</v>
      </c>
      <c r="AE3496">
        <v>1021.8</v>
      </c>
      <c r="AF3496">
        <v>24</v>
      </c>
      <c r="AJ3496" t="s">
        <v>4218</v>
      </c>
      <c r="AK3496" t="s">
        <v>4244</v>
      </c>
      <c r="AN3496">
        <v>288</v>
      </c>
      <c r="AO3496">
        <v>2.2360679774997898</v>
      </c>
      <c r="AP3496">
        <v>282</v>
      </c>
      <c r="AQ3496">
        <v>2.2360679774997898</v>
      </c>
      <c r="AW3496" s="28">
        <f t="shared" si="348"/>
        <v>-2.6832815729997477</v>
      </c>
      <c r="AX3496">
        <f t="shared" si="349"/>
        <v>0.90322580645161288</v>
      </c>
      <c r="AY3496" s="69">
        <f t="shared" si="350"/>
        <v>-2.4236091627094494</v>
      </c>
      <c r="AZ3496" s="68" t="str">
        <f t="shared" si="351"/>
        <v>No</v>
      </c>
      <c r="BA3496" s="68" t="str">
        <f t="shared" si="352"/>
        <v>No</v>
      </c>
    </row>
    <row r="3497" spans="1:53" hidden="1">
      <c r="A3497" t="s">
        <v>3914</v>
      </c>
      <c r="G3497" t="s">
        <v>4303</v>
      </c>
      <c r="P3497" t="s">
        <v>60</v>
      </c>
      <c r="R3497" t="s">
        <v>4286</v>
      </c>
      <c r="S3497" t="s">
        <v>1646</v>
      </c>
      <c r="V3497" t="s">
        <v>3956</v>
      </c>
      <c r="Z3497">
        <v>5</v>
      </c>
      <c r="AA3497">
        <v>5</v>
      </c>
      <c r="AC3497">
        <v>433.8</v>
      </c>
      <c r="AD3497">
        <v>24</v>
      </c>
      <c r="AE3497">
        <v>1345.6</v>
      </c>
      <c r="AF3497">
        <v>24</v>
      </c>
      <c r="AJ3497" t="s">
        <v>4305</v>
      </c>
      <c r="AK3497" t="s">
        <v>4151</v>
      </c>
      <c r="AN3497">
        <v>68</v>
      </c>
      <c r="AO3497">
        <v>27.495454169735041</v>
      </c>
      <c r="AP3497">
        <v>30</v>
      </c>
      <c r="AQ3497">
        <v>26</v>
      </c>
      <c r="AW3497" s="28">
        <f t="shared" si="348"/>
        <v>-1.4201266762286782</v>
      </c>
      <c r="AX3497">
        <f t="shared" si="349"/>
        <v>0.90322580645161288</v>
      </c>
      <c r="AY3497" s="69">
        <f t="shared" si="350"/>
        <v>-1.2826950624000963</v>
      </c>
      <c r="AZ3497" s="68" t="str">
        <f t="shared" si="351"/>
        <v>No</v>
      </c>
      <c r="BA3497" s="68" t="str">
        <f t="shared" si="352"/>
        <v>No</v>
      </c>
    </row>
    <row r="3498" spans="1:53" hidden="1">
      <c r="A3498" t="s">
        <v>3914</v>
      </c>
      <c r="G3498" t="s">
        <v>4303</v>
      </c>
      <c r="P3498" t="s">
        <v>60</v>
      </c>
      <c r="R3498" t="s">
        <v>4286</v>
      </c>
      <c r="S3498" t="s">
        <v>1646</v>
      </c>
      <c r="V3498" t="s">
        <v>3956</v>
      </c>
      <c r="Z3498">
        <v>5</v>
      </c>
      <c r="AA3498">
        <v>5</v>
      </c>
      <c r="AC3498">
        <v>433.8</v>
      </c>
      <c r="AD3498">
        <v>24</v>
      </c>
      <c r="AE3498">
        <v>1345.6</v>
      </c>
      <c r="AF3498">
        <v>24</v>
      </c>
      <c r="AJ3498" t="s">
        <v>4218</v>
      </c>
      <c r="AK3498" t="s">
        <v>4244</v>
      </c>
      <c r="AN3498">
        <v>288</v>
      </c>
      <c r="AO3498">
        <v>2.2360679774997898</v>
      </c>
      <c r="AP3498">
        <v>253</v>
      </c>
      <c r="AQ3498">
        <v>29.068883707497267</v>
      </c>
      <c r="AW3498" s="28">
        <f t="shared" si="348"/>
        <v>-1.6977493752543307</v>
      </c>
      <c r="AX3498">
        <f t="shared" si="349"/>
        <v>0.90322580645161288</v>
      </c>
      <c r="AY3498" s="69">
        <f t="shared" si="350"/>
        <v>-1.5334510486168147</v>
      </c>
      <c r="AZ3498" s="68" t="str">
        <f t="shared" si="351"/>
        <v>No</v>
      </c>
      <c r="BA3498" s="68" t="str">
        <f t="shared" si="352"/>
        <v>No</v>
      </c>
    </row>
    <row r="3499" spans="1:53" hidden="1">
      <c r="A3499" t="s">
        <v>3914</v>
      </c>
      <c r="G3499" t="s">
        <v>4303</v>
      </c>
      <c r="P3499" t="s">
        <v>60</v>
      </c>
      <c r="R3499" t="s">
        <v>4286</v>
      </c>
      <c r="S3499" t="s">
        <v>1646</v>
      </c>
      <c r="V3499" t="s">
        <v>3956</v>
      </c>
      <c r="Z3499">
        <v>5</v>
      </c>
      <c r="AA3499">
        <v>5</v>
      </c>
      <c r="AC3499">
        <v>433.8</v>
      </c>
      <c r="AD3499">
        <v>24</v>
      </c>
      <c r="AE3499">
        <v>1021.8</v>
      </c>
      <c r="AF3499">
        <v>24</v>
      </c>
      <c r="AJ3499" t="s">
        <v>4305</v>
      </c>
      <c r="AK3499" t="s">
        <v>4151</v>
      </c>
      <c r="AN3499">
        <v>68</v>
      </c>
      <c r="AO3499">
        <v>27.495454169735041</v>
      </c>
      <c r="AP3499">
        <v>45.666666666666664</v>
      </c>
      <c r="AQ3499">
        <v>43.523939772650792</v>
      </c>
      <c r="AW3499" s="28">
        <f t="shared" si="348"/>
        <v>-0.6135052682804415</v>
      </c>
      <c r="AX3499">
        <f t="shared" si="349"/>
        <v>0.90322580645161288</v>
      </c>
      <c r="AY3499" s="69">
        <f t="shared" si="350"/>
        <v>-0.55413379070491486</v>
      </c>
      <c r="AZ3499" s="68" t="str">
        <f t="shared" si="351"/>
        <v>No</v>
      </c>
      <c r="BA3499" s="68" t="str">
        <f t="shared" si="352"/>
        <v>No</v>
      </c>
    </row>
    <row r="3500" spans="1:53" hidden="1">
      <c r="A3500" t="s">
        <v>3914</v>
      </c>
      <c r="G3500" t="s">
        <v>4306</v>
      </c>
      <c r="P3500" t="s">
        <v>60</v>
      </c>
      <c r="R3500" t="s">
        <v>4286</v>
      </c>
      <c r="S3500" t="s">
        <v>4307</v>
      </c>
      <c r="V3500" t="s">
        <v>3956</v>
      </c>
      <c r="Z3500">
        <v>3</v>
      </c>
      <c r="AA3500">
        <v>3</v>
      </c>
      <c r="AC3500">
        <v>430.5</v>
      </c>
      <c r="AD3500">
        <v>20.100000000000001</v>
      </c>
      <c r="AE3500">
        <v>721.3</v>
      </c>
      <c r="AF3500">
        <v>20.5</v>
      </c>
      <c r="AJ3500" t="s">
        <v>4065</v>
      </c>
      <c r="AK3500" t="s">
        <v>4258</v>
      </c>
      <c r="AN3500">
        <v>99.7</v>
      </c>
      <c r="AO3500">
        <v>0.51961524227066314</v>
      </c>
      <c r="AP3500">
        <v>99.5</v>
      </c>
      <c r="AQ3500">
        <v>0.51961524227066314</v>
      </c>
      <c r="AW3500" s="28">
        <f t="shared" si="348"/>
        <v>-0.38490017945975602</v>
      </c>
      <c r="AX3500">
        <f t="shared" si="349"/>
        <v>0.8</v>
      </c>
      <c r="AY3500" s="62">
        <f t="shared" si="350"/>
        <v>-0.30792014356780484</v>
      </c>
      <c r="AZ3500" s="68" t="str">
        <f t="shared" si="351"/>
        <v>No</v>
      </c>
      <c r="BA3500" s="68" t="str">
        <f t="shared" si="352"/>
        <v>No</v>
      </c>
    </row>
    <row r="3501" spans="1:53" hidden="1">
      <c r="A3501" t="s">
        <v>3914</v>
      </c>
      <c r="G3501" t="s">
        <v>4991</v>
      </c>
      <c r="P3501" t="s">
        <v>60</v>
      </c>
      <c r="R3501" t="s">
        <v>4286</v>
      </c>
      <c r="S3501" t="s">
        <v>4307</v>
      </c>
      <c r="V3501" t="s">
        <v>3956</v>
      </c>
      <c r="Z3501">
        <v>3</v>
      </c>
      <c r="AA3501">
        <v>3</v>
      </c>
      <c r="AC3501">
        <v>430.5</v>
      </c>
      <c r="AD3501">
        <v>20.100000000000001</v>
      </c>
      <c r="AE3501">
        <v>1175.3</v>
      </c>
      <c r="AF3501">
        <v>20.5</v>
      </c>
      <c r="AJ3501" t="s">
        <v>4065</v>
      </c>
      <c r="AK3501" t="s">
        <v>4258</v>
      </c>
      <c r="AN3501">
        <v>99.7</v>
      </c>
      <c r="AO3501">
        <v>0.51961524227066314</v>
      </c>
      <c r="AP3501">
        <v>99.35</v>
      </c>
      <c r="AQ3501">
        <v>0.51961524227066314</v>
      </c>
      <c r="AW3501" s="28">
        <f t="shared" si="348"/>
        <v>-0.67357531405457982</v>
      </c>
      <c r="AX3501">
        <f t="shared" si="349"/>
        <v>0.8</v>
      </c>
      <c r="AY3501" s="62">
        <f t="shared" si="350"/>
        <v>-0.53886025124366388</v>
      </c>
      <c r="AZ3501" s="68" t="str">
        <f t="shared" si="351"/>
        <v>No</v>
      </c>
      <c r="BA3501" s="68" t="str">
        <f t="shared" si="352"/>
        <v>No</v>
      </c>
    </row>
    <row r="3502" spans="1:53" hidden="1">
      <c r="A3502" t="s">
        <v>3914</v>
      </c>
      <c r="G3502" t="s">
        <v>4306</v>
      </c>
      <c r="P3502" t="s">
        <v>60</v>
      </c>
      <c r="R3502" t="s">
        <v>4286</v>
      </c>
      <c r="S3502" t="s">
        <v>4307</v>
      </c>
      <c r="V3502" t="s">
        <v>3956</v>
      </c>
      <c r="Z3502">
        <v>3</v>
      </c>
      <c r="AA3502">
        <v>3</v>
      </c>
      <c r="AC3502">
        <v>430.5</v>
      </c>
      <c r="AD3502">
        <v>20</v>
      </c>
      <c r="AE3502">
        <v>721.3</v>
      </c>
      <c r="AF3502">
        <v>20</v>
      </c>
      <c r="AJ3502" t="s">
        <v>4309</v>
      </c>
      <c r="AK3502" t="s">
        <v>4151</v>
      </c>
      <c r="AN3502">
        <v>1</v>
      </c>
      <c r="AO3502">
        <v>0.17320508075688773</v>
      </c>
      <c r="AP3502">
        <v>6</v>
      </c>
      <c r="AQ3502">
        <v>2.598076211353316</v>
      </c>
      <c r="AW3502" s="28">
        <f t="shared" si="348"/>
        <v>2.7156272329678419</v>
      </c>
      <c r="AX3502">
        <f t="shared" si="349"/>
        <v>0.8</v>
      </c>
      <c r="AY3502" s="69">
        <f t="shared" si="350"/>
        <v>2.1725017863742737</v>
      </c>
      <c r="AZ3502" s="68" t="str">
        <f t="shared" si="351"/>
        <v>No</v>
      </c>
      <c r="BA3502" s="68" t="str">
        <f t="shared" si="352"/>
        <v>No</v>
      </c>
    </row>
    <row r="3503" spans="1:53" hidden="1">
      <c r="A3503" t="s">
        <v>3914</v>
      </c>
      <c r="G3503" t="s">
        <v>4306</v>
      </c>
      <c r="P3503" t="s">
        <v>60</v>
      </c>
      <c r="R3503" t="s">
        <v>4286</v>
      </c>
      <c r="S3503" t="s">
        <v>4307</v>
      </c>
      <c r="V3503" t="s">
        <v>3956</v>
      </c>
      <c r="Z3503">
        <v>3</v>
      </c>
      <c r="AA3503">
        <v>3</v>
      </c>
      <c r="AC3503">
        <v>430.5</v>
      </c>
      <c r="AD3503">
        <v>20</v>
      </c>
      <c r="AE3503">
        <v>1175.3</v>
      </c>
      <c r="AF3503">
        <v>20</v>
      </c>
      <c r="AJ3503" t="s">
        <v>4309</v>
      </c>
      <c r="AK3503" t="s">
        <v>4151</v>
      </c>
      <c r="AN3503">
        <v>1</v>
      </c>
      <c r="AO3503">
        <v>0.17320508075688773</v>
      </c>
      <c r="AP3503">
        <v>20</v>
      </c>
      <c r="AQ3503">
        <v>8.6602540378443855</v>
      </c>
      <c r="AW3503" s="28">
        <f t="shared" si="348"/>
        <v>3.1020666562230423</v>
      </c>
      <c r="AX3503">
        <f t="shared" si="349"/>
        <v>0.8</v>
      </c>
      <c r="AY3503" s="69">
        <f t="shared" si="350"/>
        <v>2.481653324978434</v>
      </c>
      <c r="AZ3503" s="68" t="str">
        <f t="shared" si="351"/>
        <v>No</v>
      </c>
      <c r="BA3503" s="68" t="str">
        <f t="shared" si="352"/>
        <v>No</v>
      </c>
    </row>
    <row r="3504" spans="1:53" hidden="1">
      <c r="A3504" t="s">
        <v>3914</v>
      </c>
      <c r="G3504" t="s">
        <v>4805</v>
      </c>
      <c r="P3504" t="s">
        <v>4596</v>
      </c>
      <c r="R3504" t="s">
        <v>4806</v>
      </c>
      <c r="S3504" t="s">
        <v>4807</v>
      </c>
      <c r="V3504" t="s">
        <v>4626</v>
      </c>
      <c r="Z3504">
        <v>3</v>
      </c>
      <c r="AA3504">
        <v>3</v>
      </c>
      <c r="AC3504">
        <v>424</v>
      </c>
      <c r="AD3504" s="55">
        <v>26</v>
      </c>
      <c r="AE3504">
        <v>617</v>
      </c>
      <c r="AF3504" s="55">
        <v>28</v>
      </c>
      <c r="AJ3504" t="s">
        <v>4815</v>
      </c>
      <c r="AK3504" t="s">
        <v>4642</v>
      </c>
      <c r="AN3504">
        <v>0.56999999999999995</v>
      </c>
      <c r="AO3504">
        <f>0.17*SQRT(3)</f>
        <v>0.29444863728670917</v>
      </c>
      <c r="AP3504">
        <v>0.7</v>
      </c>
      <c r="AQ3504">
        <f>0.01*SQRT(3)</f>
        <v>1.7320508075688773E-2</v>
      </c>
      <c r="AU3504" t="s">
        <v>4816</v>
      </c>
      <c r="AW3504" s="28">
        <f t="shared" si="348"/>
        <v>0.6233022919309994</v>
      </c>
      <c r="AX3504">
        <f t="shared" si="349"/>
        <v>0.8</v>
      </c>
      <c r="AY3504" s="69">
        <f t="shared" si="350"/>
        <v>0.49864183354479952</v>
      </c>
      <c r="AZ3504" s="68" t="str">
        <f t="shared" si="351"/>
        <v>No</v>
      </c>
      <c r="BA3504" s="68" t="str">
        <f t="shared" si="352"/>
        <v>No</v>
      </c>
    </row>
    <row r="3505" spans="1:55" hidden="1">
      <c r="A3505" t="s">
        <v>3914</v>
      </c>
      <c r="G3505" t="s">
        <v>4805</v>
      </c>
      <c r="P3505" t="s">
        <v>4596</v>
      </c>
      <c r="R3505" t="s">
        <v>4806</v>
      </c>
      <c r="S3505" t="s">
        <v>4807</v>
      </c>
      <c r="V3505" t="s">
        <v>4627</v>
      </c>
      <c r="Z3505">
        <v>3</v>
      </c>
      <c r="AA3505">
        <v>3</v>
      </c>
      <c r="AC3505">
        <v>424</v>
      </c>
      <c r="AD3505" s="55">
        <v>26</v>
      </c>
      <c r="AE3505">
        <v>1129.97</v>
      </c>
      <c r="AF3505" s="55">
        <v>28</v>
      </c>
      <c r="AJ3505" t="s">
        <v>4815</v>
      </c>
      <c r="AK3505" t="s">
        <v>4642</v>
      </c>
      <c r="AN3505">
        <v>0.56999999999999995</v>
      </c>
      <c r="AO3505">
        <f>0.17*SQRT(3)</f>
        <v>0.29444863728670917</v>
      </c>
      <c r="AP3505">
        <v>0.42</v>
      </c>
      <c r="AQ3505">
        <f>0.02*SQRT(3)</f>
        <v>3.4641016151377546E-2</v>
      </c>
      <c r="AU3505" t="s">
        <v>4816</v>
      </c>
      <c r="AW3505" s="28">
        <f t="shared" si="348"/>
        <v>-0.71550359362582328</v>
      </c>
      <c r="AX3505">
        <f t="shared" si="349"/>
        <v>0.8</v>
      </c>
      <c r="AY3505" s="69">
        <f t="shared" si="350"/>
        <v>-0.57240287490065866</v>
      </c>
      <c r="AZ3505" s="68" t="str">
        <f t="shared" si="351"/>
        <v>No</v>
      </c>
      <c r="BA3505" s="68" t="str">
        <f t="shared" si="352"/>
        <v>No</v>
      </c>
    </row>
    <row r="3506" spans="1:55" hidden="1">
      <c r="A3506" t="s">
        <v>3914</v>
      </c>
      <c r="G3506" t="s">
        <v>4805</v>
      </c>
      <c r="P3506" t="s">
        <v>4596</v>
      </c>
      <c r="R3506" t="s">
        <v>4806</v>
      </c>
      <c r="S3506" t="s">
        <v>4807</v>
      </c>
      <c r="V3506" t="s">
        <v>4598</v>
      </c>
      <c r="Z3506">
        <v>3</v>
      </c>
      <c r="AA3506">
        <v>3</v>
      </c>
      <c r="AC3506">
        <v>424</v>
      </c>
      <c r="AD3506" s="55">
        <v>26</v>
      </c>
      <c r="AE3506">
        <v>554</v>
      </c>
      <c r="AF3506" s="55">
        <v>28</v>
      </c>
      <c r="AJ3506" t="s">
        <v>4814</v>
      </c>
      <c r="AK3506" t="s">
        <v>4642</v>
      </c>
      <c r="AN3506">
        <v>0.56999999999999995</v>
      </c>
      <c r="AO3506">
        <f>0.17*SQRT(3)</f>
        <v>0.29444863728670917</v>
      </c>
      <c r="AP3506">
        <v>0.59</v>
      </c>
      <c r="AQ3506">
        <f>0.03*SQRT(3)</f>
        <v>5.1961524227066312E-2</v>
      </c>
      <c r="AU3506" t="s">
        <v>4816</v>
      </c>
      <c r="AW3506" s="28">
        <f t="shared" si="348"/>
        <v>9.459675396808051E-2</v>
      </c>
      <c r="AX3506">
        <f t="shared" si="349"/>
        <v>0.8</v>
      </c>
      <c r="AY3506" s="69">
        <f t="shared" si="350"/>
        <v>7.5677403174464419E-2</v>
      </c>
      <c r="AZ3506" s="68" t="str">
        <f t="shared" si="351"/>
        <v>No</v>
      </c>
      <c r="BA3506" s="68" t="str">
        <f t="shared" si="352"/>
        <v>No</v>
      </c>
    </row>
    <row r="3507" spans="1:55" hidden="1">
      <c r="A3507" t="s">
        <v>3914</v>
      </c>
      <c r="G3507" t="s">
        <v>4805</v>
      </c>
      <c r="P3507" t="s">
        <v>4596</v>
      </c>
      <c r="R3507" t="s">
        <v>4806</v>
      </c>
      <c r="S3507" t="s">
        <v>4807</v>
      </c>
      <c r="V3507" t="s">
        <v>4626</v>
      </c>
      <c r="Z3507">
        <v>3</v>
      </c>
      <c r="AA3507">
        <v>3</v>
      </c>
      <c r="AC3507">
        <v>424</v>
      </c>
      <c r="AD3507" s="55">
        <v>26</v>
      </c>
      <c r="AE3507">
        <v>617</v>
      </c>
      <c r="AF3507" s="55">
        <v>28</v>
      </c>
      <c r="AJ3507" t="s">
        <v>4813</v>
      </c>
      <c r="AK3507" t="s">
        <v>4642</v>
      </c>
      <c r="AN3507">
        <v>4.5</v>
      </c>
      <c r="AO3507">
        <f>0.4*SQRT(3)</f>
        <v>0.69282032302755092</v>
      </c>
      <c r="AP3507">
        <v>8.75</v>
      </c>
      <c r="AQ3507">
        <f>0.5*SQRT(3)</f>
        <v>0.8660254037844386</v>
      </c>
      <c r="AU3507" t="s">
        <v>4816</v>
      </c>
      <c r="AW3507" s="28">
        <f t="shared" si="348"/>
        <v>5.4194020610383751</v>
      </c>
      <c r="AX3507">
        <f t="shared" si="349"/>
        <v>0.8</v>
      </c>
      <c r="AY3507" s="69">
        <f t="shared" si="350"/>
        <v>4.3355216488307002</v>
      </c>
      <c r="AZ3507" s="68" t="str">
        <f t="shared" si="351"/>
        <v>No</v>
      </c>
      <c r="BA3507" s="68" t="str">
        <f t="shared" si="352"/>
        <v>No</v>
      </c>
    </row>
    <row r="3508" spans="1:55" hidden="1">
      <c r="A3508" t="s">
        <v>3914</v>
      </c>
      <c r="G3508" t="s">
        <v>4805</v>
      </c>
      <c r="P3508" t="s">
        <v>4596</v>
      </c>
      <c r="R3508" t="s">
        <v>4806</v>
      </c>
      <c r="S3508" t="s">
        <v>4807</v>
      </c>
      <c r="V3508" t="s">
        <v>4627</v>
      </c>
      <c r="Z3508">
        <v>3</v>
      </c>
      <c r="AA3508">
        <v>3</v>
      </c>
      <c r="AC3508">
        <v>424</v>
      </c>
      <c r="AD3508" s="55">
        <v>26</v>
      </c>
      <c r="AE3508">
        <v>1129.97</v>
      </c>
      <c r="AF3508" s="55">
        <v>28</v>
      </c>
      <c r="AJ3508" t="s">
        <v>4813</v>
      </c>
      <c r="AK3508" t="s">
        <v>4642</v>
      </c>
      <c r="AN3508">
        <v>4.5</v>
      </c>
      <c r="AO3508">
        <f>0.4*SQRT(3)</f>
        <v>0.69282032302755092</v>
      </c>
      <c r="AP3508">
        <v>6.95</v>
      </c>
      <c r="AQ3508">
        <f>0.55*SQRT(3)</f>
        <v>0.95262794416288255</v>
      </c>
      <c r="AU3508" t="s">
        <v>4816</v>
      </c>
      <c r="AW3508" s="28">
        <f t="shared" si="348"/>
        <v>2.9414711034195546</v>
      </c>
      <c r="AX3508">
        <f t="shared" si="349"/>
        <v>0.8</v>
      </c>
      <c r="AY3508" s="69">
        <f t="shared" si="350"/>
        <v>2.3531768827356436</v>
      </c>
      <c r="AZ3508" s="68" t="str">
        <f t="shared" si="351"/>
        <v>No</v>
      </c>
      <c r="BA3508" s="68" t="str">
        <f t="shared" si="352"/>
        <v>No</v>
      </c>
    </row>
    <row r="3509" spans="1:55" hidden="1">
      <c r="A3509" t="s">
        <v>3914</v>
      </c>
      <c r="G3509" t="s">
        <v>4805</v>
      </c>
      <c r="P3509" t="s">
        <v>4596</v>
      </c>
      <c r="R3509" t="s">
        <v>4806</v>
      </c>
      <c r="S3509" t="s">
        <v>4807</v>
      </c>
      <c r="V3509" t="s">
        <v>4598</v>
      </c>
      <c r="Z3509">
        <v>3</v>
      </c>
      <c r="AA3509">
        <v>3</v>
      </c>
      <c r="AC3509">
        <v>424</v>
      </c>
      <c r="AD3509" s="55">
        <v>26</v>
      </c>
      <c r="AE3509">
        <v>554</v>
      </c>
      <c r="AF3509" s="55">
        <v>28</v>
      </c>
      <c r="AJ3509" t="s">
        <v>4812</v>
      </c>
      <c r="AK3509" t="s">
        <v>4642</v>
      </c>
      <c r="AN3509">
        <v>4.5</v>
      </c>
      <c r="AO3509">
        <f>0.4*SQRT(3)</f>
        <v>0.69282032302755092</v>
      </c>
      <c r="AP3509">
        <v>7.6</v>
      </c>
      <c r="AQ3509">
        <f>0.9*SQRT(3)</f>
        <v>1.5588457268119895</v>
      </c>
      <c r="AU3509" t="s">
        <v>4816</v>
      </c>
      <c r="AW3509" s="28">
        <f t="shared" si="348"/>
        <v>2.5699826840980022</v>
      </c>
      <c r="AX3509">
        <f t="shared" si="349"/>
        <v>0.8</v>
      </c>
      <c r="AY3509" s="69">
        <f t="shared" si="350"/>
        <v>2.0559861472784018</v>
      </c>
      <c r="AZ3509" s="68" t="str">
        <f t="shared" si="351"/>
        <v>No</v>
      </c>
      <c r="BA3509" s="68" t="str">
        <f t="shared" si="352"/>
        <v>No</v>
      </c>
    </row>
    <row r="3510" spans="1:55" hidden="1">
      <c r="A3510" t="s">
        <v>3914</v>
      </c>
      <c r="G3510" t="s">
        <v>4805</v>
      </c>
      <c r="P3510" t="s">
        <v>4596</v>
      </c>
      <c r="R3510" t="s">
        <v>4806</v>
      </c>
      <c r="S3510" t="s">
        <v>4807</v>
      </c>
      <c r="V3510" t="s">
        <v>4598</v>
      </c>
      <c r="Z3510">
        <v>6</v>
      </c>
      <c r="AA3510">
        <v>6</v>
      </c>
      <c r="AC3510">
        <v>424</v>
      </c>
      <c r="AD3510" s="55">
        <v>26</v>
      </c>
      <c r="AE3510">
        <v>554</v>
      </c>
      <c r="AF3510" s="55">
        <v>28</v>
      </c>
      <c r="AJ3510" t="s">
        <v>4808</v>
      </c>
      <c r="AK3510" t="s">
        <v>4041</v>
      </c>
      <c r="AN3510">
        <v>90</v>
      </c>
      <c r="AO3510">
        <f>2*SQRT(6)</f>
        <v>4.8989794855663558</v>
      </c>
      <c r="AP3510">
        <v>92</v>
      </c>
      <c r="AQ3510">
        <f>1*SQRT(6)</f>
        <v>2.4494897427831779</v>
      </c>
      <c r="AU3510" t="s">
        <v>4816</v>
      </c>
      <c r="AW3510" s="28">
        <f t="shared" si="348"/>
        <v>0.51639777949432231</v>
      </c>
      <c r="AX3510">
        <f t="shared" si="349"/>
        <v>0.92307692307692313</v>
      </c>
      <c r="AY3510" s="62">
        <f t="shared" si="350"/>
        <v>0.47667487337937448</v>
      </c>
      <c r="AZ3510" s="68" t="str">
        <f t="shared" si="351"/>
        <v>No</v>
      </c>
      <c r="BA3510" s="68" t="str">
        <f t="shared" si="352"/>
        <v>No</v>
      </c>
    </row>
    <row r="3511" spans="1:55" s="56" customFormat="1" ht="15" hidden="1">
      <c r="A3511" t="s">
        <v>3914</v>
      </c>
      <c r="B3511"/>
      <c r="C3511"/>
      <c r="D3511" s="25"/>
      <c r="E3511" s="25"/>
      <c r="F3511"/>
      <c r="G3511" t="s">
        <v>4805</v>
      </c>
      <c r="H3511"/>
      <c r="I3511"/>
      <c r="J3511"/>
      <c r="K3511"/>
      <c r="L3511"/>
      <c r="M3511" s="25"/>
      <c r="N3511"/>
      <c r="O3511"/>
      <c r="P3511" t="s">
        <v>4596</v>
      </c>
      <c r="Q3511"/>
      <c r="R3511" t="s">
        <v>4806</v>
      </c>
      <c r="S3511" t="s">
        <v>4807</v>
      </c>
      <c r="T3511"/>
      <c r="U3511"/>
      <c r="V3511" t="s">
        <v>4598</v>
      </c>
      <c r="W3511" s="25"/>
      <c r="X3511"/>
      <c r="Y3511"/>
      <c r="Z3511">
        <v>3</v>
      </c>
      <c r="AA3511">
        <v>3</v>
      </c>
      <c r="AB3511"/>
      <c r="AC3511">
        <v>424</v>
      </c>
      <c r="AD3511" s="55">
        <v>26</v>
      </c>
      <c r="AE3511">
        <v>554</v>
      </c>
      <c r="AF3511" s="55">
        <v>28</v>
      </c>
      <c r="AG3511"/>
      <c r="AH3511"/>
      <c r="AI3511"/>
      <c r="AJ3511" t="s">
        <v>4810</v>
      </c>
      <c r="AK3511" t="s">
        <v>4637</v>
      </c>
      <c r="AL3511" s="25"/>
      <c r="AM3511" s="35"/>
      <c r="AN3511">
        <v>12</v>
      </c>
      <c r="AO3511">
        <f>2*SQRT(3)</f>
        <v>3.4641016151377544</v>
      </c>
      <c r="AP3511">
        <v>7.5</v>
      </c>
      <c r="AQ3511">
        <f>2.5*SQRT(3)</f>
        <v>4.3301270189221928</v>
      </c>
      <c r="AR3511"/>
      <c r="AS3511"/>
      <c r="AT3511"/>
      <c r="AU3511" t="s">
        <v>4816</v>
      </c>
      <c r="AV3511"/>
      <c r="AW3511" s="28">
        <f t="shared" si="348"/>
        <v>-1.147638083514009</v>
      </c>
      <c r="AX3511">
        <f t="shared" si="349"/>
        <v>0.8</v>
      </c>
      <c r="AY3511" s="62">
        <f t="shared" si="350"/>
        <v>-0.91811046681120723</v>
      </c>
      <c r="AZ3511" s="68" t="str">
        <f t="shared" si="351"/>
        <v>No</v>
      </c>
      <c r="BA3511" s="68" t="str">
        <f t="shared" si="352"/>
        <v>No</v>
      </c>
      <c r="BB3511"/>
      <c r="BC3511"/>
    </row>
    <row r="3512" spans="1:55" hidden="1">
      <c r="A3512" t="s">
        <v>3914</v>
      </c>
      <c r="G3512" t="s">
        <v>4805</v>
      </c>
      <c r="P3512" t="s">
        <v>4596</v>
      </c>
      <c r="R3512" t="s">
        <v>4806</v>
      </c>
      <c r="S3512" t="s">
        <v>4807</v>
      </c>
      <c r="V3512" t="s">
        <v>4626</v>
      </c>
      <c r="Z3512">
        <v>3</v>
      </c>
      <c r="AA3512">
        <v>3</v>
      </c>
      <c r="AC3512">
        <v>424</v>
      </c>
      <c r="AD3512" s="55">
        <v>26</v>
      </c>
      <c r="AE3512">
        <v>617</v>
      </c>
      <c r="AF3512" s="55">
        <v>28</v>
      </c>
      <c r="AJ3512" t="s">
        <v>4811</v>
      </c>
      <c r="AK3512" t="s">
        <v>4637</v>
      </c>
      <c r="AN3512">
        <v>12</v>
      </c>
      <c r="AO3512">
        <f>2*SQRT(3)</f>
        <v>3.4641016151377544</v>
      </c>
      <c r="AP3512">
        <v>14</v>
      </c>
      <c r="AQ3512">
        <f>3.5*SQRT(3)</f>
        <v>6.0621778264910704</v>
      </c>
      <c r="AU3512" t="s">
        <v>4816</v>
      </c>
      <c r="AW3512" s="28">
        <f t="shared" si="348"/>
        <v>0.40509574683346666</v>
      </c>
      <c r="AX3512">
        <f t="shared" si="349"/>
        <v>0.8</v>
      </c>
      <c r="AY3512" s="62">
        <f t="shared" si="350"/>
        <v>0.32407659746677336</v>
      </c>
      <c r="AZ3512" s="68" t="str">
        <f t="shared" si="351"/>
        <v>No</v>
      </c>
      <c r="BA3512" s="68" t="str">
        <f t="shared" si="352"/>
        <v>No</v>
      </c>
    </row>
    <row r="3513" spans="1:55" hidden="1">
      <c r="A3513" t="s">
        <v>3914</v>
      </c>
      <c r="G3513" t="s">
        <v>4805</v>
      </c>
      <c r="P3513" t="s">
        <v>4596</v>
      </c>
      <c r="R3513" t="s">
        <v>4806</v>
      </c>
      <c r="S3513" t="s">
        <v>4807</v>
      </c>
      <c r="V3513" t="s">
        <v>4626</v>
      </c>
      <c r="Z3513">
        <v>6</v>
      </c>
      <c r="AA3513">
        <v>6</v>
      </c>
      <c r="AC3513">
        <v>424</v>
      </c>
      <c r="AD3513" s="55">
        <v>26</v>
      </c>
      <c r="AE3513">
        <v>617</v>
      </c>
      <c r="AF3513" s="55">
        <v>28</v>
      </c>
      <c r="AJ3513" t="s">
        <v>4809</v>
      </c>
      <c r="AK3513" t="s">
        <v>4041</v>
      </c>
      <c r="AN3513">
        <v>90</v>
      </c>
      <c r="AO3513">
        <f>2*SQRT(6)</f>
        <v>4.8989794855663558</v>
      </c>
      <c r="AP3513">
        <v>79</v>
      </c>
      <c r="AQ3513">
        <f>3*SQRT(6)</f>
        <v>7.3484692283495336</v>
      </c>
      <c r="AU3513" t="s">
        <v>4816</v>
      </c>
      <c r="AW3513" s="28">
        <f t="shared" si="348"/>
        <v>-1.7614096918559587</v>
      </c>
      <c r="AX3513">
        <f t="shared" si="349"/>
        <v>0.92307692307692313</v>
      </c>
      <c r="AY3513" s="62">
        <f t="shared" si="350"/>
        <v>-1.6259166386362698</v>
      </c>
      <c r="AZ3513" s="68" t="str">
        <f t="shared" si="351"/>
        <v>No</v>
      </c>
      <c r="BA3513" s="68" t="str">
        <f t="shared" si="352"/>
        <v>No</v>
      </c>
    </row>
    <row r="3514" spans="1:55" hidden="1">
      <c r="A3514" t="s">
        <v>3914</v>
      </c>
      <c r="G3514" t="s">
        <v>4805</v>
      </c>
      <c r="P3514" t="s">
        <v>4596</v>
      </c>
      <c r="R3514" t="s">
        <v>4806</v>
      </c>
      <c r="S3514" t="s">
        <v>4807</v>
      </c>
      <c r="V3514" t="s">
        <v>4627</v>
      </c>
      <c r="Z3514">
        <v>6</v>
      </c>
      <c r="AA3514">
        <v>6</v>
      </c>
      <c r="AC3514">
        <v>424</v>
      </c>
      <c r="AD3514" s="55">
        <v>26</v>
      </c>
      <c r="AE3514">
        <v>1129.97</v>
      </c>
      <c r="AF3514" s="55">
        <v>28</v>
      </c>
      <c r="AJ3514" t="s">
        <v>4809</v>
      </c>
      <c r="AK3514" t="s">
        <v>4041</v>
      </c>
      <c r="AN3514">
        <v>90</v>
      </c>
      <c r="AO3514">
        <f>2*SQRT(6)</f>
        <v>4.8989794855663558</v>
      </c>
      <c r="AP3514">
        <v>62</v>
      </c>
      <c r="AQ3514">
        <f>5*SQRT(6)</f>
        <v>12.24744871391589</v>
      </c>
      <c r="AU3514" t="s">
        <v>4816</v>
      </c>
      <c r="AW3514" s="28">
        <f t="shared" si="348"/>
        <v>-3.001915097545826</v>
      </c>
      <c r="AX3514">
        <f t="shared" si="349"/>
        <v>0.92307692307692313</v>
      </c>
      <c r="AY3514" s="62">
        <f t="shared" si="350"/>
        <v>-2.7709985515807625</v>
      </c>
      <c r="AZ3514" s="68" t="str">
        <f t="shared" si="351"/>
        <v>No</v>
      </c>
      <c r="BA3514" s="68" t="str">
        <f t="shared" si="352"/>
        <v>No</v>
      </c>
    </row>
    <row r="3515" spans="1:55" hidden="1">
      <c r="A3515" t="s">
        <v>3914</v>
      </c>
      <c r="G3515" t="s">
        <v>4805</v>
      </c>
      <c r="P3515" t="s">
        <v>4596</v>
      </c>
      <c r="R3515" t="s">
        <v>4806</v>
      </c>
      <c r="S3515" t="s">
        <v>4807</v>
      </c>
      <c r="V3515" t="s">
        <v>4627</v>
      </c>
      <c r="Z3515">
        <v>3</v>
      </c>
      <c r="AA3515">
        <v>3</v>
      </c>
      <c r="AC3515">
        <v>424</v>
      </c>
      <c r="AD3515" s="55">
        <v>26</v>
      </c>
      <c r="AE3515">
        <v>1129.97</v>
      </c>
      <c r="AF3515" s="55">
        <v>28</v>
      </c>
      <c r="AJ3515" t="s">
        <v>4811</v>
      </c>
      <c r="AK3515" t="s">
        <v>4637</v>
      </c>
      <c r="AN3515">
        <v>12</v>
      </c>
      <c r="AO3515">
        <f>2*SQRT(3)</f>
        <v>3.4641016151377544</v>
      </c>
      <c r="AP3515">
        <v>56</v>
      </c>
      <c r="AQ3515">
        <f>25*SQRT(3)</f>
        <v>43.301270189221931</v>
      </c>
      <c r="AU3515" t="s">
        <v>4816</v>
      </c>
      <c r="AW3515" s="28">
        <f t="shared" si="348"/>
        <v>1.4324574294646264</v>
      </c>
      <c r="AX3515">
        <f t="shared" si="349"/>
        <v>0.8</v>
      </c>
      <c r="AY3515" s="62">
        <f t="shared" si="350"/>
        <v>1.1459659435717011</v>
      </c>
      <c r="AZ3515" s="68" t="str">
        <f t="shared" si="351"/>
        <v>No</v>
      </c>
      <c r="BA3515" s="68" t="str">
        <f t="shared" si="352"/>
        <v>No</v>
      </c>
    </row>
    <row r="3516" spans="1:55" hidden="1">
      <c r="A3516" t="s">
        <v>3914</v>
      </c>
      <c r="G3516" t="s">
        <v>3925</v>
      </c>
      <c r="P3516" t="s">
        <v>60</v>
      </c>
      <c r="R3516" t="s">
        <v>3942</v>
      </c>
      <c r="S3516" t="s">
        <v>3949</v>
      </c>
      <c r="V3516" t="s">
        <v>3956</v>
      </c>
      <c r="Z3516">
        <v>2</v>
      </c>
      <c r="AA3516">
        <v>2</v>
      </c>
      <c r="AC3516">
        <v>254.6</v>
      </c>
      <c r="AD3516">
        <v>25</v>
      </c>
      <c r="AE3516">
        <v>364.1</v>
      </c>
      <c r="AF3516">
        <v>25</v>
      </c>
      <c r="AJ3516" t="s">
        <v>108</v>
      </c>
      <c r="AK3516" t="s">
        <v>904</v>
      </c>
      <c r="AN3516">
        <v>1.8</v>
      </c>
      <c r="AO3516">
        <v>0.56568542494923824</v>
      </c>
      <c r="AP3516">
        <v>1</v>
      </c>
      <c r="AQ3516">
        <v>0.4949747468305834</v>
      </c>
      <c r="AW3516" s="28">
        <f t="shared" si="348"/>
        <v>-1.5051533894137552</v>
      </c>
      <c r="AX3516">
        <f t="shared" si="349"/>
        <v>0.5714285714285714</v>
      </c>
      <c r="AY3516" s="62">
        <f t="shared" si="350"/>
        <v>-0.86008765109357432</v>
      </c>
      <c r="AZ3516" s="68" t="str">
        <f t="shared" si="351"/>
        <v>No</v>
      </c>
      <c r="BA3516" s="68" t="str">
        <f t="shared" si="352"/>
        <v>No</v>
      </c>
    </row>
    <row r="3517" spans="1:55" hidden="1">
      <c r="A3517" t="s">
        <v>3914</v>
      </c>
      <c r="G3517" t="s">
        <v>3925</v>
      </c>
      <c r="P3517" t="s">
        <v>60</v>
      </c>
      <c r="R3517" t="s">
        <v>3942</v>
      </c>
      <c r="S3517" t="s">
        <v>3949</v>
      </c>
      <c r="V3517" t="s">
        <v>3956</v>
      </c>
      <c r="Z3517">
        <v>2</v>
      </c>
      <c r="AA3517">
        <v>2</v>
      </c>
      <c r="AC3517">
        <v>845.7</v>
      </c>
      <c r="AD3517">
        <v>25</v>
      </c>
      <c r="AE3517">
        <v>1779.1</v>
      </c>
      <c r="AF3517">
        <v>25</v>
      </c>
      <c r="AJ3517" t="s">
        <v>108</v>
      </c>
      <c r="AK3517" t="s">
        <v>904</v>
      </c>
      <c r="AN3517">
        <v>1.8</v>
      </c>
      <c r="AO3517">
        <f>STDEV(2.2,1.4)</f>
        <v>0.56568542494923824</v>
      </c>
      <c r="AP3517">
        <v>1</v>
      </c>
      <c r="AQ3517">
        <f>STDEV(1.5,0.7)</f>
        <v>0.56568542494923746</v>
      </c>
      <c r="AW3517" s="28">
        <f t="shared" si="348"/>
        <v>-1.4142135623730956</v>
      </c>
      <c r="AX3517">
        <f t="shared" si="349"/>
        <v>0.5714285714285714</v>
      </c>
      <c r="AY3517" s="69">
        <f t="shared" si="350"/>
        <v>-0.80812203564176888</v>
      </c>
      <c r="AZ3517" s="68" t="str">
        <f t="shared" si="351"/>
        <v>No</v>
      </c>
      <c r="BA3517" s="68" t="str">
        <f t="shared" si="352"/>
        <v>No</v>
      </c>
    </row>
    <row r="3518" spans="1:55" hidden="1">
      <c r="A3518" t="s">
        <v>3914</v>
      </c>
      <c r="G3518" t="s">
        <v>3925</v>
      </c>
      <c r="P3518" t="s">
        <v>60</v>
      </c>
      <c r="R3518" t="s">
        <v>3942</v>
      </c>
      <c r="S3518" t="s">
        <v>3949</v>
      </c>
      <c r="V3518" t="s">
        <v>3956</v>
      </c>
      <c r="Z3518">
        <v>2</v>
      </c>
      <c r="AA3518">
        <v>2</v>
      </c>
      <c r="AC3518">
        <v>254.6</v>
      </c>
      <c r="AD3518">
        <v>25</v>
      </c>
      <c r="AE3518">
        <v>364.1</v>
      </c>
      <c r="AF3518">
        <v>25</v>
      </c>
      <c r="AJ3518" t="s">
        <v>3989</v>
      </c>
      <c r="AK3518" t="s">
        <v>904</v>
      </c>
      <c r="AN3518">
        <v>1.7</v>
      </c>
      <c r="AO3518">
        <f>STDEV(1.5,2)</f>
        <v>0.35355339059327379</v>
      </c>
      <c r="AP3518">
        <v>2.8</v>
      </c>
      <c r="AQ3518">
        <f>STDEV(2.3,3.3)</f>
        <v>0.70710678118654879</v>
      </c>
      <c r="AW3518" s="28">
        <f t="shared" si="348"/>
        <v>1.967739820199812</v>
      </c>
      <c r="AX3518">
        <f t="shared" si="349"/>
        <v>0.5714285714285714</v>
      </c>
      <c r="AY3518" s="69">
        <f t="shared" si="350"/>
        <v>1.1244227543998926</v>
      </c>
      <c r="AZ3518" s="68" t="str">
        <f t="shared" si="351"/>
        <v>No</v>
      </c>
      <c r="BA3518" s="68" t="str">
        <f t="shared" si="352"/>
        <v>No</v>
      </c>
    </row>
    <row r="3519" spans="1:55" hidden="1">
      <c r="A3519" t="s">
        <v>3914</v>
      </c>
      <c r="G3519" t="s">
        <v>3925</v>
      </c>
      <c r="P3519" t="s">
        <v>60</v>
      </c>
      <c r="R3519" t="s">
        <v>3942</v>
      </c>
      <c r="S3519" t="s">
        <v>3949</v>
      </c>
      <c r="V3519" t="s">
        <v>3956</v>
      </c>
      <c r="Z3519">
        <v>2</v>
      </c>
      <c r="AA3519">
        <v>2</v>
      </c>
      <c r="AC3519">
        <v>845.7</v>
      </c>
      <c r="AD3519">
        <v>25</v>
      </c>
      <c r="AE3519">
        <v>1779.1</v>
      </c>
      <c r="AF3519">
        <v>25</v>
      </c>
      <c r="AJ3519" t="s">
        <v>3989</v>
      </c>
      <c r="AK3519" t="s">
        <v>904</v>
      </c>
      <c r="AN3519">
        <v>1.7</v>
      </c>
      <c r="AO3519">
        <f>STDEV(1.5,2)</f>
        <v>0.35355339059327379</v>
      </c>
      <c r="AP3519">
        <v>3</v>
      </c>
      <c r="AQ3519">
        <f>STDEV(2.2,3.6)</f>
        <v>0.98994949366116491</v>
      </c>
      <c r="AW3519" s="28">
        <f t="shared" si="348"/>
        <v>1.748949264390415</v>
      </c>
      <c r="AX3519">
        <f t="shared" si="349"/>
        <v>0.5714285714285714</v>
      </c>
      <c r="AY3519" s="69">
        <f t="shared" si="350"/>
        <v>0.9993995796516657</v>
      </c>
      <c r="AZ3519" s="68" t="str">
        <f t="shared" si="351"/>
        <v>No</v>
      </c>
      <c r="BA3519" s="68" t="str">
        <f t="shared" si="352"/>
        <v>No</v>
      </c>
    </row>
    <row r="3520" spans="1:55" hidden="1">
      <c r="A3520" t="s">
        <v>3914</v>
      </c>
      <c r="G3520" s="50" t="s">
        <v>3925</v>
      </c>
      <c r="P3520" t="s">
        <v>60</v>
      </c>
      <c r="R3520" t="s">
        <v>3942</v>
      </c>
      <c r="S3520" t="s">
        <v>3949</v>
      </c>
      <c r="V3520" t="s">
        <v>3956</v>
      </c>
      <c r="Z3520">
        <v>6</v>
      </c>
      <c r="AA3520">
        <v>9</v>
      </c>
      <c r="AC3520">
        <v>845.7</v>
      </c>
      <c r="AD3520">
        <v>25</v>
      </c>
      <c r="AE3520">
        <v>1600</v>
      </c>
      <c r="AF3520">
        <v>25</v>
      </c>
      <c r="AJ3520" s="50" t="s">
        <v>3937</v>
      </c>
      <c r="AK3520" t="s">
        <v>904</v>
      </c>
      <c r="AN3520">
        <v>17.5</v>
      </c>
      <c r="AO3520">
        <v>10.8397416943394</v>
      </c>
      <c r="AP3520">
        <v>-21</v>
      </c>
      <c r="AQ3520">
        <v>18.110770276274835</v>
      </c>
      <c r="AW3520" s="28">
        <f t="shared" si="348"/>
        <v>-2.4495056328254594</v>
      </c>
      <c r="AX3520">
        <f t="shared" si="349"/>
        <v>0.94117647058823528</v>
      </c>
      <c r="AY3520" s="62">
        <f t="shared" si="350"/>
        <v>-2.3054170661886677</v>
      </c>
      <c r="AZ3520" s="68" t="str">
        <f t="shared" si="351"/>
        <v>No</v>
      </c>
      <c r="BA3520" s="68" t="str">
        <f t="shared" si="352"/>
        <v>No</v>
      </c>
    </row>
    <row r="3521" spans="1:55" hidden="1">
      <c r="A3521" t="s">
        <v>3914</v>
      </c>
      <c r="G3521" t="s">
        <v>3925</v>
      </c>
      <c r="P3521" t="s">
        <v>60</v>
      </c>
      <c r="R3521" t="s">
        <v>3942</v>
      </c>
      <c r="S3521" t="s">
        <v>3949</v>
      </c>
      <c r="V3521" t="s">
        <v>3956</v>
      </c>
      <c r="Z3521">
        <v>6</v>
      </c>
      <c r="AA3521">
        <v>8</v>
      </c>
      <c r="AC3521">
        <v>254.6</v>
      </c>
      <c r="AD3521">
        <v>25</v>
      </c>
      <c r="AE3521">
        <v>364.1</v>
      </c>
      <c r="AF3521">
        <v>25</v>
      </c>
      <c r="AJ3521" t="s">
        <v>3937</v>
      </c>
      <c r="AK3521" t="s">
        <v>904</v>
      </c>
      <c r="AN3521">
        <v>17.5</v>
      </c>
      <c r="AO3521">
        <v>10.8397416943394</v>
      </c>
      <c r="AP3521">
        <v>7.125</v>
      </c>
      <c r="AQ3521">
        <v>22.604914130718189</v>
      </c>
      <c r="AW3521" s="28">
        <f t="shared" si="348"/>
        <v>-0.55693410434100543</v>
      </c>
      <c r="AX3521">
        <f t="shared" si="349"/>
        <v>0.93617021276595747</v>
      </c>
      <c r="AY3521" s="62">
        <f t="shared" si="350"/>
        <v>-0.52138511895753703</v>
      </c>
      <c r="AZ3521" s="68" t="str">
        <f t="shared" si="351"/>
        <v>No</v>
      </c>
      <c r="BA3521" s="68" t="str">
        <f t="shared" si="352"/>
        <v>No</v>
      </c>
    </row>
    <row r="3522" spans="1:55" hidden="1">
      <c r="A3522" t="s">
        <v>3914</v>
      </c>
      <c r="G3522" t="s">
        <v>5100</v>
      </c>
      <c r="P3522" t="s">
        <v>60</v>
      </c>
      <c r="R3522" t="s">
        <v>4570</v>
      </c>
      <c r="S3522" t="s">
        <v>4572</v>
      </c>
      <c r="V3522" t="s">
        <v>3956</v>
      </c>
      <c r="Z3522">
        <v>22</v>
      </c>
      <c r="AA3522">
        <v>14</v>
      </c>
      <c r="AC3522">
        <v>426.7</v>
      </c>
      <c r="AD3522">
        <v>18.3</v>
      </c>
      <c r="AE3522">
        <v>994.8</v>
      </c>
      <c r="AF3522">
        <v>18.399999999999999</v>
      </c>
      <c r="AJ3522" t="s">
        <v>4301</v>
      </c>
      <c r="AK3522" t="s">
        <v>4525</v>
      </c>
      <c r="AN3522">
        <v>22.44</v>
      </c>
      <c r="AO3522">
        <v>7.38</v>
      </c>
      <c r="AP3522">
        <v>24.16</v>
      </c>
      <c r="AQ3522">
        <v>6.83</v>
      </c>
      <c r="AW3522" s="28">
        <f t="shared" si="348"/>
        <v>0.23973174251578494</v>
      </c>
      <c r="AX3522">
        <f t="shared" si="349"/>
        <v>0.97777777777777775</v>
      </c>
      <c r="AY3522" s="69">
        <f t="shared" si="350"/>
        <v>0.23440437045987861</v>
      </c>
      <c r="AZ3522" s="68" t="str">
        <f t="shared" si="351"/>
        <v>No</v>
      </c>
      <c r="BA3522" s="68" t="str">
        <f t="shared" si="352"/>
        <v>No</v>
      </c>
    </row>
    <row r="3523" spans="1:55" hidden="1">
      <c r="A3523" t="s">
        <v>3914</v>
      </c>
      <c r="G3523" t="s">
        <v>5048</v>
      </c>
      <c r="P3523" t="s">
        <v>60</v>
      </c>
      <c r="R3523" t="s">
        <v>4357</v>
      </c>
      <c r="S3523" t="s">
        <v>1747</v>
      </c>
      <c r="V3523" t="s">
        <v>3956</v>
      </c>
      <c r="Z3523">
        <v>8</v>
      </c>
      <c r="AA3523">
        <v>8</v>
      </c>
      <c r="AC3523">
        <v>400</v>
      </c>
      <c r="AD3523">
        <v>13</v>
      </c>
      <c r="AE3523">
        <v>1100</v>
      </c>
      <c r="AF3523">
        <v>13</v>
      </c>
      <c r="AJ3523" t="s">
        <v>4431</v>
      </c>
      <c r="AK3523" t="s">
        <v>4244</v>
      </c>
      <c r="AN3523">
        <v>0.318</v>
      </c>
      <c r="AO3523">
        <v>8.4852813742385715E-3</v>
      </c>
      <c r="AP3523">
        <v>0.29099999999999998</v>
      </c>
      <c r="AQ3523">
        <v>2.8284271247461905E-3</v>
      </c>
      <c r="AW3523" s="28">
        <f t="shared" si="348"/>
        <v>-4.2690748412273152</v>
      </c>
      <c r="AX3523">
        <f t="shared" si="349"/>
        <v>0.94545454545454544</v>
      </c>
      <c r="AY3523" s="69">
        <f t="shared" si="350"/>
        <v>-4.0362162135240069</v>
      </c>
      <c r="AZ3523" s="68" t="str">
        <f t="shared" si="351"/>
        <v>No</v>
      </c>
      <c r="BA3523" s="68" t="str">
        <f t="shared" si="352"/>
        <v>No</v>
      </c>
    </row>
    <row r="3524" spans="1:55" hidden="1">
      <c r="A3524" t="s">
        <v>3914</v>
      </c>
      <c r="G3524" t="s">
        <v>4410</v>
      </c>
      <c r="P3524" t="s">
        <v>4596</v>
      </c>
      <c r="R3524" t="s">
        <v>4357</v>
      </c>
      <c r="S3524" t="s">
        <v>1747</v>
      </c>
      <c r="V3524" t="s">
        <v>4600</v>
      </c>
      <c r="Z3524">
        <v>8</v>
      </c>
      <c r="AA3524">
        <v>8</v>
      </c>
      <c r="AC3524">
        <v>400</v>
      </c>
      <c r="AD3524">
        <v>13</v>
      </c>
      <c r="AE3524">
        <v>1100</v>
      </c>
      <c r="AF3524">
        <v>18</v>
      </c>
      <c r="AJ3524" t="s">
        <v>4431</v>
      </c>
      <c r="AK3524" t="s">
        <v>4642</v>
      </c>
      <c r="AN3524">
        <v>0.318</v>
      </c>
      <c r="AO3524">
        <v>9.78657294113589E-3</v>
      </c>
      <c r="AP3524">
        <v>0.28699999999999998</v>
      </c>
      <c r="AQ3524">
        <v>7.5281330316440426E-3</v>
      </c>
      <c r="AW3524" s="28">
        <f t="shared" si="348"/>
        <v>-3.5506941665770406</v>
      </c>
      <c r="AX3524">
        <f t="shared" si="349"/>
        <v>0.94545454545454544</v>
      </c>
      <c r="AY3524" s="62">
        <f t="shared" si="350"/>
        <v>-3.3570199393092022</v>
      </c>
      <c r="AZ3524" s="68" t="str">
        <f t="shared" si="351"/>
        <v>No</v>
      </c>
      <c r="BA3524" s="68" t="str">
        <f t="shared" si="352"/>
        <v>No</v>
      </c>
    </row>
    <row r="3525" spans="1:55" hidden="1">
      <c r="A3525" t="s">
        <v>3914</v>
      </c>
      <c r="G3525" t="s">
        <v>4410</v>
      </c>
      <c r="P3525" t="s">
        <v>4596</v>
      </c>
      <c r="R3525" t="s">
        <v>4357</v>
      </c>
      <c r="S3525" t="s">
        <v>1747</v>
      </c>
      <c r="V3525" t="s">
        <v>4598</v>
      </c>
      <c r="Z3525">
        <v>8</v>
      </c>
      <c r="AA3525">
        <v>8</v>
      </c>
      <c r="AC3525">
        <v>400</v>
      </c>
      <c r="AD3525">
        <v>13</v>
      </c>
      <c r="AE3525">
        <v>400</v>
      </c>
      <c r="AF3525">
        <v>18</v>
      </c>
      <c r="AJ3525" t="s">
        <v>4431</v>
      </c>
      <c r="AK3525" t="s">
        <v>4642</v>
      </c>
      <c r="AN3525">
        <v>0.318</v>
      </c>
      <c r="AO3525">
        <v>9.78657294113589E-3</v>
      </c>
      <c r="AP3525">
        <v>0.32</v>
      </c>
      <c r="AQ3525">
        <v>1.1292199547464729E-2</v>
      </c>
      <c r="AW3525" s="28">
        <f t="shared" si="348"/>
        <v>0.1892821226416595</v>
      </c>
      <c r="AX3525">
        <f t="shared" si="349"/>
        <v>0.94545454545454544</v>
      </c>
      <c r="AY3525" s="69">
        <f t="shared" si="350"/>
        <v>0.1789576432248417</v>
      </c>
      <c r="AZ3525" s="68" t="str">
        <f t="shared" si="351"/>
        <v>No</v>
      </c>
      <c r="BA3525" s="68" t="str">
        <f t="shared" si="352"/>
        <v>No</v>
      </c>
    </row>
    <row r="3526" spans="1:55" s="56" customFormat="1" ht="15" hidden="1">
      <c r="A3526" t="s">
        <v>3914</v>
      </c>
      <c r="B3526"/>
      <c r="C3526"/>
      <c r="D3526" s="25"/>
      <c r="E3526" s="25"/>
      <c r="F3526"/>
      <c r="G3526" t="s">
        <v>4410</v>
      </c>
      <c r="H3526"/>
      <c r="I3526"/>
      <c r="J3526"/>
      <c r="K3526"/>
      <c r="L3526"/>
      <c r="M3526" s="25"/>
      <c r="N3526"/>
      <c r="O3526"/>
      <c r="P3526" t="s">
        <v>4596</v>
      </c>
      <c r="Q3526"/>
      <c r="R3526" t="s">
        <v>4357</v>
      </c>
      <c r="S3526" t="s">
        <v>1747</v>
      </c>
      <c r="T3526"/>
      <c r="U3526"/>
      <c r="V3526" t="s">
        <v>4600</v>
      </c>
      <c r="W3526" s="25"/>
      <c r="X3526"/>
      <c r="Y3526"/>
      <c r="Z3526">
        <v>6</v>
      </c>
      <c r="AA3526">
        <v>6</v>
      </c>
      <c r="AB3526"/>
      <c r="AC3526">
        <v>400</v>
      </c>
      <c r="AD3526">
        <v>13</v>
      </c>
      <c r="AE3526">
        <v>1100</v>
      </c>
      <c r="AF3526">
        <v>18</v>
      </c>
      <c r="AG3526"/>
      <c r="AH3526"/>
      <c r="AI3526"/>
      <c r="AJ3526" t="s">
        <v>108</v>
      </c>
      <c r="AK3526" t="s">
        <v>904</v>
      </c>
      <c r="AL3526" s="25"/>
      <c r="AM3526" s="35"/>
      <c r="AN3526">
        <v>8.1999999999999993</v>
      </c>
      <c r="AO3526">
        <v>0.55860349127181941</v>
      </c>
      <c r="AP3526">
        <v>9.6999999999999993</v>
      </c>
      <c r="AQ3526">
        <v>0.79800498753110993</v>
      </c>
      <c r="AR3526"/>
      <c r="AS3526"/>
      <c r="AT3526"/>
      <c r="AU3526"/>
      <c r="AV3526"/>
      <c r="AW3526" s="28">
        <f t="shared" si="348"/>
        <v>2.1777474655478688</v>
      </c>
      <c r="AX3526">
        <f t="shared" si="349"/>
        <v>0.92307692307692313</v>
      </c>
      <c r="AY3526" s="62">
        <f t="shared" si="350"/>
        <v>2.0102284297364945</v>
      </c>
      <c r="AZ3526" s="68" t="str">
        <f t="shared" si="351"/>
        <v>No</v>
      </c>
      <c r="BA3526" s="68" t="str">
        <f t="shared" si="352"/>
        <v>No</v>
      </c>
      <c r="BB3526"/>
      <c r="BC3526"/>
    </row>
    <row r="3527" spans="1:55" hidden="1">
      <c r="A3527" t="s">
        <v>3914</v>
      </c>
      <c r="G3527" t="s">
        <v>4410</v>
      </c>
      <c r="P3527" t="s">
        <v>4596</v>
      </c>
      <c r="R3527" t="s">
        <v>4357</v>
      </c>
      <c r="S3527" t="s">
        <v>1747</v>
      </c>
      <c r="V3527" t="s">
        <v>4598</v>
      </c>
      <c r="Z3527">
        <v>6</v>
      </c>
      <c r="AA3527">
        <v>6</v>
      </c>
      <c r="AC3527">
        <v>400</v>
      </c>
      <c r="AD3527">
        <v>13</v>
      </c>
      <c r="AE3527">
        <v>400</v>
      </c>
      <c r="AF3527">
        <v>18</v>
      </c>
      <c r="AJ3527" t="s">
        <v>108</v>
      </c>
      <c r="AK3527" t="s">
        <v>904</v>
      </c>
      <c r="AN3527">
        <v>8.1999999999999993</v>
      </c>
      <c r="AO3527">
        <v>0.55860349127181941</v>
      </c>
      <c r="AP3527">
        <v>12.7</v>
      </c>
      <c r="AQ3527">
        <v>0.99750623441400066</v>
      </c>
      <c r="AW3527" s="28">
        <f t="shared" si="348"/>
        <v>5.5664757702481396</v>
      </c>
      <c r="AX3527">
        <f t="shared" si="349"/>
        <v>0.92307692307692313</v>
      </c>
      <c r="AY3527" s="62">
        <f t="shared" si="350"/>
        <v>5.1382853263828983</v>
      </c>
      <c r="AZ3527" s="68" t="str">
        <f t="shared" si="351"/>
        <v>No</v>
      </c>
      <c r="BA3527" s="68" t="str">
        <f t="shared" si="352"/>
        <v>No</v>
      </c>
    </row>
    <row r="3528" spans="1:55" s="77" customFormat="1" hidden="1">
      <c r="A3528" t="s">
        <v>3914</v>
      </c>
      <c r="B3528"/>
      <c r="C3528"/>
      <c r="D3528" s="25"/>
      <c r="E3528" s="25"/>
      <c r="F3528"/>
      <c r="G3528" t="s">
        <v>4410</v>
      </c>
      <c r="H3528"/>
      <c r="I3528"/>
      <c r="J3528"/>
      <c r="K3528"/>
      <c r="L3528"/>
      <c r="M3528" s="25"/>
      <c r="N3528"/>
      <c r="O3528"/>
      <c r="P3528" t="s">
        <v>60</v>
      </c>
      <c r="Q3528"/>
      <c r="R3528" t="s">
        <v>4357</v>
      </c>
      <c r="S3528" t="s">
        <v>1747</v>
      </c>
      <c r="T3528"/>
      <c r="U3528"/>
      <c r="V3528" t="s">
        <v>3956</v>
      </c>
      <c r="W3528" s="25"/>
      <c r="X3528"/>
      <c r="Y3528"/>
      <c r="Z3528">
        <v>6</v>
      </c>
      <c r="AA3528">
        <v>6</v>
      </c>
      <c r="AB3528"/>
      <c r="AC3528">
        <v>400</v>
      </c>
      <c r="AD3528">
        <v>13</v>
      </c>
      <c r="AE3528">
        <v>1100</v>
      </c>
      <c r="AF3528">
        <v>13</v>
      </c>
      <c r="AG3528"/>
      <c r="AH3528"/>
      <c r="AI3528"/>
      <c r="AJ3528" t="s">
        <v>108</v>
      </c>
      <c r="AK3528" t="s">
        <v>4502</v>
      </c>
      <c r="AL3528" s="25"/>
      <c r="AM3528" s="35"/>
      <c r="AN3528">
        <v>8.1999999999999993</v>
      </c>
      <c r="AO3528">
        <v>1.4696938456699067</v>
      </c>
      <c r="AP3528">
        <v>8</v>
      </c>
      <c r="AQ3528">
        <v>1.4696938456699067</v>
      </c>
      <c r="AR3528"/>
      <c r="AS3528"/>
      <c r="AT3528"/>
      <c r="AU3528"/>
      <c r="AV3528"/>
      <c r="AW3528" s="28">
        <f t="shared" si="348"/>
        <v>-0.13608276348795387</v>
      </c>
      <c r="AX3528">
        <f t="shared" si="349"/>
        <v>0.92307692307692313</v>
      </c>
      <c r="AY3528" s="69">
        <f t="shared" si="350"/>
        <v>-0.12561485860426511</v>
      </c>
      <c r="AZ3528" s="68" t="str">
        <f t="shared" si="351"/>
        <v>No</v>
      </c>
      <c r="BA3528" s="68" t="str">
        <f t="shared" si="352"/>
        <v>No</v>
      </c>
      <c r="BB3528"/>
      <c r="BC3528"/>
    </row>
    <row r="3529" spans="1:55" s="77" customFormat="1" hidden="1">
      <c r="A3529" t="s">
        <v>3914</v>
      </c>
      <c r="B3529"/>
      <c r="C3529"/>
      <c r="D3529" s="25"/>
      <c r="E3529" s="25"/>
      <c r="F3529"/>
      <c r="G3529" t="s">
        <v>4410</v>
      </c>
      <c r="H3529"/>
      <c r="I3529"/>
      <c r="J3529"/>
      <c r="K3529"/>
      <c r="L3529"/>
      <c r="M3529" s="25"/>
      <c r="N3529"/>
      <c r="O3529"/>
      <c r="P3529" t="s">
        <v>60</v>
      </c>
      <c r="Q3529"/>
      <c r="R3529" t="s">
        <v>4357</v>
      </c>
      <c r="S3529" t="s">
        <v>1747</v>
      </c>
      <c r="T3529"/>
      <c r="U3529"/>
      <c r="V3529" t="s">
        <v>3956</v>
      </c>
      <c r="W3529" s="25"/>
      <c r="X3529"/>
      <c r="Y3529"/>
      <c r="Z3529">
        <v>3</v>
      </c>
      <c r="AA3529">
        <v>3</v>
      </c>
      <c r="AB3529"/>
      <c r="AC3529">
        <v>400</v>
      </c>
      <c r="AD3529">
        <v>13</v>
      </c>
      <c r="AE3529">
        <v>1100</v>
      </c>
      <c r="AF3529">
        <v>13</v>
      </c>
      <c r="AG3529"/>
      <c r="AH3529"/>
      <c r="AI3529"/>
      <c r="AJ3529" t="s">
        <v>4464</v>
      </c>
      <c r="AK3529" t="s">
        <v>4151</v>
      </c>
      <c r="AL3529" s="25"/>
      <c r="AM3529" s="35"/>
      <c r="AN3529">
        <v>100</v>
      </c>
      <c r="AO3529">
        <v>0</v>
      </c>
      <c r="AP3529">
        <v>98.333333333333329</v>
      </c>
      <c r="AQ3529">
        <v>2.8867513459481287</v>
      </c>
      <c r="AR3529"/>
      <c r="AS3529"/>
      <c r="AT3529"/>
      <c r="AU3529"/>
      <c r="AV3529"/>
      <c r="AW3529" s="28">
        <f t="shared" si="348"/>
        <v>-0.81649658092772848</v>
      </c>
      <c r="AX3529">
        <f t="shared" si="349"/>
        <v>0.8</v>
      </c>
      <c r="AY3529" s="69">
        <f t="shared" si="350"/>
        <v>-0.65319726474218287</v>
      </c>
      <c r="AZ3529" s="68" t="str">
        <f t="shared" si="351"/>
        <v>No</v>
      </c>
      <c r="BA3529" s="68" t="str">
        <f t="shared" si="352"/>
        <v>No</v>
      </c>
      <c r="BB3529"/>
      <c r="BC3529"/>
    </row>
    <row r="3530" spans="1:55" ht="15" hidden="1">
      <c r="A3530" t="s">
        <v>3914</v>
      </c>
      <c r="G3530" t="s">
        <v>4410</v>
      </c>
      <c r="P3530" t="s">
        <v>4596</v>
      </c>
      <c r="R3530" t="s">
        <v>4357</v>
      </c>
      <c r="S3530" t="s">
        <v>1747</v>
      </c>
      <c r="V3530" t="s">
        <v>4598</v>
      </c>
      <c r="Z3530">
        <v>4</v>
      </c>
      <c r="AA3530">
        <v>4</v>
      </c>
      <c r="AC3530">
        <v>400</v>
      </c>
      <c r="AD3530">
        <v>13</v>
      </c>
      <c r="AE3530">
        <v>400</v>
      </c>
      <c r="AF3530">
        <v>18</v>
      </c>
      <c r="AJ3530" s="56" t="s">
        <v>4712</v>
      </c>
      <c r="AN3530">
        <v>47</v>
      </c>
      <c r="AO3530" s="63" t="s">
        <v>4972</v>
      </c>
      <c r="AP3530">
        <v>37.799999999999997</v>
      </c>
      <c r="AQ3530" s="63" t="s">
        <v>4972</v>
      </c>
      <c r="AU3530" s="58" t="s">
        <v>4723</v>
      </c>
      <c r="AW3530" s="28" t="e">
        <f t="shared" si="348"/>
        <v>#VALUE!</v>
      </c>
      <c r="AX3530">
        <f t="shared" si="349"/>
        <v>0.86956521739130432</v>
      </c>
      <c r="AY3530" s="62" t="e">
        <f t="shared" si="350"/>
        <v>#VALUE!</v>
      </c>
      <c r="AZ3530" s="68" t="e">
        <f t="shared" si="351"/>
        <v>#VALUE!</v>
      </c>
      <c r="BA3530" s="68" t="e">
        <f t="shared" si="352"/>
        <v>#VALUE!</v>
      </c>
    </row>
    <row r="3531" spans="1:55" ht="15" hidden="1">
      <c r="A3531" t="s">
        <v>3914</v>
      </c>
      <c r="G3531" t="s">
        <v>4410</v>
      </c>
      <c r="P3531" t="s">
        <v>4596</v>
      </c>
      <c r="R3531" t="s">
        <v>4357</v>
      </c>
      <c r="S3531" t="s">
        <v>1747</v>
      </c>
      <c r="V3531" t="s">
        <v>4600</v>
      </c>
      <c r="Z3531">
        <v>4</v>
      </c>
      <c r="AA3531">
        <v>4</v>
      </c>
      <c r="AC3531">
        <v>400</v>
      </c>
      <c r="AD3531">
        <v>13</v>
      </c>
      <c r="AE3531">
        <v>1100</v>
      </c>
      <c r="AF3531">
        <v>18</v>
      </c>
      <c r="AJ3531" s="56" t="s">
        <v>4712</v>
      </c>
      <c r="AN3531">
        <v>47</v>
      </c>
      <c r="AO3531" s="63" t="s">
        <v>4972</v>
      </c>
      <c r="AP3531">
        <v>37.799999999999997</v>
      </c>
      <c r="AQ3531" s="63" t="s">
        <v>4972</v>
      </c>
      <c r="AU3531" s="58" t="s">
        <v>4723</v>
      </c>
      <c r="AW3531" s="28" t="e">
        <f t="shared" si="348"/>
        <v>#VALUE!</v>
      </c>
      <c r="AX3531">
        <f t="shared" si="349"/>
        <v>0.86956521739130432</v>
      </c>
      <c r="AY3531" s="62" t="e">
        <f t="shared" si="350"/>
        <v>#VALUE!</v>
      </c>
      <c r="AZ3531" s="68" t="e">
        <f t="shared" si="351"/>
        <v>#VALUE!</v>
      </c>
      <c r="BA3531" s="68" t="e">
        <f t="shared" si="352"/>
        <v>#VALUE!</v>
      </c>
    </row>
    <row r="3532" spans="1:55" hidden="1">
      <c r="A3532" t="s">
        <v>3914</v>
      </c>
      <c r="G3532" t="s">
        <v>4415</v>
      </c>
      <c r="P3532" t="s">
        <v>60</v>
      </c>
      <c r="R3532" t="s">
        <v>4357</v>
      </c>
      <c r="S3532" t="s">
        <v>1747</v>
      </c>
      <c r="V3532" t="s">
        <v>3956</v>
      </c>
      <c r="Z3532">
        <v>9</v>
      </c>
      <c r="AA3532">
        <v>9</v>
      </c>
      <c r="AC3532">
        <v>431.9</v>
      </c>
      <c r="AD3532">
        <v>15.3</v>
      </c>
      <c r="AE3532">
        <v>800.6</v>
      </c>
      <c r="AF3532">
        <v>15.3</v>
      </c>
      <c r="AJ3532" t="s">
        <v>4345</v>
      </c>
      <c r="AK3532" t="s">
        <v>4502</v>
      </c>
      <c r="AN3532">
        <v>51</v>
      </c>
      <c r="AO3532">
        <v>7.77</v>
      </c>
      <c r="AP3532">
        <v>42.6</v>
      </c>
      <c r="AQ3532">
        <v>6.8999999999999995</v>
      </c>
      <c r="AW3532" s="28">
        <f t="shared" si="348"/>
        <v>-1.1431857190842396</v>
      </c>
      <c r="AX3532">
        <f t="shared" si="349"/>
        <v>0.95238095238095233</v>
      </c>
      <c r="AY3532" s="62">
        <f t="shared" si="350"/>
        <v>-1.0887483038897519</v>
      </c>
      <c r="AZ3532" s="68" t="str">
        <f t="shared" si="351"/>
        <v>No</v>
      </c>
      <c r="BA3532" s="68" t="str">
        <f t="shared" si="352"/>
        <v>No</v>
      </c>
    </row>
    <row r="3533" spans="1:55" hidden="1">
      <c r="A3533" t="s">
        <v>3914</v>
      </c>
      <c r="G3533" t="s">
        <v>5053</v>
      </c>
      <c r="P3533" t="s">
        <v>60</v>
      </c>
      <c r="R3533" t="s">
        <v>4357</v>
      </c>
      <c r="S3533" t="s">
        <v>1747</v>
      </c>
      <c r="V3533" t="s">
        <v>3956</v>
      </c>
      <c r="Z3533" s="51">
        <v>50</v>
      </c>
      <c r="AA3533" s="51">
        <v>50</v>
      </c>
      <c r="AC3533">
        <v>431.9</v>
      </c>
      <c r="AD3533">
        <v>15.3</v>
      </c>
      <c r="AE3533">
        <v>800.6</v>
      </c>
      <c r="AF3533">
        <v>15.3</v>
      </c>
      <c r="AJ3533" t="s">
        <v>1827</v>
      </c>
      <c r="AK3533" t="s">
        <v>4244</v>
      </c>
      <c r="AN3533">
        <v>318.5</v>
      </c>
      <c r="AO3533">
        <v>5.5230879044244814</v>
      </c>
      <c r="AP3533">
        <v>300.8</v>
      </c>
      <c r="AQ3533">
        <v>8.1840087976492306</v>
      </c>
      <c r="AW3533" s="28">
        <f t="shared" si="348"/>
        <v>-2.5352741889166421</v>
      </c>
      <c r="AX3533">
        <f t="shared" si="349"/>
        <v>0.99232736572890023</v>
      </c>
      <c r="AY3533" s="62">
        <f t="shared" si="350"/>
        <v>-2.5158219572881255</v>
      </c>
      <c r="AZ3533" s="68" t="str">
        <f t="shared" si="351"/>
        <v>No</v>
      </c>
      <c r="BA3533" s="68" t="str">
        <f t="shared" si="352"/>
        <v>No</v>
      </c>
    </row>
    <row r="3534" spans="1:55" hidden="1">
      <c r="A3534" t="s">
        <v>3914</v>
      </c>
      <c r="G3534" t="s">
        <v>4667</v>
      </c>
      <c r="P3534" t="s">
        <v>4596</v>
      </c>
      <c r="R3534" t="s">
        <v>4676</v>
      </c>
      <c r="S3534" t="s">
        <v>1768</v>
      </c>
      <c r="V3534" t="s">
        <v>4625</v>
      </c>
      <c r="Z3534">
        <v>6</v>
      </c>
      <c r="AA3534">
        <v>6</v>
      </c>
      <c r="AC3534">
        <v>405.8</v>
      </c>
      <c r="AD3534">
        <v>12</v>
      </c>
      <c r="AE3534">
        <v>413.54</v>
      </c>
      <c r="AF3534">
        <v>20</v>
      </c>
      <c r="AJ3534" t="s">
        <v>4668</v>
      </c>
      <c r="AK3534" t="s">
        <v>4637</v>
      </c>
      <c r="AN3534">
        <v>9</v>
      </c>
      <c r="AO3534">
        <f>0.5*SQRT(6)</f>
        <v>1.2247448713915889</v>
      </c>
      <c r="AP3534">
        <v>22</v>
      </c>
      <c r="AQ3534">
        <f>1*SQRT(6)</f>
        <v>2.4494897427831779</v>
      </c>
      <c r="AW3534" s="28">
        <f t="shared" ref="AW3534:AW3597" si="353">(AP3534-$AN3534)/SQRT(((AA3534-1)*AQ3534*AQ3534+($Z3534-1)*$AO3534*$AO3534)/(AA3534+$Z3534-2))</f>
        <v>6.7131711334261901</v>
      </c>
      <c r="AX3534">
        <f t="shared" ref="AX3534:AX3597" si="354">1-(3/(4*(AA3534+$Z3534-2)-1))</f>
        <v>0.92307692307692313</v>
      </c>
      <c r="AY3534" s="62">
        <f t="shared" ref="AY3534:AY3597" si="355">AX3534*AW3534</f>
        <v>6.1967733539318681</v>
      </c>
      <c r="AZ3534" s="68" t="str">
        <f t="shared" ref="AZ3534:AZ3597" si="356">IF(AY3534&gt;10,"Yes","No")</f>
        <v>No</v>
      </c>
      <c r="BA3534" s="68" t="str">
        <f t="shared" ref="BA3534:BA3597" si="357">IF(AY3534&lt;-10,"Yes","No")</f>
        <v>No</v>
      </c>
    </row>
    <row r="3535" spans="1:55" hidden="1">
      <c r="A3535" t="s">
        <v>3914</v>
      </c>
      <c r="G3535" t="s">
        <v>4667</v>
      </c>
      <c r="P3535" t="s">
        <v>4596</v>
      </c>
      <c r="R3535" t="s">
        <v>4676</v>
      </c>
      <c r="S3535" t="s">
        <v>1768</v>
      </c>
      <c r="V3535" t="s">
        <v>4625</v>
      </c>
      <c r="Z3535">
        <v>6</v>
      </c>
      <c r="AA3535">
        <v>6</v>
      </c>
      <c r="AC3535">
        <v>405.8</v>
      </c>
      <c r="AD3535">
        <v>12</v>
      </c>
      <c r="AE3535">
        <v>413.54</v>
      </c>
      <c r="AF3535">
        <v>20</v>
      </c>
      <c r="AJ3535" t="s">
        <v>4671</v>
      </c>
      <c r="AK3535" t="s">
        <v>4672</v>
      </c>
      <c r="AN3535">
        <v>7</v>
      </c>
      <c r="AO3535">
        <v>0</v>
      </c>
      <c r="AP3535">
        <v>22</v>
      </c>
      <c r="AQ3535">
        <f>1*SQRT(6)</f>
        <v>2.4494897427831779</v>
      </c>
      <c r="AW3535" s="28">
        <f t="shared" si="353"/>
        <v>8.6602540378443873</v>
      </c>
      <c r="AX3535">
        <f t="shared" si="354"/>
        <v>0.92307692307692313</v>
      </c>
      <c r="AY3535" s="62">
        <f t="shared" si="355"/>
        <v>7.9940806503178967</v>
      </c>
      <c r="AZ3535" s="68" t="str">
        <f t="shared" si="356"/>
        <v>No</v>
      </c>
      <c r="BA3535" s="68" t="str">
        <f t="shared" si="357"/>
        <v>No</v>
      </c>
    </row>
    <row r="3536" spans="1:55" hidden="1">
      <c r="A3536" t="s">
        <v>3914</v>
      </c>
      <c r="G3536" t="s">
        <v>4667</v>
      </c>
      <c r="P3536" t="s">
        <v>4596</v>
      </c>
      <c r="R3536" t="s">
        <v>4676</v>
      </c>
      <c r="S3536" t="s">
        <v>1768</v>
      </c>
      <c r="V3536" t="s">
        <v>4627</v>
      </c>
      <c r="Z3536">
        <v>6</v>
      </c>
      <c r="AA3536">
        <v>6</v>
      </c>
      <c r="AC3536">
        <v>405.8</v>
      </c>
      <c r="AD3536">
        <v>12</v>
      </c>
      <c r="AE3536">
        <v>3278</v>
      </c>
      <c r="AF3536">
        <v>20</v>
      </c>
      <c r="AJ3536" t="s">
        <v>4668</v>
      </c>
      <c r="AK3536" t="s">
        <v>4637</v>
      </c>
      <c r="AN3536">
        <v>9</v>
      </c>
      <c r="AO3536">
        <f>0.5*SQRT(6)</f>
        <v>1.2247448713915889</v>
      </c>
      <c r="AP3536">
        <v>24</v>
      </c>
      <c r="AQ3536">
        <f>1.5*SQRT(6)</f>
        <v>3.6742346141747668</v>
      </c>
      <c r="AW3536" s="28">
        <f t="shared" si="353"/>
        <v>5.4772255750516621</v>
      </c>
      <c r="AX3536">
        <f t="shared" si="354"/>
        <v>0.92307692307692313</v>
      </c>
      <c r="AY3536" s="62">
        <f t="shared" si="355"/>
        <v>5.0559005308169187</v>
      </c>
      <c r="AZ3536" s="68" t="str">
        <f t="shared" si="356"/>
        <v>No</v>
      </c>
      <c r="BA3536" s="68" t="str">
        <f t="shared" si="357"/>
        <v>No</v>
      </c>
    </row>
    <row r="3537" spans="1:53" hidden="1">
      <c r="A3537" t="s">
        <v>3914</v>
      </c>
      <c r="G3537" t="s">
        <v>4667</v>
      </c>
      <c r="P3537" t="s">
        <v>4596</v>
      </c>
      <c r="R3537" t="s">
        <v>4676</v>
      </c>
      <c r="S3537" t="s">
        <v>1768</v>
      </c>
      <c r="V3537" t="s">
        <v>4627</v>
      </c>
      <c r="Z3537">
        <v>6</v>
      </c>
      <c r="AA3537">
        <v>6</v>
      </c>
      <c r="AC3537">
        <v>405.8</v>
      </c>
      <c r="AD3537">
        <v>12</v>
      </c>
      <c r="AE3537">
        <v>3278</v>
      </c>
      <c r="AF3537">
        <v>20</v>
      </c>
      <c r="AJ3537" t="s">
        <v>4065</v>
      </c>
      <c r="AK3537" t="s">
        <v>4672</v>
      </c>
      <c r="AN3537">
        <v>7</v>
      </c>
      <c r="AO3537">
        <v>0</v>
      </c>
      <c r="AP3537">
        <v>24</v>
      </c>
      <c r="AQ3537">
        <f>1.5*SQRT(6)</f>
        <v>3.6742346141747668</v>
      </c>
      <c r="AW3537" s="28">
        <f t="shared" si="353"/>
        <v>6.5433030508157595</v>
      </c>
      <c r="AX3537">
        <f t="shared" si="354"/>
        <v>0.92307692307692313</v>
      </c>
      <c r="AY3537" s="62">
        <f t="shared" si="355"/>
        <v>6.039972046906855</v>
      </c>
      <c r="AZ3537" s="68" t="str">
        <f t="shared" si="356"/>
        <v>No</v>
      </c>
      <c r="BA3537" s="68" t="str">
        <f t="shared" si="357"/>
        <v>No</v>
      </c>
    </row>
    <row r="3538" spans="1:53" hidden="1">
      <c r="A3538" t="s">
        <v>3914</v>
      </c>
      <c r="G3538" t="s">
        <v>4667</v>
      </c>
      <c r="P3538" t="s">
        <v>4596</v>
      </c>
      <c r="R3538" t="s">
        <v>4676</v>
      </c>
      <c r="S3538" t="s">
        <v>1768</v>
      </c>
      <c r="V3538" t="s">
        <v>4626</v>
      </c>
      <c r="Z3538">
        <v>6</v>
      </c>
      <c r="AA3538">
        <v>6</v>
      </c>
      <c r="AC3538">
        <v>405.8</v>
      </c>
      <c r="AD3538">
        <v>12</v>
      </c>
      <c r="AE3538">
        <v>1282</v>
      </c>
      <c r="AF3538">
        <v>20</v>
      </c>
      <c r="AJ3538" t="s">
        <v>4668</v>
      </c>
      <c r="AK3538" t="s">
        <v>4637</v>
      </c>
      <c r="AN3538">
        <v>9</v>
      </c>
      <c r="AO3538">
        <f>0.5*SQRT(6)</f>
        <v>1.2247448713915889</v>
      </c>
      <c r="AP3538">
        <v>20</v>
      </c>
      <c r="AQ3538">
        <f>2*SQRT(6)</f>
        <v>4.8989794855663558</v>
      </c>
      <c r="AW3538" s="28">
        <f t="shared" si="353"/>
        <v>3.0806161848616216</v>
      </c>
      <c r="AX3538">
        <f t="shared" si="354"/>
        <v>0.92307692307692313</v>
      </c>
      <c r="AY3538" s="62">
        <f t="shared" si="355"/>
        <v>2.8436457091030354</v>
      </c>
      <c r="AZ3538" s="68" t="str">
        <f t="shared" si="356"/>
        <v>No</v>
      </c>
      <c r="BA3538" s="68" t="str">
        <f t="shared" si="357"/>
        <v>No</v>
      </c>
    </row>
    <row r="3539" spans="1:53" hidden="1">
      <c r="A3539" t="s">
        <v>3914</v>
      </c>
      <c r="G3539" t="s">
        <v>4667</v>
      </c>
      <c r="P3539" t="s">
        <v>4596</v>
      </c>
      <c r="R3539" t="s">
        <v>4676</v>
      </c>
      <c r="S3539" t="s">
        <v>1768</v>
      </c>
      <c r="V3539" t="s">
        <v>4626</v>
      </c>
      <c r="Z3539">
        <v>6</v>
      </c>
      <c r="AA3539">
        <v>6</v>
      </c>
      <c r="AC3539">
        <v>405.8</v>
      </c>
      <c r="AD3539">
        <v>12</v>
      </c>
      <c r="AE3539">
        <v>1282</v>
      </c>
      <c r="AF3539">
        <v>20</v>
      </c>
      <c r="AJ3539" t="s">
        <v>4065</v>
      </c>
      <c r="AK3539" t="s">
        <v>4672</v>
      </c>
      <c r="AN3539">
        <v>7</v>
      </c>
      <c r="AO3539">
        <v>0</v>
      </c>
      <c r="AP3539">
        <v>21</v>
      </c>
      <c r="AQ3539">
        <f>2*SQRT(6)</f>
        <v>4.8989794855663558</v>
      </c>
      <c r="AW3539" s="28">
        <f t="shared" si="353"/>
        <v>4.0414518843273806</v>
      </c>
      <c r="AX3539">
        <f t="shared" si="354"/>
        <v>0.92307692307692313</v>
      </c>
      <c r="AY3539" s="62">
        <f t="shared" si="355"/>
        <v>3.7305709701483516</v>
      </c>
      <c r="AZ3539" s="68" t="str">
        <f t="shared" si="356"/>
        <v>No</v>
      </c>
      <c r="BA3539" s="68" t="str">
        <f t="shared" si="357"/>
        <v>No</v>
      </c>
    </row>
    <row r="3540" spans="1:53" hidden="1">
      <c r="A3540" t="s">
        <v>3914</v>
      </c>
      <c r="G3540" t="s">
        <v>4667</v>
      </c>
      <c r="P3540" t="s">
        <v>4596</v>
      </c>
      <c r="R3540" t="s">
        <v>4676</v>
      </c>
      <c r="S3540" t="s">
        <v>1768</v>
      </c>
      <c r="V3540" t="s">
        <v>4625</v>
      </c>
      <c r="Z3540">
        <v>6</v>
      </c>
      <c r="AA3540">
        <v>6</v>
      </c>
      <c r="AC3540">
        <v>405.8</v>
      </c>
      <c r="AD3540">
        <v>12</v>
      </c>
      <c r="AE3540">
        <v>413.54</v>
      </c>
      <c r="AF3540">
        <v>20</v>
      </c>
      <c r="AJ3540" t="s">
        <v>4673</v>
      </c>
      <c r="AK3540" t="s">
        <v>4637</v>
      </c>
      <c r="AN3540">
        <v>38</v>
      </c>
      <c r="AO3540">
        <f t="shared" ref="AO3540:AO3545" si="358">2.5*SQRT(6)</f>
        <v>6.1237243569579451</v>
      </c>
      <c r="AP3540">
        <v>18</v>
      </c>
      <c r="AQ3540">
        <f t="shared" ref="AQ3540:AQ3545" si="359">2.5*SQRT(6)</f>
        <v>6.1237243569579451</v>
      </c>
      <c r="AW3540" s="28">
        <f t="shared" si="353"/>
        <v>-3.2659863237109046</v>
      </c>
      <c r="AX3540">
        <f t="shared" si="354"/>
        <v>0.92307692307692313</v>
      </c>
      <c r="AY3540" s="62">
        <f t="shared" si="355"/>
        <v>-3.0147566065023734</v>
      </c>
      <c r="AZ3540" s="68" t="str">
        <f t="shared" si="356"/>
        <v>No</v>
      </c>
      <c r="BA3540" s="68" t="str">
        <f t="shared" si="357"/>
        <v>No</v>
      </c>
    </row>
    <row r="3541" spans="1:53" hidden="1">
      <c r="A3541" t="s">
        <v>3914</v>
      </c>
      <c r="G3541" t="s">
        <v>4667</v>
      </c>
      <c r="P3541" t="s">
        <v>4596</v>
      </c>
      <c r="R3541" t="s">
        <v>4676</v>
      </c>
      <c r="S3541" t="s">
        <v>1768</v>
      </c>
      <c r="V3541" t="s">
        <v>4626</v>
      </c>
      <c r="Z3541">
        <v>6</v>
      </c>
      <c r="AA3541">
        <v>6</v>
      </c>
      <c r="AC3541">
        <v>405.8</v>
      </c>
      <c r="AD3541">
        <v>12</v>
      </c>
      <c r="AE3541">
        <v>1282</v>
      </c>
      <c r="AF3541">
        <v>20</v>
      </c>
      <c r="AJ3541" t="s">
        <v>4669</v>
      </c>
      <c r="AK3541" t="s">
        <v>4637</v>
      </c>
      <c r="AN3541">
        <v>38</v>
      </c>
      <c r="AO3541">
        <f t="shared" si="358"/>
        <v>6.1237243569579451</v>
      </c>
      <c r="AP3541">
        <v>19</v>
      </c>
      <c r="AQ3541">
        <f t="shared" si="359"/>
        <v>6.1237243569579451</v>
      </c>
      <c r="AW3541" s="28">
        <f t="shared" si="353"/>
        <v>-3.1026870075253594</v>
      </c>
      <c r="AX3541">
        <f t="shared" si="354"/>
        <v>0.92307692307692313</v>
      </c>
      <c r="AY3541" s="62">
        <f t="shared" si="355"/>
        <v>-2.8640187761772551</v>
      </c>
      <c r="AZ3541" s="68" t="str">
        <f t="shared" si="356"/>
        <v>No</v>
      </c>
      <c r="BA3541" s="68" t="str">
        <f t="shared" si="357"/>
        <v>No</v>
      </c>
    </row>
    <row r="3542" spans="1:53" hidden="1">
      <c r="A3542" t="s">
        <v>3914</v>
      </c>
      <c r="G3542" t="s">
        <v>4667</v>
      </c>
      <c r="P3542" t="s">
        <v>4596</v>
      </c>
      <c r="R3542" t="s">
        <v>4676</v>
      </c>
      <c r="S3542" t="s">
        <v>1768</v>
      </c>
      <c r="V3542" t="s">
        <v>4627</v>
      </c>
      <c r="Z3542">
        <v>6</v>
      </c>
      <c r="AA3542">
        <v>6</v>
      </c>
      <c r="AC3542">
        <v>405.8</v>
      </c>
      <c r="AD3542">
        <v>12</v>
      </c>
      <c r="AE3542">
        <v>3278</v>
      </c>
      <c r="AF3542">
        <v>20</v>
      </c>
      <c r="AJ3542" t="s">
        <v>4669</v>
      </c>
      <c r="AK3542" t="s">
        <v>4637</v>
      </c>
      <c r="AN3542">
        <v>38</v>
      </c>
      <c r="AO3542">
        <f t="shared" si="358"/>
        <v>6.1237243569579451</v>
      </c>
      <c r="AP3542">
        <v>19.5</v>
      </c>
      <c r="AQ3542">
        <f t="shared" si="359"/>
        <v>6.1237243569579451</v>
      </c>
      <c r="AW3542" s="28">
        <f t="shared" si="353"/>
        <v>-3.0210373494325866</v>
      </c>
      <c r="AX3542">
        <f t="shared" si="354"/>
        <v>0.92307692307692313</v>
      </c>
      <c r="AY3542" s="62">
        <f t="shared" si="355"/>
        <v>-2.7886498610146955</v>
      </c>
      <c r="AZ3542" s="68" t="str">
        <f t="shared" si="356"/>
        <v>No</v>
      </c>
      <c r="BA3542" s="68" t="str">
        <f t="shared" si="357"/>
        <v>No</v>
      </c>
    </row>
    <row r="3543" spans="1:53" hidden="1">
      <c r="A3543" t="s">
        <v>3914</v>
      </c>
      <c r="G3543" t="s">
        <v>4667</v>
      </c>
      <c r="P3543" t="s">
        <v>4596</v>
      </c>
      <c r="R3543" t="s">
        <v>4676</v>
      </c>
      <c r="S3543" t="s">
        <v>1768</v>
      </c>
      <c r="V3543" t="s">
        <v>4628</v>
      </c>
      <c r="Z3543">
        <v>6</v>
      </c>
      <c r="AA3543">
        <v>6</v>
      </c>
      <c r="AC3543">
        <v>405.8</v>
      </c>
      <c r="AD3543">
        <v>12</v>
      </c>
      <c r="AE3543">
        <v>378.14</v>
      </c>
      <c r="AF3543">
        <v>27</v>
      </c>
      <c r="AJ3543" t="s">
        <v>4669</v>
      </c>
      <c r="AK3543" t="s">
        <v>4637</v>
      </c>
      <c r="AN3543">
        <v>38</v>
      </c>
      <c r="AO3543">
        <f t="shared" si="358"/>
        <v>6.1237243569579451</v>
      </c>
      <c r="AP3543">
        <v>12</v>
      </c>
      <c r="AQ3543">
        <f t="shared" si="359"/>
        <v>6.1237243569579451</v>
      </c>
      <c r="AW3543" s="28">
        <f t="shared" si="353"/>
        <v>-4.245782220824176</v>
      </c>
      <c r="AX3543">
        <f t="shared" si="354"/>
        <v>0.92307692307692313</v>
      </c>
      <c r="AY3543" s="62">
        <f t="shared" si="355"/>
        <v>-3.9191835884530857</v>
      </c>
      <c r="AZ3543" s="68" t="str">
        <f t="shared" si="356"/>
        <v>No</v>
      </c>
      <c r="BA3543" s="68" t="str">
        <f t="shared" si="357"/>
        <v>No</v>
      </c>
    </row>
    <row r="3544" spans="1:53" hidden="1">
      <c r="A3544" t="s">
        <v>3914</v>
      </c>
      <c r="G3544" t="s">
        <v>4667</v>
      </c>
      <c r="P3544" t="s">
        <v>4596</v>
      </c>
      <c r="R3544" t="s">
        <v>4676</v>
      </c>
      <c r="S3544" t="s">
        <v>1768</v>
      </c>
      <c r="V3544" t="s">
        <v>4626</v>
      </c>
      <c r="Z3544">
        <v>6</v>
      </c>
      <c r="AA3544">
        <v>6</v>
      </c>
      <c r="AC3544">
        <v>405.8</v>
      </c>
      <c r="AD3544">
        <v>12</v>
      </c>
      <c r="AE3544">
        <v>1186</v>
      </c>
      <c r="AF3544">
        <v>27</v>
      </c>
      <c r="AJ3544" t="s">
        <v>4669</v>
      </c>
      <c r="AK3544" t="s">
        <v>4637</v>
      </c>
      <c r="AN3544">
        <v>38</v>
      </c>
      <c r="AO3544">
        <f t="shared" si="358"/>
        <v>6.1237243569579451</v>
      </c>
      <c r="AP3544">
        <v>17</v>
      </c>
      <c r="AQ3544">
        <f t="shared" si="359"/>
        <v>6.1237243569579451</v>
      </c>
      <c r="AW3544" s="28">
        <f t="shared" si="353"/>
        <v>-3.4292856398964497</v>
      </c>
      <c r="AX3544">
        <f t="shared" si="354"/>
        <v>0.92307692307692313</v>
      </c>
      <c r="AY3544" s="62">
        <f t="shared" si="355"/>
        <v>-3.1654944368274922</v>
      </c>
      <c r="AZ3544" s="68" t="str">
        <f t="shared" si="356"/>
        <v>No</v>
      </c>
      <c r="BA3544" s="68" t="str">
        <f t="shared" si="357"/>
        <v>No</v>
      </c>
    </row>
    <row r="3545" spans="1:53" hidden="1">
      <c r="A3545" t="s">
        <v>3914</v>
      </c>
      <c r="G3545" t="s">
        <v>4667</v>
      </c>
      <c r="P3545" t="s">
        <v>4596</v>
      </c>
      <c r="R3545" t="s">
        <v>4676</v>
      </c>
      <c r="S3545" t="s">
        <v>1768</v>
      </c>
      <c r="V3545" t="s">
        <v>4627</v>
      </c>
      <c r="Z3545">
        <v>6</v>
      </c>
      <c r="AA3545">
        <v>6</v>
      </c>
      <c r="AC3545">
        <v>405.8</v>
      </c>
      <c r="AD3545">
        <v>12</v>
      </c>
      <c r="AE3545">
        <v>3110</v>
      </c>
      <c r="AF3545">
        <v>27</v>
      </c>
      <c r="AJ3545" t="s">
        <v>4669</v>
      </c>
      <c r="AK3545" t="s">
        <v>4637</v>
      </c>
      <c r="AN3545">
        <v>38</v>
      </c>
      <c r="AO3545">
        <f t="shared" si="358"/>
        <v>6.1237243569579451</v>
      </c>
      <c r="AP3545">
        <v>16</v>
      </c>
      <c r="AQ3545">
        <f t="shared" si="359"/>
        <v>6.1237243569579451</v>
      </c>
      <c r="AW3545" s="28">
        <f t="shared" si="353"/>
        <v>-3.5925849560819949</v>
      </c>
      <c r="AX3545">
        <f t="shared" si="354"/>
        <v>0.92307692307692313</v>
      </c>
      <c r="AY3545" s="62">
        <f t="shared" si="355"/>
        <v>-3.316232267152611</v>
      </c>
      <c r="AZ3545" s="68" t="str">
        <f t="shared" si="356"/>
        <v>No</v>
      </c>
      <c r="BA3545" s="68" t="str">
        <f t="shared" si="357"/>
        <v>No</v>
      </c>
    </row>
    <row r="3546" spans="1:53" hidden="1">
      <c r="A3546" t="s">
        <v>3914</v>
      </c>
      <c r="G3546" t="s">
        <v>4667</v>
      </c>
      <c r="P3546" t="s">
        <v>4596</v>
      </c>
      <c r="R3546" t="s">
        <v>4676</v>
      </c>
      <c r="S3546" t="s">
        <v>1768</v>
      </c>
      <c r="V3546" t="s">
        <v>4627</v>
      </c>
      <c r="Z3546">
        <v>6</v>
      </c>
      <c r="AA3546">
        <v>6</v>
      </c>
      <c r="AC3546">
        <v>405.8</v>
      </c>
      <c r="AD3546">
        <v>12</v>
      </c>
      <c r="AE3546">
        <v>3110</v>
      </c>
      <c r="AF3546">
        <v>27</v>
      </c>
      <c r="AJ3546" t="s">
        <v>4668</v>
      </c>
      <c r="AK3546" t="s">
        <v>4637</v>
      </c>
      <c r="AN3546">
        <v>9</v>
      </c>
      <c r="AO3546">
        <f>0.5*SQRT(6)</f>
        <v>1.2247448713915889</v>
      </c>
      <c r="AP3546">
        <v>22.5</v>
      </c>
      <c r="AQ3546">
        <f>3.5*SQRT(6)</f>
        <v>8.5732140997411221</v>
      </c>
      <c r="AW3546" s="28">
        <f t="shared" si="353"/>
        <v>2.2045407685048608</v>
      </c>
      <c r="AX3546">
        <f t="shared" si="354"/>
        <v>0.92307692307692313</v>
      </c>
      <c r="AY3546" s="62">
        <f t="shared" si="355"/>
        <v>2.0349607093891025</v>
      </c>
      <c r="AZ3546" s="68" t="str">
        <f t="shared" si="356"/>
        <v>No</v>
      </c>
      <c r="BA3546" s="68" t="str">
        <f t="shared" si="357"/>
        <v>No</v>
      </c>
    </row>
    <row r="3547" spans="1:53" hidden="1">
      <c r="A3547" t="s">
        <v>3914</v>
      </c>
      <c r="G3547" t="s">
        <v>4667</v>
      </c>
      <c r="P3547" t="s">
        <v>4596</v>
      </c>
      <c r="R3547" t="s">
        <v>4676</v>
      </c>
      <c r="S3547" t="s">
        <v>1768</v>
      </c>
      <c r="V3547" t="s">
        <v>4626</v>
      </c>
      <c r="Z3547">
        <v>6</v>
      </c>
      <c r="AA3547">
        <v>6</v>
      </c>
      <c r="AC3547">
        <v>405.8</v>
      </c>
      <c r="AD3547">
        <v>12</v>
      </c>
      <c r="AE3547">
        <v>1186</v>
      </c>
      <c r="AF3547">
        <v>27</v>
      </c>
      <c r="AJ3547" t="s">
        <v>4092</v>
      </c>
      <c r="AK3547" t="s">
        <v>4637</v>
      </c>
      <c r="AN3547">
        <v>28</v>
      </c>
      <c r="AO3547">
        <f>11.5*SQRT(6)</f>
        <v>28.169132042006545</v>
      </c>
      <c r="AP3547">
        <v>16</v>
      </c>
      <c r="AQ3547">
        <f>4*SQRT(6)</f>
        <v>9.7979589711327115</v>
      </c>
      <c r="AW3547" s="28">
        <f t="shared" si="353"/>
        <v>-0.56901441373256367</v>
      </c>
      <c r="AX3547">
        <f t="shared" si="354"/>
        <v>0.92307692307692313</v>
      </c>
      <c r="AY3547" s="62">
        <f t="shared" si="355"/>
        <v>-0.52524407421467423</v>
      </c>
      <c r="AZ3547" s="68" t="str">
        <f t="shared" si="356"/>
        <v>No</v>
      </c>
      <c r="BA3547" s="68" t="str">
        <f t="shared" si="357"/>
        <v>No</v>
      </c>
    </row>
    <row r="3548" spans="1:53" hidden="1">
      <c r="A3548" t="s">
        <v>3914</v>
      </c>
      <c r="G3548" t="s">
        <v>4667</v>
      </c>
      <c r="P3548" t="s">
        <v>4596</v>
      </c>
      <c r="R3548" t="s">
        <v>4676</v>
      </c>
      <c r="S3548" t="s">
        <v>1768</v>
      </c>
      <c r="V3548" t="s">
        <v>4626</v>
      </c>
      <c r="Z3548">
        <v>6</v>
      </c>
      <c r="AA3548">
        <v>6</v>
      </c>
      <c r="AC3548">
        <v>405.8</v>
      </c>
      <c r="AD3548">
        <v>12</v>
      </c>
      <c r="AE3548">
        <v>1186</v>
      </c>
      <c r="AF3548">
        <v>27</v>
      </c>
      <c r="AJ3548" t="s">
        <v>4668</v>
      </c>
      <c r="AK3548" t="s">
        <v>4637</v>
      </c>
      <c r="AN3548">
        <v>9</v>
      </c>
      <c r="AO3548">
        <f>0.5*SQRT(6)</f>
        <v>1.2247448713915889</v>
      </c>
      <c r="AP3548">
        <v>15</v>
      </c>
      <c r="AQ3548">
        <f>4.5*SQRT(6)</f>
        <v>11.022703842524301</v>
      </c>
      <c r="AW3548" s="28">
        <f t="shared" si="353"/>
        <v>0.76509205567600602</v>
      </c>
      <c r="AX3548">
        <f t="shared" si="354"/>
        <v>0.92307692307692313</v>
      </c>
      <c r="AY3548" s="62">
        <f t="shared" si="355"/>
        <v>0.70623882062400556</v>
      </c>
      <c r="AZ3548" s="68" t="str">
        <f t="shared" si="356"/>
        <v>No</v>
      </c>
      <c r="BA3548" s="68" t="str">
        <f t="shared" si="357"/>
        <v>No</v>
      </c>
    </row>
    <row r="3549" spans="1:53" hidden="1">
      <c r="A3549" t="s">
        <v>3914</v>
      </c>
      <c r="G3549" t="s">
        <v>4667</v>
      </c>
      <c r="P3549" t="s">
        <v>4596</v>
      </c>
      <c r="R3549" t="s">
        <v>4676</v>
      </c>
      <c r="S3549" t="s">
        <v>1768</v>
      </c>
      <c r="V3549" t="s">
        <v>4626</v>
      </c>
      <c r="Z3549">
        <v>6</v>
      </c>
      <c r="AA3549">
        <v>6</v>
      </c>
      <c r="AC3549">
        <v>405.8</v>
      </c>
      <c r="AD3549">
        <v>12</v>
      </c>
      <c r="AE3549">
        <v>1186</v>
      </c>
      <c r="AF3549">
        <v>27</v>
      </c>
      <c r="AJ3549" t="s">
        <v>4670</v>
      </c>
      <c r="AK3549" t="s">
        <v>4672</v>
      </c>
      <c r="AN3549">
        <v>76</v>
      </c>
      <c r="AO3549">
        <f>6*SQRT(6)</f>
        <v>14.696938456699067</v>
      </c>
      <c r="AP3549">
        <v>34.5</v>
      </c>
      <c r="AQ3549">
        <f>4.5*SQRT(6)</f>
        <v>11.022703842524301</v>
      </c>
      <c r="AW3549" s="28">
        <f t="shared" si="353"/>
        <v>-3.1946714895159296</v>
      </c>
      <c r="AX3549">
        <f t="shared" si="354"/>
        <v>0.92307692307692313</v>
      </c>
      <c r="AY3549" s="62">
        <f t="shared" si="355"/>
        <v>-2.9489275287839352</v>
      </c>
      <c r="AZ3549" s="68" t="str">
        <f t="shared" si="356"/>
        <v>No</v>
      </c>
      <c r="BA3549" s="68" t="str">
        <f t="shared" si="357"/>
        <v>No</v>
      </c>
    </row>
    <row r="3550" spans="1:53" hidden="1">
      <c r="A3550" t="s">
        <v>3914</v>
      </c>
      <c r="G3550" t="s">
        <v>4667</v>
      </c>
      <c r="P3550" t="s">
        <v>4596</v>
      </c>
      <c r="R3550" t="s">
        <v>4676</v>
      </c>
      <c r="S3550" t="s">
        <v>1768</v>
      </c>
      <c r="V3550" t="s">
        <v>4628</v>
      </c>
      <c r="Z3550">
        <v>6</v>
      </c>
      <c r="AA3550">
        <v>6</v>
      </c>
      <c r="AC3550">
        <v>405.8</v>
      </c>
      <c r="AD3550">
        <v>12</v>
      </c>
      <c r="AE3550">
        <v>378.14</v>
      </c>
      <c r="AF3550">
        <v>27</v>
      </c>
      <c r="AJ3550" t="s">
        <v>4668</v>
      </c>
      <c r="AK3550" t="s">
        <v>4637</v>
      </c>
      <c r="AN3550">
        <v>9</v>
      </c>
      <c r="AO3550">
        <f>0.5*SQRT(6)</f>
        <v>1.2247448713915889</v>
      </c>
      <c r="AP3550">
        <v>25</v>
      </c>
      <c r="AQ3550">
        <f>5*SQRT(6)</f>
        <v>12.24744871391589</v>
      </c>
      <c r="AW3550" s="28">
        <f t="shared" si="353"/>
        <v>1.8383519667885637</v>
      </c>
      <c r="AX3550">
        <f t="shared" si="354"/>
        <v>0.92307692307692313</v>
      </c>
      <c r="AY3550" s="62">
        <f t="shared" si="355"/>
        <v>1.6969402770355975</v>
      </c>
      <c r="AZ3550" s="68" t="str">
        <f t="shared" si="356"/>
        <v>No</v>
      </c>
      <c r="BA3550" s="68" t="str">
        <f t="shared" si="357"/>
        <v>No</v>
      </c>
    </row>
    <row r="3551" spans="1:53" hidden="1">
      <c r="A3551" t="s">
        <v>3914</v>
      </c>
      <c r="G3551" t="s">
        <v>4667</v>
      </c>
      <c r="P3551" t="s">
        <v>4596</v>
      </c>
      <c r="R3551" t="s">
        <v>4676</v>
      </c>
      <c r="S3551" t="s">
        <v>1768</v>
      </c>
      <c r="V3551" t="s">
        <v>4626</v>
      </c>
      <c r="Z3551">
        <v>6</v>
      </c>
      <c r="AA3551">
        <v>6</v>
      </c>
      <c r="AC3551">
        <v>405.8</v>
      </c>
      <c r="AD3551">
        <v>12</v>
      </c>
      <c r="AE3551">
        <v>1186</v>
      </c>
      <c r="AF3551">
        <v>27</v>
      </c>
      <c r="AJ3551" t="s">
        <v>4065</v>
      </c>
      <c r="AK3551" t="s">
        <v>4672</v>
      </c>
      <c r="AN3551">
        <v>7</v>
      </c>
      <c r="AO3551">
        <v>0</v>
      </c>
      <c r="AP3551">
        <v>15</v>
      </c>
      <c r="AQ3551">
        <f>5*SQRT(6)</f>
        <v>12.24744871391589</v>
      </c>
      <c r="AW3551" s="28">
        <f t="shared" si="353"/>
        <v>0.9237604307034013</v>
      </c>
      <c r="AX3551">
        <f t="shared" si="354"/>
        <v>0.92307692307692313</v>
      </c>
      <c r="AY3551" s="62">
        <f t="shared" si="355"/>
        <v>0.85270193603390898</v>
      </c>
      <c r="AZ3551" s="68" t="str">
        <f t="shared" si="356"/>
        <v>No</v>
      </c>
      <c r="BA3551" s="68" t="str">
        <f t="shared" si="357"/>
        <v>No</v>
      </c>
    </row>
    <row r="3552" spans="1:53" hidden="1">
      <c r="A3552" t="s">
        <v>3914</v>
      </c>
      <c r="G3552" t="s">
        <v>4667</v>
      </c>
      <c r="P3552" t="s">
        <v>4596</v>
      </c>
      <c r="R3552" t="s">
        <v>4676</v>
      </c>
      <c r="S3552" t="s">
        <v>1768</v>
      </c>
      <c r="V3552" t="s">
        <v>4627</v>
      </c>
      <c r="Z3552">
        <v>6</v>
      </c>
      <c r="AA3552">
        <v>6</v>
      </c>
      <c r="AC3552">
        <v>405.8</v>
      </c>
      <c r="AD3552">
        <v>12</v>
      </c>
      <c r="AE3552">
        <v>3110</v>
      </c>
      <c r="AF3552">
        <v>27</v>
      </c>
      <c r="AJ3552" t="s">
        <v>4065</v>
      </c>
      <c r="AK3552" t="s">
        <v>4672</v>
      </c>
      <c r="AN3552">
        <v>7</v>
      </c>
      <c r="AO3552">
        <v>0</v>
      </c>
      <c r="AP3552">
        <v>22</v>
      </c>
      <c r="AQ3552">
        <f>5*SQRT(6)</f>
        <v>12.24744871391589</v>
      </c>
      <c r="AW3552" s="28">
        <f t="shared" si="353"/>
        <v>1.7320508075688774</v>
      </c>
      <c r="AX3552">
        <f t="shared" si="354"/>
        <v>0.92307692307692313</v>
      </c>
      <c r="AY3552" s="62">
        <f t="shared" si="355"/>
        <v>1.5988161300635793</v>
      </c>
      <c r="AZ3552" s="68" t="str">
        <f t="shared" si="356"/>
        <v>No</v>
      </c>
      <c r="BA3552" s="68" t="str">
        <f t="shared" si="357"/>
        <v>No</v>
      </c>
    </row>
    <row r="3553" spans="1:53" hidden="1">
      <c r="A3553" t="s">
        <v>3914</v>
      </c>
      <c r="G3553" t="s">
        <v>4667</v>
      </c>
      <c r="P3553" t="s">
        <v>4596</v>
      </c>
      <c r="R3553" t="s">
        <v>4676</v>
      </c>
      <c r="S3553" t="s">
        <v>1768</v>
      </c>
      <c r="V3553" t="s">
        <v>4628</v>
      </c>
      <c r="Z3553">
        <v>6</v>
      </c>
      <c r="AA3553">
        <v>6</v>
      </c>
      <c r="AC3553">
        <v>405.8</v>
      </c>
      <c r="AD3553">
        <v>12</v>
      </c>
      <c r="AE3553">
        <v>378.14</v>
      </c>
      <c r="AF3553">
        <v>27</v>
      </c>
      <c r="AJ3553" t="s">
        <v>4670</v>
      </c>
      <c r="AK3553" t="s">
        <v>4672</v>
      </c>
      <c r="AN3553">
        <v>76</v>
      </c>
      <c r="AO3553">
        <f>6*SQRT(6)</f>
        <v>14.696938456699067</v>
      </c>
      <c r="AP3553">
        <v>20</v>
      </c>
      <c r="AQ3553">
        <f>5*SQRT(6)</f>
        <v>12.24744871391589</v>
      </c>
      <c r="AW3553" s="28">
        <f t="shared" si="353"/>
        <v>-4.1396391173456086</v>
      </c>
      <c r="AX3553">
        <f t="shared" si="354"/>
        <v>0.92307692307692313</v>
      </c>
      <c r="AY3553" s="62">
        <f t="shared" si="355"/>
        <v>-3.8212053390882543</v>
      </c>
      <c r="AZ3553" s="68" t="str">
        <f t="shared" si="356"/>
        <v>No</v>
      </c>
      <c r="BA3553" s="68" t="str">
        <f t="shared" si="357"/>
        <v>No</v>
      </c>
    </row>
    <row r="3554" spans="1:53" hidden="1">
      <c r="A3554" t="s">
        <v>3914</v>
      </c>
      <c r="G3554" t="s">
        <v>4667</v>
      </c>
      <c r="P3554" t="s">
        <v>4596</v>
      </c>
      <c r="R3554" t="s">
        <v>4676</v>
      </c>
      <c r="S3554" t="s">
        <v>1768</v>
      </c>
      <c r="V3554" t="s">
        <v>4627</v>
      </c>
      <c r="Z3554">
        <v>6</v>
      </c>
      <c r="AA3554">
        <v>6</v>
      </c>
      <c r="AC3554">
        <v>405.8</v>
      </c>
      <c r="AD3554">
        <v>12</v>
      </c>
      <c r="AE3554">
        <v>3110</v>
      </c>
      <c r="AF3554">
        <v>27</v>
      </c>
      <c r="AJ3554" t="s">
        <v>4670</v>
      </c>
      <c r="AK3554" t="s">
        <v>4672</v>
      </c>
      <c r="AN3554">
        <v>76</v>
      </c>
      <c r="AO3554">
        <f>6*SQRT(6)</f>
        <v>14.696938456699067</v>
      </c>
      <c r="AP3554">
        <v>33</v>
      </c>
      <c r="AQ3554">
        <f>5*SQRT(6)</f>
        <v>12.24744871391589</v>
      </c>
      <c r="AW3554" s="28">
        <f t="shared" si="353"/>
        <v>-3.1786514651046636</v>
      </c>
      <c r="AX3554">
        <f t="shared" si="354"/>
        <v>0.92307692307692313</v>
      </c>
      <c r="AY3554" s="62">
        <f t="shared" si="355"/>
        <v>-2.9341398139427666</v>
      </c>
      <c r="AZ3554" s="68" t="str">
        <f t="shared" si="356"/>
        <v>No</v>
      </c>
      <c r="BA3554" s="68" t="str">
        <f t="shared" si="357"/>
        <v>No</v>
      </c>
    </row>
    <row r="3555" spans="1:53" hidden="1">
      <c r="A3555" t="s">
        <v>3914</v>
      </c>
      <c r="G3555" t="s">
        <v>4667</v>
      </c>
      <c r="P3555" t="s">
        <v>4596</v>
      </c>
      <c r="R3555" t="s">
        <v>4676</v>
      </c>
      <c r="S3555" t="s">
        <v>1768</v>
      </c>
      <c r="V3555" t="s">
        <v>4625</v>
      </c>
      <c r="Z3555">
        <v>6</v>
      </c>
      <c r="AA3555">
        <v>6</v>
      </c>
      <c r="AC3555">
        <v>405.8</v>
      </c>
      <c r="AD3555">
        <v>12</v>
      </c>
      <c r="AE3555">
        <v>413.54</v>
      </c>
      <c r="AF3555">
        <v>20</v>
      </c>
      <c r="AJ3555" t="s">
        <v>4670</v>
      </c>
      <c r="AK3555" t="s">
        <v>4672</v>
      </c>
      <c r="AN3555">
        <v>76</v>
      </c>
      <c r="AO3555">
        <f>6*SQRT(6)</f>
        <v>14.696938456699067</v>
      </c>
      <c r="AP3555">
        <v>54</v>
      </c>
      <c r="AQ3555">
        <f>5.5*SQRT(6)</f>
        <v>13.472193585307478</v>
      </c>
      <c r="AW3555" s="28">
        <f t="shared" si="353"/>
        <v>-1.5605191846901993</v>
      </c>
      <c r="AX3555">
        <f t="shared" si="354"/>
        <v>0.92307692307692313</v>
      </c>
      <c r="AY3555" s="62">
        <f t="shared" si="355"/>
        <v>-1.4404792474063379</v>
      </c>
      <c r="AZ3555" s="68" t="str">
        <f t="shared" si="356"/>
        <v>No</v>
      </c>
      <c r="BA3555" s="68" t="str">
        <f t="shared" si="357"/>
        <v>No</v>
      </c>
    </row>
    <row r="3556" spans="1:53" hidden="1">
      <c r="A3556" t="s">
        <v>3914</v>
      </c>
      <c r="G3556" t="s">
        <v>4667</v>
      </c>
      <c r="P3556" t="s">
        <v>4596</v>
      </c>
      <c r="R3556" t="s">
        <v>4676</v>
      </c>
      <c r="S3556" t="s">
        <v>1768</v>
      </c>
      <c r="V3556" t="s">
        <v>4628</v>
      </c>
      <c r="Z3556">
        <v>6</v>
      </c>
      <c r="AA3556">
        <v>6</v>
      </c>
      <c r="AC3556">
        <v>405.8</v>
      </c>
      <c r="AD3556">
        <v>12</v>
      </c>
      <c r="AE3556">
        <v>378.14</v>
      </c>
      <c r="AF3556">
        <v>27</v>
      </c>
      <c r="AJ3556" t="s">
        <v>4092</v>
      </c>
      <c r="AK3556" t="s">
        <v>4637</v>
      </c>
      <c r="AN3556">
        <v>28</v>
      </c>
      <c r="AO3556">
        <f>11.5*SQRT(6)</f>
        <v>28.169132042006545</v>
      </c>
      <c r="AP3556">
        <v>20.5</v>
      </c>
      <c r="AQ3556">
        <f>5.5*SQRT(6)</f>
        <v>13.472193585307478</v>
      </c>
      <c r="AW3556" s="28">
        <f t="shared" si="353"/>
        <v>-0.33968311024337877</v>
      </c>
      <c r="AX3556">
        <f t="shared" si="354"/>
        <v>0.92307692307692313</v>
      </c>
      <c r="AY3556" s="62">
        <f t="shared" si="355"/>
        <v>-0.31355364022465737</v>
      </c>
      <c r="AZ3556" s="68" t="str">
        <f t="shared" si="356"/>
        <v>No</v>
      </c>
      <c r="BA3556" s="68" t="str">
        <f t="shared" si="357"/>
        <v>No</v>
      </c>
    </row>
    <row r="3557" spans="1:53" hidden="1">
      <c r="A3557" t="s">
        <v>3914</v>
      </c>
      <c r="G3557" t="s">
        <v>4667</v>
      </c>
      <c r="P3557" t="s">
        <v>4596</v>
      </c>
      <c r="R3557" t="s">
        <v>4676</v>
      </c>
      <c r="S3557" t="s">
        <v>1768</v>
      </c>
      <c r="V3557" t="s">
        <v>4628</v>
      </c>
      <c r="Z3557">
        <v>6</v>
      </c>
      <c r="AA3557">
        <v>6</v>
      </c>
      <c r="AC3557">
        <v>405.8</v>
      </c>
      <c r="AD3557">
        <v>12</v>
      </c>
      <c r="AE3557">
        <v>378.14</v>
      </c>
      <c r="AF3557">
        <v>27</v>
      </c>
      <c r="AJ3557" t="s">
        <v>4065</v>
      </c>
      <c r="AK3557" t="s">
        <v>4672</v>
      </c>
      <c r="AN3557">
        <v>7</v>
      </c>
      <c r="AO3557">
        <v>0</v>
      </c>
      <c r="AP3557">
        <v>26</v>
      </c>
      <c r="AQ3557">
        <f>6*SQRT(6)</f>
        <v>14.696938456699067</v>
      </c>
      <c r="AW3557" s="28">
        <f t="shared" si="353"/>
        <v>1.8282758524338152</v>
      </c>
      <c r="AX3557">
        <f t="shared" si="354"/>
        <v>0.92307692307692313</v>
      </c>
      <c r="AY3557" s="62">
        <f t="shared" si="355"/>
        <v>1.6876392484004448</v>
      </c>
      <c r="AZ3557" s="68" t="str">
        <f t="shared" si="356"/>
        <v>No</v>
      </c>
      <c r="BA3557" s="68" t="str">
        <f t="shared" si="357"/>
        <v>No</v>
      </c>
    </row>
    <row r="3558" spans="1:53" hidden="1">
      <c r="A3558" t="s">
        <v>3914</v>
      </c>
      <c r="G3558" t="s">
        <v>4667</v>
      </c>
      <c r="P3558" t="s">
        <v>4596</v>
      </c>
      <c r="R3558" t="s">
        <v>4676</v>
      </c>
      <c r="S3558" t="s">
        <v>1768</v>
      </c>
      <c r="V3558" t="s">
        <v>4627</v>
      </c>
      <c r="Z3558">
        <v>6</v>
      </c>
      <c r="AA3558">
        <v>6</v>
      </c>
      <c r="AC3558">
        <v>405.8</v>
      </c>
      <c r="AD3558">
        <v>12</v>
      </c>
      <c r="AE3558">
        <v>3110</v>
      </c>
      <c r="AF3558">
        <v>27</v>
      </c>
      <c r="AJ3558" t="s">
        <v>4092</v>
      </c>
      <c r="AK3558" t="s">
        <v>4637</v>
      </c>
      <c r="AN3558">
        <v>28</v>
      </c>
      <c r="AO3558">
        <f>11.5*SQRT(6)</f>
        <v>28.169132042006545</v>
      </c>
      <c r="AP3558">
        <v>20.5</v>
      </c>
      <c r="AQ3558">
        <f>6.5*SQRT(6)</f>
        <v>15.921683328090657</v>
      </c>
      <c r="AW3558" s="28">
        <f t="shared" si="353"/>
        <v>-0.32779544953144846</v>
      </c>
      <c r="AX3558">
        <f t="shared" si="354"/>
        <v>0.92307692307692313</v>
      </c>
      <c r="AY3558" s="62">
        <f t="shared" si="355"/>
        <v>-0.3025804149521063</v>
      </c>
      <c r="AZ3558" s="68" t="str">
        <f t="shared" si="356"/>
        <v>No</v>
      </c>
      <c r="BA3558" s="68" t="str">
        <f t="shared" si="357"/>
        <v>No</v>
      </c>
    </row>
    <row r="3559" spans="1:53" hidden="1">
      <c r="A3559" t="s">
        <v>3914</v>
      </c>
      <c r="G3559" t="s">
        <v>4086</v>
      </c>
      <c r="P3559" t="s">
        <v>60</v>
      </c>
      <c r="R3559" t="s">
        <v>4090</v>
      </c>
      <c r="S3559" t="s">
        <v>1768</v>
      </c>
      <c r="V3559" t="s">
        <v>3956</v>
      </c>
      <c r="Z3559">
        <v>6</v>
      </c>
      <c r="AA3559">
        <v>6</v>
      </c>
      <c r="AC3559">
        <v>405.85</v>
      </c>
      <c r="AD3559">
        <v>15.1</v>
      </c>
      <c r="AE3559">
        <v>1230.77</v>
      </c>
      <c r="AF3559">
        <v>15.1</v>
      </c>
      <c r="AJ3559" t="s">
        <v>4092</v>
      </c>
      <c r="AK3559" t="s">
        <v>4093</v>
      </c>
      <c r="AN3559">
        <v>28</v>
      </c>
      <c r="AO3559">
        <v>41.641325627314025</v>
      </c>
      <c r="AP3559">
        <v>22</v>
      </c>
      <c r="AQ3559">
        <v>17.146428199482244</v>
      </c>
      <c r="AW3559" s="28">
        <f t="shared" si="353"/>
        <v>-0.18842228790639834</v>
      </c>
      <c r="AX3559">
        <f t="shared" si="354"/>
        <v>0.92307692307692313</v>
      </c>
      <c r="AY3559" s="62">
        <f t="shared" si="355"/>
        <v>-0.17392826575975232</v>
      </c>
      <c r="AZ3559" s="68" t="str">
        <f t="shared" si="356"/>
        <v>No</v>
      </c>
      <c r="BA3559" s="68" t="str">
        <f t="shared" si="357"/>
        <v>No</v>
      </c>
    </row>
    <row r="3560" spans="1:53" hidden="1">
      <c r="A3560" t="s">
        <v>3914</v>
      </c>
      <c r="G3560" t="s">
        <v>4086</v>
      </c>
      <c r="P3560" t="s">
        <v>60</v>
      </c>
      <c r="R3560" t="s">
        <v>4090</v>
      </c>
      <c r="S3560" t="s">
        <v>1768</v>
      </c>
      <c r="V3560" t="s">
        <v>3956</v>
      </c>
      <c r="Z3560">
        <v>6</v>
      </c>
      <c r="AA3560">
        <v>6</v>
      </c>
      <c r="AC3560">
        <v>405.85</v>
      </c>
      <c r="AD3560">
        <v>15.1</v>
      </c>
      <c r="AE3560">
        <v>3320.95</v>
      </c>
      <c r="AF3560">
        <v>15.1</v>
      </c>
      <c r="AJ3560" t="s">
        <v>4092</v>
      </c>
      <c r="AK3560" t="s">
        <v>4093</v>
      </c>
      <c r="AN3560">
        <v>28</v>
      </c>
      <c r="AO3560">
        <v>41.641325627314025</v>
      </c>
      <c r="AP3560">
        <v>26</v>
      </c>
      <c r="AQ3560">
        <v>17.146428199482244</v>
      </c>
      <c r="AW3560" s="28">
        <f t="shared" si="353"/>
        <v>-6.2807429302132775E-2</v>
      </c>
      <c r="AX3560">
        <f t="shared" si="354"/>
        <v>0.92307692307692313</v>
      </c>
      <c r="AY3560" s="62">
        <f t="shared" si="355"/>
        <v>-5.7976088586584103E-2</v>
      </c>
      <c r="AZ3560" s="68" t="str">
        <f t="shared" si="356"/>
        <v>No</v>
      </c>
      <c r="BA3560" s="68" t="str">
        <f t="shared" si="357"/>
        <v>No</v>
      </c>
    </row>
    <row r="3561" spans="1:53" hidden="1">
      <c r="A3561" t="s">
        <v>3914</v>
      </c>
      <c r="G3561" t="s">
        <v>4667</v>
      </c>
      <c r="P3561" t="s">
        <v>4596</v>
      </c>
      <c r="R3561" t="s">
        <v>4676</v>
      </c>
      <c r="S3561" t="s">
        <v>1768</v>
      </c>
      <c r="V3561" t="s">
        <v>4625</v>
      </c>
      <c r="Z3561">
        <v>6</v>
      </c>
      <c r="AA3561">
        <v>6</v>
      </c>
      <c r="AC3561">
        <v>405.8</v>
      </c>
      <c r="AD3561">
        <v>12</v>
      </c>
      <c r="AE3561">
        <v>413.54</v>
      </c>
      <c r="AF3561">
        <v>20</v>
      </c>
      <c r="AJ3561" t="s">
        <v>4674</v>
      </c>
      <c r="AK3561" t="s">
        <v>4637</v>
      </c>
      <c r="AN3561">
        <v>28</v>
      </c>
      <c r="AO3561">
        <f>11.5*SQRT(6)</f>
        <v>28.169132042006545</v>
      </c>
      <c r="AP3561">
        <v>24</v>
      </c>
      <c r="AQ3561">
        <f>7*SQRT(6)</f>
        <v>17.146428199482244</v>
      </c>
      <c r="AW3561" s="28">
        <f t="shared" si="353"/>
        <v>-0.17153800557404719</v>
      </c>
      <c r="AX3561">
        <f t="shared" si="354"/>
        <v>0.92307692307692313</v>
      </c>
      <c r="AY3561" s="62">
        <f t="shared" si="355"/>
        <v>-0.15834277437604358</v>
      </c>
      <c r="AZ3561" s="68" t="str">
        <f t="shared" si="356"/>
        <v>No</v>
      </c>
      <c r="BA3561" s="68" t="str">
        <f t="shared" si="357"/>
        <v>No</v>
      </c>
    </row>
    <row r="3562" spans="1:53" hidden="1">
      <c r="A3562" t="s">
        <v>3914</v>
      </c>
      <c r="G3562" t="s">
        <v>4667</v>
      </c>
      <c r="P3562" t="s">
        <v>4596</v>
      </c>
      <c r="R3562" t="s">
        <v>4676</v>
      </c>
      <c r="S3562" t="s">
        <v>1768</v>
      </c>
      <c r="V3562" t="s">
        <v>4626</v>
      </c>
      <c r="Z3562">
        <v>6</v>
      </c>
      <c r="AA3562">
        <v>6</v>
      </c>
      <c r="AC3562">
        <v>405.8</v>
      </c>
      <c r="AD3562">
        <v>12</v>
      </c>
      <c r="AE3562">
        <v>1282</v>
      </c>
      <c r="AF3562">
        <v>20</v>
      </c>
      <c r="AJ3562" t="s">
        <v>4092</v>
      </c>
      <c r="AK3562" t="s">
        <v>4637</v>
      </c>
      <c r="AN3562">
        <v>28</v>
      </c>
      <c r="AO3562">
        <f>11.5*SQRT(6)</f>
        <v>28.169132042006545</v>
      </c>
      <c r="AP3562">
        <v>20</v>
      </c>
      <c r="AQ3562">
        <f>7*SQRT(6)</f>
        <v>17.146428199482244</v>
      </c>
      <c r="AW3562" s="28">
        <f t="shared" si="353"/>
        <v>-0.34307601114809438</v>
      </c>
      <c r="AX3562">
        <f t="shared" si="354"/>
        <v>0.92307692307692313</v>
      </c>
      <c r="AY3562" s="62">
        <f t="shared" si="355"/>
        <v>-0.31668554875208715</v>
      </c>
      <c r="AZ3562" s="68" t="str">
        <f t="shared" si="356"/>
        <v>No</v>
      </c>
      <c r="BA3562" s="68" t="str">
        <f t="shared" si="357"/>
        <v>No</v>
      </c>
    </row>
    <row r="3563" spans="1:53" hidden="1">
      <c r="A3563" t="s">
        <v>3914</v>
      </c>
      <c r="G3563" t="s">
        <v>4667</v>
      </c>
      <c r="P3563" t="s">
        <v>4596</v>
      </c>
      <c r="R3563" t="s">
        <v>4676</v>
      </c>
      <c r="S3563" t="s">
        <v>1768</v>
      </c>
      <c r="V3563" t="s">
        <v>4627</v>
      </c>
      <c r="Z3563">
        <v>6</v>
      </c>
      <c r="AA3563">
        <v>6</v>
      </c>
      <c r="AC3563">
        <v>405.8</v>
      </c>
      <c r="AD3563">
        <v>12</v>
      </c>
      <c r="AE3563">
        <v>3278</v>
      </c>
      <c r="AF3563">
        <v>20</v>
      </c>
      <c r="AJ3563" t="s">
        <v>4670</v>
      </c>
      <c r="AK3563" t="s">
        <v>4672</v>
      </c>
      <c r="AN3563">
        <v>76</v>
      </c>
      <c r="AO3563">
        <f>6*SQRT(6)</f>
        <v>14.696938456699067</v>
      </c>
      <c r="AP3563">
        <v>74</v>
      </c>
      <c r="AQ3563">
        <f>8*SQRT(6)</f>
        <v>19.595917942265423</v>
      </c>
      <c r="AW3563" s="28">
        <f t="shared" si="353"/>
        <v>-0.11547005383792516</v>
      </c>
      <c r="AX3563">
        <f t="shared" si="354"/>
        <v>0.92307692307692313</v>
      </c>
      <c r="AY3563" s="62">
        <f t="shared" si="355"/>
        <v>-0.10658774200423862</v>
      </c>
      <c r="AZ3563" s="68" t="str">
        <f t="shared" si="356"/>
        <v>No</v>
      </c>
      <c r="BA3563" s="68" t="str">
        <f t="shared" si="357"/>
        <v>No</v>
      </c>
    </row>
    <row r="3564" spans="1:53" hidden="1">
      <c r="A3564" t="s">
        <v>3914</v>
      </c>
      <c r="G3564" t="s">
        <v>4667</v>
      </c>
      <c r="P3564" t="s">
        <v>4596</v>
      </c>
      <c r="R3564" t="s">
        <v>4676</v>
      </c>
      <c r="S3564" t="s">
        <v>1768</v>
      </c>
      <c r="V3564" t="s">
        <v>4626</v>
      </c>
      <c r="Z3564">
        <v>6</v>
      </c>
      <c r="AA3564">
        <v>6</v>
      </c>
      <c r="AC3564">
        <v>405.8</v>
      </c>
      <c r="AD3564">
        <v>12</v>
      </c>
      <c r="AE3564">
        <v>1282</v>
      </c>
      <c r="AF3564">
        <v>20</v>
      </c>
      <c r="AJ3564" t="s">
        <v>4670</v>
      </c>
      <c r="AK3564" t="s">
        <v>4672</v>
      </c>
      <c r="AN3564">
        <v>76</v>
      </c>
      <c r="AO3564">
        <f>6*SQRT(6)</f>
        <v>14.696938456699067</v>
      </c>
      <c r="AP3564">
        <v>50</v>
      </c>
      <c r="AQ3564">
        <f>8.5*SQRT(6)</f>
        <v>20.820662813657012</v>
      </c>
      <c r="AW3564" s="28">
        <f t="shared" si="353"/>
        <v>-1.442775530606444</v>
      </c>
      <c r="AX3564">
        <f t="shared" si="354"/>
        <v>0.92307692307692313</v>
      </c>
      <c r="AY3564" s="62">
        <f t="shared" si="355"/>
        <v>-1.3317927974828714</v>
      </c>
      <c r="AZ3564" s="68" t="str">
        <f t="shared" si="356"/>
        <v>No</v>
      </c>
      <c r="BA3564" s="68" t="str">
        <f t="shared" si="357"/>
        <v>No</v>
      </c>
    </row>
    <row r="3565" spans="1:53" hidden="1">
      <c r="A3565" t="s">
        <v>3914</v>
      </c>
      <c r="G3565" t="s">
        <v>4667</v>
      </c>
      <c r="P3565" t="s">
        <v>4596</v>
      </c>
      <c r="R3565" t="s">
        <v>4676</v>
      </c>
      <c r="S3565" t="s">
        <v>1768</v>
      </c>
      <c r="V3565" t="s">
        <v>4627</v>
      </c>
      <c r="Z3565">
        <v>6</v>
      </c>
      <c r="AA3565">
        <v>6</v>
      </c>
      <c r="AC3565">
        <v>405.8</v>
      </c>
      <c r="AD3565">
        <v>12</v>
      </c>
      <c r="AE3565">
        <v>3278</v>
      </c>
      <c r="AF3565">
        <v>20</v>
      </c>
      <c r="AJ3565" t="s">
        <v>4092</v>
      </c>
      <c r="AK3565" t="s">
        <v>4637</v>
      </c>
      <c r="AN3565">
        <v>28</v>
      </c>
      <c r="AO3565">
        <f>11.5*SQRT(6)</f>
        <v>28.169132042006545</v>
      </c>
      <c r="AP3565">
        <v>40</v>
      </c>
      <c r="AQ3565">
        <f>9.5*SQRT(6)</f>
        <v>23.270152556440191</v>
      </c>
      <c r="AW3565" s="28">
        <f t="shared" si="353"/>
        <v>0.46446779982971015</v>
      </c>
      <c r="AX3565">
        <f t="shared" si="354"/>
        <v>0.92307692307692313</v>
      </c>
      <c r="AY3565" s="62">
        <f t="shared" si="355"/>
        <v>0.42873950753511708</v>
      </c>
      <c r="AZ3565" s="68" t="str">
        <f t="shared" si="356"/>
        <v>No</v>
      </c>
      <c r="BA3565" s="68" t="str">
        <f t="shared" si="357"/>
        <v>No</v>
      </c>
    </row>
    <row r="3566" spans="1:53" hidden="1">
      <c r="A3566" t="s">
        <v>3914</v>
      </c>
      <c r="G3566" t="s">
        <v>4087</v>
      </c>
      <c r="P3566" t="s">
        <v>60</v>
      </c>
      <c r="R3566" t="s">
        <v>4090</v>
      </c>
      <c r="S3566" t="s">
        <v>1768</v>
      </c>
      <c r="V3566" t="s">
        <v>3956</v>
      </c>
      <c r="Z3566">
        <v>4</v>
      </c>
      <c r="AA3566">
        <v>4</v>
      </c>
      <c r="AC3566">
        <v>499</v>
      </c>
      <c r="AD3566">
        <v>19.5</v>
      </c>
      <c r="AE3566">
        <v>981.5</v>
      </c>
      <c r="AF3566">
        <v>19.5</v>
      </c>
      <c r="AJ3566" t="s">
        <v>4059</v>
      </c>
      <c r="AK3566" t="s">
        <v>4093</v>
      </c>
      <c r="AN3566">
        <v>18</v>
      </c>
      <c r="AO3566">
        <v>15.75</v>
      </c>
      <c r="AP3566">
        <v>26</v>
      </c>
      <c r="AQ3566">
        <v>20.408163265306122</v>
      </c>
      <c r="AW3566" s="28">
        <f t="shared" si="353"/>
        <v>0.43887345612649853</v>
      </c>
      <c r="AX3566">
        <f t="shared" si="354"/>
        <v>0.86956521739130432</v>
      </c>
      <c r="AY3566" s="62">
        <f t="shared" si="355"/>
        <v>0.38162909228391173</v>
      </c>
      <c r="AZ3566" s="68" t="str">
        <f t="shared" si="356"/>
        <v>No</v>
      </c>
      <c r="BA3566" s="68" t="str">
        <f t="shared" si="357"/>
        <v>No</v>
      </c>
    </row>
    <row r="3567" spans="1:53" hidden="1">
      <c r="A3567" t="s">
        <v>3914</v>
      </c>
      <c r="G3567" t="s">
        <v>4087</v>
      </c>
      <c r="P3567" t="s">
        <v>60</v>
      </c>
      <c r="R3567" t="s">
        <v>4090</v>
      </c>
      <c r="S3567" t="s">
        <v>1768</v>
      </c>
      <c r="V3567" t="s">
        <v>3956</v>
      </c>
      <c r="Z3567">
        <v>4</v>
      </c>
      <c r="AA3567">
        <v>4</v>
      </c>
      <c r="AC3567">
        <v>499</v>
      </c>
      <c r="AD3567">
        <v>19.5</v>
      </c>
      <c r="AE3567">
        <v>2750</v>
      </c>
      <c r="AF3567">
        <v>19.5</v>
      </c>
      <c r="AJ3567" t="s">
        <v>4059</v>
      </c>
      <c r="AK3567" t="s">
        <v>4093</v>
      </c>
      <c r="AN3567">
        <v>18</v>
      </c>
      <c r="AO3567">
        <v>15.75</v>
      </c>
      <c r="AP3567">
        <v>20</v>
      </c>
      <c r="AQ3567">
        <v>20.408163265306122</v>
      </c>
      <c r="AW3567" s="28">
        <f t="shared" si="353"/>
        <v>0.10971836403162463</v>
      </c>
      <c r="AX3567">
        <f t="shared" si="354"/>
        <v>0.86956521739130432</v>
      </c>
      <c r="AY3567" s="62">
        <f t="shared" si="355"/>
        <v>9.5407273070977933E-2</v>
      </c>
      <c r="AZ3567" s="68" t="str">
        <f t="shared" si="356"/>
        <v>No</v>
      </c>
      <c r="BA3567" s="68" t="str">
        <f t="shared" si="357"/>
        <v>No</v>
      </c>
    </row>
    <row r="3568" spans="1:53" hidden="1">
      <c r="A3568" t="s">
        <v>3914</v>
      </c>
      <c r="G3568" t="s">
        <v>4094</v>
      </c>
      <c r="P3568" t="s">
        <v>60</v>
      </c>
      <c r="R3568" t="s">
        <v>4116</v>
      </c>
      <c r="S3568" t="s">
        <v>1007</v>
      </c>
      <c r="V3568" t="s">
        <v>3956</v>
      </c>
      <c r="Z3568">
        <v>5</v>
      </c>
      <c r="AA3568">
        <v>5</v>
      </c>
      <c r="AC3568">
        <v>375</v>
      </c>
      <c r="AD3568">
        <v>18</v>
      </c>
      <c r="AE3568">
        <v>1000</v>
      </c>
      <c r="AF3568">
        <v>18</v>
      </c>
      <c r="AJ3568" t="s">
        <v>4218</v>
      </c>
      <c r="AK3568" t="s">
        <v>4244</v>
      </c>
      <c r="AN3568">
        <v>77</v>
      </c>
      <c r="AO3568">
        <v>1.7888543819998319</v>
      </c>
      <c r="AP3568">
        <v>72</v>
      </c>
      <c r="AQ3568">
        <v>1.7888543819998319</v>
      </c>
      <c r="AW3568" s="28">
        <f t="shared" si="353"/>
        <v>-2.7950849718747368</v>
      </c>
      <c r="AX3568">
        <f t="shared" si="354"/>
        <v>0.90322580645161288</v>
      </c>
      <c r="AY3568" s="62">
        <f t="shared" si="355"/>
        <v>-2.524592877822343</v>
      </c>
      <c r="AZ3568" s="68" t="str">
        <f t="shared" si="356"/>
        <v>No</v>
      </c>
      <c r="BA3568" s="68" t="str">
        <f t="shared" si="357"/>
        <v>No</v>
      </c>
    </row>
    <row r="3569" spans="1:55" hidden="1">
      <c r="A3569" t="s">
        <v>3914</v>
      </c>
      <c r="G3569" t="s">
        <v>4094</v>
      </c>
      <c r="P3569" t="s">
        <v>60</v>
      </c>
      <c r="R3569" t="s">
        <v>4116</v>
      </c>
      <c r="S3569" t="s">
        <v>1007</v>
      </c>
      <c r="V3569" t="s">
        <v>3956</v>
      </c>
      <c r="Z3569">
        <v>4</v>
      </c>
      <c r="AA3569">
        <v>4</v>
      </c>
      <c r="AC3569">
        <v>375</v>
      </c>
      <c r="AD3569">
        <v>18</v>
      </c>
      <c r="AE3569">
        <v>1000</v>
      </c>
      <c r="AF3569">
        <v>18</v>
      </c>
      <c r="AJ3569" t="s">
        <v>2020</v>
      </c>
      <c r="AK3569" t="s">
        <v>4093</v>
      </c>
      <c r="AN3569">
        <v>89</v>
      </c>
      <c r="AO3569">
        <v>2</v>
      </c>
      <c r="AP3569">
        <v>69</v>
      </c>
      <c r="AQ3569">
        <v>6</v>
      </c>
      <c r="AW3569" s="28">
        <f t="shared" si="353"/>
        <v>-4.4721359549995796</v>
      </c>
      <c r="AX3569">
        <f t="shared" si="354"/>
        <v>0.86956521739130432</v>
      </c>
      <c r="AY3569" s="62">
        <f t="shared" si="355"/>
        <v>-3.8888138739126776</v>
      </c>
      <c r="AZ3569" s="68" t="str">
        <f t="shared" si="356"/>
        <v>No</v>
      </c>
      <c r="BA3569" s="68" t="str">
        <f t="shared" si="357"/>
        <v>No</v>
      </c>
    </row>
    <row r="3570" spans="1:55" hidden="1">
      <c r="A3570" t="s">
        <v>3914</v>
      </c>
      <c r="G3570" t="s">
        <v>4094</v>
      </c>
      <c r="P3570" t="s">
        <v>60</v>
      </c>
      <c r="R3570" t="s">
        <v>4116</v>
      </c>
      <c r="S3570" t="s">
        <v>1007</v>
      </c>
      <c r="V3570" t="s">
        <v>3956</v>
      </c>
      <c r="Z3570">
        <v>5</v>
      </c>
      <c r="AA3570">
        <v>5</v>
      </c>
      <c r="AC3570">
        <v>375</v>
      </c>
      <c r="AD3570">
        <v>18</v>
      </c>
      <c r="AE3570">
        <v>1000</v>
      </c>
      <c r="AF3570">
        <v>18</v>
      </c>
      <c r="AJ3570" t="s">
        <v>2031</v>
      </c>
      <c r="AK3570" t="s">
        <v>4151</v>
      </c>
      <c r="AN3570">
        <v>2</v>
      </c>
      <c r="AO3570">
        <v>2.2360679774997898</v>
      </c>
      <c r="AP3570">
        <v>47</v>
      </c>
      <c r="AQ3570">
        <v>13.416407864998739</v>
      </c>
      <c r="AW3570" s="28">
        <f t="shared" si="353"/>
        <v>4.6788772041903268</v>
      </c>
      <c r="AX3570">
        <f t="shared" si="354"/>
        <v>0.90322580645161288</v>
      </c>
      <c r="AY3570" s="62">
        <f t="shared" si="355"/>
        <v>4.226082636042876</v>
      </c>
      <c r="AZ3570" s="68" t="str">
        <f t="shared" si="356"/>
        <v>No</v>
      </c>
      <c r="BA3570" s="68" t="str">
        <f t="shared" si="357"/>
        <v>No</v>
      </c>
    </row>
    <row r="3571" spans="1:55" hidden="1">
      <c r="A3571" t="s">
        <v>3914</v>
      </c>
      <c r="G3571" t="s">
        <v>4094</v>
      </c>
      <c r="P3571" t="s">
        <v>60</v>
      </c>
      <c r="R3571" t="s">
        <v>4116</v>
      </c>
      <c r="S3571" t="s">
        <v>1007</v>
      </c>
      <c r="V3571" t="s">
        <v>3956</v>
      </c>
      <c r="Z3571">
        <v>5</v>
      </c>
      <c r="AA3571">
        <v>5</v>
      </c>
      <c r="AC3571">
        <v>375</v>
      </c>
      <c r="AD3571">
        <v>18</v>
      </c>
      <c r="AE3571">
        <v>1000</v>
      </c>
      <c r="AF3571">
        <v>18</v>
      </c>
      <c r="AJ3571" t="s">
        <v>4135</v>
      </c>
      <c r="AK3571" t="s">
        <v>4151</v>
      </c>
      <c r="AN3571">
        <v>89</v>
      </c>
      <c r="AO3571">
        <v>8.9442719099991592</v>
      </c>
      <c r="AP3571">
        <v>64</v>
      </c>
      <c r="AQ3571">
        <v>17.888543819998318</v>
      </c>
      <c r="AW3571" s="28">
        <f t="shared" si="353"/>
        <v>-1.7677669529663687</v>
      </c>
      <c r="AX3571">
        <f t="shared" si="354"/>
        <v>0.90322580645161288</v>
      </c>
      <c r="AY3571" s="62">
        <f t="shared" si="355"/>
        <v>-1.5966927317115587</v>
      </c>
      <c r="AZ3571" s="68" t="str">
        <f t="shared" si="356"/>
        <v>No</v>
      </c>
      <c r="BA3571" s="68" t="str">
        <f t="shared" si="357"/>
        <v>No</v>
      </c>
    </row>
    <row r="3572" spans="1:55" hidden="1">
      <c r="A3572" t="s">
        <v>3914</v>
      </c>
      <c r="G3572" t="s">
        <v>4096</v>
      </c>
      <c r="P3572" t="s">
        <v>4596</v>
      </c>
      <c r="R3572" t="s">
        <v>4664</v>
      </c>
      <c r="S3572" t="s">
        <v>1759</v>
      </c>
      <c r="V3572" t="s">
        <v>4598</v>
      </c>
      <c r="Z3572">
        <v>3</v>
      </c>
      <c r="AA3572">
        <v>3</v>
      </c>
      <c r="AC3572">
        <v>375</v>
      </c>
      <c r="AD3572">
        <v>18</v>
      </c>
      <c r="AE3572">
        <v>375</v>
      </c>
      <c r="AF3572">
        <v>22</v>
      </c>
      <c r="AJ3572" t="s">
        <v>1106</v>
      </c>
      <c r="AK3572" t="s">
        <v>4642</v>
      </c>
      <c r="AN3572">
        <v>67</v>
      </c>
      <c r="AO3572">
        <v>0.76901335694602024</v>
      </c>
      <c r="AP3572">
        <v>73</v>
      </c>
      <c r="AQ3572">
        <v>0.3032036424628432</v>
      </c>
      <c r="AW3572" s="28">
        <f t="shared" si="353"/>
        <v>10.264932345842533</v>
      </c>
      <c r="AX3572">
        <f t="shared" si="354"/>
        <v>0.8</v>
      </c>
      <c r="AY3572" s="62">
        <f t="shared" si="355"/>
        <v>8.2119458766740276</v>
      </c>
      <c r="AZ3572" s="68" t="str">
        <f t="shared" si="356"/>
        <v>No</v>
      </c>
      <c r="BA3572" s="68" t="str">
        <f t="shared" si="357"/>
        <v>No</v>
      </c>
    </row>
    <row r="3573" spans="1:55" hidden="1">
      <c r="A3573" t="s">
        <v>3914</v>
      </c>
      <c r="G3573" t="s">
        <v>4096</v>
      </c>
      <c r="P3573" t="s">
        <v>4596</v>
      </c>
      <c r="R3573" t="s">
        <v>4664</v>
      </c>
      <c r="S3573" t="s">
        <v>1007</v>
      </c>
      <c r="V3573" t="s">
        <v>4598</v>
      </c>
      <c r="Z3573">
        <v>3</v>
      </c>
      <c r="AA3573">
        <v>3</v>
      </c>
      <c r="AC3573">
        <v>375</v>
      </c>
      <c r="AD3573">
        <v>18</v>
      </c>
      <c r="AE3573">
        <v>375</v>
      </c>
      <c r="AF3573">
        <v>22</v>
      </c>
      <c r="AJ3573" t="s">
        <v>1106</v>
      </c>
      <c r="AK3573" t="s">
        <v>4642</v>
      </c>
      <c r="AN3573">
        <v>62</v>
      </c>
      <c r="AO3573">
        <v>0.44521825928442899</v>
      </c>
      <c r="AP3573">
        <v>72</v>
      </c>
      <c r="AQ3573">
        <v>0.62662086108975934</v>
      </c>
      <c r="AW3573" s="28">
        <f t="shared" si="353"/>
        <v>18.397886041464293</v>
      </c>
      <c r="AX3573">
        <f t="shared" si="354"/>
        <v>0.8</v>
      </c>
      <c r="AY3573" s="62">
        <f t="shared" si="355"/>
        <v>14.718308833171434</v>
      </c>
      <c r="AZ3573" s="68" t="str">
        <f t="shared" si="356"/>
        <v>Yes</v>
      </c>
      <c r="BA3573" s="68" t="str">
        <f t="shared" si="357"/>
        <v>No</v>
      </c>
    </row>
    <row r="3574" spans="1:55" hidden="1">
      <c r="A3574" t="s">
        <v>3914</v>
      </c>
      <c r="G3574" t="s">
        <v>4096</v>
      </c>
      <c r="P3574" t="s">
        <v>4596</v>
      </c>
      <c r="R3574" t="s">
        <v>4664</v>
      </c>
      <c r="S3574" t="s">
        <v>1007</v>
      </c>
      <c r="V3574" t="s">
        <v>4600</v>
      </c>
      <c r="Z3574">
        <v>3</v>
      </c>
      <c r="AA3574">
        <v>3</v>
      </c>
      <c r="AC3574">
        <v>375</v>
      </c>
      <c r="AD3574">
        <v>18</v>
      </c>
      <c r="AE3574">
        <v>1000</v>
      </c>
      <c r="AF3574">
        <v>22</v>
      </c>
      <c r="AJ3574" t="s">
        <v>1106</v>
      </c>
      <c r="AK3574" t="s">
        <v>4642</v>
      </c>
      <c r="AN3574">
        <v>62</v>
      </c>
      <c r="AO3574">
        <v>0.44521825928442854</v>
      </c>
      <c r="AP3574">
        <v>60</v>
      </c>
      <c r="AQ3574">
        <v>0.7681158942391445</v>
      </c>
      <c r="AW3574" s="28">
        <f t="shared" si="353"/>
        <v>-3.1858175708638172</v>
      </c>
      <c r="AX3574">
        <f t="shared" si="354"/>
        <v>0.8</v>
      </c>
      <c r="AY3574" s="62">
        <f t="shared" si="355"/>
        <v>-2.548654056691054</v>
      </c>
      <c r="AZ3574" s="68" t="str">
        <f t="shared" si="356"/>
        <v>No</v>
      </c>
      <c r="BA3574" s="68" t="str">
        <f t="shared" si="357"/>
        <v>No</v>
      </c>
    </row>
    <row r="3575" spans="1:55" s="77" customFormat="1" hidden="1">
      <c r="A3575" t="s">
        <v>3914</v>
      </c>
      <c r="B3575"/>
      <c r="C3575"/>
      <c r="D3575" s="25"/>
      <c r="E3575" s="25"/>
      <c r="F3575"/>
      <c r="G3575" t="s">
        <v>4096</v>
      </c>
      <c r="H3575"/>
      <c r="I3575"/>
      <c r="J3575"/>
      <c r="K3575"/>
      <c r="L3575"/>
      <c r="M3575" s="25"/>
      <c r="N3575"/>
      <c r="O3575"/>
      <c r="P3575" t="s">
        <v>4596</v>
      </c>
      <c r="Q3575"/>
      <c r="R3575" t="s">
        <v>4664</v>
      </c>
      <c r="S3575" t="s">
        <v>1759</v>
      </c>
      <c r="T3575"/>
      <c r="U3575"/>
      <c r="V3575" t="s">
        <v>4600</v>
      </c>
      <c r="W3575" s="25"/>
      <c r="X3575"/>
      <c r="Y3575"/>
      <c r="Z3575">
        <v>3</v>
      </c>
      <c r="AA3575">
        <v>3</v>
      </c>
      <c r="AB3575"/>
      <c r="AC3575">
        <v>375</v>
      </c>
      <c r="AD3575">
        <v>18</v>
      </c>
      <c r="AE3575">
        <v>1000</v>
      </c>
      <c r="AF3575">
        <v>22</v>
      </c>
      <c r="AG3575"/>
      <c r="AH3575"/>
      <c r="AI3575"/>
      <c r="AJ3575" t="s">
        <v>1106</v>
      </c>
      <c r="AK3575" t="s">
        <v>4642</v>
      </c>
      <c r="AL3575" s="25"/>
      <c r="AM3575" s="35"/>
      <c r="AN3575">
        <v>67</v>
      </c>
      <c r="AO3575">
        <v>0.76901335694602024</v>
      </c>
      <c r="AP3575">
        <v>67</v>
      </c>
      <c r="AQ3575">
        <v>0.92982450355257795</v>
      </c>
      <c r="AR3575"/>
      <c r="AS3575"/>
      <c r="AT3575"/>
      <c r="AU3575"/>
      <c r="AV3575"/>
      <c r="AW3575" s="28">
        <f t="shared" si="353"/>
        <v>0</v>
      </c>
      <c r="AX3575">
        <f t="shared" si="354"/>
        <v>0.8</v>
      </c>
      <c r="AY3575" s="62">
        <f t="shared" si="355"/>
        <v>0</v>
      </c>
      <c r="AZ3575" s="68" t="str">
        <f t="shared" si="356"/>
        <v>No</v>
      </c>
      <c r="BA3575" s="68" t="str">
        <f t="shared" si="357"/>
        <v>No</v>
      </c>
      <c r="BB3575"/>
      <c r="BC3575"/>
    </row>
    <row r="3576" spans="1:55" s="77" customFormat="1" hidden="1">
      <c r="A3576" t="s">
        <v>3914</v>
      </c>
      <c r="B3576"/>
      <c r="C3576"/>
      <c r="D3576" s="25"/>
      <c r="E3576" s="25"/>
      <c r="F3576"/>
      <c r="G3576" t="s">
        <v>4096</v>
      </c>
      <c r="H3576"/>
      <c r="I3576"/>
      <c r="J3576"/>
      <c r="K3576"/>
      <c r="L3576"/>
      <c r="M3576" s="25"/>
      <c r="N3576"/>
      <c r="O3576"/>
      <c r="P3576" t="s">
        <v>4596</v>
      </c>
      <c r="Q3576"/>
      <c r="R3576" t="s">
        <v>4664</v>
      </c>
      <c r="S3576" t="s">
        <v>1007</v>
      </c>
      <c r="T3576"/>
      <c r="U3576"/>
      <c r="V3576" t="s">
        <v>4600</v>
      </c>
      <c r="W3576" s="25"/>
      <c r="X3576"/>
      <c r="Y3576"/>
      <c r="Z3576">
        <v>3</v>
      </c>
      <c r="AA3576">
        <v>3</v>
      </c>
      <c r="AB3576"/>
      <c r="AC3576">
        <v>375</v>
      </c>
      <c r="AD3576">
        <v>18</v>
      </c>
      <c r="AE3576">
        <v>1000</v>
      </c>
      <c r="AF3576">
        <v>22</v>
      </c>
      <c r="AG3576"/>
      <c r="AH3576"/>
      <c r="AI3576"/>
      <c r="AJ3576" t="s">
        <v>40</v>
      </c>
      <c r="AK3576" t="s">
        <v>4642</v>
      </c>
      <c r="AL3576" s="25"/>
      <c r="AM3576" s="35"/>
      <c r="AN3576">
        <v>4</v>
      </c>
      <c r="AO3576">
        <v>1.7413886889443679</v>
      </c>
      <c r="AP3576">
        <v>4</v>
      </c>
      <c r="AQ3576">
        <v>0.95902565478095281</v>
      </c>
      <c r="AR3576"/>
      <c r="AS3576"/>
      <c r="AT3576"/>
      <c r="AU3576"/>
      <c r="AV3576"/>
      <c r="AW3576" s="28">
        <f t="shared" si="353"/>
        <v>0</v>
      </c>
      <c r="AX3576">
        <f t="shared" si="354"/>
        <v>0.8</v>
      </c>
      <c r="AY3576" s="62">
        <f t="shared" si="355"/>
        <v>0</v>
      </c>
      <c r="AZ3576" s="68" t="str">
        <f t="shared" si="356"/>
        <v>No</v>
      </c>
      <c r="BA3576" s="68" t="str">
        <f t="shared" si="357"/>
        <v>No</v>
      </c>
      <c r="BB3576"/>
      <c r="BC3576"/>
    </row>
    <row r="3577" spans="1:55" s="77" customFormat="1" hidden="1">
      <c r="A3577" t="s">
        <v>3914</v>
      </c>
      <c r="B3577"/>
      <c r="C3577"/>
      <c r="D3577" s="25"/>
      <c r="E3577" s="25"/>
      <c r="F3577"/>
      <c r="G3577" t="s">
        <v>4096</v>
      </c>
      <c r="H3577"/>
      <c r="I3577"/>
      <c r="J3577"/>
      <c r="K3577"/>
      <c r="L3577"/>
      <c r="M3577" s="25"/>
      <c r="N3577"/>
      <c r="O3577"/>
      <c r="P3577" t="s">
        <v>60</v>
      </c>
      <c r="Q3577"/>
      <c r="R3577" t="s">
        <v>4116</v>
      </c>
      <c r="S3577" t="s">
        <v>1759</v>
      </c>
      <c r="T3577"/>
      <c r="U3577"/>
      <c r="V3577" t="s">
        <v>3956</v>
      </c>
      <c r="W3577" s="25"/>
      <c r="X3577"/>
      <c r="Y3577"/>
      <c r="Z3577">
        <v>3</v>
      </c>
      <c r="AA3577">
        <v>3</v>
      </c>
      <c r="AB3577"/>
      <c r="AC3577">
        <v>375</v>
      </c>
      <c r="AD3577">
        <v>18</v>
      </c>
      <c r="AE3577">
        <v>1000</v>
      </c>
      <c r="AF3577">
        <v>18</v>
      </c>
      <c r="AG3577"/>
      <c r="AH3577"/>
      <c r="AI3577"/>
      <c r="AJ3577" t="s">
        <v>1106</v>
      </c>
      <c r="AK3577" t="s">
        <v>4244</v>
      </c>
      <c r="AL3577" s="25"/>
      <c r="AM3577" s="35"/>
      <c r="AN3577">
        <v>74.5</v>
      </c>
      <c r="AO3577">
        <v>0.8660254037844386</v>
      </c>
      <c r="AP3577">
        <v>63</v>
      </c>
      <c r="AQ3577">
        <v>1.2124355652982139</v>
      </c>
      <c r="AR3577"/>
      <c r="AS3577"/>
      <c r="AT3577"/>
      <c r="AU3577"/>
      <c r="AV3577"/>
      <c r="AW3577" s="28">
        <f t="shared" si="353"/>
        <v>-10.91531695115374</v>
      </c>
      <c r="AX3577">
        <f t="shared" si="354"/>
        <v>0.8</v>
      </c>
      <c r="AY3577" s="62">
        <f t="shared" si="355"/>
        <v>-8.7322535609229917</v>
      </c>
      <c r="AZ3577" s="68" t="str">
        <f t="shared" si="356"/>
        <v>No</v>
      </c>
      <c r="BA3577" s="68" t="str">
        <f t="shared" si="357"/>
        <v>No</v>
      </c>
      <c r="BB3577"/>
      <c r="BC3577"/>
    </row>
    <row r="3578" spans="1:55" s="77" customFormat="1" hidden="1">
      <c r="A3578" t="s">
        <v>3914</v>
      </c>
      <c r="B3578"/>
      <c r="C3578"/>
      <c r="D3578" s="25"/>
      <c r="E3578" s="25"/>
      <c r="F3578"/>
      <c r="G3578" t="s">
        <v>4096</v>
      </c>
      <c r="H3578"/>
      <c r="I3578"/>
      <c r="J3578"/>
      <c r="K3578"/>
      <c r="L3578"/>
      <c r="M3578" s="25"/>
      <c r="N3578"/>
      <c r="O3578"/>
      <c r="P3578" t="s">
        <v>4596</v>
      </c>
      <c r="Q3578"/>
      <c r="R3578" t="s">
        <v>4664</v>
      </c>
      <c r="S3578" t="s">
        <v>1759</v>
      </c>
      <c r="T3578"/>
      <c r="U3578"/>
      <c r="V3578" t="s">
        <v>4598</v>
      </c>
      <c r="W3578" s="25"/>
      <c r="X3578"/>
      <c r="Y3578"/>
      <c r="Z3578">
        <v>3</v>
      </c>
      <c r="AA3578">
        <v>3</v>
      </c>
      <c r="AB3578"/>
      <c r="AC3578">
        <v>375</v>
      </c>
      <c r="AD3578">
        <v>18</v>
      </c>
      <c r="AE3578">
        <v>375</v>
      </c>
      <c r="AF3578">
        <v>22</v>
      </c>
      <c r="AG3578"/>
      <c r="AH3578"/>
      <c r="AI3578"/>
      <c r="AJ3578" t="s">
        <v>40</v>
      </c>
      <c r="AK3578" t="s">
        <v>4642</v>
      </c>
      <c r="AL3578" s="25"/>
      <c r="AM3578" s="35"/>
      <c r="AN3578">
        <v>22</v>
      </c>
      <c r="AO3578">
        <v>3.0789771021914016</v>
      </c>
      <c r="AP3578">
        <v>50</v>
      </c>
      <c r="AQ3578">
        <v>1.3628259304782233</v>
      </c>
      <c r="AR3578"/>
      <c r="AS3578"/>
      <c r="AT3578"/>
      <c r="AU3578"/>
      <c r="AV3578"/>
      <c r="AW3578" s="28">
        <f t="shared" si="353"/>
        <v>11.760245815159056</v>
      </c>
      <c r="AX3578">
        <f t="shared" si="354"/>
        <v>0.8</v>
      </c>
      <c r="AY3578" s="62">
        <f t="shared" si="355"/>
        <v>9.4081966521272449</v>
      </c>
      <c r="AZ3578" s="68" t="str">
        <f t="shared" si="356"/>
        <v>No</v>
      </c>
      <c r="BA3578" s="68" t="str">
        <f t="shared" si="357"/>
        <v>No</v>
      </c>
      <c r="BB3578"/>
      <c r="BC3578"/>
    </row>
    <row r="3579" spans="1:55" s="77" customFormat="1" hidden="1">
      <c r="A3579" t="s">
        <v>3914</v>
      </c>
      <c r="B3579"/>
      <c r="C3579"/>
      <c r="D3579" s="25"/>
      <c r="E3579" s="25"/>
      <c r="F3579"/>
      <c r="G3579" t="s">
        <v>4096</v>
      </c>
      <c r="H3579"/>
      <c r="I3579"/>
      <c r="J3579"/>
      <c r="K3579"/>
      <c r="L3579"/>
      <c r="M3579" s="25"/>
      <c r="N3579"/>
      <c r="O3579"/>
      <c r="P3579" t="s">
        <v>60</v>
      </c>
      <c r="Q3579"/>
      <c r="R3579" t="s">
        <v>4116</v>
      </c>
      <c r="S3579" t="s">
        <v>1759</v>
      </c>
      <c r="T3579"/>
      <c r="U3579"/>
      <c r="V3579" t="s">
        <v>3956</v>
      </c>
      <c r="W3579" s="25"/>
      <c r="X3579"/>
      <c r="Y3579"/>
      <c r="Z3579">
        <v>3</v>
      </c>
      <c r="AA3579">
        <v>3</v>
      </c>
      <c r="AB3579"/>
      <c r="AC3579">
        <v>375</v>
      </c>
      <c r="AD3579">
        <v>18</v>
      </c>
      <c r="AE3579">
        <v>1000</v>
      </c>
      <c r="AF3579">
        <v>18</v>
      </c>
      <c r="AG3579"/>
      <c r="AH3579"/>
      <c r="AI3579"/>
      <c r="AJ3579" t="s">
        <v>1813</v>
      </c>
      <c r="AK3579" t="s">
        <v>4093</v>
      </c>
      <c r="AL3579" s="25"/>
      <c r="AM3579" s="35"/>
      <c r="AN3579">
        <v>90</v>
      </c>
      <c r="AO3579">
        <v>2.598076211353316</v>
      </c>
      <c r="AP3579">
        <v>66</v>
      </c>
      <c r="AQ3579">
        <v>1.7320508075688772</v>
      </c>
      <c r="AR3579"/>
      <c r="AS3579"/>
      <c r="AT3579"/>
      <c r="AU3579"/>
      <c r="AV3579"/>
      <c r="AW3579" s="28">
        <f t="shared" si="353"/>
        <v>-10.869859527788119</v>
      </c>
      <c r="AX3579">
        <f t="shared" si="354"/>
        <v>0.8</v>
      </c>
      <c r="AY3579" s="62">
        <f t="shared" si="355"/>
        <v>-8.6958876222304955</v>
      </c>
      <c r="AZ3579" s="68" t="str">
        <f t="shared" si="356"/>
        <v>No</v>
      </c>
      <c r="BA3579" s="68" t="str">
        <f t="shared" si="357"/>
        <v>No</v>
      </c>
      <c r="BB3579"/>
      <c r="BC3579"/>
    </row>
    <row r="3580" spans="1:55" hidden="1">
      <c r="A3580" t="s">
        <v>3914</v>
      </c>
      <c r="G3580" t="s">
        <v>4096</v>
      </c>
      <c r="P3580" t="s">
        <v>60</v>
      </c>
      <c r="R3580" t="s">
        <v>4116</v>
      </c>
      <c r="S3580" t="s">
        <v>1007</v>
      </c>
      <c r="V3580" t="s">
        <v>3956</v>
      </c>
      <c r="Z3580">
        <v>3</v>
      </c>
      <c r="AA3580">
        <v>3</v>
      </c>
      <c r="AC3580">
        <v>375</v>
      </c>
      <c r="AD3580">
        <v>18</v>
      </c>
      <c r="AE3580">
        <v>1000</v>
      </c>
      <c r="AF3580">
        <v>18</v>
      </c>
      <c r="AJ3580" t="s">
        <v>4158</v>
      </c>
      <c r="AK3580" t="s">
        <v>4151</v>
      </c>
      <c r="AN3580">
        <v>7</v>
      </c>
      <c r="AO3580">
        <v>3.4641016151377544</v>
      </c>
      <c r="AP3580">
        <v>35</v>
      </c>
      <c r="AQ3580">
        <v>1.7320508075688772</v>
      </c>
      <c r="AW3580" s="28">
        <f t="shared" si="353"/>
        <v>10.2241544067631</v>
      </c>
      <c r="AX3580">
        <f t="shared" si="354"/>
        <v>0.8</v>
      </c>
      <c r="AY3580" s="62">
        <f t="shared" si="355"/>
        <v>8.1793235254104797</v>
      </c>
      <c r="AZ3580" s="68" t="str">
        <f t="shared" si="356"/>
        <v>No</v>
      </c>
      <c r="BA3580" s="68" t="str">
        <f t="shared" si="357"/>
        <v>No</v>
      </c>
    </row>
    <row r="3581" spans="1:55" hidden="1">
      <c r="A3581" t="s">
        <v>3914</v>
      </c>
      <c r="G3581" t="s">
        <v>4096</v>
      </c>
      <c r="P3581" t="s">
        <v>4596</v>
      </c>
      <c r="R3581" t="s">
        <v>4664</v>
      </c>
      <c r="S3581" t="s">
        <v>1759</v>
      </c>
      <c r="V3581" t="s">
        <v>4598</v>
      </c>
      <c r="Z3581">
        <v>3</v>
      </c>
      <c r="AA3581">
        <v>3</v>
      </c>
      <c r="AC3581">
        <v>375</v>
      </c>
      <c r="AD3581">
        <v>18</v>
      </c>
      <c r="AE3581">
        <v>375</v>
      </c>
      <c r="AF3581">
        <v>22</v>
      </c>
      <c r="AJ3581" t="s">
        <v>4158</v>
      </c>
      <c r="AK3581" t="s">
        <v>4637</v>
      </c>
      <c r="AN3581">
        <v>22</v>
      </c>
      <c r="AO3581">
        <v>4.5806302348929817</v>
      </c>
      <c r="AP3581">
        <v>10</v>
      </c>
      <c r="AQ3581">
        <v>1.8168365114358163</v>
      </c>
      <c r="AW3581" s="28">
        <f t="shared" si="353"/>
        <v>-3.4438518750650005</v>
      </c>
      <c r="AX3581">
        <f t="shared" si="354"/>
        <v>0.8</v>
      </c>
      <c r="AY3581" s="62">
        <f t="shared" si="355"/>
        <v>-2.7550815000520004</v>
      </c>
      <c r="AZ3581" s="68" t="str">
        <f t="shared" si="356"/>
        <v>No</v>
      </c>
      <c r="BA3581" s="68" t="str">
        <f t="shared" si="357"/>
        <v>No</v>
      </c>
    </row>
    <row r="3582" spans="1:55" hidden="1">
      <c r="A3582" t="s">
        <v>3914</v>
      </c>
      <c r="G3582" t="s">
        <v>4096</v>
      </c>
      <c r="P3582" t="s">
        <v>4596</v>
      </c>
      <c r="R3582" t="s">
        <v>4664</v>
      </c>
      <c r="S3582" t="s">
        <v>1007</v>
      </c>
      <c r="V3582" t="s">
        <v>4600</v>
      </c>
      <c r="Z3582">
        <v>3</v>
      </c>
      <c r="AA3582">
        <v>3</v>
      </c>
      <c r="AC3582">
        <v>375</v>
      </c>
      <c r="AD3582">
        <v>18</v>
      </c>
      <c r="AE3582">
        <v>1000</v>
      </c>
      <c r="AF3582">
        <v>22</v>
      </c>
      <c r="AJ3582" t="s">
        <v>1813</v>
      </c>
      <c r="AK3582" t="s">
        <v>4041</v>
      </c>
      <c r="AN3582">
        <v>55</v>
      </c>
      <c r="AO3582">
        <v>4.328846295166338</v>
      </c>
      <c r="AP3582">
        <v>50</v>
      </c>
      <c r="AQ3582">
        <v>2.2507922128627107</v>
      </c>
      <c r="AW3582" s="28">
        <f t="shared" si="353"/>
        <v>-1.4492760979869548</v>
      </c>
      <c r="AX3582">
        <f t="shared" si="354"/>
        <v>0.8</v>
      </c>
      <c r="AY3582" s="62">
        <f t="shared" si="355"/>
        <v>-1.1594208783895639</v>
      </c>
      <c r="AZ3582" s="68" t="str">
        <f t="shared" si="356"/>
        <v>No</v>
      </c>
      <c r="BA3582" s="68" t="str">
        <f t="shared" si="357"/>
        <v>No</v>
      </c>
    </row>
    <row r="3583" spans="1:55" hidden="1">
      <c r="A3583" t="s">
        <v>3914</v>
      </c>
      <c r="G3583" t="s">
        <v>4096</v>
      </c>
      <c r="P3583" t="s">
        <v>4596</v>
      </c>
      <c r="R3583" t="s">
        <v>4664</v>
      </c>
      <c r="S3583" t="s">
        <v>1759</v>
      </c>
      <c r="V3583" t="s">
        <v>4600</v>
      </c>
      <c r="Z3583">
        <v>3</v>
      </c>
      <c r="AA3583">
        <v>3</v>
      </c>
      <c r="AC3583">
        <v>375</v>
      </c>
      <c r="AD3583">
        <v>18</v>
      </c>
      <c r="AE3583">
        <v>1000</v>
      </c>
      <c r="AF3583">
        <v>22</v>
      </c>
      <c r="AJ3583" t="s">
        <v>4158</v>
      </c>
      <c r="AK3583" t="s">
        <v>4637</v>
      </c>
      <c r="AN3583">
        <v>22</v>
      </c>
      <c r="AO3583">
        <v>4.5806302348929817</v>
      </c>
      <c r="AP3583">
        <v>44</v>
      </c>
      <c r="AQ3583">
        <v>2.3961177179805464</v>
      </c>
      <c r="AW3583" s="28">
        <f t="shared" si="353"/>
        <v>6.018532020707414</v>
      </c>
      <c r="AX3583">
        <f t="shared" si="354"/>
        <v>0.8</v>
      </c>
      <c r="AY3583" s="62">
        <f t="shared" si="355"/>
        <v>4.8148256165659316</v>
      </c>
      <c r="AZ3583" s="68" t="str">
        <f t="shared" si="356"/>
        <v>No</v>
      </c>
      <c r="BA3583" s="68" t="str">
        <f t="shared" si="357"/>
        <v>No</v>
      </c>
    </row>
    <row r="3584" spans="1:55" hidden="1">
      <c r="A3584" t="s">
        <v>3914</v>
      </c>
      <c r="G3584" t="s">
        <v>4096</v>
      </c>
      <c r="P3584" t="s">
        <v>60</v>
      </c>
      <c r="R3584" t="s">
        <v>4116</v>
      </c>
      <c r="S3584" t="s">
        <v>1759</v>
      </c>
      <c r="V3584" t="s">
        <v>3956</v>
      </c>
      <c r="Z3584">
        <v>3</v>
      </c>
      <c r="AA3584">
        <v>3</v>
      </c>
      <c r="AC3584">
        <v>375</v>
      </c>
      <c r="AD3584">
        <v>18</v>
      </c>
      <c r="AE3584">
        <v>1000</v>
      </c>
      <c r="AF3584">
        <v>18</v>
      </c>
      <c r="AJ3584" t="s">
        <v>4135</v>
      </c>
      <c r="AK3584" t="s">
        <v>4151</v>
      </c>
      <c r="AN3584">
        <v>100</v>
      </c>
      <c r="AO3584">
        <v>0</v>
      </c>
      <c r="AP3584">
        <v>80</v>
      </c>
      <c r="AQ3584">
        <v>3.4641016151377544</v>
      </c>
      <c r="AW3584" s="28">
        <f t="shared" si="353"/>
        <v>-8.1649658092772608</v>
      </c>
      <c r="AX3584">
        <f t="shared" si="354"/>
        <v>0.8</v>
      </c>
      <c r="AY3584" s="62">
        <f t="shared" si="355"/>
        <v>-6.5319726474218092</v>
      </c>
      <c r="AZ3584" s="68" t="str">
        <f t="shared" si="356"/>
        <v>No</v>
      </c>
      <c r="BA3584" s="68" t="str">
        <f t="shared" si="357"/>
        <v>No</v>
      </c>
    </row>
    <row r="3585" spans="1:55" hidden="1">
      <c r="A3585" t="s">
        <v>3914</v>
      </c>
      <c r="G3585" t="s">
        <v>4096</v>
      </c>
      <c r="P3585" t="s">
        <v>60</v>
      </c>
      <c r="R3585" t="s">
        <v>4116</v>
      </c>
      <c r="S3585" t="s">
        <v>1007</v>
      </c>
      <c r="V3585" t="s">
        <v>3956</v>
      </c>
      <c r="Z3585">
        <v>3</v>
      </c>
      <c r="AA3585">
        <v>3</v>
      </c>
      <c r="AC3585">
        <v>375</v>
      </c>
      <c r="AD3585">
        <v>18</v>
      </c>
      <c r="AE3585">
        <v>1000</v>
      </c>
      <c r="AF3585">
        <v>18</v>
      </c>
      <c r="AJ3585" t="s">
        <v>1106</v>
      </c>
      <c r="AK3585" t="s">
        <v>4244</v>
      </c>
      <c r="AN3585">
        <v>75</v>
      </c>
      <c r="AO3585">
        <v>0.34641016151377546</v>
      </c>
      <c r="AP3585">
        <v>67</v>
      </c>
      <c r="AQ3585">
        <v>3.4641016151377544</v>
      </c>
      <c r="AW3585" s="28">
        <f t="shared" si="353"/>
        <v>-3.2497778548095506</v>
      </c>
      <c r="AX3585">
        <f t="shared" si="354"/>
        <v>0.8</v>
      </c>
      <c r="AY3585" s="62">
        <f t="shared" si="355"/>
        <v>-2.5998222838476406</v>
      </c>
      <c r="AZ3585" s="68" t="str">
        <f t="shared" si="356"/>
        <v>No</v>
      </c>
      <c r="BA3585" s="68" t="str">
        <f t="shared" si="357"/>
        <v>No</v>
      </c>
    </row>
    <row r="3586" spans="1:55" hidden="1">
      <c r="A3586" t="s">
        <v>3914</v>
      </c>
      <c r="G3586" t="s">
        <v>4096</v>
      </c>
      <c r="P3586" t="s">
        <v>4596</v>
      </c>
      <c r="R3586" t="s">
        <v>4664</v>
      </c>
      <c r="S3586" t="s">
        <v>1007</v>
      </c>
      <c r="V3586" t="s">
        <v>4598</v>
      </c>
      <c r="Z3586">
        <v>3</v>
      </c>
      <c r="AA3586">
        <v>3</v>
      </c>
      <c r="AC3586">
        <v>375</v>
      </c>
      <c r="AD3586">
        <v>18</v>
      </c>
      <c r="AE3586">
        <v>375</v>
      </c>
      <c r="AF3586">
        <v>22</v>
      </c>
      <c r="AJ3586" t="s">
        <v>4665</v>
      </c>
      <c r="AK3586" t="s">
        <v>4637</v>
      </c>
      <c r="AN3586">
        <v>38</v>
      </c>
      <c r="AO3586">
        <v>4.7888407001152951</v>
      </c>
      <c r="AP3586">
        <v>6</v>
      </c>
      <c r="AQ3586">
        <v>3.6336730228717928</v>
      </c>
      <c r="AW3586" s="28">
        <f t="shared" si="353"/>
        <v>-7.528205797069349</v>
      </c>
      <c r="AX3586">
        <f t="shared" si="354"/>
        <v>0.8</v>
      </c>
      <c r="AY3586" s="62">
        <f t="shared" si="355"/>
        <v>-6.0225646376554796</v>
      </c>
      <c r="AZ3586" s="68" t="str">
        <f t="shared" si="356"/>
        <v>No</v>
      </c>
      <c r="BA3586" s="68" t="str">
        <f t="shared" si="357"/>
        <v>No</v>
      </c>
    </row>
    <row r="3587" spans="1:55" hidden="1">
      <c r="A3587" t="s">
        <v>3914</v>
      </c>
      <c r="G3587" t="s">
        <v>4096</v>
      </c>
      <c r="P3587" t="s">
        <v>4596</v>
      </c>
      <c r="R3587" t="s">
        <v>4664</v>
      </c>
      <c r="S3587" t="s">
        <v>1759</v>
      </c>
      <c r="V3587" t="s">
        <v>4598</v>
      </c>
      <c r="Z3587">
        <v>3</v>
      </c>
      <c r="AA3587">
        <v>3</v>
      </c>
      <c r="AC3587">
        <v>375</v>
      </c>
      <c r="AD3587">
        <v>18</v>
      </c>
      <c r="AE3587">
        <v>375</v>
      </c>
      <c r="AF3587">
        <v>22</v>
      </c>
      <c r="AJ3587" t="s">
        <v>1813</v>
      </c>
      <c r="AK3587" t="s">
        <v>4041</v>
      </c>
      <c r="AN3587">
        <v>85</v>
      </c>
      <c r="AO3587">
        <v>5.45588320041663</v>
      </c>
      <c r="AP3587">
        <v>84</v>
      </c>
      <c r="AQ3587">
        <v>3.8660666244466575</v>
      </c>
      <c r="AW3587" s="28">
        <f t="shared" si="353"/>
        <v>-0.21149370669700174</v>
      </c>
      <c r="AX3587">
        <f t="shared" si="354"/>
        <v>0.8</v>
      </c>
      <c r="AY3587" s="62">
        <f t="shared" si="355"/>
        <v>-0.1691949653576014</v>
      </c>
      <c r="AZ3587" s="68" t="str">
        <f t="shared" si="356"/>
        <v>No</v>
      </c>
      <c r="BA3587" s="68" t="str">
        <f t="shared" si="357"/>
        <v>No</v>
      </c>
    </row>
    <row r="3588" spans="1:55" hidden="1">
      <c r="A3588" t="s">
        <v>3914</v>
      </c>
      <c r="G3588" t="s">
        <v>4096</v>
      </c>
      <c r="P3588" t="s">
        <v>60</v>
      </c>
      <c r="R3588" t="s">
        <v>4116</v>
      </c>
      <c r="S3588" t="s">
        <v>1759</v>
      </c>
      <c r="V3588" t="s">
        <v>3956</v>
      </c>
      <c r="Z3588">
        <v>3</v>
      </c>
      <c r="AA3588">
        <v>3</v>
      </c>
      <c r="AC3588">
        <v>375</v>
      </c>
      <c r="AD3588">
        <v>18</v>
      </c>
      <c r="AE3588">
        <v>1000</v>
      </c>
      <c r="AF3588">
        <v>18</v>
      </c>
      <c r="AJ3588" t="s">
        <v>4158</v>
      </c>
      <c r="AK3588" t="s">
        <v>4151</v>
      </c>
      <c r="AN3588">
        <v>5</v>
      </c>
      <c r="AO3588">
        <v>1.7320508075688772</v>
      </c>
      <c r="AP3588">
        <v>56</v>
      </c>
      <c r="AQ3588">
        <v>5.196152422706632</v>
      </c>
      <c r="AW3588" s="28">
        <f t="shared" si="353"/>
        <v>13.168143377105217</v>
      </c>
      <c r="AX3588">
        <f t="shared" si="354"/>
        <v>0.8</v>
      </c>
      <c r="AY3588" s="62">
        <f t="shared" si="355"/>
        <v>10.534514701684174</v>
      </c>
      <c r="AZ3588" s="68" t="str">
        <f t="shared" si="356"/>
        <v>Yes</v>
      </c>
      <c r="BA3588" s="68" t="str">
        <f t="shared" si="357"/>
        <v>No</v>
      </c>
    </row>
    <row r="3589" spans="1:55" hidden="1">
      <c r="A3589" t="s">
        <v>3914</v>
      </c>
      <c r="G3589" t="s">
        <v>4096</v>
      </c>
      <c r="P3589" t="s">
        <v>60</v>
      </c>
      <c r="R3589" t="s">
        <v>4116</v>
      </c>
      <c r="S3589" t="s">
        <v>1007</v>
      </c>
      <c r="V3589" t="s">
        <v>3956</v>
      </c>
      <c r="Z3589">
        <v>3</v>
      </c>
      <c r="AA3589">
        <v>3</v>
      </c>
      <c r="AC3589">
        <v>375</v>
      </c>
      <c r="AD3589">
        <v>18</v>
      </c>
      <c r="AE3589">
        <v>1000</v>
      </c>
      <c r="AF3589">
        <v>18</v>
      </c>
      <c r="AJ3589" t="s">
        <v>1813</v>
      </c>
      <c r="AK3589" t="s">
        <v>4093</v>
      </c>
      <c r="AN3589">
        <v>93</v>
      </c>
      <c r="AO3589">
        <v>1.7320508075688772</v>
      </c>
      <c r="AP3589">
        <v>65</v>
      </c>
      <c r="AQ3589">
        <v>6.9282032302755088</v>
      </c>
      <c r="AW3589" s="28">
        <f t="shared" si="353"/>
        <v>-5.5448262406693765</v>
      </c>
      <c r="AX3589">
        <f t="shared" si="354"/>
        <v>0.8</v>
      </c>
      <c r="AY3589" s="62">
        <f t="shared" si="355"/>
        <v>-4.4358609925355017</v>
      </c>
      <c r="AZ3589" s="68" t="str">
        <f t="shared" si="356"/>
        <v>No</v>
      </c>
      <c r="BA3589" s="68" t="str">
        <f t="shared" si="357"/>
        <v>No</v>
      </c>
    </row>
    <row r="3590" spans="1:55" s="56" customFormat="1" ht="15" hidden="1">
      <c r="A3590" t="s">
        <v>3914</v>
      </c>
      <c r="B3590"/>
      <c r="C3590"/>
      <c r="D3590" s="25"/>
      <c r="E3590" s="25"/>
      <c r="F3590"/>
      <c r="G3590" t="s">
        <v>4096</v>
      </c>
      <c r="H3590"/>
      <c r="I3590"/>
      <c r="J3590"/>
      <c r="K3590"/>
      <c r="L3590"/>
      <c r="M3590" s="25"/>
      <c r="N3590"/>
      <c r="O3590"/>
      <c r="P3590" t="s">
        <v>60</v>
      </c>
      <c r="Q3590"/>
      <c r="R3590" t="s">
        <v>4116</v>
      </c>
      <c r="S3590" t="s">
        <v>1007</v>
      </c>
      <c r="T3590"/>
      <c r="U3590"/>
      <c r="V3590" t="s">
        <v>3956</v>
      </c>
      <c r="W3590" s="25"/>
      <c r="X3590"/>
      <c r="Y3590"/>
      <c r="Z3590">
        <v>3</v>
      </c>
      <c r="AA3590">
        <v>3</v>
      </c>
      <c r="AB3590"/>
      <c r="AC3590">
        <v>375</v>
      </c>
      <c r="AD3590">
        <v>18</v>
      </c>
      <c r="AE3590">
        <v>1000</v>
      </c>
      <c r="AF3590">
        <v>18</v>
      </c>
      <c r="AG3590"/>
      <c r="AH3590"/>
      <c r="AI3590"/>
      <c r="AJ3590" t="s">
        <v>4135</v>
      </c>
      <c r="AK3590" t="s">
        <v>4151</v>
      </c>
      <c r="AL3590" s="25"/>
      <c r="AM3590" s="35"/>
      <c r="AN3590">
        <v>100</v>
      </c>
      <c r="AO3590">
        <v>0</v>
      </c>
      <c r="AP3590">
        <v>69</v>
      </c>
      <c r="AQ3590">
        <v>6.9282032302755088</v>
      </c>
      <c r="AR3590"/>
      <c r="AS3590"/>
      <c r="AT3590"/>
      <c r="AU3590"/>
      <c r="AV3590"/>
      <c r="AW3590" s="28">
        <f t="shared" si="353"/>
        <v>-6.3278485021898776</v>
      </c>
      <c r="AX3590">
        <f t="shared" si="354"/>
        <v>0.8</v>
      </c>
      <c r="AY3590" s="62">
        <f t="shared" si="355"/>
        <v>-5.0622788017519023</v>
      </c>
      <c r="AZ3590" s="68" t="str">
        <f t="shared" si="356"/>
        <v>No</v>
      </c>
      <c r="BA3590" s="68" t="str">
        <f t="shared" si="357"/>
        <v>No</v>
      </c>
      <c r="BB3590"/>
      <c r="BC3590"/>
    </row>
    <row r="3591" spans="1:55" s="56" customFormat="1" ht="15" hidden="1">
      <c r="A3591" t="s">
        <v>3914</v>
      </c>
      <c r="B3591"/>
      <c r="C3591"/>
      <c r="D3591" s="25"/>
      <c r="E3591" s="25"/>
      <c r="F3591"/>
      <c r="G3591" t="s">
        <v>4096</v>
      </c>
      <c r="H3591"/>
      <c r="I3591"/>
      <c r="J3591"/>
      <c r="K3591"/>
      <c r="L3591"/>
      <c r="M3591" s="25"/>
      <c r="N3591"/>
      <c r="O3591"/>
      <c r="P3591" t="s">
        <v>4596</v>
      </c>
      <c r="Q3591"/>
      <c r="R3591" t="s">
        <v>4664</v>
      </c>
      <c r="S3591" t="s">
        <v>1759</v>
      </c>
      <c r="T3591"/>
      <c r="U3591"/>
      <c r="V3591" t="s">
        <v>4600</v>
      </c>
      <c r="W3591" s="25"/>
      <c r="X3591"/>
      <c r="Y3591"/>
      <c r="Z3591">
        <v>3</v>
      </c>
      <c r="AA3591">
        <v>3</v>
      </c>
      <c r="AB3591"/>
      <c r="AC3591">
        <v>375</v>
      </c>
      <c r="AD3591">
        <v>18</v>
      </c>
      <c r="AE3591">
        <v>1000</v>
      </c>
      <c r="AF3591">
        <v>22</v>
      </c>
      <c r="AG3591"/>
      <c r="AH3591"/>
      <c r="AI3591"/>
      <c r="AJ3591" t="s">
        <v>40</v>
      </c>
      <c r="AK3591" t="s">
        <v>4642</v>
      </c>
      <c r="AL3591" s="25"/>
      <c r="AM3591" s="35"/>
      <c r="AN3591">
        <v>22</v>
      </c>
      <c r="AO3591">
        <v>3.0789771021914016</v>
      </c>
      <c r="AP3591">
        <v>30</v>
      </c>
      <c r="AQ3591">
        <v>6.9403172385464638</v>
      </c>
      <c r="AR3591"/>
      <c r="AS3591"/>
      <c r="AT3591"/>
      <c r="AU3591"/>
      <c r="AV3591"/>
      <c r="AW3591" s="28">
        <f t="shared" si="353"/>
        <v>1.4900899070182507</v>
      </c>
      <c r="AX3591">
        <f t="shared" si="354"/>
        <v>0.8</v>
      </c>
      <c r="AY3591" s="62">
        <f t="shared" si="355"/>
        <v>1.1920719256146006</v>
      </c>
      <c r="AZ3591" s="68" t="str">
        <f t="shared" si="356"/>
        <v>No</v>
      </c>
      <c r="BA3591" s="68" t="str">
        <f t="shared" si="357"/>
        <v>No</v>
      </c>
      <c r="BB3591"/>
      <c r="BC3591"/>
    </row>
    <row r="3592" spans="1:55" s="56" customFormat="1" ht="15" hidden="1">
      <c r="A3592" t="s">
        <v>3914</v>
      </c>
      <c r="B3592"/>
      <c r="C3592"/>
      <c r="D3592" s="25"/>
      <c r="E3592" s="25"/>
      <c r="F3592"/>
      <c r="G3592" t="s">
        <v>4663</v>
      </c>
      <c r="H3592"/>
      <c r="I3592"/>
      <c r="J3592"/>
      <c r="K3592"/>
      <c r="L3592"/>
      <c r="M3592" s="25"/>
      <c r="N3592"/>
      <c r="O3592"/>
      <c r="P3592" t="s">
        <v>4596</v>
      </c>
      <c r="Q3592"/>
      <c r="R3592" t="s">
        <v>4664</v>
      </c>
      <c r="S3592" t="s">
        <v>1007</v>
      </c>
      <c r="T3592"/>
      <c r="U3592"/>
      <c r="V3592" t="s">
        <v>4598</v>
      </c>
      <c r="W3592" s="25"/>
      <c r="X3592"/>
      <c r="Y3592"/>
      <c r="Z3592">
        <v>3</v>
      </c>
      <c r="AA3592">
        <v>3</v>
      </c>
      <c r="AB3592"/>
      <c r="AC3592">
        <v>375</v>
      </c>
      <c r="AD3592">
        <v>18</v>
      </c>
      <c r="AE3592">
        <v>375</v>
      </c>
      <c r="AF3592">
        <v>22</v>
      </c>
      <c r="AG3592"/>
      <c r="AH3592"/>
      <c r="AI3592"/>
      <c r="AJ3592" t="s">
        <v>40</v>
      </c>
      <c r="AK3592" t="s">
        <v>4642</v>
      </c>
      <c r="AL3592" s="25"/>
      <c r="AM3592" s="35"/>
      <c r="AN3592">
        <v>4</v>
      </c>
      <c r="AO3592">
        <v>1.7413886889443679</v>
      </c>
      <c r="AP3592">
        <v>19</v>
      </c>
      <c r="AQ3592">
        <v>6.9655547557774717</v>
      </c>
      <c r="AR3592"/>
      <c r="AS3592"/>
      <c r="AT3592"/>
      <c r="AU3592"/>
      <c r="AV3592"/>
      <c r="AW3592" s="28">
        <f t="shared" si="353"/>
        <v>2.9545141684560643</v>
      </c>
      <c r="AX3592">
        <f t="shared" si="354"/>
        <v>0.8</v>
      </c>
      <c r="AY3592" s="62">
        <f t="shared" si="355"/>
        <v>2.3636113347648515</v>
      </c>
      <c r="AZ3592" s="68" t="str">
        <f t="shared" si="356"/>
        <v>No</v>
      </c>
      <c r="BA3592" s="68" t="str">
        <f t="shared" si="357"/>
        <v>No</v>
      </c>
      <c r="BB3592"/>
      <c r="BC3592"/>
    </row>
    <row r="3593" spans="1:55" s="56" customFormat="1" ht="15" hidden="1">
      <c r="A3593" t="s">
        <v>3914</v>
      </c>
      <c r="B3593"/>
      <c r="C3593"/>
      <c r="D3593" s="25"/>
      <c r="E3593" s="25"/>
      <c r="F3593"/>
      <c r="G3593" t="s">
        <v>5110</v>
      </c>
      <c r="H3593"/>
      <c r="I3593"/>
      <c r="J3593"/>
      <c r="K3593"/>
      <c r="L3593"/>
      <c r="M3593" s="25"/>
      <c r="N3593"/>
      <c r="O3593"/>
      <c r="P3593" t="s">
        <v>4596</v>
      </c>
      <c r="Q3593"/>
      <c r="R3593" t="s">
        <v>4664</v>
      </c>
      <c r="S3593" t="s">
        <v>1007</v>
      </c>
      <c r="T3593"/>
      <c r="U3593"/>
      <c r="V3593" t="s">
        <v>4598</v>
      </c>
      <c r="W3593" s="25"/>
      <c r="X3593"/>
      <c r="Y3593"/>
      <c r="Z3593">
        <v>3</v>
      </c>
      <c r="AA3593">
        <v>3</v>
      </c>
      <c r="AB3593"/>
      <c r="AC3593">
        <v>375</v>
      </c>
      <c r="AD3593">
        <v>18</v>
      </c>
      <c r="AE3593">
        <v>375</v>
      </c>
      <c r="AF3593">
        <v>22</v>
      </c>
      <c r="AG3593"/>
      <c r="AH3593"/>
      <c r="AI3593"/>
      <c r="AJ3593" t="s">
        <v>1813</v>
      </c>
      <c r="AK3593" t="s">
        <v>4041</v>
      </c>
      <c r="AL3593" s="25"/>
      <c r="AM3593" s="35"/>
      <c r="AN3593">
        <v>55</v>
      </c>
      <c r="AO3593">
        <v>4.328846295166338</v>
      </c>
      <c r="AP3593">
        <v>68</v>
      </c>
      <c r="AQ3593">
        <v>7.3084547147073913</v>
      </c>
      <c r="AR3593"/>
      <c r="AS3593"/>
      <c r="AT3593"/>
      <c r="AU3593"/>
      <c r="AV3593"/>
      <c r="AW3593" s="28">
        <f t="shared" si="353"/>
        <v>2.1643769364939809</v>
      </c>
      <c r="AX3593">
        <f t="shared" si="354"/>
        <v>0.8</v>
      </c>
      <c r="AY3593" s="62">
        <f t="shared" si="355"/>
        <v>1.7315015491951848</v>
      </c>
      <c r="AZ3593" s="68" t="str">
        <f t="shared" si="356"/>
        <v>No</v>
      </c>
      <c r="BA3593" s="68" t="str">
        <f t="shared" si="357"/>
        <v>No</v>
      </c>
      <c r="BB3593"/>
      <c r="BC3593"/>
    </row>
    <row r="3594" spans="1:55" s="56" customFormat="1" ht="15" hidden="1">
      <c r="A3594" t="s">
        <v>3914</v>
      </c>
      <c r="B3594"/>
      <c r="C3594"/>
      <c r="D3594" s="25"/>
      <c r="E3594" s="25"/>
      <c r="F3594"/>
      <c r="G3594" t="s">
        <v>4096</v>
      </c>
      <c r="H3594"/>
      <c r="I3594"/>
      <c r="J3594"/>
      <c r="K3594"/>
      <c r="L3594"/>
      <c r="M3594" s="25"/>
      <c r="N3594"/>
      <c r="O3594"/>
      <c r="P3594" t="s">
        <v>4596</v>
      </c>
      <c r="Q3594"/>
      <c r="R3594" t="s">
        <v>4664</v>
      </c>
      <c r="S3594" t="s">
        <v>1007</v>
      </c>
      <c r="T3594"/>
      <c r="U3594"/>
      <c r="V3594" t="s">
        <v>4600</v>
      </c>
      <c r="W3594" s="25"/>
      <c r="X3594"/>
      <c r="Y3594"/>
      <c r="Z3594">
        <v>3</v>
      </c>
      <c r="AA3594">
        <v>3</v>
      </c>
      <c r="AB3594"/>
      <c r="AC3594">
        <v>375</v>
      </c>
      <c r="AD3594">
        <v>18</v>
      </c>
      <c r="AE3594">
        <v>1000</v>
      </c>
      <c r="AF3594">
        <v>22</v>
      </c>
      <c r="AG3594"/>
      <c r="AH3594"/>
      <c r="AI3594"/>
      <c r="AJ3594" t="s">
        <v>4158</v>
      </c>
      <c r="AK3594" t="s">
        <v>4637</v>
      </c>
      <c r="AL3594" s="25"/>
      <c r="AM3594" s="35"/>
      <c r="AN3594">
        <v>38</v>
      </c>
      <c r="AO3594">
        <v>4.7888407001152951</v>
      </c>
      <c r="AP3594">
        <v>90</v>
      </c>
      <c r="AQ3594">
        <v>7.4779937572144455</v>
      </c>
      <c r="AR3594"/>
      <c r="AS3594"/>
      <c r="AT3594"/>
      <c r="AU3594"/>
      <c r="AV3594"/>
      <c r="AW3594" s="28">
        <f t="shared" si="353"/>
        <v>8.281484023308133</v>
      </c>
      <c r="AX3594">
        <f t="shared" si="354"/>
        <v>0.8</v>
      </c>
      <c r="AY3594" s="62">
        <f t="shared" si="355"/>
        <v>6.6251872186465066</v>
      </c>
      <c r="AZ3594" s="68" t="str">
        <f t="shared" si="356"/>
        <v>No</v>
      </c>
      <c r="BA3594" s="68" t="str">
        <f t="shared" si="357"/>
        <v>No</v>
      </c>
      <c r="BB3594"/>
      <c r="BC3594"/>
    </row>
    <row r="3595" spans="1:55" s="56" customFormat="1" ht="15" hidden="1">
      <c r="A3595" t="s">
        <v>3914</v>
      </c>
      <c r="B3595"/>
      <c r="C3595"/>
      <c r="D3595" s="25"/>
      <c r="E3595" s="25"/>
      <c r="F3595"/>
      <c r="G3595" t="s">
        <v>4096</v>
      </c>
      <c r="H3595"/>
      <c r="I3595"/>
      <c r="J3595"/>
      <c r="K3595"/>
      <c r="L3595"/>
      <c r="M3595" s="25"/>
      <c r="N3595"/>
      <c r="O3595"/>
      <c r="P3595" t="s">
        <v>4596</v>
      </c>
      <c r="Q3595"/>
      <c r="R3595" t="s">
        <v>4664</v>
      </c>
      <c r="S3595" t="s">
        <v>1759</v>
      </c>
      <c r="T3595"/>
      <c r="U3595"/>
      <c r="V3595" t="s">
        <v>4600</v>
      </c>
      <c r="W3595" s="25"/>
      <c r="X3595"/>
      <c r="Y3595"/>
      <c r="Z3595">
        <v>3</v>
      </c>
      <c r="AA3595">
        <v>3</v>
      </c>
      <c r="AB3595"/>
      <c r="AC3595">
        <v>375</v>
      </c>
      <c r="AD3595">
        <v>18</v>
      </c>
      <c r="AE3595">
        <v>1000</v>
      </c>
      <c r="AF3595">
        <v>22</v>
      </c>
      <c r="AG3595"/>
      <c r="AH3595"/>
      <c r="AI3595"/>
      <c r="AJ3595" t="s">
        <v>1813</v>
      </c>
      <c r="AK3595" t="s">
        <v>4041</v>
      </c>
      <c r="AL3595" s="25"/>
      <c r="AM3595" s="35"/>
      <c r="AN3595">
        <v>85</v>
      </c>
      <c r="AO3595">
        <v>5.45588320041663</v>
      </c>
      <c r="AP3595">
        <v>60</v>
      </c>
      <c r="AQ3595">
        <v>7.7056533405065597</v>
      </c>
      <c r="AR3595"/>
      <c r="AS3595"/>
      <c r="AT3595"/>
      <c r="AU3595"/>
      <c r="AV3595"/>
      <c r="AW3595" s="28">
        <f t="shared" si="353"/>
        <v>-3.7446354534045221</v>
      </c>
      <c r="AX3595">
        <f t="shared" si="354"/>
        <v>0.8</v>
      </c>
      <c r="AY3595" s="62">
        <f t="shared" si="355"/>
        <v>-2.9957083627236178</v>
      </c>
      <c r="AZ3595" s="68" t="str">
        <f t="shared" si="356"/>
        <v>No</v>
      </c>
      <c r="BA3595" s="68" t="str">
        <f t="shared" si="357"/>
        <v>No</v>
      </c>
      <c r="BB3595"/>
      <c r="BC3595"/>
    </row>
    <row r="3596" spans="1:55" s="56" customFormat="1" ht="15" hidden="1">
      <c r="A3596" t="s">
        <v>3914</v>
      </c>
      <c r="B3596"/>
      <c r="C3596"/>
      <c r="D3596" s="25"/>
      <c r="E3596" s="25"/>
      <c r="F3596"/>
      <c r="G3596" t="s">
        <v>4259</v>
      </c>
      <c r="H3596"/>
      <c r="I3596"/>
      <c r="J3596"/>
      <c r="K3596"/>
      <c r="L3596"/>
      <c r="M3596" s="25"/>
      <c r="N3596"/>
      <c r="O3596"/>
      <c r="P3596" t="s">
        <v>60</v>
      </c>
      <c r="Q3596"/>
      <c r="R3596" t="s">
        <v>4116</v>
      </c>
      <c r="S3596" t="s">
        <v>1007</v>
      </c>
      <c r="T3596"/>
      <c r="U3596"/>
      <c r="V3596" t="s">
        <v>3956</v>
      </c>
      <c r="W3596" s="25"/>
      <c r="X3596"/>
      <c r="Y3596"/>
      <c r="Z3596">
        <v>3</v>
      </c>
      <c r="AA3596">
        <v>3</v>
      </c>
      <c r="AB3596"/>
      <c r="AC3596">
        <v>375</v>
      </c>
      <c r="AD3596">
        <v>25</v>
      </c>
      <c r="AE3596">
        <v>1000</v>
      </c>
      <c r="AF3596">
        <v>25</v>
      </c>
      <c r="AG3596"/>
      <c r="AH3596"/>
      <c r="AI3596"/>
      <c r="AJ3596" t="s">
        <v>1106</v>
      </c>
      <c r="AK3596" t="s">
        <v>4266</v>
      </c>
      <c r="AL3596" s="25"/>
      <c r="AM3596" s="35"/>
      <c r="AN3596">
        <v>115.5</v>
      </c>
      <c r="AO3596">
        <v>2.598076211353316</v>
      </c>
      <c r="AP3596">
        <v>107.2</v>
      </c>
      <c r="AQ3596">
        <v>0.69282032302755092</v>
      </c>
      <c r="AR3596"/>
      <c r="AS3596"/>
      <c r="AT3596"/>
      <c r="AU3596"/>
      <c r="AV3596"/>
      <c r="AW3596" s="28">
        <f t="shared" si="353"/>
        <v>-4.3653989692171997</v>
      </c>
      <c r="AX3596">
        <f t="shared" si="354"/>
        <v>0.8</v>
      </c>
      <c r="AY3596" s="62">
        <f t="shared" si="355"/>
        <v>-3.4923191753737601</v>
      </c>
      <c r="AZ3596" s="68" t="str">
        <f t="shared" si="356"/>
        <v>No</v>
      </c>
      <c r="BA3596" s="68" t="str">
        <f t="shared" si="357"/>
        <v>No</v>
      </c>
      <c r="BB3596"/>
      <c r="BC3596"/>
    </row>
    <row r="3597" spans="1:55" s="56" customFormat="1" ht="15" hidden="1">
      <c r="A3597" t="s">
        <v>3914</v>
      </c>
      <c r="B3597"/>
      <c r="C3597"/>
      <c r="D3597" s="25"/>
      <c r="E3597" s="25"/>
      <c r="F3597"/>
      <c r="G3597" t="s">
        <v>4259</v>
      </c>
      <c r="H3597"/>
      <c r="I3597"/>
      <c r="J3597"/>
      <c r="K3597"/>
      <c r="L3597"/>
      <c r="M3597" s="25"/>
      <c r="N3597"/>
      <c r="O3597"/>
      <c r="P3597" t="s">
        <v>60</v>
      </c>
      <c r="Q3597"/>
      <c r="R3597" t="s">
        <v>4116</v>
      </c>
      <c r="S3597" t="s">
        <v>1007</v>
      </c>
      <c r="T3597"/>
      <c r="U3597"/>
      <c r="V3597" t="s">
        <v>3956</v>
      </c>
      <c r="W3597" s="25"/>
      <c r="X3597"/>
      <c r="Y3597"/>
      <c r="Z3597">
        <v>3</v>
      </c>
      <c r="AA3597">
        <v>3</v>
      </c>
      <c r="AB3597"/>
      <c r="AC3597">
        <v>375</v>
      </c>
      <c r="AD3597">
        <v>25</v>
      </c>
      <c r="AE3597">
        <v>1000</v>
      </c>
      <c r="AF3597">
        <v>25</v>
      </c>
      <c r="AG3597"/>
      <c r="AH3597"/>
      <c r="AI3597"/>
      <c r="AJ3597" t="s">
        <v>1106</v>
      </c>
      <c r="AK3597" t="s">
        <v>4266</v>
      </c>
      <c r="AL3597" s="25"/>
      <c r="AM3597" s="35"/>
      <c r="AN3597">
        <v>117.5</v>
      </c>
      <c r="AO3597">
        <v>2</v>
      </c>
      <c r="AP3597">
        <v>117.7</v>
      </c>
      <c r="AQ3597">
        <v>2.2999999999999998</v>
      </c>
      <c r="AR3597"/>
      <c r="AS3597"/>
      <c r="AT3597"/>
      <c r="AU3597"/>
      <c r="AV3597"/>
      <c r="AW3597" s="28">
        <f t="shared" si="353"/>
        <v>9.2797683798719541E-2</v>
      </c>
      <c r="AX3597">
        <f t="shared" si="354"/>
        <v>0.8</v>
      </c>
      <c r="AY3597" s="62">
        <f t="shared" si="355"/>
        <v>7.4238147038975633E-2</v>
      </c>
      <c r="AZ3597" s="68" t="str">
        <f t="shared" si="356"/>
        <v>No</v>
      </c>
      <c r="BA3597" s="68" t="str">
        <f t="shared" si="357"/>
        <v>No</v>
      </c>
      <c r="BB3597"/>
      <c r="BC3597"/>
    </row>
    <row r="3598" spans="1:55" s="56" customFormat="1" ht="15" hidden="1">
      <c r="A3598" t="s">
        <v>3914</v>
      </c>
      <c r="B3598"/>
      <c r="C3598"/>
      <c r="D3598" s="25"/>
      <c r="E3598" s="25"/>
      <c r="F3598"/>
      <c r="G3598" t="s">
        <v>4127</v>
      </c>
      <c r="H3598"/>
      <c r="I3598"/>
      <c r="J3598"/>
      <c r="K3598"/>
      <c r="L3598"/>
      <c r="M3598" s="25"/>
      <c r="N3598"/>
      <c r="O3598"/>
      <c r="P3598" t="s">
        <v>60</v>
      </c>
      <c r="Q3598"/>
      <c r="R3598" t="s">
        <v>4116</v>
      </c>
      <c r="S3598" t="s">
        <v>1007</v>
      </c>
      <c r="T3598"/>
      <c r="U3598"/>
      <c r="V3598" t="s">
        <v>3956</v>
      </c>
      <c r="W3598" s="25"/>
      <c r="X3598"/>
      <c r="Y3598"/>
      <c r="Z3598">
        <v>3</v>
      </c>
      <c r="AA3598">
        <v>3</v>
      </c>
      <c r="AB3598"/>
      <c r="AC3598">
        <v>380</v>
      </c>
      <c r="AD3598">
        <v>24</v>
      </c>
      <c r="AE3598">
        <v>856</v>
      </c>
      <c r="AF3598">
        <v>24</v>
      </c>
      <c r="AG3598"/>
      <c r="AH3598"/>
      <c r="AI3598"/>
      <c r="AJ3598" t="s">
        <v>1106</v>
      </c>
      <c r="AK3598" t="s">
        <v>4244</v>
      </c>
      <c r="AL3598" s="25"/>
      <c r="AM3598" s="35"/>
      <c r="AN3598">
        <v>200</v>
      </c>
      <c r="AO3598">
        <v>3.4641016151377544</v>
      </c>
      <c r="AP3598">
        <v>204</v>
      </c>
      <c r="AQ3598">
        <v>1.7320508075688772</v>
      </c>
      <c r="AR3598"/>
      <c r="AS3598"/>
      <c r="AT3598"/>
      <c r="AU3598"/>
      <c r="AV3598"/>
      <c r="AW3598" s="28">
        <f t="shared" ref="AW3598:AW3661" si="360">(AP3598-$AN3598)/SQRT(((AA3598-1)*AQ3598*AQ3598+($Z3598-1)*$AO3598*$AO3598)/(AA3598+$Z3598-2))</f>
        <v>1.4605934866804429</v>
      </c>
      <c r="AX3598">
        <f t="shared" ref="AX3598:AX3661" si="361">1-(3/(4*(AA3598+$Z3598-2)-1))</f>
        <v>0.8</v>
      </c>
      <c r="AY3598" s="62">
        <f t="shared" ref="AY3598:AY3661" si="362">AX3598*AW3598</f>
        <v>1.1684747893443543</v>
      </c>
      <c r="AZ3598" s="68" t="str">
        <f t="shared" ref="AZ3598:AZ3661" si="363">IF(AY3598&gt;10,"Yes","No")</f>
        <v>No</v>
      </c>
      <c r="BA3598" s="68" t="str">
        <f t="shared" ref="BA3598:BA3661" si="364">IF(AY3598&lt;-10,"Yes","No")</f>
        <v>No</v>
      </c>
      <c r="BB3598"/>
      <c r="BC3598"/>
    </row>
    <row r="3599" spans="1:55" hidden="1">
      <c r="A3599" t="s">
        <v>3914</v>
      </c>
      <c r="G3599" t="s">
        <v>4127</v>
      </c>
      <c r="P3599" t="s">
        <v>60</v>
      </c>
      <c r="R3599" t="s">
        <v>4116</v>
      </c>
      <c r="S3599" t="s">
        <v>1007</v>
      </c>
      <c r="V3599" t="s">
        <v>3956</v>
      </c>
      <c r="Z3599">
        <v>3</v>
      </c>
      <c r="AA3599">
        <v>3</v>
      </c>
      <c r="AC3599">
        <v>380</v>
      </c>
      <c r="AD3599">
        <v>24</v>
      </c>
      <c r="AE3599">
        <v>856</v>
      </c>
      <c r="AF3599">
        <v>24</v>
      </c>
      <c r="AJ3599" t="s">
        <v>1106</v>
      </c>
      <c r="AK3599" t="s">
        <v>4244</v>
      </c>
      <c r="AN3599">
        <v>272</v>
      </c>
      <c r="AO3599">
        <v>5.196152422706632</v>
      </c>
      <c r="AP3599">
        <v>269</v>
      </c>
      <c r="AQ3599">
        <v>3.4641016151377544</v>
      </c>
      <c r="AW3599" s="28">
        <f t="shared" si="360"/>
        <v>-0.67936622048675743</v>
      </c>
      <c r="AX3599">
        <f t="shared" si="361"/>
        <v>0.8</v>
      </c>
      <c r="AY3599" s="62">
        <f t="shared" si="362"/>
        <v>-0.54349297638940597</v>
      </c>
      <c r="AZ3599" s="68" t="str">
        <f t="shared" si="363"/>
        <v>No</v>
      </c>
      <c r="BA3599" s="68" t="str">
        <f t="shared" si="364"/>
        <v>No</v>
      </c>
    </row>
    <row r="3600" spans="1:55" hidden="1">
      <c r="A3600" t="s">
        <v>3914</v>
      </c>
      <c r="G3600" t="s">
        <v>4127</v>
      </c>
      <c r="P3600" t="s">
        <v>60</v>
      </c>
      <c r="R3600" t="s">
        <v>4116</v>
      </c>
      <c r="S3600" t="s">
        <v>1007</v>
      </c>
      <c r="V3600" t="s">
        <v>3956</v>
      </c>
      <c r="Z3600">
        <v>3</v>
      </c>
      <c r="AA3600">
        <v>3</v>
      </c>
      <c r="AC3600">
        <v>380</v>
      </c>
      <c r="AD3600">
        <v>24</v>
      </c>
      <c r="AE3600">
        <v>856</v>
      </c>
      <c r="AF3600">
        <v>24</v>
      </c>
      <c r="AJ3600" t="s">
        <v>4139</v>
      </c>
      <c r="AK3600" t="s">
        <v>4151</v>
      </c>
      <c r="AN3600">
        <v>60</v>
      </c>
      <c r="AO3600">
        <v>0</v>
      </c>
      <c r="AP3600">
        <v>50</v>
      </c>
      <c r="AQ3600">
        <v>10.392304845413264</v>
      </c>
      <c r="AW3600" s="28">
        <f t="shared" si="360"/>
        <v>-1.3608276348795434</v>
      </c>
      <c r="AX3600">
        <f t="shared" si="361"/>
        <v>0.8</v>
      </c>
      <c r="AY3600" s="62">
        <f t="shared" si="362"/>
        <v>-1.0886621079036347</v>
      </c>
      <c r="AZ3600" s="68" t="str">
        <f t="shared" si="363"/>
        <v>No</v>
      </c>
      <c r="BA3600" s="68" t="str">
        <f t="shared" si="364"/>
        <v>No</v>
      </c>
    </row>
    <row r="3601" spans="1:53" hidden="1">
      <c r="A3601" t="s">
        <v>3914</v>
      </c>
      <c r="G3601" t="s">
        <v>4127</v>
      </c>
      <c r="P3601" t="s">
        <v>60</v>
      </c>
      <c r="R3601" t="s">
        <v>4116</v>
      </c>
      <c r="S3601" t="s">
        <v>1007</v>
      </c>
      <c r="V3601" t="s">
        <v>3956</v>
      </c>
      <c r="Z3601">
        <v>3</v>
      </c>
      <c r="AA3601">
        <v>3</v>
      </c>
      <c r="AC3601">
        <v>380</v>
      </c>
      <c r="AD3601">
        <v>24</v>
      </c>
      <c r="AE3601">
        <v>856</v>
      </c>
      <c r="AF3601">
        <v>24</v>
      </c>
      <c r="AJ3601" t="s">
        <v>4254</v>
      </c>
      <c r="AK3601" t="s">
        <v>4258</v>
      </c>
      <c r="AN3601">
        <v>89</v>
      </c>
      <c r="AO3601">
        <v>17.320508075688771</v>
      </c>
      <c r="AP3601">
        <v>84</v>
      </c>
      <c r="AQ3601">
        <v>12.124355652982141</v>
      </c>
      <c r="AW3601" s="28">
        <f t="shared" si="360"/>
        <v>-0.33445003104532561</v>
      </c>
      <c r="AX3601">
        <f t="shared" si="361"/>
        <v>0.8</v>
      </c>
      <c r="AY3601" s="62">
        <f t="shared" si="362"/>
        <v>-0.26756002483626051</v>
      </c>
      <c r="AZ3601" s="68" t="str">
        <f t="shared" si="363"/>
        <v>No</v>
      </c>
      <c r="BA3601" s="68" t="str">
        <f t="shared" si="364"/>
        <v>No</v>
      </c>
    </row>
    <row r="3602" spans="1:53" hidden="1">
      <c r="A3602" t="s">
        <v>3914</v>
      </c>
      <c r="G3602" t="s">
        <v>4127</v>
      </c>
      <c r="P3602" t="s">
        <v>60</v>
      </c>
      <c r="R3602" t="s">
        <v>4116</v>
      </c>
      <c r="S3602" t="s">
        <v>1007</v>
      </c>
      <c r="V3602" t="s">
        <v>3956</v>
      </c>
      <c r="Z3602">
        <v>3</v>
      </c>
      <c r="AA3602">
        <v>3</v>
      </c>
      <c r="AC3602">
        <v>380</v>
      </c>
      <c r="AD3602">
        <v>24</v>
      </c>
      <c r="AE3602">
        <v>856</v>
      </c>
      <c r="AF3602">
        <v>24</v>
      </c>
      <c r="AJ3602" t="s">
        <v>4139</v>
      </c>
      <c r="AK3602" t="s">
        <v>4151</v>
      </c>
      <c r="AN3602">
        <v>87.5</v>
      </c>
      <c r="AO3602">
        <v>2.598076211353316</v>
      </c>
      <c r="AP3602">
        <v>90</v>
      </c>
      <c r="AQ3602">
        <v>15.588457268119894</v>
      </c>
      <c r="AW3602" s="28">
        <f t="shared" si="360"/>
        <v>0.22371868507134143</v>
      </c>
      <c r="AX3602">
        <f t="shared" si="361"/>
        <v>0.8</v>
      </c>
      <c r="AY3602" s="62">
        <f t="shared" si="362"/>
        <v>0.17897494805707315</v>
      </c>
      <c r="AZ3602" s="68" t="str">
        <f t="shared" si="363"/>
        <v>No</v>
      </c>
      <c r="BA3602" s="68" t="str">
        <f t="shared" si="364"/>
        <v>No</v>
      </c>
    </row>
    <row r="3603" spans="1:53" hidden="1">
      <c r="A3603" t="s">
        <v>3914</v>
      </c>
      <c r="G3603" t="s">
        <v>4127</v>
      </c>
      <c r="P3603" t="s">
        <v>60</v>
      </c>
      <c r="R3603" t="s">
        <v>4116</v>
      </c>
      <c r="S3603" t="s">
        <v>1007</v>
      </c>
      <c r="V3603" t="s">
        <v>3956</v>
      </c>
      <c r="Z3603">
        <v>3</v>
      </c>
      <c r="AA3603">
        <v>3</v>
      </c>
      <c r="AC3603">
        <v>380</v>
      </c>
      <c r="AD3603">
        <v>24</v>
      </c>
      <c r="AE3603">
        <v>856</v>
      </c>
      <c r="AF3603">
        <v>24</v>
      </c>
      <c r="AJ3603" t="s">
        <v>4254</v>
      </c>
      <c r="AK3603" t="s">
        <v>4258</v>
      </c>
      <c r="AN3603">
        <v>87.5</v>
      </c>
      <c r="AO3603">
        <v>12.124355652982141</v>
      </c>
      <c r="AP3603">
        <v>53</v>
      </c>
      <c r="AQ3603">
        <v>24.248711305964282</v>
      </c>
      <c r="AW3603" s="28">
        <f t="shared" si="360"/>
        <v>-1.7996598318026886</v>
      </c>
      <c r="AX3603">
        <f t="shared" si="361"/>
        <v>0.8</v>
      </c>
      <c r="AY3603" s="62">
        <f t="shared" si="362"/>
        <v>-1.439727865442151</v>
      </c>
      <c r="AZ3603" s="68" t="str">
        <f t="shared" si="363"/>
        <v>No</v>
      </c>
      <c r="BA3603" s="68" t="str">
        <f t="shared" si="364"/>
        <v>No</v>
      </c>
    </row>
    <row r="3604" spans="1:53" hidden="1">
      <c r="A3604" t="s">
        <v>3914</v>
      </c>
      <c r="G3604" t="s">
        <v>5113</v>
      </c>
      <c r="P3604" t="s">
        <v>60</v>
      </c>
      <c r="R3604" t="s">
        <v>4286</v>
      </c>
      <c r="S3604" t="s">
        <v>4324</v>
      </c>
      <c r="V3604" t="s">
        <v>3956</v>
      </c>
      <c r="Z3604">
        <v>4</v>
      </c>
      <c r="AA3604">
        <v>4</v>
      </c>
      <c r="AC3604">
        <v>372.94</v>
      </c>
      <c r="AD3604">
        <v>20.170000000000002</v>
      </c>
      <c r="AE3604">
        <v>1182.5999999999999</v>
      </c>
      <c r="AF3604">
        <v>20.11</v>
      </c>
      <c r="AJ3604" t="s">
        <v>4065</v>
      </c>
      <c r="AK3604" t="s">
        <v>4258</v>
      </c>
      <c r="AN3604">
        <v>93.5</v>
      </c>
      <c r="AO3604">
        <v>3.9</v>
      </c>
      <c r="AP3604">
        <v>90.8</v>
      </c>
      <c r="AQ3604">
        <v>4.5</v>
      </c>
      <c r="AW3604" s="28">
        <f t="shared" si="360"/>
        <v>-0.64122344989118751</v>
      </c>
      <c r="AX3604">
        <f t="shared" si="361"/>
        <v>0.86956521739130432</v>
      </c>
      <c r="AY3604" s="62">
        <f t="shared" si="362"/>
        <v>-0.55758560860103257</v>
      </c>
      <c r="AZ3604" s="68" t="str">
        <f t="shared" si="363"/>
        <v>No</v>
      </c>
      <c r="BA3604" s="68" t="str">
        <f t="shared" si="364"/>
        <v>No</v>
      </c>
    </row>
    <row r="3605" spans="1:53" hidden="1">
      <c r="A3605" t="s">
        <v>3914</v>
      </c>
      <c r="G3605" t="s">
        <v>4316</v>
      </c>
      <c r="P3605" t="s">
        <v>60</v>
      </c>
      <c r="R3605" t="s">
        <v>4286</v>
      </c>
      <c r="S3605" t="s">
        <v>4324</v>
      </c>
      <c r="V3605" t="s">
        <v>3956</v>
      </c>
      <c r="Z3605">
        <v>4</v>
      </c>
      <c r="AA3605">
        <v>4</v>
      </c>
      <c r="AC3605">
        <v>372.94</v>
      </c>
      <c r="AD3605">
        <v>20.170000000000002</v>
      </c>
      <c r="AE3605">
        <v>1421.4</v>
      </c>
      <c r="AF3605">
        <v>20.12</v>
      </c>
      <c r="AJ3605" t="s">
        <v>4065</v>
      </c>
      <c r="AK3605" t="s">
        <v>4258</v>
      </c>
      <c r="AN3605">
        <v>93.5</v>
      </c>
      <c r="AO3605">
        <v>3.9</v>
      </c>
      <c r="AP3605">
        <v>85.8</v>
      </c>
      <c r="AQ3605">
        <v>6.5</v>
      </c>
      <c r="AW3605" s="28">
        <f t="shared" si="360"/>
        <v>-1.436557163676742</v>
      </c>
      <c r="AX3605">
        <f t="shared" si="361"/>
        <v>0.86956521739130432</v>
      </c>
      <c r="AY3605" s="62">
        <f t="shared" si="362"/>
        <v>-1.2491801423276017</v>
      </c>
      <c r="AZ3605" s="68" t="str">
        <f t="shared" si="363"/>
        <v>No</v>
      </c>
      <c r="BA3605" s="68" t="str">
        <f t="shared" si="364"/>
        <v>No</v>
      </c>
    </row>
    <row r="3606" spans="1:53" hidden="1">
      <c r="A3606" t="s">
        <v>3914</v>
      </c>
      <c r="G3606" t="s">
        <v>4316</v>
      </c>
      <c r="P3606" t="s">
        <v>60</v>
      </c>
      <c r="R3606" t="s">
        <v>4286</v>
      </c>
      <c r="S3606" t="s">
        <v>4324</v>
      </c>
      <c r="V3606" t="s">
        <v>3956</v>
      </c>
      <c r="Z3606">
        <v>4</v>
      </c>
      <c r="AA3606">
        <v>4</v>
      </c>
      <c r="AC3606">
        <v>421.7</v>
      </c>
      <c r="AD3606">
        <v>20.12</v>
      </c>
      <c r="AE3606">
        <v>1215.5999999999999</v>
      </c>
      <c r="AF3606">
        <v>20.16</v>
      </c>
      <c r="AJ3606" t="s">
        <v>1202</v>
      </c>
      <c r="AK3606" t="s">
        <v>4093</v>
      </c>
      <c r="AN3606">
        <v>77</v>
      </c>
      <c r="AO3606">
        <v>10</v>
      </c>
      <c r="AP3606">
        <v>50</v>
      </c>
      <c r="AQ3606">
        <v>8</v>
      </c>
      <c r="AW3606" s="28">
        <f t="shared" si="360"/>
        <v>-2.9816512040208565</v>
      </c>
      <c r="AX3606">
        <f t="shared" si="361"/>
        <v>0.86956521739130432</v>
      </c>
      <c r="AY3606" s="62">
        <f t="shared" si="362"/>
        <v>-2.5927401774094405</v>
      </c>
      <c r="AZ3606" s="68" t="str">
        <f t="shared" si="363"/>
        <v>No</v>
      </c>
      <c r="BA3606" s="68" t="str">
        <f t="shared" si="364"/>
        <v>No</v>
      </c>
    </row>
    <row r="3607" spans="1:53" hidden="1">
      <c r="A3607" t="s">
        <v>3914</v>
      </c>
      <c r="G3607" t="s">
        <v>4316</v>
      </c>
      <c r="P3607" t="s">
        <v>60</v>
      </c>
      <c r="R3607" t="s">
        <v>4286</v>
      </c>
      <c r="S3607" t="s">
        <v>4324</v>
      </c>
      <c r="V3607" t="s">
        <v>3956</v>
      </c>
      <c r="Z3607">
        <v>4</v>
      </c>
      <c r="AA3607">
        <v>4</v>
      </c>
      <c r="AC3607">
        <v>421.7</v>
      </c>
      <c r="AD3607">
        <v>20.12</v>
      </c>
      <c r="AE3607">
        <v>1437.6</v>
      </c>
      <c r="AF3607">
        <v>20.2</v>
      </c>
      <c r="AJ3607" t="s">
        <v>1202</v>
      </c>
      <c r="AK3607" t="s">
        <v>4093</v>
      </c>
      <c r="AN3607">
        <v>77</v>
      </c>
      <c r="AO3607">
        <v>10</v>
      </c>
      <c r="AP3607">
        <v>42</v>
      </c>
      <c r="AQ3607">
        <v>11</v>
      </c>
      <c r="AW3607" s="28">
        <f t="shared" si="360"/>
        <v>-3.3295604590814585</v>
      </c>
      <c r="AX3607">
        <f t="shared" si="361"/>
        <v>0.86956521739130432</v>
      </c>
      <c r="AY3607" s="62">
        <f t="shared" si="362"/>
        <v>-2.8952699644186595</v>
      </c>
      <c r="AZ3607" s="68" t="str">
        <f t="shared" si="363"/>
        <v>No</v>
      </c>
      <c r="BA3607" s="68" t="str">
        <f t="shared" si="364"/>
        <v>No</v>
      </c>
    </row>
    <row r="3608" spans="1:53" hidden="1">
      <c r="A3608" t="s">
        <v>3914</v>
      </c>
      <c r="G3608" t="s">
        <v>4316</v>
      </c>
      <c r="P3608" t="s">
        <v>60</v>
      </c>
      <c r="R3608" t="s">
        <v>4286</v>
      </c>
      <c r="S3608" t="s">
        <v>4324</v>
      </c>
      <c r="V3608" t="s">
        <v>3956</v>
      </c>
      <c r="Z3608">
        <v>4</v>
      </c>
      <c r="AA3608">
        <v>4</v>
      </c>
      <c r="AC3608">
        <v>421.7</v>
      </c>
      <c r="AD3608">
        <v>20.12</v>
      </c>
      <c r="AE3608">
        <v>1215.5999999999999</v>
      </c>
      <c r="AF3608">
        <v>20.16</v>
      </c>
      <c r="AJ3608" t="s">
        <v>4218</v>
      </c>
      <c r="AK3608" t="s">
        <v>4244</v>
      </c>
      <c r="AN3608">
        <v>940</v>
      </c>
      <c r="AO3608">
        <v>90</v>
      </c>
      <c r="AP3608">
        <v>825</v>
      </c>
      <c r="AQ3608">
        <v>125</v>
      </c>
      <c r="AW3608" s="28">
        <f t="shared" si="360"/>
        <v>-1.0558682422512438</v>
      </c>
      <c r="AX3608">
        <f t="shared" si="361"/>
        <v>0.86956521739130432</v>
      </c>
      <c r="AY3608" s="62">
        <f t="shared" si="362"/>
        <v>-0.91814629760977717</v>
      </c>
      <c r="AZ3608" s="68" t="str">
        <f t="shared" si="363"/>
        <v>No</v>
      </c>
      <c r="BA3608" s="68" t="str">
        <f t="shared" si="364"/>
        <v>No</v>
      </c>
    </row>
    <row r="3609" spans="1:53" hidden="1">
      <c r="A3609" t="s">
        <v>3914</v>
      </c>
      <c r="G3609" t="s">
        <v>4983</v>
      </c>
      <c r="P3609" t="s">
        <v>60</v>
      </c>
      <c r="R3609" t="s">
        <v>4286</v>
      </c>
      <c r="S3609" t="s">
        <v>4324</v>
      </c>
      <c r="V3609" t="s">
        <v>3956</v>
      </c>
      <c r="Z3609">
        <v>4</v>
      </c>
      <c r="AA3609">
        <v>4</v>
      </c>
      <c r="AC3609">
        <v>372.94</v>
      </c>
      <c r="AD3609">
        <v>20.170000000000002</v>
      </c>
      <c r="AE3609">
        <v>1421.4</v>
      </c>
      <c r="AF3609">
        <v>20.12</v>
      </c>
      <c r="AJ3609" t="s">
        <v>4218</v>
      </c>
      <c r="AK3609" t="s">
        <v>4244</v>
      </c>
      <c r="AN3609">
        <v>940</v>
      </c>
      <c r="AO3609">
        <v>90</v>
      </c>
      <c r="AP3609">
        <v>850</v>
      </c>
      <c r="AQ3609">
        <v>190</v>
      </c>
      <c r="AW3609" s="28">
        <f t="shared" si="360"/>
        <v>-0.60540551459668124</v>
      </c>
      <c r="AX3609">
        <f t="shared" si="361"/>
        <v>0.86956521739130432</v>
      </c>
      <c r="AY3609" s="62">
        <f t="shared" si="362"/>
        <v>-0.52643957791015761</v>
      </c>
      <c r="AZ3609" s="68" t="str">
        <f t="shared" si="363"/>
        <v>No</v>
      </c>
      <c r="BA3609" s="68" t="str">
        <f t="shared" si="364"/>
        <v>No</v>
      </c>
    </row>
    <row r="3610" spans="1:53" hidden="1">
      <c r="A3610" t="s">
        <v>3914</v>
      </c>
      <c r="G3610" s="50" t="s">
        <v>4370</v>
      </c>
      <c r="P3610" t="s">
        <v>60</v>
      </c>
      <c r="R3610" t="s">
        <v>4357</v>
      </c>
      <c r="S3610" s="50" t="s">
        <v>952</v>
      </c>
      <c r="V3610" t="s">
        <v>3956</v>
      </c>
      <c r="Z3610">
        <v>3</v>
      </c>
      <c r="AA3610">
        <v>3</v>
      </c>
      <c r="AC3610">
        <v>505.548</v>
      </c>
      <c r="AD3610">
        <v>21</v>
      </c>
      <c r="AE3610">
        <v>1109.2180000000001</v>
      </c>
      <c r="AF3610">
        <v>21</v>
      </c>
      <c r="AJ3610" s="50" t="s">
        <v>4472</v>
      </c>
      <c r="AK3610" t="s">
        <v>4151</v>
      </c>
      <c r="AN3610">
        <v>6</v>
      </c>
      <c r="AO3610">
        <v>3.4641016151377544</v>
      </c>
      <c r="AP3610">
        <v>13</v>
      </c>
      <c r="AQ3610">
        <v>3.4641016151377544</v>
      </c>
      <c r="AW3610" s="28">
        <f t="shared" si="360"/>
        <v>2.0207259421636903</v>
      </c>
      <c r="AX3610">
        <f t="shared" si="361"/>
        <v>0.8</v>
      </c>
      <c r="AY3610" s="69">
        <f t="shared" si="362"/>
        <v>1.6165807537309522</v>
      </c>
      <c r="AZ3610" s="68" t="str">
        <f t="shared" si="363"/>
        <v>No</v>
      </c>
      <c r="BA3610" s="68" t="str">
        <f t="shared" si="364"/>
        <v>No</v>
      </c>
    </row>
    <row r="3611" spans="1:53" hidden="1">
      <c r="A3611" t="s">
        <v>3914</v>
      </c>
      <c r="G3611" t="s">
        <v>4942</v>
      </c>
      <c r="P3611" t="s">
        <v>4596</v>
      </c>
      <c r="R3611" t="s">
        <v>4357</v>
      </c>
      <c r="S3611" t="s">
        <v>952</v>
      </c>
      <c r="V3611" t="s">
        <v>4598</v>
      </c>
      <c r="Z3611">
        <v>4</v>
      </c>
      <c r="AA3611">
        <v>4</v>
      </c>
      <c r="AC3611">
        <v>505.5</v>
      </c>
      <c r="AD3611">
        <v>21</v>
      </c>
      <c r="AE3611">
        <v>511.3</v>
      </c>
      <c r="AF3611">
        <v>24</v>
      </c>
      <c r="AJ3611" t="s">
        <v>2020</v>
      </c>
      <c r="AK3611" t="s">
        <v>59</v>
      </c>
      <c r="AN3611">
        <v>98</v>
      </c>
      <c r="AO3611" s="61">
        <v>5.5976676384827897</v>
      </c>
      <c r="AP3611">
        <v>97</v>
      </c>
      <c r="AQ3611" s="61">
        <v>3.6151603498541931</v>
      </c>
      <c r="AW3611" s="28">
        <f t="shared" si="360"/>
        <v>-0.21223037123547048</v>
      </c>
      <c r="AX3611">
        <f t="shared" si="361"/>
        <v>0.86956521739130432</v>
      </c>
      <c r="AY3611" s="62">
        <f t="shared" si="362"/>
        <v>-0.1845481489004091</v>
      </c>
      <c r="AZ3611" s="68" t="str">
        <f t="shared" si="363"/>
        <v>No</v>
      </c>
      <c r="BA3611" s="68" t="str">
        <f t="shared" si="364"/>
        <v>No</v>
      </c>
    </row>
    <row r="3612" spans="1:53" hidden="1">
      <c r="A3612" t="s">
        <v>3914</v>
      </c>
      <c r="G3612" t="s">
        <v>5017</v>
      </c>
      <c r="P3612" t="s">
        <v>60</v>
      </c>
      <c r="R3612" t="s">
        <v>4357</v>
      </c>
      <c r="S3612" t="s">
        <v>952</v>
      </c>
      <c r="V3612" t="s">
        <v>3956</v>
      </c>
      <c r="Z3612">
        <v>4</v>
      </c>
      <c r="AA3612">
        <v>4</v>
      </c>
      <c r="AC3612">
        <v>468.27</v>
      </c>
      <c r="AD3612">
        <v>14</v>
      </c>
      <c r="AE3612">
        <v>1010.5549999999999</v>
      </c>
      <c r="AF3612">
        <v>14</v>
      </c>
      <c r="AJ3612" t="s">
        <v>2020</v>
      </c>
      <c r="AK3612" t="s">
        <v>4093</v>
      </c>
      <c r="AN3612">
        <v>97.5</v>
      </c>
      <c r="AO3612">
        <v>5</v>
      </c>
      <c r="AP3612">
        <v>95</v>
      </c>
      <c r="AQ3612">
        <v>5</v>
      </c>
      <c r="AW3612" s="28">
        <f t="shared" si="360"/>
        <v>-0.5</v>
      </c>
      <c r="AX3612">
        <f t="shared" si="361"/>
        <v>0.86956521739130432</v>
      </c>
      <c r="AY3612" s="62">
        <f t="shared" si="362"/>
        <v>-0.43478260869565216</v>
      </c>
      <c r="AZ3612" s="68" t="str">
        <f t="shared" si="363"/>
        <v>No</v>
      </c>
      <c r="BA3612" s="68" t="str">
        <f t="shared" si="364"/>
        <v>No</v>
      </c>
    </row>
    <row r="3613" spans="1:53">
      <c r="A3613" t="s">
        <v>3914</v>
      </c>
      <c r="G3613" t="s">
        <v>4370</v>
      </c>
      <c r="P3613" t="s">
        <v>60</v>
      </c>
      <c r="R3613" t="s">
        <v>4357</v>
      </c>
      <c r="S3613" t="s">
        <v>952</v>
      </c>
      <c r="V3613" t="s">
        <v>3956</v>
      </c>
      <c r="Z3613">
        <v>4</v>
      </c>
      <c r="AA3613">
        <v>4</v>
      </c>
      <c r="AC3613">
        <v>505.548</v>
      </c>
      <c r="AD3613">
        <v>21</v>
      </c>
      <c r="AE3613">
        <v>6451.4989999999998</v>
      </c>
      <c r="AF3613">
        <v>21</v>
      </c>
      <c r="AJ3613" t="s">
        <v>2020</v>
      </c>
      <c r="AK3613" t="s">
        <v>4093</v>
      </c>
      <c r="AN3613">
        <v>82</v>
      </c>
      <c r="AO3613">
        <v>5</v>
      </c>
      <c r="AP3613">
        <v>6</v>
      </c>
      <c r="AQ3613">
        <v>6</v>
      </c>
      <c r="AW3613" s="28">
        <f t="shared" si="360"/>
        <v>-13.761433398462817</v>
      </c>
      <c r="AX3613">
        <f t="shared" si="361"/>
        <v>0.86956521739130432</v>
      </c>
      <c r="AY3613" s="62">
        <f t="shared" si="362"/>
        <v>-11.966463824750274</v>
      </c>
      <c r="AZ3613" s="68" t="str">
        <f t="shared" si="363"/>
        <v>No</v>
      </c>
      <c r="BA3613" s="68" t="str">
        <f t="shared" si="364"/>
        <v>Yes</v>
      </c>
    </row>
    <row r="3614" spans="1:53" ht="15">
      <c r="A3614" t="s">
        <v>3914</v>
      </c>
      <c r="G3614" t="s">
        <v>4370</v>
      </c>
      <c r="P3614" t="s">
        <v>60</v>
      </c>
      <c r="R3614" t="s">
        <v>4357</v>
      </c>
      <c r="S3614" t="s">
        <v>952</v>
      </c>
      <c r="V3614" t="s">
        <v>3956</v>
      </c>
      <c r="Z3614">
        <v>3</v>
      </c>
      <c r="AA3614">
        <v>3</v>
      </c>
      <c r="AC3614">
        <v>468.27</v>
      </c>
      <c r="AD3614">
        <v>14</v>
      </c>
      <c r="AE3614">
        <v>6237.6130000000003</v>
      </c>
      <c r="AF3614" s="56">
        <v>14</v>
      </c>
      <c r="AJ3614" t="s">
        <v>4460</v>
      </c>
      <c r="AK3614" t="s">
        <v>4151</v>
      </c>
      <c r="AN3614">
        <v>77</v>
      </c>
      <c r="AO3614">
        <v>8.6602540378443855</v>
      </c>
      <c r="AP3614">
        <v>20</v>
      </c>
      <c r="AQ3614">
        <v>6.9282032302755088</v>
      </c>
      <c r="AW3614" s="28">
        <f t="shared" si="360"/>
        <v>-7.2683745289220569</v>
      </c>
      <c r="AX3614">
        <f t="shared" si="361"/>
        <v>0.8</v>
      </c>
      <c r="AY3614" s="69">
        <f t="shared" si="362"/>
        <v>-5.8146996231376455</v>
      </c>
      <c r="AZ3614" s="68" t="str">
        <f t="shared" si="363"/>
        <v>No</v>
      </c>
      <c r="BA3614" s="68" t="str">
        <f t="shared" si="364"/>
        <v>No</v>
      </c>
    </row>
    <row r="3615" spans="1:53" hidden="1">
      <c r="A3615" t="s">
        <v>3914</v>
      </c>
      <c r="G3615" s="50" t="s">
        <v>4370</v>
      </c>
      <c r="P3615" t="s">
        <v>60</v>
      </c>
      <c r="R3615" t="s">
        <v>4357</v>
      </c>
      <c r="S3615" s="50" t="s">
        <v>952</v>
      </c>
      <c r="V3615" t="s">
        <v>3956</v>
      </c>
      <c r="Z3615" s="50">
        <v>3</v>
      </c>
      <c r="AA3615" s="50">
        <v>3</v>
      </c>
      <c r="AC3615">
        <v>505.548</v>
      </c>
      <c r="AD3615">
        <v>21</v>
      </c>
      <c r="AE3615">
        <v>1825.318</v>
      </c>
      <c r="AF3615">
        <v>21</v>
      </c>
      <c r="AJ3615" s="50" t="s">
        <v>4472</v>
      </c>
      <c r="AK3615" t="s">
        <v>4151</v>
      </c>
      <c r="AN3615">
        <v>6</v>
      </c>
      <c r="AO3615">
        <v>3.4641016151377544</v>
      </c>
      <c r="AP3615">
        <v>23</v>
      </c>
      <c r="AQ3615">
        <v>6.9282032302755088</v>
      </c>
      <c r="AW3615" s="28">
        <f t="shared" si="360"/>
        <v>3.1037611591959413</v>
      </c>
      <c r="AX3615">
        <f t="shared" si="361"/>
        <v>0.8</v>
      </c>
      <c r="AY3615" s="62">
        <f t="shared" si="362"/>
        <v>2.483008927356753</v>
      </c>
      <c r="AZ3615" s="68" t="str">
        <f t="shared" si="363"/>
        <v>No</v>
      </c>
      <c r="BA3615" s="68" t="str">
        <f t="shared" si="364"/>
        <v>No</v>
      </c>
    </row>
    <row r="3616" spans="1:53" hidden="1">
      <c r="A3616" t="s">
        <v>3914</v>
      </c>
      <c r="G3616" t="s">
        <v>4370</v>
      </c>
      <c r="P3616" t="s">
        <v>4596</v>
      </c>
      <c r="R3616" t="s">
        <v>4357</v>
      </c>
      <c r="S3616" t="s">
        <v>952</v>
      </c>
      <c r="V3616" t="s">
        <v>4598</v>
      </c>
      <c r="Z3616">
        <v>4</v>
      </c>
      <c r="AA3616">
        <v>4</v>
      </c>
      <c r="AC3616">
        <v>505.5</v>
      </c>
      <c r="AD3616">
        <v>21</v>
      </c>
      <c r="AE3616">
        <v>511.3</v>
      </c>
      <c r="AF3616">
        <v>24</v>
      </c>
      <c r="AJ3616" t="s">
        <v>4744</v>
      </c>
      <c r="AK3616" t="s">
        <v>59</v>
      </c>
      <c r="AN3616">
        <v>35</v>
      </c>
      <c r="AO3616" s="61">
        <v>10.666666666666814</v>
      </c>
      <c r="AP3616">
        <v>82</v>
      </c>
      <c r="AQ3616" s="61">
        <v>7.3846153846152163</v>
      </c>
      <c r="AW3616" s="28">
        <f t="shared" si="360"/>
        <v>5.1233907534463832</v>
      </c>
      <c r="AX3616">
        <f t="shared" si="361"/>
        <v>0.86956521739130432</v>
      </c>
      <c r="AY3616" s="62">
        <f t="shared" si="362"/>
        <v>4.4551223943012026</v>
      </c>
      <c r="AZ3616" s="68" t="str">
        <f t="shared" si="363"/>
        <v>No</v>
      </c>
      <c r="BA3616" s="68" t="str">
        <f t="shared" si="364"/>
        <v>No</v>
      </c>
    </row>
    <row r="3617" spans="1:53" hidden="1">
      <c r="A3617" t="s">
        <v>3914</v>
      </c>
      <c r="G3617" t="s">
        <v>4370</v>
      </c>
      <c r="P3617" t="s">
        <v>60</v>
      </c>
      <c r="R3617" t="s">
        <v>4357</v>
      </c>
      <c r="S3617" t="s">
        <v>952</v>
      </c>
      <c r="V3617" t="s">
        <v>3956</v>
      </c>
      <c r="Z3617">
        <v>4</v>
      </c>
      <c r="AA3617">
        <v>4</v>
      </c>
      <c r="AC3617">
        <v>505.548</v>
      </c>
      <c r="AD3617">
        <v>21</v>
      </c>
      <c r="AE3617">
        <v>1109.2180000000001</v>
      </c>
      <c r="AF3617">
        <v>21</v>
      </c>
      <c r="AJ3617" t="s">
        <v>2020</v>
      </c>
      <c r="AK3617" t="s">
        <v>4093</v>
      </c>
      <c r="AN3617">
        <v>82</v>
      </c>
      <c r="AO3617">
        <v>5</v>
      </c>
      <c r="AP3617">
        <v>80</v>
      </c>
      <c r="AQ3617">
        <v>8</v>
      </c>
      <c r="AW3617" s="28">
        <f t="shared" si="360"/>
        <v>-0.29981267559834457</v>
      </c>
      <c r="AX3617">
        <f t="shared" si="361"/>
        <v>0.86956521739130432</v>
      </c>
      <c r="AY3617" s="62">
        <f t="shared" si="362"/>
        <v>-0.26070667443334311</v>
      </c>
      <c r="AZ3617" s="68" t="str">
        <f t="shared" si="363"/>
        <v>No</v>
      </c>
      <c r="BA3617" s="68" t="str">
        <f t="shared" si="364"/>
        <v>No</v>
      </c>
    </row>
    <row r="3618" spans="1:53" hidden="1">
      <c r="A3618" t="s">
        <v>3914</v>
      </c>
      <c r="G3618" t="s">
        <v>4370</v>
      </c>
      <c r="P3618" t="s">
        <v>60</v>
      </c>
      <c r="R3618" t="s">
        <v>4357</v>
      </c>
      <c r="S3618" t="s">
        <v>952</v>
      </c>
      <c r="V3618" t="s">
        <v>3956</v>
      </c>
      <c r="Z3618">
        <v>4</v>
      </c>
      <c r="AA3618">
        <v>4</v>
      </c>
      <c r="AC3618">
        <v>468.27</v>
      </c>
      <c r="AD3618">
        <v>14</v>
      </c>
      <c r="AE3618">
        <v>1651.575</v>
      </c>
      <c r="AF3618">
        <v>14</v>
      </c>
      <c r="AJ3618" t="s">
        <v>677</v>
      </c>
      <c r="AK3618" t="s">
        <v>4093</v>
      </c>
      <c r="AN3618">
        <v>34</v>
      </c>
      <c r="AO3618">
        <v>14</v>
      </c>
      <c r="AP3618">
        <v>24</v>
      </c>
      <c r="AQ3618">
        <v>8</v>
      </c>
      <c r="AW3618" s="28">
        <f t="shared" si="360"/>
        <v>-0.87705801930702931</v>
      </c>
      <c r="AX3618">
        <f t="shared" si="361"/>
        <v>0.86956521739130432</v>
      </c>
      <c r="AY3618" s="62">
        <f t="shared" si="362"/>
        <v>-0.7626591472235037</v>
      </c>
      <c r="AZ3618" s="68" t="str">
        <f t="shared" si="363"/>
        <v>No</v>
      </c>
      <c r="BA3618" s="68" t="str">
        <f t="shared" si="364"/>
        <v>No</v>
      </c>
    </row>
    <row r="3619" spans="1:53" hidden="1">
      <c r="A3619" t="s">
        <v>3914</v>
      </c>
      <c r="G3619" t="s">
        <v>4370</v>
      </c>
      <c r="P3619" t="s">
        <v>60</v>
      </c>
      <c r="R3619" t="s">
        <v>4357</v>
      </c>
      <c r="S3619" t="s">
        <v>952</v>
      </c>
      <c r="V3619" t="s">
        <v>3956</v>
      </c>
      <c r="Z3619">
        <v>3</v>
      </c>
      <c r="AA3619">
        <v>3</v>
      </c>
      <c r="AC3619">
        <v>505.548</v>
      </c>
      <c r="AD3619">
        <v>21</v>
      </c>
      <c r="AE3619">
        <v>1109.2180000000001</v>
      </c>
      <c r="AF3619">
        <v>21</v>
      </c>
      <c r="AJ3619" t="s">
        <v>4460</v>
      </c>
      <c r="AK3619" t="s">
        <v>4151</v>
      </c>
      <c r="AN3619">
        <v>80</v>
      </c>
      <c r="AO3619">
        <v>6.9282032302755088</v>
      </c>
      <c r="AP3619">
        <v>72</v>
      </c>
      <c r="AQ3619">
        <v>8.6602540378443855</v>
      </c>
      <c r="AW3619" s="28">
        <f t="shared" si="360"/>
        <v>-1.0201227409013414</v>
      </c>
      <c r="AX3619">
        <f t="shared" si="361"/>
        <v>0.8</v>
      </c>
      <c r="AY3619" s="62">
        <f t="shared" si="362"/>
        <v>-0.81609819272107309</v>
      </c>
      <c r="AZ3619" s="68" t="str">
        <f t="shared" si="363"/>
        <v>No</v>
      </c>
      <c r="BA3619" s="68" t="str">
        <f t="shared" si="364"/>
        <v>No</v>
      </c>
    </row>
    <row r="3620" spans="1:53" hidden="1">
      <c r="A3620" t="s">
        <v>3914</v>
      </c>
      <c r="G3620" s="50" t="s">
        <v>4370</v>
      </c>
      <c r="P3620" t="s">
        <v>60</v>
      </c>
      <c r="R3620" t="s">
        <v>4357</v>
      </c>
      <c r="S3620" s="50" t="s">
        <v>952</v>
      </c>
      <c r="V3620" t="s">
        <v>3956</v>
      </c>
      <c r="Z3620">
        <v>3</v>
      </c>
      <c r="AA3620">
        <v>3</v>
      </c>
      <c r="AC3620">
        <v>468.27</v>
      </c>
      <c r="AD3620">
        <v>14</v>
      </c>
      <c r="AE3620">
        <v>1010.5549999999999</v>
      </c>
      <c r="AF3620">
        <v>14</v>
      </c>
      <c r="AJ3620" s="50" t="s">
        <v>4472</v>
      </c>
      <c r="AK3620" t="s">
        <v>4151</v>
      </c>
      <c r="AN3620">
        <v>6</v>
      </c>
      <c r="AO3620">
        <v>6.9282032302755088</v>
      </c>
      <c r="AP3620">
        <v>14</v>
      </c>
      <c r="AQ3620">
        <v>8.6602540378443855</v>
      </c>
      <c r="AW3620" s="28">
        <f t="shared" si="360"/>
        <v>1.0201227409013414</v>
      </c>
      <c r="AX3620">
        <f t="shared" si="361"/>
        <v>0.8</v>
      </c>
      <c r="AY3620" s="69">
        <f t="shared" si="362"/>
        <v>0.81609819272107309</v>
      </c>
      <c r="AZ3620" s="68" t="str">
        <f t="shared" si="363"/>
        <v>No</v>
      </c>
      <c r="BA3620" s="68" t="str">
        <f t="shared" si="364"/>
        <v>No</v>
      </c>
    </row>
    <row r="3621" spans="1:53" hidden="1">
      <c r="A3621" t="s">
        <v>3914</v>
      </c>
      <c r="G3621" t="s">
        <v>4370</v>
      </c>
      <c r="P3621" t="s">
        <v>4596</v>
      </c>
      <c r="R3621" t="s">
        <v>4357</v>
      </c>
      <c r="S3621" t="s">
        <v>952</v>
      </c>
      <c r="V3621" t="s">
        <v>4598</v>
      </c>
      <c r="Z3621">
        <v>4</v>
      </c>
      <c r="AA3621">
        <v>4</v>
      </c>
      <c r="AC3621">
        <v>505.5</v>
      </c>
      <c r="AD3621">
        <v>21</v>
      </c>
      <c r="AE3621">
        <v>511.3</v>
      </c>
      <c r="AF3621">
        <v>24</v>
      </c>
      <c r="AJ3621" t="s">
        <v>4746</v>
      </c>
      <c r="AK3621" t="s">
        <v>4123</v>
      </c>
      <c r="AN3621">
        <v>6</v>
      </c>
      <c r="AO3621" s="61">
        <v>6.0621778264910704</v>
      </c>
      <c r="AP3621">
        <v>8</v>
      </c>
      <c r="AQ3621" s="61">
        <v>8.8767603887904958</v>
      </c>
      <c r="AW3621" s="28">
        <f t="shared" si="360"/>
        <v>0.26312728906399852</v>
      </c>
      <c r="AX3621">
        <f t="shared" si="361"/>
        <v>0.86956521739130432</v>
      </c>
      <c r="AY3621" s="62">
        <f t="shared" si="362"/>
        <v>0.22880633831652045</v>
      </c>
      <c r="AZ3621" s="68" t="str">
        <f t="shared" si="363"/>
        <v>No</v>
      </c>
      <c r="BA3621" s="68" t="str">
        <f t="shared" si="364"/>
        <v>No</v>
      </c>
    </row>
    <row r="3622" spans="1:53" hidden="1">
      <c r="A3622" t="s">
        <v>3914</v>
      </c>
      <c r="G3622" t="s">
        <v>4370</v>
      </c>
      <c r="P3622" t="s">
        <v>4596</v>
      </c>
      <c r="R3622" t="s">
        <v>4357</v>
      </c>
      <c r="S3622" t="s">
        <v>952</v>
      </c>
      <c r="V3622" t="s">
        <v>4598</v>
      </c>
      <c r="Z3622">
        <v>4</v>
      </c>
      <c r="AA3622">
        <v>4</v>
      </c>
      <c r="AC3622">
        <v>505.5</v>
      </c>
      <c r="AD3622">
        <v>21</v>
      </c>
      <c r="AE3622">
        <v>511.3</v>
      </c>
      <c r="AF3622">
        <v>24</v>
      </c>
      <c r="AJ3622" t="s">
        <v>4745</v>
      </c>
      <c r="AK3622" t="s">
        <v>4637</v>
      </c>
      <c r="AN3622">
        <v>77</v>
      </c>
      <c r="AO3622" s="61">
        <v>9.4618860504519713</v>
      </c>
      <c r="AP3622">
        <v>81</v>
      </c>
      <c r="AQ3622" s="61">
        <v>9.4618860504519713</v>
      </c>
      <c r="AW3622" s="28">
        <f t="shared" si="360"/>
        <v>0.42274869710663338</v>
      </c>
      <c r="AX3622">
        <f t="shared" si="361"/>
        <v>0.86956521739130432</v>
      </c>
      <c r="AY3622" s="62">
        <f t="shared" si="362"/>
        <v>0.36760756270142031</v>
      </c>
      <c r="AZ3622" s="68" t="str">
        <f t="shared" si="363"/>
        <v>No</v>
      </c>
      <c r="BA3622" s="68" t="str">
        <f t="shared" si="364"/>
        <v>No</v>
      </c>
    </row>
    <row r="3623" spans="1:53" hidden="1">
      <c r="A3623" t="s">
        <v>3914</v>
      </c>
      <c r="G3623" t="s">
        <v>4370</v>
      </c>
      <c r="P3623" t="s">
        <v>4596</v>
      </c>
      <c r="R3623" t="s">
        <v>4357</v>
      </c>
      <c r="S3623" t="s">
        <v>952</v>
      </c>
      <c r="V3623" t="s">
        <v>4626</v>
      </c>
      <c r="Z3623">
        <v>4</v>
      </c>
      <c r="AA3623">
        <v>4</v>
      </c>
      <c r="AC3623">
        <v>505.5</v>
      </c>
      <c r="AD3623">
        <v>21</v>
      </c>
      <c r="AE3623">
        <v>1130.5</v>
      </c>
      <c r="AF3623">
        <v>24</v>
      </c>
      <c r="AJ3623" t="s">
        <v>2020</v>
      </c>
      <c r="AK3623" t="s">
        <v>59</v>
      </c>
      <c r="AN3623">
        <v>98</v>
      </c>
      <c r="AO3623" s="61">
        <v>5.5976676384827897</v>
      </c>
      <c r="AP3623">
        <v>96.5</v>
      </c>
      <c r="AQ3623" s="61">
        <v>9.7959183673457915</v>
      </c>
      <c r="AW3623" s="28">
        <f t="shared" si="360"/>
        <v>-0.1880193128889707</v>
      </c>
      <c r="AX3623">
        <f t="shared" si="361"/>
        <v>0.86956521739130432</v>
      </c>
      <c r="AY3623" s="62">
        <f t="shared" si="362"/>
        <v>-0.16349505468606146</v>
      </c>
      <c r="AZ3623" s="68" t="str">
        <f t="shared" si="363"/>
        <v>No</v>
      </c>
      <c r="BA3623" s="68" t="str">
        <f t="shared" si="364"/>
        <v>No</v>
      </c>
    </row>
    <row r="3624" spans="1:53" hidden="1">
      <c r="A3624" t="s">
        <v>3914</v>
      </c>
      <c r="G3624" t="s">
        <v>4370</v>
      </c>
      <c r="P3624" t="s">
        <v>60</v>
      </c>
      <c r="R3624" t="s">
        <v>4357</v>
      </c>
      <c r="S3624" t="s">
        <v>952</v>
      </c>
      <c r="V3624" t="s">
        <v>3956</v>
      </c>
      <c r="Z3624">
        <v>4</v>
      </c>
      <c r="AA3624">
        <v>4</v>
      </c>
      <c r="AC3624">
        <v>505.548</v>
      </c>
      <c r="AD3624">
        <v>21</v>
      </c>
      <c r="AE3624">
        <v>1825.318</v>
      </c>
      <c r="AF3624">
        <v>21</v>
      </c>
      <c r="AJ3624" t="s">
        <v>2020</v>
      </c>
      <c r="AK3624" t="s">
        <v>4093</v>
      </c>
      <c r="AN3624">
        <v>82</v>
      </c>
      <c r="AO3624">
        <v>5</v>
      </c>
      <c r="AP3624">
        <v>68</v>
      </c>
      <c r="AQ3624">
        <v>10</v>
      </c>
      <c r="AW3624" s="28">
        <f t="shared" si="360"/>
        <v>-1.7708754896942924</v>
      </c>
      <c r="AX3624">
        <f t="shared" si="361"/>
        <v>0.86956521739130432</v>
      </c>
      <c r="AY3624" s="62">
        <f t="shared" si="362"/>
        <v>-1.5398917301689499</v>
      </c>
      <c r="AZ3624" s="68" t="str">
        <f t="shared" si="363"/>
        <v>No</v>
      </c>
      <c r="BA3624" s="68" t="str">
        <f t="shared" si="364"/>
        <v>No</v>
      </c>
    </row>
    <row r="3625" spans="1:53">
      <c r="A3625" t="s">
        <v>3914</v>
      </c>
      <c r="G3625" t="s">
        <v>4370</v>
      </c>
      <c r="P3625" t="s">
        <v>60</v>
      </c>
      <c r="R3625" t="s">
        <v>4357</v>
      </c>
      <c r="S3625" t="s">
        <v>952</v>
      </c>
      <c r="V3625" t="s">
        <v>3956</v>
      </c>
      <c r="Z3625">
        <v>4</v>
      </c>
      <c r="AA3625">
        <v>4</v>
      </c>
      <c r="AC3625">
        <v>468.27</v>
      </c>
      <c r="AD3625">
        <v>14</v>
      </c>
      <c r="AE3625">
        <v>6237.6130000000003</v>
      </c>
      <c r="AF3625">
        <v>14</v>
      </c>
      <c r="AJ3625" t="s">
        <v>2020</v>
      </c>
      <c r="AK3625" t="s">
        <v>4093</v>
      </c>
      <c r="AN3625">
        <v>97.5</v>
      </c>
      <c r="AO3625">
        <v>5</v>
      </c>
      <c r="AP3625">
        <v>22</v>
      </c>
      <c r="AQ3625">
        <v>10</v>
      </c>
      <c r="AW3625" s="28">
        <f t="shared" si="360"/>
        <v>-9.5500785337085059</v>
      </c>
      <c r="AX3625">
        <f t="shared" si="361"/>
        <v>0.86956521739130432</v>
      </c>
      <c r="AY3625" s="62">
        <f t="shared" si="362"/>
        <v>-8.3044161162682659</v>
      </c>
      <c r="AZ3625" s="68" t="str">
        <f t="shared" si="363"/>
        <v>No</v>
      </c>
      <c r="BA3625" s="68" t="str">
        <f t="shared" si="364"/>
        <v>No</v>
      </c>
    </row>
    <row r="3626" spans="1:53" hidden="1">
      <c r="A3626" t="s">
        <v>3914</v>
      </c>
      <c r="G3626" t="s">
        <v>4370</v>
      </c>
      <c r="P3626" t="s">
        <v>60</v>
      </c>
      <c r="R3626" t="s">
        <v>4357</v>
      </c>
      <c r="S3626" t="s">
        <v>952</v>
      </c>
      <c r="V3626" t="s">
        <v>3956</v>
      </c>
      <c r="Z3626">
        <v>4</v>
      </c>
      <c r="AA3626">
        <v>4</v>
      </c>
      <c r="AC3626">
        <v>505.548</v>
      </c>
      <c r="AD3626">
        <v>21</v>
      </c>
      <c r="AE3626">
        <v>1109.2180000000001</v>
      </c>
      <c r="AF3626">
        <v>21</v>
      </c>
      <c r="AJ3626" t="s">
        <v>677</v>
      </c>
      <c r="AK3626" t="s">
        <v>4093</v>
      </c>
      <c r="AN3626">
        <v>80</v>
      </c>
      <c r="AO3626">
        <v>12</v>
      </c>
      <c r="AP3626">
        <v>70</v>
      </c>
      <c r="AQ3626">
        <v>10</v>
      </c>
      <c r="AW3626" s="28">
        <f t="shared" si="360"/>
        <v>-0.90535746042518528</v>
      </c>
      <c r="AX3626">
        <f t="shared" si="361"/>
        <v>0.86956521739130432</v>
      </c>
      <c r="AY3626" s="62">
        <f t="shared" si="362"/>
        <v>-0.78726735689146543</v>
      </c>
      <c r="AZ3626" s="68" t="str">
        <f t="shared" si="363"/>
        <v>No</v>
      </c>
      <c r="BA3626" s="68" t="str">
        <f t="shared" si="364"/>
        <v>No</v>
      </c>
    </row>
    <row r="3627" spans="1:53" hidden="1">
      <c r="A3627" t="s">
        <v>3914</v>
      </c>
      <c r="G3627" s="50" t="s">
        <v>4370</v>
      </c>
      <c r="P3627" t="s">
        <v>60</v>
      </c>
      <c r="R3627" t="s">
        <v>4357</v>
      </c>
      <c r="S3627" s="50" t="s">
        <v>952</v>
      </c>
      <c r="V3627" t="s">
        <v>3956</v>
      </c>
      <c r="Z3627" s="50">
        <v>3</v>
      </c>
      <c r="AA3627" s="50">
        <v>3</v>
      </c>
      <c r="AC3627">
        <v>468.27</v>
      </c>
      <c r="AD3627">
        <v>14</v>
      </c>
      <c r="AE3627">
        <v>1651.575</v>
      </c>
      <c r="AF3627">
        <v>14</v>
      </c>
      <c r="AJ3627" s="50" t="s">
        <v>4472</v>
      </c>
      <c r="AK3627" t="s">
        <v>4151</v>
      </c>
      <c r="AN3627">
        <v>6</v>
      </c>
      <c r="AO3627">
        <v>6.9282032302755088</v>
      </c>
      <c r="AP3627">
        <v>24</v>
      </c>
      <c r="AQ3627">
        <v>10.392304845413264</v>
      </c>
      <c r="AW3627" s="28">
        <f t="shared" si="360"/>
        <v>2.0380986614602721</v>
      </c>
      <c r="AX3627">
        <f t="shared" si="361"/>
        <v>0.8</v>
      </c>
      <c r="AY3627" s="62">
        <f t="shared" si="362"/>
        <v>1.6304789291682178</v>
      </c>
      <c r="AZ3627" s="68" t="str">
        <f t="shared" si="363"/>
        <v>No</v>
      </c>
      <c r="BA3627" s="68" t="str">
        <f t="shared" si="364"/>
        <v>No</v>
      </c>
    </row>
    <row r="3628" spans="1:53" hidden="1">
      <c r="A3628" t="s">
        <v>3914</v>
      </c>
      <c r="G3628" t="s">
        <v>4370</v>
      </c>
      <c r="P3628" t="s">
        <v>4596</v>
      </c>
      <c r="R3628" t="s">
        <v>4357</v>
      </c>
      <c r="S3628" t="s">
        <v>952</v>
      </c>
      <c r="V3628" t="s">
        <v>4627</v>
      </c>
      <c r="Z3628">
        <v>4</v>
      </c>
      <c r="AA3628">
        <v>4</v>
      </c>
      <c r="AC3628">
        <v>505.5</v>
      </c>
      <c r="AD3628">
        <v>21</v>
      </c>
      <c r="AE3628">
        <v>1866.5</v>
      </c>
      <c r="AF3628">
        <v>24</v>
      </c>
      <c r="AJ3628" t="s">
        <v>4744</v>
      </c>
      <c r="AK3628" t="s">
        <v>59</v>
      </c>
      <c r="AN3628">
        <v>35</v>
      </c>
      <c r="AO3628" s="61">
        <v>10.666666666666814</v>
      </c>
      <c r="AP3628">
        <v>63</v>
      </c>
      <c r="AQ3628" s="61">
        <v>10.6666666666666</v>
      </c>
      <c r="AW3628" s="28">
        <f t="shared" si="360"/>
        <v>2.6249999999999902</v>
      </c>
      <c r="AX3628">
        <f t="shared" si="361"/>
        <v>0.86956521739130432</v>
      </c>
      <c r="AY3628" s="62">
        <f t="shared" si="362"/>
        <v>2.2826086956521654</v>
      </c>
      <c r="AZ3628" s="68" t="str">
        <f t="shared" si="363"/>
        <v>No</v>
      </c>
      <c r="BA3628" s="68" t="str">
        <f t="shared" si="364"/>
        <v>No</v>
      </c>
    </row>
    <row r="3629" spans="1:53" hidden="1">
      <c r="A3629" t="s">
        <v>3914</v>
      </c>
      <c r="G3629" t="s">
        <v>4370</v>
      </c>
      <c r="P3629" t="s">
        <v>4596</v>
      </c>
      <c r="R3629" t="s">
        <v>4357</v>
      </c>
      <c r="S3629" t="s">
        <v>952</v>
      </c>
      <c r="V3629" t="s">
        <v>4626</v>
      </c>
      <c r="Z3629">
        <v>4</v>
      </c>
      <c r="AA3629">
        <v>4</v>
      </c>
      <c r="AC3629">
        <v>505.5</v>
      </c>
      <c r="AD3629">
        <v>21</v>
      </c>
      <c r="AE3629">
        <v>1130.5</v>
      </c>
      <c r="AF3629">
        <v>24</v>
      </c>
      <c r="AJ3629" t="s">
        <v>4472</v>
      </c>
      <c r="AK3629" t="s">
        <v>4123</v>
      </c>
      <c r="AN3629">
        <v>6</v>
      </c>
      <c r="AO3629" s="61">
        <v>6.0621778264910704</v>
      </c>
      <c r="AP3629">
        <v>19</v>
      </c>
      <c r="AQ3629" s="61">
        <v>10.825317547305483</v>
      </c>
      <c r="AW3629" s="28">
        <f t="shared" si="360"/>
        <v>1.4817882120325823</v>
      </c>
      <c r="AX3629">
        <f t="shared" si="361"/>
        <v>0.86956521739130432</v>
      </c>
      <c r="AY3629" s="62">
        <f t="shared" si="362"/>
        <v>1.2885114887239846</v>
      </c>
      <c r="AZ3629" s="68" t="str">
        <f t="shared" si="363"/>
        <v>No</v>
      </c>
      <c r="BA3629" s="68" t="str">
        <f t="shared" si="364"/>
        <v>No</v>
      </c>
    </row>
    <row r="3630" spans="1:53" hidden="1">
      <c r="A3630" t="s">
        <v>3914</v>
      </c>
      <c r="G3630" t="s">
        <v>4370</v>
      </c>
      <c r="P3630" t="s">
        <v>4596</v>
      </c>
      <c r="R3630" t="s">
        <v>4357</v>
      </c>
      <c r="S3630" t="s">
        <v>952</v>
      </c>
      <c r="V3630" t="s">
        <v>4627</v>
      </c>
      <c r="Z3630">
        <v>4</v>
      </c>
      <c r="AA3630">
        <v>4</v>
      </c>
      <c r="AC3630">
        <v>505.5</v>
      </c>
      <c r="AD3630">
        <v>21</v>
      </c>
      <c r="AE3630">
        <v>1866.5</v>
      </c>
      <c r="AF3630">
        <v>24</v>
      </c>
      <c r="AJ3630" t="s">
        <v>2020</v>
      </c>
      <c r="AK3630" t="s">
        <v>59</v>
      </c>
      <c r="AN3630">
        <v>98</v>
      </c>
      <c r="AO3630" s="61">
        <v>5.5976676384827897</v>
      </c>
      <c r="AP3630">
        <v>85</v>
      </c>
      <c r="AQ3630" s="61">
        <v>11.428571428571416</v>
      </c>
      <c r="AW3630" s="28">
        <f t="shared" si="360"/>
        <v>-1.4446846749529259</v>
      </c>
      <c r="AX3630">
        <f t="shared" si="361"/>
        <v>0.86956521739130432</v>
      </c>
      <c r="AY3630" s="62">
        <f t="shared" si="362"/>
        <v>-1.2562475434373268</v>
      </c>
      <c r="AZ3630" s="68" t="str">
        <f t="shared" si="363"/>
        <v>No</v>
      </c>
      <c r="BA3630" s="68" t="str">
        <f t="shared" si="364"/>
        <v>No</v>
      </c>
    </row>
    <row r="3631" spans="1:53" hidden="1">
      <c r="A3631" t="s">
        <v>3914</v>
      </c>
      <c r="G3631" t="s">
        <v>4370</v>
      </c>
      <c r="P3631" t="s">
        <v>4596</v>
      </c>
      <c r="R3631" t="s">
        <v>4357</v>
      </c>
      <c r="S3631" t="s">
        <v>952</v>
      </c>
      <c r="V3631" t="s">
        <v>4626</v>
      </c>
      <c r="Z3631">
        <v>4</v>
      </c>
      <c r="AA3631">
        <v>4</v>
      </c>
      <c r="AC3631">
        <v>505.5</v>
      </c>
      <c r="AD3631">
        <v>21</v>
      </c>
      <c r="AE3631">
        <v>1130.5</v>
      </c>
      <c r="AF3631">
        <v>24</v>
      </c>
      <c r="AJ3631" t="s">
        <v>4744</v>
      </c>
      <c r="AK3631" t="s">
        <v>59</v>
      </c>
      <c r="AN3631">
        <v>35</v>
      </c>
      <c r="AO3631" s="61">
        <v>10.666666666666814</v>
      </c>
      <c r="AP3631">
        <v>72</v>
      </c>
      <c r="AQ3631" s="61">
        <v>11.760683760683605</v>
      </c>
      <c r="AW3631" s="28">
        <f t="shared" si="360"/>
        <v>3.2956239847710989</v>
      </c>
      <c r="AX3631">
        <f t="shared" si="361"/>
        <v>0.86956521739130432</v>
      </c>
      <c r="AY3631" s="62">
        <f t="shared" si="362"/>
        <v>2.8657599867574772</v>
      </c>
      <c r="AZ3631" s="68" t="str">
        <f t="shared" si="363"/>
        <v>No</v>
      </c>
      <c r="BA3631" s="68" t="str">
        <f t="shared" si="364"/>
        <v>No</v>
      </c>
    </row>
    <row r="3632" spans="1:53" hidden="1">
      <c r="A3632" t="s">
        <v>3914</v>
      </c>
      <c r="G3632" t="s">
        <v>4370</v>
      </c>
      <c r="P3632" t="s">
        <v>4596</v>
      </c>
      <c r="R3632" t="s">
        <v>4357</v>
      </c>
      <c r="S3632" t="s">
        <v>952</v>
      </c>
      <c r="V3632" t="s">
        <v>4626</v>
      </c>
      <c r="Z3632">
        <v>4</v>
      </c>
      <c r="AA3632">
        <v>4</v>
      </c>
      <c r="AC3632">
        <v>505.5</v>
      </c>
      <c r="AD3632">
        <v>21</v>
      </c>
      <c r="AE3632">
        <v>1130.5</v>
      </c>
      <c r="AF3632">
        <v>24</v>
      </c>
      <c r="AJ3632" t="s">
        <v>4460</v>
      </c>
      <c r="AK3632" t="s">
        <v>4123</v>
      </c>
      <c r="AN3632">
        <v>77</v>
      </c>
      <c r="AO3632" s="61">
        <v>9.4618860504519713</v>
      </c>
      <c r="AP3632">
        <v>72</v>
      </c>
      <c r="AQ3632" s="61">
        <v>11.985055663905872</v>
      </c>
      <c r="AW3632" s="28">
        <f t="shared" si="360"/>
        <v>-0.46307329853841239</v>
      </c>
      <c r="AX3632">
        <f t="shared" si="361"/>
        <v>0.86956521739130432</v>
      </c>
      <c r="AY3632" s="62">
        <f t="shared" si="362"/>
        <v>-0.40267243351166293</v>
      </c>
      <c r="AZ3632" s="68" t="str">
        <f t="shared" si="363"/>
        <v>No</v>
      </c>
      <c r="BA3632" s="68" t="str">
        <f t="shared" si="364"/>
        <v>No</v>
      </c>
    </row>
    <row r="3633" spans="1:53" hidden="1">
      <c r="A3633" t="s">
        <v>3914</v>
      </c>
      <c r="G3633" t="s">
        <v>4370</v>
      </c>
      <c r="P3633" t="s">
        <v>60</v>
      </c>
      <c r="R3633" t="s">
        <v>4357</v>
      </c>
      <c r="S3633" t="s">
        <v>952</v>
      </c>
      <c r="V3633" t="s">
        <v>3956</v>
      </c>
      <c r="Z3633">
        <v>4</v>
      </c>
      <c r="AA3633">
        <v>4</v>
      </c>
      <c r="AC3633">
        <v>468.27</v>
      </c>
      <c r="AD3633">
        <v>14</v>
      </c>
      <c r="AE3633">
        <v>1010.5549999999999</v>
      </c>
      <c r="AF3633">
        <v>14</v>
      </c>
      <c r="AJ3633" t="s">
        <v>677</v>
      </c>
      <c r="AK3633" t="s">
        <v>4093</v>
      </c>
      <c r="AN3633">
        <v>34</v>
      </c>
      <c r="AO3633">
        <v>14</v>
      </c>
      <c r="AP3633">
        <v>31</v>
      </c>
      <c r="AQ3633">
        <v>12</v>
      </c>
      <c r="AW3633" s="28">
        <f t="shared" si="360"/>
        <v>-0.23008949665421111</v>
      </c>
      <c r="AX3633">
        <f t="shared" si="361"/>
        <v>0.86956521739130432</v>
      </c>
      <c r="AY3633" s="62">
        <f t="shared" si="362"/>
        <v>-0.20007782317757486</v>
      </c>
      <c r="AZ3633" s="68" t="str">
        <f t="shared" si="363"/>
        <v>No</v>
      </c>
      <c r="BA3633" s="68" t="str">
        <f t="shared" si="364"/>
        <v>No</v>
      </c>
    </row>
    <row r="3634" spans="1:53" hidden="1">
      <c r="A3634" t="s">
        <v>3914</v>
      </c>
      <c r="G3634" t="s">
        <v>4370</v>
      </c>
      <c r="P3634" t="s">
        <v>60</v>
      </c>
      <c r="R3634" t="s">
        <v>4357</v>
      </c>
      <c r="S3634" t="s">
        <v>952</v>
      </c>
      <c r="V3634" t="s">
        <v>3956</v>
      </c>
      <c r="Z3634">
        <v>4</v>
      </c>
      <c r="AA3634">
        <v>4</v>
      </c>
      <c r="AC3634">
        <v>505.548</v>
      </c>
      <c r="AD3634">
        <v>21</v>
      </c>
      <c r="AE3634">
        <v>1825.318</v>
      </c>
      <c r="AF3634">
        <v>21</v>
      </c>
      <c r="AJ3634" t="s">
        <v>677</v>
      </c>
      <c r="AK3634" t="s">
        <v>4093</v>
      </c>
      <c r="AN3634">
        <v>80</v>
      </c>
      <c r="AO3634">
        <v>12</v>
      </c>
      <c r="AP3634">
        <v>47</v>
      </c>
      <c r="AQ3634">
        <v>12</v>
      </c>
      <c r="AW3634" s="28">
        <f t="shared" si="360"/>
        <v>-2.75</v>
      </c>
      <c r="AX3634">
        <f t="shared" si="361"/>
        <v>0.86956521739130432</v>
      </c>
      <c r="AY3634" s="62">
        <f t="shared" si="362"/>
        <v>-2.3913043478260869</v>
      </c>
      <c r="AZ3634" s="68" t="str">
        <f t="shared" si="363"/>
        <v>No</v>
      </c>
      <c r="BA3634" s="68" t="str">
        <f t="shared" si="364"/>
        <v>No</v>
      </c>
    </row>
    <row r="3635" spans="1:53" hidden="1">
      <c r="A3635" t="s">
        <v>3914</v>
      </c>
      <c r="G3635" t="s">
        <v>4370</v>
      </c>
      <c r="P3635" t="s">
        <v>60</v>
      </c>
      <c r="R3635" t="s">
        <v>4357</v>
      </c>
      <c r="S3635" t="s">
        <v>952</v>
      </c>
      <c r="V3635" t="s">
        <v>3956</v>
      </c>
      <c r="Z3635">
        <v>3</v>
      </c>
      <c r="AA3635">
        <v>3</v>
      </c>
      <c r="AC3635">
        <v>468.27</v>
      </c>
      <c r="AD3635">
        <v>14</v>
      </c>
      <c r="AE3635">
        <v>1010.5549999999999</v>
      </c>
      <c r="AF3635">
        <v>14</v>
      </c>
      <c r="AJ3635" t="s">
        <v>4460</v>
      </c>
      <c r="AK3635" t="s">
        <v>4151</v>
      </c>
      <c r="AN3635">
        <v>77</v>
      </c>
      <c r="AO3635">
        <v>8.6602540378443855</v>
      </c>
      <c r="AP3635">
        <v>68</v>
      </c>
      <c r="AQ3635">
        <v>12.124355652982141</v>
      </c>
      <c r="AW3635" s="28">
        <f t="shared" si="360"/>
        <v>-0.85424219617724917</v>
      </c>
      <c r="AX3635">
        <f t="shared" si="361"/>
        <v>0.8</v>
      </c>
      <c r="AY3635" s="62">
        <f t="shared" si="362"/>
        <v>-0.68339375694179938</v>
      </c>
      <c r="AZ3635" s="68" t="str">
        <f t="shared" si="363"/>
        <v>No</v>
      </c>
      <c r="BA3635" s="68" t="str">
        <f t="shared" si="364"/>
        <v>No</v>
      </c>
    </row>
    <row r="3636" spans="1:53" hidden="1">
      <c r="A3636" t="s">
        <v>3914</v>
      </c>
      <c r="G3636" t="s">
        <v>4370</v>
      </c>
      <c r="P3636" t="s">
        <v>60</v>
      </c>
      <c r="R3636" t="s">
        <v>4357</v>
      </c>
      <c r="S3636" t="s">
        <v>952</v>
      </c>
      <c r="V3636" t="s">
        <v>3956</v>
      </c>
      <c r="Z3636">
        <v>3</v>
      </c>
      <c r="AA3636">
        <v>3</v>
      </c>
      <c r="AC3636">
        <v>468.27</v>
      </c>
      <c r="AD3636">
        <v>14</v>
      </c>
      <c r="AE3636">
        <v>1651.575</v>
      </c>
      <c r="AF3636">
        <v>14</v>
      </c>
      <c r="AJ3636" t="s">
        <v>4460</v>
      </c>
      <c r="AK3636" t="s">
        <v>4151</v>
      </c>
      <c r="AN3636">
        <v>77</v>
      </c>
      <c r="AO3636">
        <v>8.6602540378443855</v>
      </c>
      <c r="AP3636">
        <v>58</v>
      </c>
      <c r="AQ3636">
        <v>12.124355652982141</v>
      </c>
      <c r="AW3636" s="28">
        <f t="shared" si="360"/>
        <v>-1.8034001919297482</v>
      </c>
      <c r="AX3636">
        <f t="shared" si="361"/>
        <v>0.8</v>
      </c>
      <c r="AY3636" s="62">
        <f t="shared" si="362"/>
        <v>-1.4427201535437986</v>
      </c>
      <c r="AZ3636" s="68" t="str">
        <f t="shared" si="363"/>
        <v>No</v>
      </c>
      <c r="BA3636" s="68" t="str">
        <f t="shared" si="364"/>
        <v>No</v>
      </c>
    </row>
    <row r="3637" spans="1:53" hidden="1">
      <c r="A3637" t="s">
        <v>3914</v>
      </c>
      <c r="G3637" t="s">
        <v>4370</v>
      </c>
      <c r="P3637" t="s">
        <v>4596</v>
      </c>
      <c r="R3637" t="s">
        <v>4357</v>
      </c>
      <c r="S3637" t="s">
        <v>952</v>
      </c>
      <c r="V3637" t="s">
        <v>4627</v>
      </c>
      <c r="Z3637">
        <v>4</v>
      </c>
      <c r="AA3637">
        <v>4</v>
      </c>
      <c r="AC3637">
        <v>505.5</v>
      </c>
      <c r="AD3637">
        <v>21</v>
      </c>
      <c r="AE3637">
        <v>1866.5</v>
      </c>
      <c r="AF3637">
        <v>24</v>
      </c>
      <c r="AJ3637" t="s">
        <v>4472</v>
      </c>
      <c r="AK3637" t="s">
        <v>4123</v>
      </c>
      <c r="AN3637">
        <v>6</v>
      </c>
      <c r="AO3637" s="61">
        <v>6.0621778264910704</v>
      </c>
      <c r="AP3637">
        <v>27</v>
      </c>
      <c r="AQ3637" s="61">
        <v>12.77387470582047</v>
      </c>
      <c r="AW3637" s="28">
        <f t="shared" si="360"/>
        <v>2.1004102764520929</v>
      </c>
      <c r="AX3637">
        <f t="shared" si="361"/>
        <v>0.86956521739130432</v>
      </c>
      <c r="AY3637" s="62">
        <f t="shared" si="362"/>
        <v>1.8264437186539937</v>
      </c>
      <c r="AZ3637" s="68" t="str">
        <f t="shared" si="363"/>
        <v>No</v>
      </c>
      <c r="BA3637" s="68" t="str">
        <f t="shared" si="364"/>
        <v>No</v>
      </c>
    </row>
    <row r="3638" spans="1:53" hidden="1">
      <c r="A3638" t="s">
        <v>3914</v>
      </c>
      <c r="G3638" t="s">
        <v>4370</v>
      </c>
      <c r="P3638" t="s">
        <v>4596</v>
      </c>
      <c r="R3638" t="s">
        <v>4357</v>
      </c>
      <c r="S3638" t="s">
        <v>952</v>
      </c>
      <c r="V3638" t="s">
        <v>4627</v>
      </c>
      <c r="Z3638">
        <v>4</v>
      </c>
      <c r="AA3638">
        <v>4</v>
      </c>
      <c r="AC3638">
        <v>505.5</v>
      </c>
      <c r="AD3638">
        <v>21</v>
      </c>
      <c r="AE3638">
        <v>1866.5</v>
      </c>
      <c r="AF3638">
        <v>24</v>
      </c>
      <c r="AJ3638" t="s">
        <v>4460</v>
      </c>
      <c r="AK3638" t="s">
        <v>4123</v>
      </c>
      <c r="AN3638">
        <v>77</v>
      </c>
      <c r="AO3638" s="61">
        <v>9.4618860504519713</v>
      </c>
      <c r="AP3638">
        <v>62</v>
      </c>
      <c r="AQ3638" s="61">
        <v>13.246640470632908</v>
      </c>
      <c r="AW3638" s="28">
        <f t="shared" si="360"/>
        <v>-1.3031148316685484</v>
      </c>
      <c r="AX3638">
        <f t="shared" si="361"/>
        <v>0.86956521739130432</v>
      </c>
      <c r="AY3638" s="62">
        <f t="shared" si="362"/>
        <v>-1.1331433318856943</v>
      </c>
      <c r="AZ3638" s="68" t="str">
        <f t="shared" si="363"/>
        <v>No</v>
      </c>
      <c r="BA3638" s="68" t="str">
        <f t="shared" si="364"/>
        <v>No</v>
      </c>
    </row>
    <row r="3639" spans="1:53" hidden="1">
      <c r="A3639" t="s">
        <v>3914</v>
      </c>
      <c r="G3639" t="s">
        <v>4370</v>
      </c>
      <c r="P3639" t="s">
        <v>60</v>
      </c>
      <c r="R3639" t="s">
        <v>4357</v>
      </c>
      <c r="S3639" t="s">
        <v>952</v>
      </c>
      <c r="V3639" t="s">
        <v>3956</v>
      </c>
      <c r="Z3639">
        <v>4</v>
      </c>
      <c r="AA3639">
        <v>4</v>
      </c>
      <c r="AC3639">
        <v>468.27</v>
      </c>
      <c r="AD3639">
        <v>14</v>
      </c>
      <c r="AE3639">
        <v>1651.575</v>
      </c>
      <c r="AF3639">
        <v>14</v>
      </c>
      <c r="AJ3639" t="s">
        <v>2020</v>
      </c>
      <c r="AK3639" t="s">
        <v>4093</v>
      </c>
      <c r="AN3639">
        <v>97.5</v>
      </c>
      <c r="AO3639">
        <v>5</v>
      </c>
      <c r="AP3639">
        <v>78</v>
      </c>
      <c r="AQ3639">
        <v>14</v>
      </c>
      <c r="AW3639" s="28">
        <f t="shared" si="360"/>
        <v>-1.8550408272025269</v>
      </c>
      <c r="AX3639">
        <f t="shared" si="361"/>
        <v>0.86956521739130432</v>
      </c>
      <c r="AY3639" s="62">
        <f t="shared" si="362"/>
        <v>-1.6130789801761103</v>
      </c>
      <c r="AZ3639" s="68" t="str">
        <f t="shared" si="363"/>
        <v>No</v>
      </c>
      <c r="BA3639" s="68" t="str">
        <f t="shared" si="364"/>
        <v>No</v>
      </c>
    </row>
    <row r="3640" spans="1:53">
      <c r="A3640" t="s">
        <v>3914</v>
      </c>
      <c r="G3640" s="50" t="s">
        <v>4370</v>
      </c>
      <c r="P3640" t="s">
        <v>60</v>
      </c>
      <c r="R3640" t="s">
        <v>4357</v>
      </c>
      <c r="S3640" s="50" t="s">
        <v>952</v>
      </c>
      <c r="V3640" t="s">
        <v>3956</v>
      </c>
      <c r="Z3640">
        <v>3</v>
      </c>
      <c r="AA3640">
        <v>3</v>
      </c>
      <c r="AC3640">
        <v>468.27</v>
      </c>
      <c r="AD3640">
        <v>14</v>
      </c>
      <c r="AE3640">
        <v>6237.6130000000003</v>
      </c>
      <c r="AF3640">
        <v>14</v>
      </c>
      <c r="AJ3640" s="50" t="s">
        <v>4472</v>
      </c>
      <c r="AK3640" t="s">
        <v>4151</v>
      </c>
      <c r="AN3640">
        <v>6</v>
      </c>
      <c r="AO3640">
        <v>6.9282032302755088</v>
      </c>
      <c r="AP3640">
        <v>22</v>
      </c>
      <c r="AQ3640">
        <v>15.588457268119894</v>
      </c>
      <c r="AW3640" s="28">
        <f t="shared" si="360"/>
        <v>1.3264426756634855</v>
      </c>
      <c r="AX3640">
        <f t="shared" si="361"/>
        <v>0.8</v>
      </c>
      <c r="AY3640" s="62">
        <f t="shared" si="362"/>
        <v>1.0611541405307885</v>
      </c>
      <c r="AZ3640" s="68" t="str">
        <f t="shared" si="363"/>
        <v>No</v>
      </c>
      <c r="BA3640" s="68" t="str">
        <f t="shared" si="364"/>
        <v>No</v>
      </c>
    </row>
    <row r="3641" spans="1:53" hidden="1">
      <c r="A3641" t="s">
        <v>3914</v>
      </c>
      <c r="G3641" t="s">
        <v>4370</v>
      </c>
      <c r="P3641" t="s">
        <v>60</v>
      </c>
      <c r="R3641" t="s">
        <v>4357</v>
      </c>
      <c r="S3641" t="s">
        <v>952</v>
      </c>
      <c r="V3641" t="s">
        <v>3956</v>
      </c>
      <c r="Z3641">
        <v>3</v>
      </c>
      <c r="AA3641">
        <v>3</v>
      </c>
      <c r="AC3641">
        <v>505.548</v>
      </c>
      <c r="AD3641">
        <v>21</v>
      </c>
      <c r="AE3641">
        <v>1825.318</v>
      </c>
      <c r="AF3641">
        <v>21</v>
      </c>
      <c r="AJ3641" t="s">
        <v>4460</v>
      </c>
      <c r="AK3641" t="s">
        <v>4151</v>
      </c>
      <c r="AN3641">
        <v>80</v>
      </c>
      <c r="AO3641">
        <v>6.9282032302755088</v>
      </c>
      <c r="AP3641">
        <v>58</v>
      </c>
      <c r="AQ3641">
        <v>17.320508075688771</v>
      </c>
      <c r="AW3641" s="28">
        <f t="shared" si="360"/>
        <v>-1.6678156958735877</v>
      </c>
      <c r="AX3641">
        <f t="shared" si="361"/>
        <v>0.8</v>
      </c>
      <c r="AY3641" s="62">
        <f t="shared" si="362"/>
        <v>-1.3342525566988703</v>
      </c>
      <c r="AZ3641" s="68" t="str">
        <f t="shared" si="363"/>
        <v>No</v>
      </c>
      <c r="BA3641" s="68" t="str">
        <f t="shared" si="364"/>
        <v>No</v>
      </c>
    </row>
    <row r="3642" spans="1:53">
      <c r="A3642" t="s">
        <v>3914</v>
      </c>
      <c r="G3642" s="50" t="s">
        <v>4370</v>
      </c>
      <c r="P3642" t="s">
        <v>60</v>
      </c>
      <c r="R3642" t="s">
        <v>4357</v>
      </c>
      <c r="S3642" s="50" t="s">
        <v>952</v>
      </c>
      <c r="V3642" t="s">
        <v>3956</v>
      </c>
      <c r="Z3642">
        <v>3</v>
      </c>
      <c r="AA3642">
        <v>3</v>
      </c>
      <c r="AC3642">
        <v>505.548</v>
      </c>
      <c r="AD3642">
        <v>21</v>
      </c>
      <c r="AE3642">
        <v>6957.1440000000002</v>
      </c>
      <c r="AF3642">
        <v>21</v>
      </c>
      <c r="AJ3642" s="50" t="s">
        <v>4472</v>
      </c>
      <c r="AK3642" t="s">
        <v>4151</v>
      </c>
      <c r="AN3642">
        <v>6</v>
      </c>
      <c r="AO3642">
        <v>3.4641016151377544</v>
      </c>
      <c r="AP3642">
        <v>36</v>
      </c>
      <c r="AQ3642">
        <v>17.320508075688771</v>
      </c>
      <c r="AW3642" s="28">
        <f t="shared" si="360"/>
        <v>2.4019223070763074</v>
      </c>
      <c r="AX3642">
        <f t="shared" si="361"/>
        <v>0.8</v>
      </c>
      <c r="AY3642" s="62">
        <f t="shared" si="362"/>
        <v>1.9215378456610459</v>
      </c>
      <c r="AZ3642" s="68" t="str">
        <f t="shared" si="363"/>
        <v>No</v>
      </c>
      <c r="BA3642" s="68" t="str">
        <f t="shared" si="364"/>
        <v>No</v>
      </c>
    </row>
    <row r="3643" spans="1:53" hidden="1">
      <c r="A3643" t="s">
        <v>3914</v>
      </c>
      <c r="G3643" t="s">
        <v>4120</v>
      </c>
      <c r="P3643" t="s">
        <v>60</v>
      </c>
      <c r="R3643" t="s">
        <v>4116</v>
      </c>
      <c r="S3643" t="s">
        <v>1080</v>
      </c>
      <c r="V3643" t="s">
        <v>3956</v>
      </c>
      <c r="Z3643">
        <v>3</v>
      </c>
      <c r="AA3643">
        <v>3</v>
      </c>
      <c r="AC3643">
        <v>890</v>
      </c>
      <c r="AD3643">
        <v>22.08</v>
      </c>
      <c r="AE3643">
        <v>2344</v>
      </c>
      <c r="AF3643">
        <v>22.1</v>
      </c>
      <c r="AJ3643" t="s">
        <v>4233</v>
      </c>
      <c r="AK3643" t="s">
        <v>4244</v>
      </c>
      <c r="AN3643">
        <v>6.6</v>
      </c>
      <c r="AO3643">
        <v>0.25980762113533157</v>
      </c>
      <c r="AP3643">
        <v>7</v>
      </c>
      <c r="AQ3643">
        <v>0.34641016151377546</v>
      </c>
      <c r="AW3643" s="28">
        <f t="shared" si="360"/>
        <v>1.3063945294843629</v>
      </c>
      <c r="AX3643">
        <f t="shared" si="361"/>
        <v>0.8</v>
      </c>
      <c r="AY3643" s="62">
        <f t="shared" si="362"/>
        <v>1.0451156235874903</v>
      </c>
      <c r="AZ3643" s="68" t="str">
        <f t="shared" si="363"/>
        <v>No</v>
      </c>
      <c r="BA3643" s="68" t="str">
        <f t="shared" si="364"/>
        <v>No</v>
      </c>
    </row>
    <row r="3644" spans="1:53" hidden="1">
      <c r="A3644" t="s">
        <v>3914</v>
      </c>
      <c r="G3644" t="s">
        <v>4120</v>
      </c>
      <c r="P3644" t="s">
        <v>60</v>
      </c>
      <c r="R3644" t="s">
        <v>4116</v>
      </c>
      <c r="S3644" t="s">
        <v>1080</v>
      </c>
      <c r="V3644" t="s">
        <v>3956</v>
      </c>
      <c r="Z3644">
        <v>3</v>
      </c>
      <c r="AA3644">
        <v>3</v>
      </c>
      <c r="AC3644">
        <v>890</v>
      </c>
      <c r="AD3644">
        <v>22.08</v>
      </c>
      <c r="AE3644">
        <v>4555</v>
      </c>
      <c r="AF3644">
        <v>22.29</v>
      </c>
      <c r="AJ3644" t="s">
        <v>4233</v>
      </c>
      <c r="AK3644" t="s">
        <v>4244</v>
      </c>
      <c r="AN3644">
        <v>6.6</v>
      </c>
      <c r="AO3644">
        <v>0.25980762113533157</v>
      </c>
      <c r="AP3644">
        <v>7.1</v>
      </c>
      <c r="AQ3644">
        <v>1.0392304845413263</v>
      </c>
      <c r="AW3644" s="28">
        <f t="shared" si="360"/>
        <v>0.6600983619844496</v>
      </c>
      <c r="AX3644">
        <f t="shared" si="361"/>
        <v>0.8</v>
      </c>
      <c r="AY3644" s="62">
        <f t="shared" si="362"/>
        <v>0.52807868958755966</v>
      </c>
      <c r="AZ3644" s="68" t="str">
        <f t="shared" si="363"/>
        <v>No</v>
      </c>
      <c r="BA3644" s="68" t="str">
        <f t="shared" si="364"/>
        <v>No</v>
      </c>
    </row>
    <row r="3645" spans="1:53" hidden="1">
      <c r="A3645" t="s">
        <v>3914</v>
      </c>
      <c r="G3645" t="s">
        <v>4120</v>
      </c>
      <c r="P3645" t="s">
        <v>60</v>
      </c>
      <c r="R3645" t="s">
        <v>4116</v>
      </c>
      <c r="S3645" t="s">
        <v>1080</v>
      </c>
      <c r="V3645" t="s">
        <v>3956</v>
      </c>
      <c r="Z3645">
        <v>3</v>
      </c>
      <c r="AA3645">
        <v>3</v>
      </c>
      <c r="AC3645">
        <v>890</v>
      </c>
      <c r="AD3645">
        <v>22.08</v>
      </c>
      <c r="AE3645">
        <v>4555</v>
      </c>
      <c r="AF3645">
        <v>22.29</v>
      </c>
      <c r="AJ3645" t="s">
        <v>4122</v>
      </c>
      <c r="AK3645" t="s">
        <v>4093</v>
      </c>
      <c r="AN3645">
        <v>34.1</v>
      </c>
      <c r="AO3645">
        <v>11.7</v>
      </c>
      <c r="AP3645">
        <v>10.4</v>
      </c>
      <c r="AQ3645">
        <v>5.5</v>
      </c>
      <c r="AW3645" s="28">
        <f t="shared" si="360"/>
        <v>-2.5925261455276991</v>
      </c>
      <c r="AX3645">
        <f t="shared" si="361"/>
        <v>0.8</v>
      </c>
      <c r="AY3645" s="62">
        <f t="shared" si="362"/>
        <v>-2.0740209164221595</v>
      </c>
      <c r="AZ3645" s="68" t="str">
        <f t="shared" si="363"/>
        <v>No</v>
      </c>
      <c r="BA3645" s="68" t="str">
        <f t="shared" si="364"/>
        <v>No</v>
      </c>
    </row>
    <row r="3646" spans="1:53" hidden="1">
      <c r="A3646" t="s">
        <v>3914</v>
      </c>
      <c r="G3646" t="s">
        <v>4120</v>
      </c>
      <c r="P3646" t="s">
        <v>60</v>
      </c>
      <c r="R3646" t="s">
        <v>4116</v>
      </c>
      <c r="S3646" t="s">
        <v>1080</v>
      </c>
      <c r="V3646" t="s">
        <v>3956</v>
      </c>
      <c r="Z3646">
        <v>3</v>
      </c>
      <c r="AA3646">
        <v>3</v>
      </c>
      <c r="AC3646">
        <v>890</v>
      </c>
      <c r="AD3646">
        <v>22.08</v>
      </c>
      <c r="AE3646">
        <v>2344</v>
      </c>
      <c r="AF3646">
        <v>22.1</v>
      </c>
      <c r="AJ3646" t="s">
        <v>4122</v>
      </c>
      <c r="AK3646" t="s">
        <v>4093</v>
      </c>
      <c r="AN3646">
        <v>34.1</v>
      </c>
      <c r="AO3646">
        <v>11.7</v>
      </c>
      <c r="AP3646">
        <v>19.899999999999999</v>
      </c>
      <c r="AQ3646">
        <v>7.6</v>
      </c>
      <c r="AW3646" s="28">
        <f t="shared" si="360"/>
        <v>-1.4393822347000114</v>
      </c>
      <c r="AX3646">
        <f t="shared" si="361"/>
        <v>0.8</v>
      </c>
      <c r="AY3646" s="62">
        <f t="shared" si="362"/>
        <v>-1.1515057877600092</v>
      </c>
      <c r="AZ3646" s="68" t="str">
        <f t="shared" si="363"/>
        <v>No</v>
      </c>
      <c r="BA3646" s="68" t="str">
        <f t="shared" si="364"/>
        <v>No</v>
      </c>
    </row>
    <row r="3647" spans="1:53" hidden="1">
      <c r="A3647" t="s">
        <v>3914</v>
      </c>
      <c r="G3647" t="s">
        <v>4898</v>
      </c>
      <c r="P3647" t="s">
        <v>4596</v>
      </c>
      <c r="R3647" t="s">
        <v>4357</v>
      </c>
      <c r="S3647" t="s">
        <v>4384</v>
      </c>
      <c r="V3647" t="s">
        <v>4598</v>
      </c>
      <c r="W3647"/>
      <c r="Z3647">
        <v>5</v>
      </c>
      <c r="AA3647">
        <v>5</v>
      </c>
      <c r="AC3647" s="83">
        <v>5.0599999999999996</v>
      </c>
      <c r="AD3647" s="54">
        <v>26</v>
      </c>
      <c r="AE3647" s="83">
        <v>35.119999999999997</v>
      </c>
      <c r="AF3647" s="54">
        <v>28</v>
      </c>
      <c r="AJ3647" t="s">
        <v>4471</v>
      </c>
      <c r="AK3647" t="s">
        <v>4844</v>
      </c>
      <c r="AN3647">
        <v>80</v>
      </c>
      <c r="AO3647">
        <v>2.0699999999999998</v>
      </c>
      <c r="AP3647">
        <v>79.5</v>
      </c>
      <c r="AQ3647">
        <v>3.31</v>
      </c>
      <c r="AW3647" s="28">
        <f t="shared" si="360"/>
        <v>-0.18112494667852161</v>
      </c>
      <c r="AX3647">
        <f t="shared" si="361"/>
        <v>0.90322580645161288</v>
      </c>
      <c r="AY3647" s="62">
        <f t="shared" si="362"/>
        <v>-0.16359672603221306</v>
      </c>
      <c r="AZ3647" s="68" t="str">
        <f t="shared" si="363"/>
        <v>No</v>
      </c>
      <c r="BA3647" s="68" t="str">
        <f t="shared" si="364"/>
        <v>No</v>
      </c>
    </row>
    <row r="3648" spans="1:53" hidden="1">
      <c r="A3648" t="s">
        <v>3914</v>
      </c>
      <c r="G3648" t="s">
        <v>4898</v>
      </c>
      <c r="P3648" t="s">
        <v>4596</v>
      </c>
      <c r="R3648" t="s">
        <v>4357</v>
      </c>
      <c r="S3648" t="s">
        <v>4384</v>
      </c>
      <c r="V3648" t="s">
        <v>4626</v>
      </c>
      <c r="W3648"/>
      <c r="Z3648">
        <v>5</v>
      </c>
      <c r="AA3648">
        <v>5</v>
      </c>
      <c r="AC3648" s="83">
        <v>5.0599999999999996</v>
      </c>
      <c r="AD3648" s="54">
        <v>26</v>
      </c>
      <c r="AE3648" s="83">
        <v>35.119999999999997</v>
      </c>
      <c r="AF3648" s="54">
        <v>28</v>
      </c>
      <c r="AJ3648" t="s">
        <v>4471</v>
      </c>
      <c r="AK3648" t="s">
        <v>4844</v>
      </c>
      <c r="AN3648">
        <v>80</v>
      </c>
      <c r="AO3648">
        <v>2.0699999999999998</v>
      </c>
      <c r="AP3648">
        <v>58</v>
      </c>
      <c r="AQ3648">
        <v>3.97</v>
      </c>
      <c r="AW3648" s="28">
        <f t="shared" si="360"/>
        <v>-6.9490587301110729</v>
      </c>
      <c r="AX3648">
        <f t="shared" si="361"/>
        <v>0.90322580645161288</v>
      </c>
      <c r="AY3648" s="62">
        <f t="shared" si="362"/>
        <v>-6.2765691755841946</v>
      </c>
      <c r="AZ3648" s="68" t="str">
        <f t="shared" si="363"/>
        <v>No</v>
      </c>
      <c r="BA3648" s="68" t="str">
        <f t="shared" si="364"/>
        <v>No</v>
      </c>
    </row>
    <row r="3649" spans="1:53" hidden="1">
      <c r="A3649" t="s">
        <v>3914</v>
      </c>
      <c r="G3649" t="s">
        <v>4898</v>
      </c>
      <c r="P3649" t="s">
        <v>4596</v>
      </c>
      <c r="R3649" t="s">
        <v>4357</v>
      </c>
      <c r="S3649" t="s">
        <v>4384</v>
      </c>
      <c r="V3649" t="s">
        <v>4627</v>
      </c>
      <c r="W3649"/>
      <c r="Z3649">
        <v>5</v>
      </c>
      <c r="AA3649">
        <v>5</v>
      </c>
      <c r="AC3649" s="83">
        <v>5.0599999999999996</v>
      </c>
      <c r="AD3649" s="54">
        <v>26</v>
      </c>
      <c r="AE3649" s="83">
        <v>35.119999999999997</v>
      </c>
      <c r="AF3649" s="54">
        <v>28</v>
      </c>
      <c r="AJ3649" t="s">
        <v>4471</v>
      </c>
      <c r="AK3649" t="s">
        <v>4844</v>
      </c>
      <c r="AN3649">
        <v>80</v>
      </c>
      <c r="AO3649">
        <v>2.0699999999999998</v>
      </c>
      <c r="AP3649">
        <v>31</v>
      </c>
      <c r="AQ3649">
        <v>4.28</v>
      </c>
      <c r="AW3649" s="28">
        <f t="shared" si="360"/>
        <v>-14.575556768275716</v>
      </c>
      <c r="AX3649">
        <f t="shared" si="361"/>
        <v>0.90322580645161288</v>
      </c>
      <c r="AY3649" s="62">
        <f t="shared" si="362"/>
        <v>-13.165019016507097</v>
      </c>
      <c r="AZ3649" s="68" t="str">
        <f t="shared" si="363"/>
        <v>No</v>
      </c>
      <c r="BA3649" s="68" t="str">
        <f t="shared" si="364"/>
        <v>Yes</v>
      </c>
    </row>
    <row r="3650" spans="1:53" hidden="1">
      <c r="A3650" t="s">
        <v>3914</v>
      </c>
      <c r="G3650" t="s">
        <v>4378</v>
      </c>
      <c r="P3650" t="s">
        <v>60</v>
      </c>
      <c r="R3650" t="s">
        <v>4357</v>
      </c>
      <c r="S3650" t="s">
        <v>4384</v>
      </c>
      <c r="V3650" t="s">
        <v>3956</v>
      </c>
      <c r="Z3650">
        <v>5</v>
      </c>
      <c r="AA3650">
        <v>5</v>
      </c>
      <c r="AC3650" s="83">
        <v>5.0599999999999996</v>
      </c>
      <c r="AD3650">
        <v>26</v>
      </c>
      <c r="AE3650" s="83">
        <v>97.73</v>
      </c>
      <c r="AF3650">
        <v>26</v>
      </c>
      <c r="AJ3650" t="s">
        <v>2020</v>
      </c>
      <c r="AK3650" t="s">
        <v>4093</v>
      </c>
      <c r="AN3650">
        <v>90</v>
      </c>
      <c r="AO3650">
        <v>2.36</v>
      </c>
      <c r="AP3650">
        <v>70</v>
      </c>
      <c r="AQ3650">
        <v>4.42</v>
      </c>
      <c r="AW3650" s="28">
        <f t="shared" si="360"/>
        <v>-5.6448997204820008</v>
      </c>
      <c r="AX3650">
        <f t="shared" si="361"/>
        <v>0.90322580645161288</v>
      </c>
      <c r="AY3650" s="62">
        <f t="shared" si="362"/>
        <v>-5.0986191023708392</v>
      </c>
      <c r="AZ3650" s="68" t="str">
        <f t="shared" si="363"/>
        <v>No</v>
      </c>
      <c r="BA3650" s="68" t="str">
        <f t="shared" si="364"/>
        <v>No</v>
      </c>
    </row>
    <row r="3651" spans="1:53" hidden="1">
      <c r="A3651" t="s">
        <v>3914</v>
      </c>
      <c r="G3651" t="s">
        <v>4898</v>
      </c>
      <c r="P3651" t="s">
        <v>4596</v>
      </c>
      <c r="R3651" t="s">
        <v>4357</v>
      </c>
      <c r="S3651" t="s">
        <v>4384</v>
      </c>
      <c r="V3651" t="s">
        <v>4598</v>
      </c>
      <c r="W3651"/>
      <c r="Z3651">
        <v>5</v>
      </c>
      <c r="AA3651">
        <v>5</v>
      </c>
      <c r="AC3651" s="83">
        <v>5.0599999999999996</v>
      </c>
      <c r="AD3651" s="54">
        <v>26</v>
      </c>
      <c r="AE3651" s="83">
        <v>35.119999999999997</v>
      </c>
      <c r="AF3651" s="54">
        <v>28</v>
      </c>
      <c r="AJ3651" t="s">
        <v>2020</v>
      </c>
      <c r="AK3651" t="s">
        <v>4855</v>
      </c>
      <c r="AN3651">
        <v>90</v>
      </c>
      <c r="AO3651">
        <v>2.36</v>
      </c>
      <c r="AP3651">
        <v>80</v>
      </c>
      <c r="AQ3651">
        <v>5.53</v>
      </c>
      <c r="AW3651" s="28">
        <f t="shared" si="360"/>
        <v>-2.3521111660350491</v>
      </c>
      <c r="AX3651">
        <f t="shared" si="361"/>
        <v>0.90322580645161288</v>
      </c>
      <c r="AY3651" s="62">
        <f t="shared" si="362"/>
        <v>-2.1244875048058507</v>
      </c>
      <c r="AZ3651" s="68" t="str">
        <f t="shared" si="363"/>
        <v>No</v>
      </c>
      <c r="BA3651" s="68" t="str">
        <f t="shared" si="364"/>
        <v>No</v>
      </c>
    </row>
    <row r="3652" spans="1:53" hidden="1">
      <c r="A3652" t="s">
        <v>3914</v>
      </c>
      <c r="G3652" t="s">
        <v>4378</v>
      </c>
      <c r="P3652" t="s">
        <v>60</v>
      </c>
      <c r="R3652" t="s">
        <v>4357</v>
      </c>
      <c r="S3652" t="s">
        <v>4384</v>
      </c>
      <c r="V3652" t="s">
        <v>3956</v>
      </c>
      <c r="Z3652">
        <v>5</v>
      </c>
      <c r="AA3652">
        <v>5</v>
      </c>
      <c r="AC3652" s="83">
        <v>5.0599999999999996</v>
      </c>
      <c r="AD3652">
        <v>26</v>
      </c>
      <c r="AE3652" s="83">
        <v>35.119999999999997</v>
      </c>
      <c r="AF3652">
        <v>26</v>
      </c>
      <c r="AJ3652" t="s">
        <v>4471</v>
      </c>
      <c r="AK3652" t="s">
        <v>4151</v>
      </c>
      <c r="AN3652">
        <v>80</v>
      </c>
      <c r="AO3652">
        <v>2.0699999999999998</v>
      </c>
      <c r="AP3652">
        <v>79.5</v>
      </c>
      <c r="AQ3652">
        <v>6.06</v>
      </c>
      <c r="AW3652" s="28">
        <f t="shared" si="360"/>
        <v>-0.11042008068404868</v>
      </c>
      <c r="AX3652">
        <f t="shared" si="361"/>
        <v>0.90322580645161288</v>
      </c>
      <c r="AY3652" s="62">
        <f t="shared" si="362"/>
        <v>-9.973426642430204E-2</v>
      </c>
      <c r="AZ3652" s="68" t="str">
        <f t="shared" si="363"/>
        <v>No</v>
      </c>
      <c r="BA3652" s="68" t="str">
        <f t="shared" si="364"/>
        <v>No</v>
      </c>
    </row>
    <row r="3653" spans="1:53" hidden="1">
      <c r="A3653" t="s">
        <v>3914</v>
      </c>
      <c r="G3653" t="s">
        <v>4898</v>
      </c>
      <c r="P3653" t="s">
        <v>4596</v>
      </c>
      <c r="R3653" t="s">
        <v>4357</v>
      </c>
      <c r="S3653" t="s">
        <v>4384</v>
      </c>
      <c r="V3653" t="s">
        <v>4626</v>
      </c>
      <c r="W3653"/>
      <c r="Z3653">
        <v>5</v>
      </c>
      <c r="AA3653">
        <v>5</v>
      </c>
      <c r="AC3653" s="83">
        <v>5.0599999999999996</v>
      </c>
      <c r="AD3653" s="54">
        <v>26</v>
      </c>
      <c r="AE3653" s="83">
        <v>35.119999999999997</v>
      </c>
      <c r="AF3653" s="54">
        <v>28</v>
      </c>
      <c r="AJ3653" t="s">
        <v>2020</v>
      </c>
      <c r="AK3653" t="s">
        <v>4855</v>
      </c>
      <c r="AN3653">
        <v>90</v>
      </c>
      <c r="AO3653">
        <v>2.36</v>
      </c>
      <c r="AP3653">
        <v>72</v>
      </c>
      <c r="AQ3653">
        <v>6.94</v>
      </c>
      <c r="AW3653" s="28">
        <f t="shared" si="360"/>
        <v>-3.4726910709707801</v>
      </c>
      <c r="AX3653">
        <f t="shared" si="361"/>
        <v>0.90322580645161288</v>
      </c>
      <c r="AY3653" s="62">
        <f t="shared" si="362"/>
        <v>-3.1366241931348982</v>
      </c>
      <c r="AZ3653" s="68" t="str">
        <f t="shared" si="363"/>
        <v>No</v>
      </c>
      <c r="BA3653" s="68" t="str">
        <f t="shared" si="364"/>
        <v>No</v>
      </c>
    </row>
    <row r="3654" spans="1:53" hidden="1">
      <c r="A3654" t="s">
        <v>3914</v>
      </c>
      <c r="G3654" t="s">
        <v>4378</v>
      </c>
      <c r="P3654" t="s">
        <v>60</v>
      </c>
      <c r="R3654" t="s">
        <v>4357</v>
      </c>
      <c r="S3654" t="s">
        <v>4384</v>
      </c>
      <c r="V3654" t="s">
        <v>3956</v>
      </c>
      <c r="Z3654">
        <v>5</v>
      </c>
      <c r="AA3654">
        <v>5</v>
      </c>
      <c r="AC3654" s="83">
        <v>5.0599999999999996</v>
      </c>
      <c r="AD3654">
        <v>26</v>
      </c>
      <c r="AE3654" s="83">
        <v>97.73</v>
      </c>
      <c r="AF3654">
        <v>26</v>
      </c>
      <c r="AJ3654" t="s">
        <v>4471</v>
      </c>
      <c r="AK3654" t="s">
        <v>4151</v>
      </c>
      <c r="AN3654">
        <v>80</v>
      </c>
      <c r="AO3654">
        <v>2.0699999999999998</v>
      </c>
      <c r="AP3654">
        <v>63</v>
      </c>
      <c r="AQ3654">
        <v>9.58</v>
      </c>
      <c r="AW3654" s="28">
        <f t="shared" si="360"/>
        <v>-2.4529556118533078</v>
      </c>
      <c r="AX3654">
        <f t="shared" si="361"/>
        <v>0.90322580645161288</v>
      </c>
      <c r="AY3654" s="62">
        <f t="shared" si="362"/>
        <v>-2.2155728107062136</v>
      </c>
      <c r="AZ3654" s="68" t="str">
        <f t="shared" si="363"/>
        <v>No</v>
      </c>
      <c r="BA3654" s="68" t="str">
        <f t="shared" si="364"/>
        <v>No</v>
      </c>
    </row>
    <row r="3655" spans="1:53" hidden="1">
      <c r="A3655" s="50" t="s">
        <v>3914</v>
      </c>
      <c r="G3655" s="50" t="s">
        <v>5024</v>
      </c>
      <c r="P3655" s="50" t="s">
        <v>60</v>
      </c>
      <c r="Q3655" s="50"/>
      <c r="R3655" s="50" t="s">
        <v>4357</v>
      </c>
      <c r="S3655" s="50" t="s">
        <v>4384</v>
      </c>
      <c r="T3655" s="50"/>
      <c r="U3655" s="50"/>
      <c r="V3655" s="50" t="s">
        <v>3956</v>
      </c>
      <c r="W3655" s="77"/>
      <c r="X3655" s="50"/>
      <c r="Y3655" s="50"/>
      <c r="Z3655" s="50">
        <v>5</v>
      </c>
      <c r="AA3655" s="50">
        <v>5</v>
      </c>
      <c r="AB3655" s="50"/>
      <c r="AC3655" s="82">
        <v>5.0599999999999996</v>
      </c>
      <c r="AD3655" s="50">
        <v>26</v>
      </c>
      <c r="AE3655" s="82">
        <v>35.119999999999997</v>
      </c>
      <c r="AF3655" s="50">
        <v>26</v>
      </c>
      <c r="AG3655" s="50"/>
      <c r="AH3655" s="50"/>
      <c r="AI3655" s="50"/>
      <c r="AJ3655" s="50" t="s">
        <v>2020</v>
      </c>
      <c r="AK3655" s="50" t="s">
        <v>4093</v>
      </c>
      <c r="AN3655" s="50">
        <v>90</v>
      </c>
      <c r="AO3655" s="50">
        <v>2.36</v>
      </c>
      <c r="AP3655" s="50">
        <v>75</v>
      </c>
      <c r="AQ3655" s="50">
        <v>9.86</v>
      </c>
      <c r="AW3655" s="28">
        <f t="shared" si="360"/>
        <v>-2.092341234305974</v>
      </c>
      <c r="AX3655">
        <f t="shared" si="361"/>
        <v>0.90322580645161288</v>
      </c>
      <c r="AY3655" s="62">
        <f t="shared" si="362"/>
        <v>-1.8898565987279765</v>
      </c>
      <c r="AZ3655" s="68" t="str">
        <f t="shared" si="363"/>
        <v>No</v>
      </c>
      <c r="BA3655" s="68" t="str">
        <f t="shared" si="364"/>
        <v>No</v>
      </c>
    </row>
    <row r="3656" spans="1:53" hidden="1">
      <c r="A3656" t="s">
        <v>3914</v>
      </c>
      <c r="G3656" t="s">
        <v>4898</v>
      </c>
      <c r="P3656" t="s">
        <v>4596</v>
      </c>
      <c r="R3656" t="s">
        <v>4357</v>
      </c>
      <c r="S3656" t="s">
        <v>4384</v>
      </c>
      <c r="V3656" t="s">
        <v>4627</v>
      </c>
      <c r="W3656"/>
      <c r="Z3656">
        <v>5</v>
      </c>
      <c r="AA3656">
        <v>5</v>
      </c>
      <c r="AC3656" s="83">
        <v>5.0599999999999996</v>
      </c>
      <c r="AD3656" s="54">
        <v>26</v>
      </c>
      <c r="AE3656" s="83">
        <v>35.119999999999997</v>
      </c>
      <c r="AF3656" s="54">
        <v>28</v>
      </c>
      <c r="AJ3656" t="s">
        <v>2020</v>
      </c>
      <c r="AK3656" t="s">
        <v>4855</v>
      </c>
      <c r="AN3656">
        <v>90</v>
      </c>
      <c r="AO3656">
        <v>2.36</v>
      </c>
      <c r="AP3656">
        <v>63</v>
      </c>
      <c r="AQ3656">
        <v>9.86</v>
      </c>
      <c r="AW3656" s="28">
        <f t="shared" si="360"/>
        <v>-3.7662142217507535</v>
      </c>
      <c r="AX3656">
        <f t="shared" si="361"/>
        <v>0.90322580645161288</v>
      </c>
      <c r="AY3656" s="62">
        <f t="shared" si="362"/>
        <v>-3.4017418777103581</v>
      </c>
      <c r="AZ3656" s="68" t="str">
        <f t="shared" si="363"/>
        <v>No</v>
      </c>
      <c r="BA3656" s="68" t="str">
        <f t="shared" si="364"/>
        <v>No</v>
      </c>
    </row>
    <row r="3657" spans="1:53" hidden="1">
      <c r="A3657" t="s">
        <v>3914</v>
      </c>
      <c r="G3657" s="50" t="s">
        <v>5046</v>
      </c>
      <c r="P3657" t="s">
        <v>60</v>
      </c>
      <c r="R3657" t="s">
        <v>4357</v>
      </c>
      <c r="S3657" s="50" t="s">
        <v>1747</v>
      </c>
      <c r="V3657" t="s">
        <v>3956</v>
      </c>
      <c r="Z3657" s="50">
        <v>13</v>
      </c>
      <c r="AA3657" s="50">
        <v>13</v>
      </c>
      <c r="AC3657">
        <v>409</v>
      </c>
      <c r="AD3657">
        <v>14</v>
      </c>
      <c r="AE3657">
        <v>871</v>
      </c>
      <c r="AF3657">
        <v>14</v>
      </c>
      <c r="AJ3657" s="50" t="s">
        <v>1827</v>
      </c>
      <c r="AK3657" t="s">
        <v>4244</v>
      </c>
      <c r="AN3657">
        <v>360</v>
      </c>
      <c r="AO3657">
        <v>3.6055512754639891</v>
      </c>
      <c r="AP3657">
        <v>350</v>
      </c>
      <c r="AQ3657">
        <v>7.2111025509279782</v>
      </c>
      <c r="AW3657" s="28">
        <f t="shared" si="360"/>
        <v>-1.7541160386140586</v>
      </c>
      <c r="AX3657">
        <f t="shared" si="361"/>
        <v>0.96842105263157896</v>
      </c>
      <c r="AY3657" s="62">
        <f t="shared" si="362"/>
        <v>-1.6987229005525621</v>
      </c>
      <c r="AZ3657" s="68" t="str">
        <f t="shared" si="363"/>
        <v>No</v>
      </c>
      <c r="BA3657" s="68" t="str">
        <f t="shared" si="364"/>
        <v>No</v>
      </c>
    </row>
    <row r="3658" spans="1:53" hidden="1">
      <c r="A3658" t="s">
        <v>3914</v>
      </c>
      <c r="G3658" s="50" t="s">
        <v>5046</v>
      </c>
      <c r="P3658" t="s">
        <v>60</v>
      </c>
      <c r="R3658" t="s">
        <v>4357</v>
      </c>
      <c r="S3658" s="50" t="s">
        <v>1747</v>
      </c>
      <c r="V3658" t="s">
        <v>3956</v>
      </c>
      <c r="Z3658" s="50">
        <v>13</v>
      </c>
      <c r="AA3658" s="50">
        <v>13</v>
      </c>
      <c r="AC3658">
        <v>409</v>
      </c>
      <c r="AD3658">
        <v>14</v>
      </c>
      <c r="AE3658">
        <v>871</v>
      </c>
      <c r="AF3658">
        <v>14</v>
      </c>
      <c r="AJ3658" s="50" t="s">
        <v>4450</v>
      </c>
      <c r="AK3658" t="s">
        <v>4244</v>
      </c>
      <c r="AN3658">
        <v>370</v>
      </c>
      <c r="AO3658">
        <v>36.055512754639892</v>
      </c>
      <c r="AP3658">
        <v>372</v>
      </c>
      <c r="AQ3658">
        <v>43.266615305567868</v>
      </c>
      <c r="AW3658" s="28">
        <f t="shared" si="360"/>
        <v>5.0220196095182551E-2</v>
      </c>
      <c r="AX3658">
        <f t="shared" si="361"/>
        <v>0.96842105263157896</v>
      </c>
      <c r="AY3658" s="62">
        <f t="shared" si="362"/>
        <v>4.8634295165861E-2</v>
      </c>
      <c r="AZ3658" s="68" t="str">
        <f t="shared" si="363"/>
        <v>No</v>
      </c>
      <c r="BA3658" s="68" t="str">
        <f t="shared" si="364"/>
        <v>No</v>
      </c>
    </row>
    <row r="3659" spans="1:53" hidden="1">
      <c r="A3659" t="s">
        <v>3914</v>
      </c>
      <c r="G3659" t="s">
        <v>4034</v>
      </c>
      <c r="P3659" t="s">
        <v>4596</v>
      </c>
      <c r="R3659" t="s">
        <v>4869</v>
      </c>
      <c r="S3659" t="s">
        <v>1760</v>
      </c>
      <c r="V3659" t="s">
        <v>4598</v>
      </c>
      <c r="Z3659">
        <v>3</v>
      </c>
      <c r="AA3659">
        <v>3</v>
      </c>
      <c r="AC3659">
        <v>435.4</v>
      </c>
      <c r="AD3659" s="54">
        <v>28.5</v>
      </c>
      <c r="AE3659">
        <v>426.7</v>
      </c>
      <c r="AF3659" s="54">
        <v>30</v>
      </c>
      <c r="AJ3659" t="s">
        <v>4927</v>
      </c>
      <c r="AK3659" t="s">
        <v>4848</v>
      </c>
      <c r="AN3659">
        <v>21</v>
      </c>
      <c r="AO3659">
        <f>1.5*SQRT(3)</f>
        <v>2.598076211353316</v>
      </c>
      <c r="AP3659">
        <v>0</v>
      </c>
      <c r="AQ3659">
        <v>0</v>
      </c>
      <c r="AU3659" s="57" t="s">
        <v>4928</v>
      </c>
      <c r="AW3659" s="28">
        <f t="shared" si="360"/>
        <v>-11.430952132988164</v>
      </c>
      <c r="AX3659">
        <f t="shared" si="361"/>
        <v>0.8</v>
      </c>
      <c r="AY3659" s="62">
        <f t="shared" si="362"/>
        <v>-9.1447617063905309</v>
      </c>
      <c r="AZ3659" s="68" t="str">
        <f t="shared" si="363"/>
        <v>No</v>
      </c>
      <c r="BA3659" s="68" t="str">
        <f t="shared" si="364"/>
        <v>No</v>
      </c>
    </row>
    <row r="3660" spans="1:53" hidden="1">
      <c r="A3660" t="s">
        <v>3914</v>
      </c>
      <c r="G3660" t="s">
        <v>4034</v>
      </c>
      <c r="P3660" t="s">
        <v>4596</v>
      </c>
      <c r="R3660" t="s">
        <v>4869</v>
      </c>
      <c r="S3660" t="s">
        <v>1760</v>
      </c>
      <c r="V3660" t="s">
        <v>4600</v>
      </c>
      <c r="Z3660">
        <v>3</v>
      </c>
      <c r="AA3660">
        <v>3</v>
      </c>
      <c r="AC3660">
        <v>435.4</v>
      </c>
      <c r="AD3660" s="54">
        <v>28.5</v>
      </c>
      <c r="AE3660">
        <v>659.1</v>
      </c>
      <c r="AF3660" s="54">
        <v>30</v>
      </c>
      <c r="AJ3660" t="s">
        <v>4065</v>
      </c>
      <c r="AK3660" t="s">
        <v>4848</v>
      </c>
      <c r="AN3660">
        <v>21</v>
      </c>
      <c r="AO3660">
        <f>1.5*SQRT(3)</f>
        <v>2.598076211353316</v>
      </c>
      <c r="AP3660">
        <v>8</v>
      </c>
      <c r="AQ3660">
        <v>0</v>
      </c>
      <c r="AU3660" s="57" t="s">
        <v>4928</v>
      </c>
      <c r="AW3660" s="28">
        <f t="shared" si="360"/>
        <v>-7.0763037013736252</v>
      </c>
      <c r="AX3660">
        <f t="shared" si="361"/>
        <v>0.8</v>
      </c>
      <c r="AY3660" s="62">
        <f t="shared" si="362"/>
        <v>-5.6610429610989002</v>
      </c>
      <c r="AZ3660" s="68" t="str">
        <f t="shared" si="363"/>
        <v>No</v>
      </c>
      <c r="BA3660" s="68" t="str">
        <f t="shared" si="364"/>
        <v>No</v>
      </c>
    </row>
    <row r="3661" spans="1:53" hidden="1">
      <c r="A3661" t="s">
        <v>3914</v>
      </c>
      <c r="G3661" t="s">
        <v>4034</v>
      </c>
      <c r="P3661" t="s">
        <v>4596</v>
      </c>
      <c r="R3661" t="s">
        <v>4869</v>
      </c>
      <c r="S3661" t="s">
        <v>1760</v>
      </c>
      <c r="V3661" t="s">
        <v>4598</v>
      </c>
      <c r="Z3661">
        <v>3</v>
      </c>
      <c r="AA3661">
        <v>3</v>
      </c>
      <c r="AC3661">
        <v>435.4</v>
      </c>
      <c r="AD3661" s="54">
        <v>28.5</v>
      </c>
      <c r="AE3661">
        <v>426.7</v>
      </c>
      <c r="AF3661" s="54">
        <v>30</v>
      </c>
      <c r="AJ3661" t="s">
        <v>4894</v>
      </c>
      <c r="AK3661" t="s">
        <v>4844</v>
      </c>
      <c r="AN3661">
        <v>18</v>
      </c>
      <c r="AO3661">
        <f>SQRT(3)*1.2</f>
        <v>2.0784609690826525</v>
      </c>
      <c r="AP3661">
        <v>0</v>
      </c>
      <c r="AQ3661">
        <v>0</v>
      </c>
      <c r="AU3661" s="57" t="s">
        <v>4928</v>
      </c>
      <c r="AW3661" s="28">
        <f t="shared" si="360"/>
        <v>-12.247448713915892</v>
      </c>
      <c r="AX3661">
        <f t="shared" si="361"/>
        <v>0.8</v>
      </c>
      <c r="AY3661" s="62">
        <f t="shared" si="362"/>
        <v>-9.7979589711327151</v>
      </c>
      <c r="AZ3661" s="68" t="str">
        <f t="shared" si="363"/>
        <v>No</v>
      </c>
      <c r="BA3661" s="68" t="str">
        <f t="shared" si="364"/>
        <v>No</v>
      </c>
    </row>
    <row r="3662" spans="1:53" hidden="1">
      <c r="A3662" t="s">
        <v>3914</v>
      </c>
      <c r="G3662" t="s">
        <v>4034</v>
      </c>
      <c r="P3662" t="s">
        <v>4596</v>
      </c>
      <c r="R3662" t="s">
        <v>4869</v>
      </c>
      <c r="S3662" t="s">
        <v>1760</v>
      </c>
      <c r="V3662" t="s">
        <v>4600</v>
      </c>
      <c r="Z3662">
        <v>3</v>
      </c>
      <c r="AA3662">
        <v>3</v>
      </c>
      <c r="AC3662">
        <v>435.4</v>
      </c>
      <c r="AD3662" s="54">
        <v>28.5</v>
      </c>
      <c r="AE3662">
        <v>659.1</v>
      </c>
      <c r="AF3662" s="54">
        <v>30</v>
      </c>
      <c r="AJ3662" t="s">
        <v>4059</v>
      </c>
      <c r="AK3662" t="s">
        <v>4844</v>
      </c>
      <c r="AN3662">
        <v>18</v>
      </c>
      <c r="AO3662">
        <f>SQRT(3)*1.2</f>
        <v>2.0784609690826525</v>
      </c>
      <c r="AP3662">
        <v>8</v>
      </c>
      <c r="AQ3662">
        <f>SQRT(3)*0.2</f>
        <v>0.34641016151377546</v>
      </c>
      <c r="AU3662" s="57" t="s">
        <v>4928</v>
      </c>
      <c r="AW3662" s="28">
        <f t="shared" ref="AW3662:AW3725" si="365">(AP3662-$AN3662)/SQRT(((AA3662-1)*AQ3662*AQ3662+($Z3662-1)*$AO3662*$AO3662)/(AA3662+$Z3662-2))</f>
        <v>-6.7115605521402433</v>
      </c>
      <c r="AX3662">
        <f t="shared" ref="AX3662:AX3725" si="366">1-(3/(4*(AA3662+$Z3662-2)-1))</f>
        <v>0.8</v>
      </c>
      <c r="AY3662" s="62">
        <f t="shared" ref="AY3662:AY3725" si="367">AX3662*AW3662</f>
        <v>-5.3692484417121946</v>
      </c>
      <c r="AZ3662" s="68" t="str">
        <f t="shared" ref="AZ3662:AZ3725" si="368">IF(AY3662&gt;10,"Yes","No")</f>
        <v>No</v>
      </c>
      <c r="BA3662" s="68" t="str">
        <f t="shared" ref="BA3662:BA3725" si="369">IF(AY3662&lt;-10,"Yes","No")</f>
        <v>No</v>
      </c>
    </row>
    <row r="3663" spans="1:53" hidden="1">
      <c r="A3663" s="77" t="s">
        <v>3914</v>
      </c>
      <c r="G3663" s="77" t="s">
        <v>4034</v>
      </c>
      <c r="P3663" s="77" t="s">
        <v>60</v>
      </c>
      <c r="Q3663" s="77"/>
      <c r="R3663" s="77" t="s">
        <v>4035</v>
      </c>
      <c r="S3663" s="77" t="s">
        <v>1760</v>
      </c>
      <c r="T3663" s="77"/>
      <c r="U3663" s="77"/>
      <c r="V3663" s="77" t="s">
        <v>3956</v>
      </c>
      <c r="W3663" s="77"/>
      <c r="X3663" s="77"/>
      <c r="Y3663" s="77"/>
      <c r="Z3663" s="77">
        <v>3</v>
      </c>
      <c r="AA3663" s="77">
        <v>3</v>
      </c>
      <c r="AB3663" s="77"/>
      <c r="AC3663" s="77">
        <v>419.7</v>
      </c>
      <c r="AD3663" s="77">
        <v>28.3</v>
      </c>
      <c r="AE3663" s="77">
        <v>641.70000000000005</v>
      </c>
      <c r="AF3663" s="77">
        <v>28.3</v>
      </c>
      <c r="AG3663" s="77"/>
      <c r="AH3663" s="77"/>
      <c r="AI3663" s="77"/>
      <c r="AJ3663" s="77" t="s">
        <v>4059</v>
      </c>
      <c r="AK3663" s="77" t="s">
        <v>4041</v>
      </c>
      <c r="AN3663" s="77">
        <v>13.2</v>
      </c>
      <c r="AO3663" s="77">
        <v>1.3856406460551018</v>
      </c>
      <c r="AP3663" s="77">
        <v>5.5</v>
      </c>
      <c r="AQ3663" s="77">
        <v>1.7320508075688772</v>
      </c>
      <c r="AW3663" s="28">
        <f t="shared" si="365"/>
        <v>-4.9093406905877037</v>
      </c>
      <c r="AX3663">
        <f t="shared" si="366"/>
        <v>0.8</v>
      </c>
      <c r="AY3663" s="62">
        <f t="shared" si="367"/>
        <v>-3.9274725524701632</v>
      </c>
      <c r="AZ3663" s="68" t="str">
        <f t="shared" si="368"/>
        <v>No</v>
      </c>
      <c r="BA3663" s="68" t="str">
        <f t="shared" si="369"/>
        <v>No</v>
      </c>
    </row>
    <row r="3664" spans="1:53" hidden="1">
      <c r="A3664" t="s">
        <v>3914</v>
      </c>
      <c r="G3664" t="s">
        <v>4034</v>
      </c>
      <c r="P3664" t="s">
        <v>60</v>
      </c>
      <c r="R3664" t="s">
        <v>4035</v>
      </c>
      <c r="S3664" t="s">
        <v>1760</v>
      </c>
      <c r="V3664" t="s">
        <v>3956</v>
      </c>
      <c r="Z3664">
        <v>3</v>
      </c>
      <c r="AA3664">
        <v>3</v>
      </c>
      <c r="AC3664">
        <v>419.7</v>
      </c>
      <c r="AD3664">
        <v>28.3</v>
      </c>
      <c r="AE3664">
        <v>641.70000000000005</v>
      </c>
      <c r="AF3664">
        <v>28.3</v>
      </c>
      <c r="AJ3664" t="s">
        <v>4065</v>
      </c>
      <c r="AK3664" t="s">
        <v>4066</v>
      </c>
      <c r="AN3664">
        <v>21</v>
      </c>
      <c r="AO3664">
        <v>2.598076211353316</v>
      </c>
      <c r="AP3664">
        <v>23</v>
      </c>
      <c r="AQ3664">
        <v>2.598076211353316</v>
      </c>
      <c r="AW3664" s="28">
        <f t="shared" si="365"/>
        <v>0.76980035891950105</v>
      </c>
      <c r="AX3664">
        <f t="shared" si="366"/>
        <v>0.8</v>
      </c>
      <c r="AY3664" s="62">
        <f t="shared" si="367"/>
        <v>0.61584028713560091</v>
      </c>
      <c r="AZ3664" s="68" t="str">
        <f t="shared" si="368"/>
        <v>No</v>
      </c>
      <c r="BA3664" s="68" t="str">
        <f t="shared" si="369"/>
        <v>No</v>
      </c>
    </row>
    <row r="3665" spans="1:53" hidden="1">
      <c r="A3665" t="s">
        <v>3914</v>
      </c>
      <c r="G3665" t="s">
        <v>4034</v>
      </c>
      <c r="P3665" t="s">
        <v>4596</v>
      </c>
      <c r="R3665" t="s">
        <v>4869</v>
      </c>
      <c r="S3665" t="s">
        <v>1760</v>
      </c>
      <c r="V3665" t="s">
        <v>4600</v>
      </c>
      <c r="Z3665">
        <v>3</v>
      </c>
      <c r="AA3665">
        <v>3</v>
      </c>
      <c r="AC3665">
        <v>435.4</v>
      </c>
      <c r="AD3665" s="54">
        <v>28.5</v>
      </c>
      <c r="AE3665">
        <v>659.1</v>
      </c>
      <c r="AF3665" s="54">
        <v>30</v>
      </c>
      <c r="AJ3665" t="s">
        <v>2020</v>
      </c>
      <c r="AK3665" t="s">
        <v>4855</v>
      </c>
      <c r="AN3665">
        <v>52.3</v>
      </c>
      <c r="AO3665">
        <f>7.3*SQRT(3)</f>
        <v>12.643970895252803</v>
      </c>
      <c r="AP3665">
        <v>49.6</v>
      </c>
      <c r="AQ3665">
        <f>7.2*SQRT(3)</f>
        <v>12.470765814495916</v>
      </c>
      <c r="AU3665" s="57" t="s">
        <v>4928</v>
      </c>
      <c r="AW3665" s="28">
        <f t="shared" si="365"/>
        <v>-0.21500809060583675</v>
      </c>
      <c r="AX3665">
        <f t="shared" si="366"/>
        <v>0.8</v>
      </c>
      <c r="AY3665" s="62">
        <f t="shared" si="367"/>
        <v>-0.17200647248466941</v>
      </c>
      <c r="AZ3665" s="68" t="str">
        <f t="shared" si="368"/>
        <v>No</v>
      </c>
      <c r="BA3665" s="68" t="str">
        <f t="shared" si="369"/>
        <v>No</v>
      </c>
    </row>
    <row r="3666" spans="1:53" hidden="1">
      <c r="A3666" t="s">
        <v>3914</v>
      </c>
      <c r="G3666" t="s">
        <v>4034</v>
      </c>
      <c r="P3666" t="s">
        <v>60</v>
      </c>
      <c r="R3666" t="s">
        <v>4035</v>
      </c>
      <c r="S3666" t="s">
        <v>1760</v>
      </c>
      <c r="V3666" t="s">
        <v>3956</v>
      </c>
      <c r="Z3666">
        <v>3</v>
      </c>
      <c r="AA3666">
        <v>3</v>
      </c>
      <c r="AC3666">
        <v>419.7</v>
      </c>
      <c r="AD3666">
        <v>28.3</v>
      </c>
      <c r="AE3666">
        <v>641.70000000000005</v>
      </c>
      <c r="AF3666">
        <v>28.3</v>
      </c>
      <c r="AJ3666" t="s">
        <v>2020</v>
      </c>
      <c r="AK3666" t="s">
        <v>4041</v>
      </c>
      <c r="AN3666">
        <v>52.3</v>
      </c>
      <c r="AO3666">
        <v>12.643970895252803</v>
      </c>
      <c r="AP3666">
        <v>53.3</v>
      </c>
      <c r="AQ3666">
        <v>12.643970895252803</v>
      </c>
      <c r="AW3666" s="28">
        <f t="shared" si="365"/>
        <v>7.9089077971181615E-2</v>
      </c>
      <c r="AX3666">
        <f t="shared" si="366"/>
        <v>0.8</v>
      </c>
      <c r="AY3666" s="62">
        <f t="shared" si="367"/>
        <v>6.3271262376945289E-2</v>
      </c>
      <c r="AZ3666" s="68" t="str">
        <f t="shared" si="368"/>
        <v>No</v>
      </c>
      <c r="BA3666" s="68" t="str">
        <f t="shared" si="369"/>
        <v>No</v>
      </c>
    </row>
    <row r="3667" spans="1:53" hidden="1">
      <c r="A3667" t="s">
        <v>3914</v>
      </c>
      <c r="G3667" t="s">
        <v>4034</v>
      </c>
      <c r="P3667" t="s">
        <v>4596</v>
      </c>
      <c r="R3667" t="s">
        <v>4869</v>
      </c>
      <c r="S3667" t="s">
        <v>1760</v>
      </c>
      <c r="V3667" t="s">
        <v>4598</v>
      </c>
      <c r="Z3667">
        <v>3</v>
      </c>
      <c r="AA3667">
        <v>3</v>
      </c>
      <c r="AC3667">
        <v>435.4</v>
      </c>
      <c r="AD3667" s="54">
        <v>28.5</v>
      </c>
      <c r="AE3667">
        <v>426.7</v>
      </c>
      <c r="AF3667" s="54">
        <v>30</v>
      </c>
      <c r="AJ3667" t="s">
        <v>4760</v>
      </c>
      <c r="AK3667" t="s">
        <v>4855</v>
      </c>
      <c r="AN3667">
        <v>52.3</v>
      </c>
      <c r="AO3667">
        <f>7.3*SQRT(3)</f>
        <v>12.643970895252803</v>
      </c>
      <c r="AP3667">
        <v>48</v>
      </c>
      <c r="AQ3667">
        <f>7.8*SQRT(3)</f>
        <v>13.509996299037242</v>
      </c>
      <c r="AU3667" s="57" t="s">
        <v>4928</v>
      </c>
      <c r="AW3667" s="28">
        <f t="shared" si="365"/>
        <v>-0.32864188840524888</v>
      </c>
      <c r="AX3667">
        <f t="shared" si="366"/>
        <v>0.8</v>
      </c>
      <c r="AY3667" s="62">
        <f t="shared" si="367"/>
        <v>-0.26291351072419911</v>
      </c>
      <c r="AZ3667" s="68" t="str">
        <f t="shared" si="368"/>
        <v>No</v>
      </c>
      <c r="BA3667" s="68" t="str">
        <f t="shared" si="369"/>
        <v>No</v>
      </c>
    </row>
    <row r="3668" spans="1:53" hidden="1">
      <c r="A3668" t="s">
        <v>3914</v>
      </c>
      <c r="G3668" t="s">
        <v>4193</v>
      </c>
      <c r="P3668" t="s">
        <v>60</v>
      </c>
      <c r="R3668" t="s">
        <v>4116</v>
      </c>
      <c r="S3668" t="s">
        <v>1085</v>
      </c>
      <c r="V3668" t="s">
        <v>3956</v>
      </c>
      <c r="Z3668">
        <v>3</v>
      </c>
      <c r="AA3668">
        <v>3</v>
      </c>
      <c r="AC3668">
        <v>667.1</v>
      </c>
      <c r="AD3668">
        <v>18</v>
      </c>
      <c r="AE3668">
        <v>1009</v>
      </c>
      <c r="AF3668">
        <v>18</v>
      </c>
      <c r="AJ3668" t="s">
        <v>4216</v>
      </c>
      <c r="AK3668" t="s">
        <v>4244</v>
      </c>
      <c r="AN3668">
        <v>158.4</v>
      </c>
      <c r="AO3668">
        <v>0.77942286340599476</v>
      </c>
      <c r="AP3668">
        <v>160</v>
      </c>
      <c r="AQ3668">
        <v>0.8660254037844386</v>
      </c>
      <c r="AW3668" s="28">
        <f t="shared" si="365"/>
        <v>1.9420708129100874</v>
      </c>
      <c r="AX3668">
        <f t="shared" si="366"/>
        <v>0.8</v>
      </c>
      <c r="AY3668" s="62">
        <f t="shared" si="367"/>
        <v>1.55365665032807</v>
      </c>
      <c r="AZ3668" s="68" t="str">
        <f t="shared" si="368"/>
        <v>No</v>
      </c>
      <c r="BA3668" s="68" t="str">
        <f t="shared" si="369"/>
        <v>No</v>
      </c>
    </row>
    <row r="3669" spans="1:53" hidden="1">
      <c r="A3669" t="s">
        <v>3914</v>
      </c>
      <c r="G3669" t="s">
        <v>4193</v>
      </c>
      <c r="P3669" t="s">
        <v>60</v>
      </c>
      <c r="R3669" t="s">
        <v>4116</v>
      </c>
      <c r="S3669" t="s">
        <v>1085</v>
      </c>
      <c r="V3669" t="s">
        <v>3956</v>
      </c>
      <c r="Z3669">
        <v>3</v>
      </c>
      <c r="AA3669">
        <v>3</v>
      </c>
      <c r="AC3669">
        <v>667.1</v>
      </c>
      <c r="AD3669">
        <v>19</v>
      </c>
      <c r="AE3669">
        <v>2232</v>
      </c>
      <c r="AF3669">
        <v>18</v>
      </c>
      <c r="AJ3669" t="s">
        <v>4216</v>
      </c>
      <c r="AK3669" t="s">
        <v>4244</v>
      </c>
      <c r="AN3669">
        <v>158.4</v>
      </c>
      <c r="AO3669">
        <v>0.77942286340599476</v>
      </c>
      <c r="AP3669">
        <v>164.9</v>
      </c>
      <c r="AQ3669">
        <v>1.9052558883257651</v>
      </c>
      <c r="AW3669" s="28">
        <f t="shared" si="365"/>
        <v>4.4655350127227198</v>
      </c>
      <c r="AX3669">
        <f t="shared" si="366"/>
        <v>0.8</v>
      </c>
      <c r="AY3669" s="62">
        <f t="shared" si="367"/>
        <v>3.572428010178176</v>
      </c>
      <c r="AZ3669" s="68" t="str">
        <f t="shared" si="368"/>
        <v>No</v>
      </c>
      <c r="BA3669" s="68" t="str">
        <f t="shared" si="369"/>
        <v>No</v>
      </c>
    </row>
    <row r="3670" spans="1:53" hidden="1">
      <c r="A3670" t="s">
        <v>3914</v>
      </c>
      <c r="G3670" t="s">
        <v>4193</v>
      </c>
      <c r="P3670" t="s">
        <v>60</v>
      </c>
      <c r="R3670" t="s">
        <v>4116</v>
      </c>
      <c r="S3670" t="s">
        <v>1085</v>
      </c>
      <c r="V3670" t="s">
        <v>3956</v>
      </c>
      <c r="Z3670">
        <v>3</v>
      </c>
      <c r="AA3670">
        <v>3</v>
      </c>
      <c r="AC3670">
        <v>667.1</v>
      </c>
      <c r="AD3670">
        <v>18</v>
      </c>
      <c r="AE3670">
        <v>1009</v>
      </c>
      <c r="AF3670">
        <v>18</v>
      </c>
      <c r="AJ3670" t="s">
        <v>4255</v>
      </c>
      <c r="AK3670" t="s">
        <v>4258</v>
      </c>
      <c r="AN3670">
        <v>30</v>
      </c>
      <c r="AO3670">
        <v>13.856406460551018</v>
      </c>
      <c r="AP3670">
        <v>34</v>
      </c>
      <c r="AQ3670">
        <v>10.392304845413264</v>
      </c>
      <c r="AW3670" s="28">
        <f t="shared" si="365"/>
        <v>0.32659863237109044</v>
      </c>
      <c r="AX3670">
        <f t="shared" si="366"/>
        <v>0.8</v>
      </c>
      <c r="AY3670" s="62">
        <f t="shared" si="367"/>
        <v>0.26127890589687236</v>
      </c>
      <c r="AZ3670" s="68" t="str">
        <f t="shared" si="368"/>
        <v>No</v>
      </c>
      <c r="BA3670" s="68" t="str">
        <f t="shared" si="369"/>
        <v>No</v>
      </c>
    </row>
    <row r="3671" spans="1:53" hidden="1">
      <c r="A3671" t="s">
        <v>3914</v>
      </c>
      <c r="G3671" t="s">
        <v>4193</v>
      </c>
      <c r="P3671" t="s">
        <v>60</v>
      </c>
      <c r="R3671" t="s">
        <v>4116</v>
      </c>
      <c r="S3671" t="s">
        <v>1085</v>
      </c>
      <c r="V3671" t="s">
        <v>3956</v>
      </c>
      <c r="Z3671">
        <v>3</v>
      </c>
      <c r="AA3671">
        <v>3</v>
      </c>
      <c r="AC3671">
        <v>667.1</v>
      </c>
      <c r="AD3671">
        <v>18</v>
      </c>
      <c r="AE3671">
        <v>1009</v>
      </c>
      <c r="AF3671">
        <v>18</v>
      </c>
      <c r="AJ3671" t="s">
        <v>4255</v>
      </c>
      <c r="AK3671" t="s">
        <v>4258</v>
      </c>
      <c r="AN3671">
        <v>30</v>
      </c>
      <c r="AO3671">
        <v>13.856406460551018</v>
      </c>
      <c r="AP3671">
        <v>60</v>
      </c>
      <c r="AQ3671">
        <v>22.516660498395403</v>
      </c>
      <c r="AW3671" s="28">
        <f t="shared" si="365"/>
        <v>1.6047140854798214</v>
      </c>
      <c r="AX3671">
        <f t="shared" si="366"/>
        <v>0.8</v>
      </c>
      <c r="AY3671" s="62">
        <f t="shared" si="367"/>
        <v>1.2837712683838571</v>
      </c>
      <c r="AZ3671" s="68" t="str">
        <f t="shared" si="368"/>
        <v>No</v>
      </c>
      <c r="BA3671" s="68" t="str">
        <f t="shared" si="369"/>
        <v>No</v>
      </c>
    </row>
    <row r="3672" spans="1:53" hidden="1">
      <c r="A3672" t="s">
        <v>3914</v>
      </c>
      <c r="G3672" t="s">
        <v>3923</v>
      </c>
      <c r="P3672" t="s">
        <v>60</v>
      </c>
      <c r="R3672" t="s">
        <v>3942</v>
      </c>
      <c r="S3672" t="s">
        <v>3947</v>
      </c>
      <c r="V3672" t="s">
        <v>3956</v>
      </c>
      <c r="Z3672">
        <v>12</v>
      </c>
      <c r="AA3672">
        <v>12</v>
      </c>
      <c r="AC3672">
        <v>430</v>
      </c>
      <c r="AD3672">
        <v>24.2</v>
      </c>
      <c r="AE3672">
        <v>1168</v>
      </c>
      <c r="AF3672">
        <v>24.2</v>
      </c>
      <c r="AJ3672" t="s">
        <v>3936</v>
      </c>
      <c r="AK3672" t="s">
        <v>904</v>
      </c>
      <c r="AN3672">
        <v>0.48</v>
      </c>
      <c r="AO3672">
        <v>6.9282032302755092E-2</v>
      </c>
      <c r="AP3672">
        <v>0.38</v>
      </c>
      <c r="AQ3672">
        <v>3.4641016151377543E-3</v>
      </c>
      <c r="AW3672" s="28">
        <f t="shared" si="365"/>
        <v>-2.0386946747183239</v>
      </c>
      <c r="AX3672">
        <f t="shared" si="366"/>
        <v>0.96551724137931039</v>
      </c>
      <c r="AY3672" s="62">
        <f t="shared" si="367"/>
        <v>-1.9683948583487265</v>
      </c>
      <c r="AZ3672" s="68" t="str">
        <f t="shared" si="368"/>
        <v>No</v>
      </c>
      <c r="BA3672" s="68" t="str">
        <f t="shared" si="369"/>
        <v>No</v>
      </c>
    </row>
    <row r="3673" spans="1:53" hidden="1">
      <c r="A3673" t="s">
        <v>3914</v>
      </c>
      <c r="G3673" s="50" t="s">
        <v>3923</v>
      </c>
      <c r="P3673" t="s">
        <v>60</v>
      </c>
      <c r="R3673" t="s">
        <v>3942</v>
      </c>
      <c r="S3673" t="s">
        <v>3947</v>
      </c>
      <c r="V3673" t="s">
        <v>3956</v>
      </c>
      <c r="Z3673">
        <v>12</v>
      </c>
      <c r="AA3673">
        <v>12</v>
      </c>
      <c r="AC3673">
        <v>430</v>
      </c>
      <c r="AD3673">
        <v>24.2</v>
      </c>
      <c r="AE3673">
        <v>1168</v>
      </c>
      <c r="AF3673">
        <v>24.2</v>
      </c>
      <c r="AJ3673" s="50" t="s">
        <v>3936</v>
      </c>
      <c r="AK3673" t="s">
        <v>904</v>
      </c>
      <c r="AN3673">
        <v>0.48</v>
      </c>
      <c r="AO3673">
        <v>6.9282032302755092E-2</v>
      </c>
      <c r="AP3673">
        <v>0.32</v>
      </c>
      <c r="AQ3673">
        <v>1.0392304845413263E-2</v>
      </c>
      <c r="AW3673" s="28">
        <f t="shared" si="365"/>
        <v>-3.2298526034883999</v>
      </c>
      <c r="AX3673">
        <f t="shared" si="366"/>
        <v>0.96551724137931039</v>
      </c>
      <c r="AY3673" s="62">
        <f t="shared" si="367"/>
        <v>-3.1184783757819035</v>
      </c>
      <c r="AZ3673" s="68" t="str">
        <f t="shared" si="368"/>
        <v>No</v>
      </c>
      <c r="BA3673" s="68" t="str">
        <f t="shared" si="369"/>
        <v>No</v>
      </c>
    </row>
    <row r="3674" spans="1:53" hidden="1">
      <c r="A3674" t="s">
        <v>3914</v>
      </c>
      <c r="G3674" t="s">
        <v>3923</v>
      </c>
      <c r="P3674" t="s">
        <v>60</v>
      </c>
      <c r="R3674" t="s">
        <v>3942</v>
      </c>
      <c r="S3674" t="s">
        <v>1012</v>
      </c>
      <c r="V3674" t="s">
        <v>3956</v>
      </c>
      <c r="Z3674">
        <v>12</v>
      </c>
      <c r="AA3674">
        <v>12</v>
      </c>
      <c r="AC3674">
        <v>430</v>
      </c>
      <c r="AD3674">
        <v>24.2</v>
      </c>
      <c r="AE3674">
        <v>1168</v>
      </c>
      <c r="AF3674">
        <v>24.2</v>
      </c>
      <c r="AJ3674" t="s">
        <v>3936</v>
      </c>
      <c r="AK3674" t="s">
        <v>904</v>
      </c>
      <c r="AN3674">
        <v>0.16</v>
      </c>
      <c r="AO3674">
        <v>1.7320508075688773E-2</v>
      </c>
      <c r="AP3674">
        <v>0.23</v>
      </c>
      <c r="AQ3674">
        <v>3.4641016151377546E-2</v>
      </c>
      <c r="AW3674" s="28">
        <f t="shared" si="365"/>
        <v>2.5560386016907755</v>
      </c>
      <c r="AX3674">
        <f t="shared" si="366"/>
        <v>0.96551724137931039</v>
      </c>
      <c r="AY3674" s="62">
        <f t="shared" si="367"/>
        <v>2.4678993395635076</v>
      </c>
      <c r="AZ3674" s="68" t="str">
        <f t="shared" si="368"/>
        <v>No</v>
      </c>
      <c r="BA3674" s="68" t="str">
        <f t="shared" si="369"/>
        <v>No</v>
      </c>
    </row>
    <row r="3675" spans="1:53" hidden="1">
      <c r="A3675" t="s">
        <v>3914</v>
      </c>
      <c r="G3675" t="s">
        <v>3923</v>
      </c>
      <c r="P3675" t="s">
        <v>60</v>
      </c>
      <c r="R3675" t="s">
        <v>3942</v>
      </c>
      <c r="S3675" t="s">
        <v>3947</v>
      </c>
      <c r="V3675" t="s">
        <v>3956</v>
      </c>
      <c r="Z3675">
        <v>12</v>
      </c>
      <c r="AA3675">
        <v>12</v>
      </c>
      <c r="AC3675">
        <v>430</v>
      </c>
      <c r="AD3675">
        <v>24.2</v>
      </c>
      <c r="AE3675">
        <v>1168</v>
      </c>
      <c r="AF3675">
        <v>24.2</v>
      </c>
      <c r="AJ3675" t="s">
        <v>3981</v>
      </c>
      <c r="AK3675" t="s">
        <v>40</v>
      </c>
      <c r="AN3675">
        <v>0.43</v>
      </c>
      <c r="AO3675">
        <v>3.4641016151377546E-2</v>
      </c>
      <c r="AP3675">
        <v>0.33500000000000002</v>
      </c>
      <c r="AQ3675">
        <v>3.4641016151377546E-2</v>
      </c>
      <c r="AW3675" s="28">
        <f t="shared" si="365"/>
        <v>-2.7424137786507217</v>
      </c>
      <c r="AX3675">
        <f t="shared" si="366"/>
        <v>0.96551724137931039</v>
      </c>
      <c r="AY3675" s="62">
        <f t="shared" si="367"/>
        <v>-2.6478477862834557</v>
      </c>
      <c r="AZ3675" s="68" t="str">
        <f t="shared" si="368"/>
        <v>No</v>
      </c>
      <c r="BA3675" s="68" t="str">
        <f t="shared" si="369"/>
        <v>No</v>
      </c>
    </row>
    <row r="3676" spans="1:53" hidden="1">
      <c r="A3676" t="s">
        <v>3914</v>
      </c>
      <c r="G3676" t="s">
        <v>3923</v>
      </c>
      <c r="P3676" t="s">
        <v>60</v>
      </c>
      <c r="R3676" t="s">
        <v>3942</v>
      </c>
      <c r="S3676" t="s">
        <v>3947</v>
      </c>
      <c r="V3676" t="s">
        <v>3956</v>
      </c>
      <c r="Z3676">
        <v>12</v>
      </c>
      <c r="AA3676">
        <v>12</v>
      </c>
      <c r="AC3676">
        <v>430</v>
      </c>
      <c r="AD3676">
        <v>24.2</v>
      </c>
      <c r="AE3676">
        <v>1168</v>
      </c>
      <c r="AF3676">
        <v>24.2</v>
      </c>
      <c r="AJ3676" t="s">
        <v>3981</v>
      </c>
      <c r="AK3676" t="s">
        <v>40</v>
      </c>
      <c r="AN3676">
        <v>0.43</v>
      </c>
      <c r="AO3676">
        <v>3.4641016151377546E-2</v>
      </c>
      <c r="AP3676">
        <v>0.435</v>
      </c>
      <c r="AQ3676">
        <v>6.9282032302755092E-2</v>
      </c>
      <c r="AW3676" s="28">
        <f t="shared" si="365"/>
        <v>9.1287092917527762E-2</v>
      </c>
      <c r="AX3676">
        <f t="shared" si="366"/>
        <v>0.96551724137931039</v>
      </c>
      <c r="AY3676" s="62">
        <f t="shared" si="367"/>
        <v>8.8139262127268192E-2</v>
      </c>
      <c r="AZ3676" s="68" t="str">
        <f t="shared" si="368"/>
        <v>No</v>
      </c>
      <c r="BA3676" s="68" t="str">
        <f t="shared" si="369"/>
        <v>No</v>
      </c>
    </row>
    <row r="3677" spans="1:53" hidden="1">
      <c r="A3677" t="s">
        <v>3914</v>
      </c>
      <c r="G3677" s="50" t="s">
        <v>3923</v>
      </c>
      <c r="P3677" t="s">
        <v>60</v>
      </c>
      <c r="R3677" t="s">
        <v>3942</v>
      </c>
      <c r="S3677" t="s">
        <v>1012</v>
      </c>
      <c r="V3677" t="s">
        <v>3956</v>
      </c>
      <c r="Z3677">
        <v>12</v>
      </c>
      <c r="AA3677">
        <v>12</v>
      </c>
      <c r="AC3677">
        <v>430</v>
      </c>
      <c r="AD3677">
        <v>24.2</v>
      </c>
      <c r="AE3677">
        <v>1168</v>
      </c>
      <c r="AF3677">
        <v>24.2</v>
      </c>
      <c r="AJ3677" s="50" t="s">
        <v>3936</v>
      </c>
      <c r="AK3677" t="s">
        <v>904</v>
      </c>
      <c r="AN3677">
        <v>0.16</v>
      </c>
      <c r="AO3677">
        <v>1.7320508075688773E-2</v>
      </c>
      <c r="AP3677">
        <v>0.18</v>
      </c>
      <c r="AQ3677">
        <v>0.17320508075688773</v>
      </c>
      <c r="AW3677" s="28">
        <f t="shared" si="365"/>
        <v>0.16248889274047743</v>
      </c>
      <c r="AX3677">
        <f t="shared" si="366"/>
        <v>0.96551724137931039</v>
      </c>
      <c r="AY3677" s="62">
        <f t="shared" si="367"/>
        <v>0.15688582747356442</v>
      </c>
      <c r="AZ3677" s="68" t="str">
        <f t="shared" si="368"/>
        <v>No</v>
      </c>
      <c r="BA3677" s="68" t="str">
        <f t="shared" si="369"/>
        <v>No</v>
      </c>
    </row>
    <row r="3678" spans="1:53" hidden="1">
      <c r="A3678" t="s">
        <v>3914</v>
      </c>
      <c r="G3678" t="s">
        <v>3923</v>
      </c>
      <c r="P3678" t="s">
        <v>60</v>
      </c>
      <c r="R3678" t="s">
        <v>3942</v>
      </c>
      <c r="S3678" t="s">
        <v>1012</v>
      </c>
      <c r="V3678" t="s">
        <v>3956</v>
      </c>
      <c r="Z3678">
        <v>12</v>
      </c>
      <c r="AA3678">
        <v>12</v>
      </c>
      <c r="AC3678">
        <v>430</v>
      </c>
      <c r="AD3678">
        <v>24.2</v>
      </c>
      <c r="AE3678">
        <v>1168</v>
      </c>
      <c r="AF3678">
        <v>24.2</v>
      </c>
      <c r="AJ3678" t="s">
        <v>3981</v>
      </c>
      <c r="AK3678" t="s">
        <v>40</v>
      </c>
      <c r="AN3678">
        <v>0.12</v>
      </c>
      <c r="AO3678">
        <v>3.4641016151377546E-2</v>
      </c>
      <c r="AP3678">
        <v>0.13500000000000001</v>
      </c>
      <c r="AQ3678">
        <v>0.24248711305964282</v>
      </c>
      <c r="AW3678" s="28">
        <f t="shared" si="365"/>
        <v>8.6602540378443935E-2</v>
      </c>
      <c r="AX3678">
        <f t="shared" si="366"/>
        <v>0.96551724137931039</v>
      </c>
      <c r="AY3678" s="62">
        <f t="shared" si="367"/>
        <v>8.3616245882635526E-2</v>
      </c>
      <c r="AZ3678" s="68" t="str">
        <f t="shared" si="368"/>
        <v>No</v>
      </c>
      <c r="BA3678" s="68" t="str">
        <f t="shared" si="369"/>
        <v>No</v>
      </c>
    </row>
    <row r="3679" spans="1:53" hidden="1">
      <c r="A3679" t="s">
        <v>3914</v>
      </c>
      <c r="G3679" t="s">
        <v>3923</v>
      </c>
      <c r="P3679" t="s">
        <v>60</v>
      </c>
      <c r="R3679" t="s">
        <v>3942</v>
      </c>
      <c r="S3679" t="s">
        <v>1012</v>
      </c>
      <c r="V3679" t="s">
        <v>3956</v>
      </c>
      <c r="Z3679">
        <v>12</v>
      </c>
      <c r="AA3679">
        <v>12</v>
      </c>
      <c r="AC3679">
        <v>430</v>
      </c>
      <c r="AD3679">
        <v>24.2</v>
      </c>
      <c r="AE3679">
        <v>1168</v>
      </c>
      <c r="AF3679">
        <v>24.2</v>
      </c>
      <c r="AJ3679" t="s">
        <v>3981</v>
      </c>
      <c r="AK3679" t="s">
        <v>40</v>
      </c>
      <c r="AN3679">
        <v>0.12</v>
      </c>
      <c r="AO3679">
        <v>3.4641016151377546E-2</v>
      </c>
      <c r="AP3679">
        <v>0.14000000000000001</v>
      </c>
      <c r="AQ3679">
        <v>0.34641016151377546</v>
      </c>
      <c r="AW3679" s="28">
        <f t="shared" si="365"/>
        <v>8.1244446370238824E-2</v>
      </c>
      <c r="AX3679">
        <f t="shared" si="366"/>
        <v>0.96551724137931039</v>
      </c>
      <c r="AY3679" s="62">
        <f t="shared" si="367"/>
        <v>7.8442913736782319E-2</v>
      </c>
      <c r="AZ3679" s="68" t="str">
        <f t="shared" si="368"/>
        <v>No</v>
      </c>
      <c r="BA3679" s="68" t="str">
        <f t="shared" si="369"/>
        <v>No</v>
      </c>
    </row>
    <row r="3680" spans="1:53" ht="15" hidden="1">
      <c r="A3680" s="56" t="s">
        <v>3914</v>
      </c>
      <c r="G3680" s="56" t="s">
        <v>4067</v>
      </c>
      <c r="P3680" s="56" t="s">
        <v>60</v>
      </c>
      <c r="Q3680" s="56"/>
      <c r="R3680" s="56" t="s">
        <v>4035</v>
      </c>
      <c r="S3680" s="56" t="s">
        <v>1749</v>
      </c>
      <c r="T3680" s="56"/>
      <c r="U3680" s="56"/>
      <c r="V3680" s="56" t="s">
        <v>3956</v>
      </c>
      <c r="W3680" s="56"/>
      <c r="X3680" s="56"/>
      <c r="Y3680" s="56"/>
      <c r="Z3680" s="56">
        <v>5</v>
      </c>
      <c r="AA3680" s="56">
        <v>5</v>
      </c>
      <c r="AB3680" s="56"/>
      <c r="AC3680" s="56">
        <v>417</v>
      </c>
      <c r="AD3680" s="56">
        <v>26.53</v>
      </c>
      <c r="AE3680" s="56">
        <v>805</v>
      </c>
      <c r="AF3680" s="56">
        <v>28.93</v>
      </c>
      <c r="AG3680" s="56"/>
      <c r="AH3680" s="56"/>
      <c r="AI3680" s="56"/>
      <c r="AJ3680" s="56" t="s">
        <v>4080</v>
      </c>
      <c r="AK3680" s="56" t="s">
        <v>4081</v>
      </c>
      <c r="AN3680" s="56">
        <v>7.4999999999999997E-2</v>
      </c>
      <c r="AO3680" s="56">
        <v>0.17888543819998318</v>
      </c>
      <c r="AP3680" s="56">
        <v>4.2999999999999997E-2</v>
      </c>
      <c r="AQ3680" s="56">
        <v>0.1118033988749895</v>
      </c>
      <c r="AW3680" s="28">
        <f t="shared" si="365"/>
        <v>-0.2145284874092771</v>
      </c>
      <c r="AX3680">
        <f t="shared" si="366"/>
        <v>0.90322580645161288</v>
      </c>
      <c r="AY3680" s="62">
        <f t="shared" si="367"/>
        <v>-0.19376766604708898</v>
      </c>
      <c r="AZ3680" s="68" t="str">
        <f t="shared" si="368"/>
        <v>No</v>
      </c>
      <c r="BA3680" s="68" t="str">
        <f t="shared" si="369"/>
        <v>No</v>
      </c>
    </row>
    <row r="3681" spans="1:55" ht="15" hidden="1">
      <c r="A3681" s="56" t="s">
        <v>3914</v>
      </c>
      <c r="G3681" s="56" t="s">
        <v>4067</v>
      </c>
      <c r="P3681" s="56" t="s">
        <v>60</v>
      </c>
      <c r="Q3681" s="56"/>
      <c r="R3681" s="56" t="s">
        <v>4035</v>
      </c>
      <c r="S3681" s="56" t="s">
        <v>1749</v>
      </c>
      <c r="T3681" s="56"/>
      <c r="U3681" s="56"/>
      <c r="V3681" s="56" t="s">
        <v>3956</v>
      </c>
      <c r="W3681" s="56"/>
      <c r="X3681" s="56"/>
      <c r="Y3681" s="56"/>
      <c r="Z3681" s="56">
        <v>5</v>
      </c>
      <c r="AA3681" s="56">
        <v>5</v>
      </c>
      <c r="AB3681" s="56"/>
      <c r="AC3681" s="56">
        <v>417</v>
      </c>
      <c r="AD3681" s="56">
        <v>26.53</v>
      </c>
      <c r="AE3681" s="56">
        <v>805</v>
      </c>
      <c r="AF3681" s="56">
        <v>28.93</v>
      </c>
      <c r="AG3681" s="56"/>
      <c r="AH3681" s="56"/>
      <c r="AI3681" s="56"/>
      <c r="AJ3681" s="56" t="s">
        <v>4072</v>
      </c>
      <c r="AK3681" s="56" t="s">
        <v>3983</v>
      </c>
      <c r="AN3681" s="56">
        <v>1.42</v>
      </c>
      <c r="AO3681" s="56">
        <v>0.40249223594996214</v>
      </c>
      <c r="AP3681" s="56">
        <v>0.65</v>
      </c>
      <c r="AQ3681" s="56">
        <v>0.29068883707497267</v>
      </c>
      <c r="AW3681" s="28">
        <f t="shared" si="365"/>
        <v>-2.1932960737991571</v>
      </c>
      <c r="AX3681">
        <f t="shared" si="366"/>
        <v>0.90322580645161288</v>
      </c>
      <c r="AY3681" s="62">
        <f t="shared" si="367"/>
        <v>-1.9810416150443999</v>
      </c>
      <c r="AZ3681" s="68" t="str">
        <f t="shared" si="368"/>
        <v>No</v>
      </c>
      <c r="BA3681" s="68" t="str">
        <f t="shared" si="369"/>
        <v>No</v>
      </c>
    </row>
    <row r="3682" spans="1:55" hidden="1">
      <c r="A3682" t="s">
        <v>3914</v>
      </c>
      <c r="G3682" t="s">
        <v>4062</v>
      </c>
      <c r="P3682" t="s">
        <v>4596</v>
      </c>
      <c r="R3682" t="s">
        <v>4035</v>
      </c>
      <c r="S3682" t="s">
        <v>1749</v>
      </c>
      <c r="V3682" t="s">
        <v>4600</v>
      </c>
      <c r="Z3682">
        <v>4</v>
      </c>
      <c r="AA3682">
        <v>5</v>
      </c>
      <c r="AC3682">
        <v>420</v>
      </c>
      <c r="AD3682">
        <v>25</v>
      </c>
      <c r="AE3682">
        <v>656</v>
      </c>
      <c r="AF3682">
        <v>29</v>
      </c>
      <c r="AJ3682" t="s">
        <v>4709</v>
      </c>
      <c r="AK3682" t="s">
        <v>4650</v>
      </c>
      <c r="AN3682">
        <v>0.71899999999999997</v>
      </c>
      <c r="AO3682">
        <v>7.4501108647440084E-3</v>
      </c>
      <c r="AP3682">
        <v>0.72</v>
      </c>
      <c r="AQ3682">
        <v>6.9908111935145963E-3</v>
      </c>
      <c r="AW3682" s="28">
        <f t="shared" si="365"/>
        <v>0.13905794347500228</v>
      </c>
      <c r="AX3682">
        <f t="shared" si="366"/>
        <v>0.88888888888888884</v>
      </c>
      <c r="AY3682" s="62">
        <f t="shared" si="367"/>
        <v>0.12360706086666869</v>
      </c>
      <c r="AZ3682" s="68" t="str">
        <f t="shared" si="368"/>
        <v>No</v>
      </c>
      <c r="BA3682" s="68" t="str">
        <f t="shared" si="369"/>
        <v>No</v>
      </c>
    </row>
    <row r="3683" spans="1:55" hidden="1">
      <c r="A3683" t="s">
        <v>3914</v>
      </c>
      <c r="G3683" t="s">
        <v>4062</v>
      </c>
      <c r="P3683" t="s">
        <v>4596</v>
      </c>
      <c r="R3683" t="s">
        <v>4035</v>
      </c>
      <c r="S3683" t="s">
        <v>1749</v>
      </c>
      <c r="V3683" t="s">
        <v>4598</v>
      </c>
      <c r="Z3683">
        <v>4</v>
      </c>
      <c r="AA3683">
        <v>3</v>
      </c>
      <c r="AC3683">
        <v>420</v>
      </c>
      <c r="AD3683">
        <v>25</v>
      </c>
      <c r="AE3683">
        <v>413</v>
      </c>
      <c r="AF3683">
        <v>29</v>
      </c>
      <c r="AJ3683" t="s">
        <v>4709</v>
      </c>
      <c r="AK3683" t="s">
        <v>4650</v>
      </c>
      <c r="AN3683">
        <v>0.71899999999999997</v>
      </c>
      <c r="AO3683">
        <v>7.4501108647440084E-3</v>
      </c>
      <c r="AP3683">
        <v>0.71519999999999995</v>
      </c>
      <c r="AQ3683">
        <v>1.0254048018201461E-2</v>
      </c>
      <c r="AW3683" s="28">
        <f t="shared" si="365"/>
        <v>-0.43773488555999457</v>
      </c>
      <c r="AX3683">
        <f t="shared" si="366"/>
        <v>0.84210526315789469</v>
      </c>
      <c r="AY3683" s="62">
        <f t="shared" si="367"/>
        <v>-0.36861885099789016</v>
      </c>
      <c r="AZ3683" s="68" t="str">
        <f t="shared" si="368"/>
        <v>No</v>
      </c>
      <c r="BA3683" s="68" t="str">
        <f t="shared" si="369"/>
        <v>No</v>
      </c>
    </row>
    <row r="3684" spans="1:55" hidden="1">
      <c r="A3684" t="s">
        <v>3914</v>
      </c>
      <c r="G3684" t="s">
        <v>4062</v>
      </c>
      <c r="P3684" t="s">
        <v>60</v>
      </c>
      <c r="R3684" t="s">
        <v>4035</v>
      </c>
      <c r="S3684" t="s">
        <v>1749</v>
      </c>
      <c r="V3684" t="s">
        <v>3956</v>
      </c>
      <c r="Z3684">
        <v>3</v>
      </c>
      <c r="AA3684">
        <v>3</v>
      </c>
      <c r="AC3684">
        <v>420</v>
      </c>
      <c r="AD3684">
        <v>25.28</v>
      </c>
      <c r="AE3684">
        <v>607</v>
      </c>
      <c r="AF3684">
        <v>25.47</v>
      </c>
      <c r="AJ3684" t="s">
        <v>108</v>
      </c>
      <c r="AK3684" t="s">
        <v>4081</v>
      </c>
      <c r="AN3684">
        <v>0.10299999999999999</v>
      </c>
      <c r="AO3684">
        <v>2.4248711305964281E-2</v>
      </c>
      <c r="AP3684">
        <v>9.4E-2</v>
      </c>
      <c r="AQ3684">
        <v>1.3856406460551017E-2</v>
      </c>
      <c r="AW3684" s="28">
        <f t="shared" si="365"/>
        <v>-0.45573271518764968</v>
      </c>
      <c r="AX3684">
        <f t="shared" si="366"/>
        <v>0.8</v>
      </c>
      <c r="AY3684" s="62">
        <f t="shared" si="367"/>
        <v>-0.36458617215011979</v>
      </c>
      <c r="AZ3684" s="68" t="str">
        <f t="shared" si="368"/>
        <v>No</v>
      </c>
      <c r="BA3684" s="68" t="str">
        <f t="shared" si="369"/>
        <v>No</v>
      </c>
    </row>
    <row r="3685" spans="1:55" ht="15" hidden="1">
      <c r="A3685" t="s">
        <v>3914</v>
      </c>
      <c r="G3685" t="s">
        <v>4062</v>
      </c>
      <c r="P3685" t="s">
        <v>4596</v>
      </c>
      <c r="R3685" t="s">
        <v>4035</v>
      </c>
      <c r="S3685" t="s">
        <v>1749</v>
      </c>
      <c r="V3685" t="s">
        <v>4600</v>
      </c>
      <c r="Z3685">
        <v>3</v>
      </c>
      <c r="AA3685">
        <v>4</v>
      </c>
      <c r="AC3685">
        <v>420</v>
      </c>
      <c r="AD3685">
        <v>25</v>
      </c>
      <c r="AE3685">
        <v>656</v>
      </c>
      <c r="AF3685">
        <v>29</v>
      </c>
      <c r="AJ3685" t="s">
        <v>108</v>
      </c>
      <c r="AK3685" t="s">
        <v>904</v>
      </c>
      <c r="AN3685">
        <v>0.13</v>
      </c>
      <c r="AO3685">
        <v>2.548304636423189E-2</v>
      </c>
      <c r="AP3685">
        <v>0.06</v>
      </c>
      <c r="AQ3685">
        <v>2.1093453273363205E-2</v>
      </c>
      <c r="AW3685" s="28">
        <f t="shared" si="365"/>
        <v>-3.0500741195972134</v>
      </c>
      <c r="AX3685">
        <f t="shared" si="366"/>
        <v>0.84210526315789469</v>
      </c>
      <c r="AY3685" s="73">
        <f t="shared" si="367"/>
        <v>-2.5684834691344953</v>
      </c>
      <c r="AZ3685" s="74" t="str">
        <f t="shared" si="368"/>
        <v>No</v>
      </c>
      <c r="BA3685" s="74" t="str">
        <f t="shared" si="369"/>
        <v>No</v>
      </c>
      <c r="BB3685" s="56"/>
      <c r="BC3685" s="56"/>
    </row>
    <row r="3686" spans="1:55" ht="13" hidden="1" customHeight="1">
      <c r="A3686" t="s">
        <v>3914</v>
      </c>
      <c r="G3686" t="s">
        <v>4062</v>
      </c>
      <c r="P3686" t="s">
        <v>4596</v>
      </c>
      <c r="R3686" t="s">
        <v>4035</v>
      </c>
      <c r="S3686" t="s">
        <v>1749</v>
      </c>
      <c r="V3686" t="s">
        <v>4598</v>
      </c>
      <c r="Z3686">
        <v>3</v>
      </c>
      <c r="AA3686">
        <v>3</v>
      </c>
      <c r="AC3686">
        <v>420</v>
      </c>
      <c r="AD3686">
        <v>25</v>
      </c>
      <c r="AE3686">
        <v>413</v>
      </c>
      <c r="AF3686">
        <v>29</v>
      </c>
      <c r="AJ3686" t="s">
        <v>108</v>
      </c>
      <c r="AK3686" t="s">
        <v>904</v>
      </c>
      <c r="AN3686">
        <v>0.13</v>
      </c>
      <c r="AO3686">
        <v>2.548304636423189E-2</v>
      </c>
      <c r="AP3686">
        <v>7.4999999999999997E-2</v>
      </c>
      <c r="AQ3686">
        <v>2.1771385263354547E-2</v>
      </c>
      <c r="AW3686" s="28">
        <f t="shared" si="365"/>
        <v>-2.320676274430808</v>
      </c>
      <c r="AX3686">
        <f t="shared" si="366"/>
        <v>0.8</v>
      </c>
      <c r="AY3686" s="73">
        <f t="shared" si="367"/>
        <v>-1.8565410195446466</v>
      </c>
      <c r="AZ3686" s="74" t="str">
        <f t="shared" si="368"/>
        <v>No</v>
      </c>
      <c r="BA3686" s="74" t="str">
        <f t="shared" si="369"/>
        <v>No</v>
      </c>
      <c r="BB3686" s="56"/>
      <c r="BC3686" s="56"/>
    </row>
    <row r="3687" spans="1:55" hidden="1">
      <c r="A3687" t="s">
        <v>3914</v>
      </c>
      <c r="G3687" t="s">
        <v>4062</v>
      </c>
      <c r="P3687" t="s">
        <v>60</v>
      </c>
      <c r="R3687" t="s">
        <v>4035</v>
      </c>
      <c r="S3687" t="s">
        <v>1749</v>
      </c>
      <c r="V3687" t="s">
        <v>3956</v>
      </c>
      <c r="Z3687">
        <v>3</v>
      </c>
      <c r="AA3687">
        <v>3</v>
      </c>
      <c r="AC3687">
        <v>420</v>
      </c>
      <c r="AD3687">
        <v>25.28</v>
      </c>
      <c r="AE3687">
        <v>607</v>
      </c>
      <c r="AF3687">
        <v>25.47</v>
      </c>
      <c r="AJ3687" t="s">
        <v>4071</v>
      </c>
      <c r="AK3687" t="s">
        <v>3983</v>
      </c>
      <c r="AN3687">
        <v>0.57999999999999996</v>
      </c>
      <c r="AO3687">
        <v>5.1961524227066312E-2</v>
      </c>
      <c r="AP3687">
        <v>0.68</v>
      </c>
      <c r="AQ3687">
        <v>3.8105117766515297E-2</v>
      </c>
      <c r="AW3687" s="28">
        <f t="shared" si="365"/>
        <v>2.1947564065307374</v>
      </c>
      <c r="AX3687">
        <f t="shared" si="366"/>
        <v>0.8</v>
      </c>
      <c r="AY3687" s="62">
        <f t="shared" si="367"/>
        <v>1.7558051252245901</v>
      </c>
      <c r="AZ3687" s="68" t="str">
        <f t="shared" si="368"/>
        <v>No</v>
      </c>
      <c r="BA3687" s="68" t="str">
        <f t="shared" si="369"/>
        <v>No</v>
      </c>
    </row>
    <row r="3688" spans="1:55" ht="15" hidden="1">
      <c r="A3688" t="s">
        <v>3914</v>
      </c>
      <c r="G3688" t="s">
        <v>4062</v>
      </c>
      <c r="P3688" t="s">
        <v>4596</v>
      </c>
      <c r="R3688" t="s">
        <v>4035</v>
      </c>
      <c r="S3688" t="s">
        <v>1749</v>
      </c>
      <c r="V3688" t="s">
        <v>4600</v>
      </c>
      <c r="Z3688">
        <v>3</v>
      </c>
      <c r="AA3688">
        <v>4</v>
      </c>
      <c r="AC3688">
        <v>420</v>
      </c>
      <c r="AD3688">
        <v>25</v>
      </c>
      <c r="AE3688">
        <v>656</v>
      </c>
      <c r="AF3688">
        <v>29</v>
      </c>
      <c r="AJ3688" t="s">
        <v>4071</v>
      </c>
      <c r="AK3688" t="s">
        <v>4642</v>
      </c>
      <c r="AN3688">
        <v>0.57499999999999996</v>
      </c>
      <c r="AO3688">
        <v>4.2541914096871844E-2</v>
      </c>
      <c r="AP3688">
        <v>0.63500000000000001</v>
      </c>
      <c r="AQ3688">
        <v>4.7753450243852136E-2</v>
      </c>
      <c r="AW3688" s="28">
        <f t="shared" si="365"/>
        <v>1.3117579366886536</v>
      </c>
      <c r="AX3688">
        <f t="shared" si="366"/>
        <v>0.84210526315789469</v>
      </c>
      <c r="AY3688" s="73">
        <f t="shared" si="367"/>
        <v>1.1046382624746556</v>
      </c>
      <c r="AZ3688" s="74" t="str">
        <f t="shared" si="368"/>
        <v>No</v>
      </c>
      <c r="BA3688" s="74" t="str">
        <f t="shared" si="369"/>
        <v>No</v>
      </c>
      <c r="BB3688" s="56"/>
      <c r="BC3688" s="56"/>
    </row>
    <row r="3689" spans="1:55" ht="15" hidden="1">
      <c r="A3689" t="s">
        <v>3914</v>
      </c>
      <c r="G3689" t="s">
        <v>4062</v>
      </c>
      <c r="P3689" t="s">
        <v>4596</v>
      </c>
      <c r="R3689" t="s">
        <v>4035</v>
      </c>
      <c r="S3689" t="s">
        <v>1749</v>
      </c>
      <c r="V3689" t="s">
        <v>4598</v>
      </c>
      <c r="Z3689">
        <v>3</v>
      </c>
      <c r="AA3689">
        <v>3</v>
      </c>
      <c r="AC3689">
        <v>420</v>
      </c>
      <c r="AD3689">
        <v>25</v>
      </c>
      <c r="AE3689">
        <v>413</v>
      </c>
      <c r="AF3689">
        <v>29</v>
      </c>
      <c r="AJ3689" t="s">
        <v>4071</v>
      </c>
      <c r="AK3689" t="s">
        <v>4642</v>
      </c>
      <c r="AN3689">
        <v>0.57499999999999996</v>
      </c>
      <c r="AO3689">
        <v>4.2541914096871844E-2</v>
      </c>
      <c r="AP3689">
        <v>0.62</v>
      </c>
      <c r="AQ3689">
        <v>7.0687515058301495E-2</v>
      </c>
      <c r="AW3689" s="28">
        <f t="shared" si="365"/>
        <v>0.77137282578541311</v>
      </c>
      <c r="AX3689">
        <f t="shared" si="366"/>
        <v>0.8</v>
      </c>
      <c r="AY3689" s="73">
        <f t="shared" si="367"/>
        <v>0.61709826062833051</v>
      </c>
      <c r="AZ3689" s="74" t="str">
        <f t="shared" si="368"/>
        <v>No</v>
      </c>
      <c r="BA3689" s="74" t="str">
        <f t="shared" si="369"/>
        <v>No</v>
      </c>
      <c r="BB3689" s="56"/>
      <c r="BC3689" s="56"/>
    </row>
    <row r="3690" spans="1:55" hidden="1">
      <c r="A3690" t="s">
        <v>3914</v>
      </c>
      <c r="G3690" t="s">
        <v>4062</v>
      </c>
      <c r="P3690" t="s">
        <v>4596</v>
      </c>
      <c r="R3690" t="s">
        <v>4035</v>
      </c>
      <c r="S3690" t="s">
        <v>1749</v>
      </c>
      <c r="V3690" t="s">
        <v>4600</v>
      </c>
      <c r="Z3690">
        <v>3</v>
      </c>
      <c r="AA3690">
        <v>5</v>
      </c>
      <c r="AC3690">
        <v>420</v>
      </c>
      <c r="AD3690">
        <v>25</v>
      </c>
      <c r="AE3690">
        <v>656</v>
      </c>
      <c r="AF3690">
        <v>29</v>
      </c>
      <c r="AJ3690" t="s">
        <v>4710</v>
      </c>
      <c r="AK3690" t="s">
        <v>904</v>
      </c>
      <c r="AN3690">
        <v>0.95</v>
      </c>
      <c r="AO3690">
        <v>0.75134728384252158</v>
      </c>
      <c r="AP3690">
        <v>0.86</v>
      </c>
      <c r="AQ3690">
        <v>0.4341192380479526</v>
      </c>
      <c r="AW3690" s="28">
        <f t="shared" si="365"/>
        <v>-0.16065949812588595</v>
      </c>
      <c r="AX3690">
        <f t="shared" si="366"/>
        <v>0.86956521739130432</v>
      </c>
      <c r="AY3690" s="62">
        <f t="shared" si="367"/>
        <v>-0.13970391141381386</v>
      </c>
      <c r="AZ3690" s="68" t="str">
        <f t="shared" si="368"/>
        <v>No</v>
      </c>
      <c r="BA3690" s="68" t="str">
        <f t="shared" si="369"/>
        <v>No</v>
      </c>
    </row>
    <row r="3691" spans="1:55" hidden="1">
      <c r="A3691" t="s">
        <v>3914</v>
      </c>
      <c r="G3691" t="s">
        <v>4062</v>
      </c>
      <c r="P3691" t="s">
        <v>4596</v>
      </c>
      <c r="R3691" t="s">
        <v>4035</v>
      </c>
      <c r="S3691" t="s">
        <v>1749</v>
      </c>
      <c r="V3691" t="s">
        <v>4598</v>
      </c>
      <c r="Z3691">
        <v>3</v>
      </c>
      <c r="AA3691">
        <v>3</v>
      </c>
      <c r="AC3691">
        <v>420</v>
      </c>
      <c r="AD3691">
        <v>25</v>
      </c>
      <c r="AE3691">
        <v>413</v>
      </c>
      <c r="AF3691">
        <v>29</v>
      </c>
      <c r="AJ3691" t="s">
        <v>4715</v>
      </c>
      <c r="AK3691" t="s">
        <v>904</v>
      </c>
      <c r="AN3691">
        <v>0.95</v>
      </c>
      <c r="AO3691">
        <v>0.75134728384252158</v>
      </c>
      <c r="AP3691">
        <v>0.8</v>
      </c>
      <c r="AQ3691">
        <v>0.45106831970454597</v>
      </c>
      <c r="AW3691" s="28">
        <f t="shared" si="365"/>
        <v>-0.24206376474663521</v>
      </c>
      <c r="AX3691">
        <f t="shared" si="366"/>
        <v>0.8</v>
      </c>
      <c r="AY3691" s="62">
        <f t="shared" si="367"/>
        <v>-0.19365101179730818</v>
      </c>
      <c r="AZ3691" s="68" t="str">
        <f t="shared" si="368"/>
        <v>No</v>
      </c>
      <c r="BA3691" s="68" t="str">
        <f t="shared" si="369"/>
        <v>No</v>
      </c>
    </row>
    <row r="3692" spans="1:55" hidden="1">
      <c r="A3692" t="s">
        <v>3914</v>
      </c>
      <c r="G3692" t="s">
        <v>4062</v>
      </c>
      <c r="P3692" t="s">
        <v>4596</v>
      </c>
      <c r="R3692" t="s">
        <v>4035</v>
      </c>
      <c r="S3692" t="s">
        <v>1749</v>
      </c>
      <c r="V3692" t="s">
        <v>4600</v>
      </c>
      <c r="Z3692">
        <v>15</v>
      </c>
      <c r="AA3692">
        <v>15</v>
      </c>
      <c r="AC3692">
        <v>420</v>
      </c>
      <c r="AD3692">
        <v>25</v>
      </c>
      <c r="AE3692">
        <v>656</v>
      </c>
      <c r="AF3692">
        <v>29</v>
      </c>
      <c r="AJ3692" t="s">
        <v>4711</v>
      </c>
      <c r="AK3692" t="s">
        <v>904</v>
      </c>
      <c r="AN3692">
        <v>2.95</v>
      </c>
      <c r="AO3692">
        <v>3.0093026280489377</v>
      </c>
      <c r="AP3692">
        <v>3.3</v>
      </c>
      <c r="AQ3692">
        <v>1.6171703653568914</v>
      </c>
      <c r="AW3692" s="28">
        <f t="shared" si="365"/>
        <v>0.14488597914693738</v>
      </c>
      <c r="AX3692">
        <f t="shared" si="366"/>
        <v>0.97297297297297303</v>
      </c>
      <c r="AY3692" s="62">
        <f t="shared" si="367"/>
        <v>0.14097014187269583</v>
      </c>
      <c r="AZ3692" s="68" t="str">
        <f t="shared" si="368"/>
        <v>No</v>
      </c>
      <c r="BA3692" s="68" t="str">
        <f t="shared" si="369"/>
        <v>No</v>
      </c>
    </row>
    <row r="3693" spans="1:55" hidden="1">
      <c r="A3693" t="s">
        <v>3914</v>
      </c>
      <c r="G3693" t="s">
        <v>4062</v>
      </c>
      <c r="P3693" t="s">
        <v>4596</v>
      </c>
      <c r="R3693" t="s">
        <v>4035</v>
      </c>
      <c r="S3693" t="s">
        <v>1749</v>
      </c>
      <c r="V3693" t="s">
        <v>4598</v>
      </c>
      <c r="Z3693">
        <v>4</v>
      </c>
      <c r="AA3693">
        <v>3</v>
      </c>
      <c r="AC3693">
        <v>420</v>
      </c>
      <c r="AD3693">
        <v>25</v>
      </c>
      <c r="AE3693">
        <v>413</v>
      </c>
      <c r="AF3693">
        <v>29</v>
      </c>
      <c r="AJ3693" t="s">
        <v>4671</v>
      </c>
      <c r="AK3693" t="s">
        <v>4672</v>
      </c>
      <c r="AN3693">
        <v>87</v>
      </c>
      <c r="AO3693">
        <v>3.4782608695651902</v>
      </c>
      <c r="AP3693">
        <v>73</v>
      </c>
      <c r="AQ3693">
        <v>2.1085835918231073</v>
      </c>
      <c r="AW3693" s="28">
        <f t="shared" si="365"/>
        <v>-4.6569929856083228</v>
      </c>
      <c r="AX3693">
        <f t="shared" si="366"/>
        <v>0.84210526315789469</v>
      </c>
      <c r="AY3693" s="62">
        <f t="shared" si="367"/>
        <v>-3.9216783036701663</v>
      </c>
      <c r="AZ3693" s="68" t="str">
        <f t="shared" si="368"/>
        <v>No</v>
      </c>
      <c r="BA3693" s="68" t="str">
        <f t="shared" si="369"/>
        <v>No</v>
      </c>
    </row>
    <row r="3694" spans="1:55" hidden="1">
      <c r="A3694" t="s">
        <v>3914</v>
      </c>
      <c r="G3694" t="s">
        <v>4062</v>
      </c>
      <c r="P3694" t="s">
        <v>4596</v>
      </c>
      <c r="R3694" t="s">
        <v>4035</v>
      </c>
      <c r="S3694" t="s">
        <v>1749</v>
      </c>
      <c r="V3694" t="s">
        <v>4598</v>
      </c>
      <c r="Z3694">
        <v>15</v>
      </c>
      <c r="AA3694">
        <v>15</v>
      </c>
      <c r="AC3694">
        <v>420</v>
      </c>
      <c r="AD3694">
        <v>25</v>
      </c>
      <c r="AE3694">
        <v>413</v>
      </c>
      <c r="AF3694">
        <v>29</v>
      </c>
      <c r="AJ3694" t="s">
        <v>4716</v>
      </c>
      <c r="AK3694" t="s">
        <v>904</v>
      </c>
      <c r="AN3694">
        <v>2.95</v>
      </c>
      <c r="AO3694">
        <v>3.0093026280489377</v>
      </c>
      <c r="AP3694">
        <v>2.9</v>
      </c>
      <c r="AQ3694">
        <v>2.4878350246325285</v>
      </c>
      <c r="AW3694" s="28">
        <f t="shared" si="365"/>
        <v>-1.8109984434516429E-2</v>
      </c>
      <c r="AX3694">
        <f t="shared" si="366"/>
        <v>0.97297297297297303</v>
      </c>
      <c r="AY3694" s="62">
        <f t="shared" si="367"/>
        <v>-1.7620525395745715E-2</v>
      </c>
      <c r="AZ3694" s="68" t="str">
        <f t="shared" si="368"/>
        <v>No</v>
      </c>
      <c r="BA3694" s="68" t="str">
        <f t="shared" si="369"/>
        <v>No</v>
      </c>
    </row>
    <row r="3695" spans="1:55" hidden="1">
      <c r="A3695" t="s">
        <v>3914</v>
      </c>
      <c r="G3695" t="s">
        <v>4062</v>
      </c>
      <c r="P3695" t="s">
        <v>4596</v>
      </c>
      <c r="R3695" t="s">
        <v>4035</v>
      </c>
      <c r="S3695" t="s">
        <v>1749</v>
      </c>
      <c r="V3695" t="s">
        <v>4600</v>
      </c>
      <c r="Z3695">
        <v>4</v>
      </c>
      <c r="AA3695">
        <v>5</v>
      </c>
      <c r="AC3695">
        <v>420</v>
      </c>
      <c r="AD3695">
        <v>25</v>
      </c>
      <c r="AE3695">
        <v>656</v>
      </c>
      <c r="AF3695">
        <v>29</v>
      </c>
      <c r="AJ3695" t="s">
        <v>4065</v>
      </c>
      <c r="AK3695" t="s">
        <v>4672</v>
      </c>
      <c r="AN3695">
        <v>87</v>
      </c>
      <c r="AO3695">
        <v>3.4782608695651902</v>
      </c>
      <c r="AP3695">
        <v>85</v>
      </c>
      <c r="AQ3695">
        <v>7.0590425754717225</v>
      </c>
      <c r="AW3695" s="28">
        <f t="shared" si="365"/>
        <v>-0.34472862022987327</v>
      </c>
      <c r="AX3695">
        <f t="shared" si="366"/>
        <v>0.88888888888888884</v>
      </c>
      <c r="AY3695" s="62">
        <f t="shared" si="367"/>
        <v>-0.30642544020433177</v>
      </c>
      <c r="AZ3695" s="68" t="str">
        <f t="shared" si="368"/>
        <v>No</v>
      </c>
      <c r="BA3695" s="68" t="str">
        <f t="shared" si="369"/>
        <v>No</v>
      </c>
    </row>
    <row r="3696" spans="1:55" hidden="1">
      <c r="A3696" t="s">
        <v>3914</v>
      </c>
      <c r="G3696" t="s">
        <v>4062</v>
      </c>
      <c r="P3696" t="s">
        <v>60</v>
      </c>
      <c r="R3696" t="s">
        <v>4035</v>
      </c>
      <c r="S3696" t="s">
        <v>1749</v>
      </c>
      <c r="V3696" t="s">
        <v>3956</v>
      </c>
      <c r="Z3696">
        <v>4</v>
      </c>
      <c r="AA3696">
        <v>3</v>
      </c>
      <c r="AC3696">
        <v>420</v>
      </c>
      <c r="AD3696">
        <v>25.28</v>
      </c>
      <c r="AE3696">
        <v>607</v>
      </c>
      <c r="AF3696">
        <v>25.47</v>
      </c>
      <c r="AJ3696" t="s">
        <v>4065</v>
      </c>
      <c r="AK3696" t="s">
        <v>4066</v>
      </c>
      <c r="AN3696">
        <v>87.5</v>
      </c>
      <c r="AO3696">
        <v>1.4</v>
      </c>
      <c r="AP3696">
        <v>72.5</v>
      </c>
      <c r="AQ3696">
        <v>12.990381056766578</v>
      </c>
      <c r="AW3696" s="28">
        <f t="shared" si="365"/>
        <v>-1.8100424616808142</v>
      </c>
      <c r="AX3696">
        <f t="shared" si="366"/>
        <v>0.84210526315789469</v>
      </c>
      <c r="AY3696" s="62">
        <f t="shared" si="367"/>
        <v>-1.5242462835206856</v>
      </c>
      <c r="AZ3696" s="68" t="str">
        <f t="shared" si="368"/>
        <v>No</v>
      </c>
      <c r="BA3696" s="68" t="str">
        <f t="shared" si="369"/>
        <v>No</v>
      </c>
    </row>
    <row r="3697" spans="1:53" hidden="1">
      <c r="A3697" t="s">
        <v>3914</v>
      </c>
      <c r="G3697" t="s">
        <v>4154</v>
      </c>
      <c r="P3697" t="s">
        <v>60</v>
      </c>
      <c r="R3697" t="s">
        <v>4116</v>
      </c>
      <c r="S3697" t="s">
        <v>4156</v>
      </c>
      <c r="V3697" t="s">
        <v>3956</v>
      </c>
      <c r="Z3697">
        <v>3</v>
      </c>
      <c r="AA3697">
        <v>3</v>
      </c>
      <c r="AC3697">
        <v>359</v>
      </c>
      <c r="AD3697">
        <v>17</v>
      </c>
      <c r="AE3697">
        <v>2835.9</v>
      </c>
      <c r="AF3697">
        <v>17</v>
      </c>
      <c r="AJ3697" t="s">
        <v>4065</v>
      </c>
      <c r="AK3697" t="s">
        <v>4258</v>
      </c>
      <c r="AN3697">
        <v>51</v>
      </c>
      <c r="AO3697">
        <v>19.05255888325765</v>
      </c>
      <c r="AP3697">
        <v>0</v>
      </c>
      <c r="AQ3697">
        <v>0</v>
      </c>
      <c r="AW3697" s="28">
        <f t="shared" si="365"/>
        <v>-3.7855750570285478</v>
      </c>
      <c r="AX3697">
        <f t="shared" si="366"/>
        <v>0.8</v>
      </c>
      <c r="AY3697" s="62">
        <f t="shared" si="367"/>
        <v>-3.0284600456228383</v>
      </c>
      <c r="AZ3697" s="68" t="str">
        <f t="shared" si="368"/>
        <v>No</v>
      </c>
      <c r="BA3697" s="68" t="str">
        <f t="shared" si="369"/>
        <v>No</v>
      </c>
    </row>
    <row r="3698" spans="1:53" hidden="1">
      <c r="A3698" t="s">
        <v>3914</v>
      </c>
      <c r="G3698" t="s">
        <v>4154</v>
      </c>
      <c r="P3698" t="s">
        <v>60</v>
      </c>
      <c r="R3698" t="s">
        <v>4116</v>
      </c>
      <c r="S3698" t="s">
        <v>4156</v>
      </c>
      <c r="V3698" t="s">
        <v>3956</v>
      </c>
      <c r="Z3698">
        <v>3</v>
      </c>
      <c r="AA3698">
        <v>3</v>
      </c>
      <c r="AC3698">
        <v>359</v>
      </c>
      <c r="AD3698">
        <v>17</v>
      </c>
      <c r="AE3698">
        <v>638.4</v>
      </c>
      <c r="AF3698">
        <v>17</v>
      </c>
      <c r="AJ3698" t="s">
        <v>4218</v>
      </c>
      <c r="AK3698" t="s">
        <v>4244</v>
      </c>
      <c r="AN3698">
        <v>277</v>
      </c>
      <c r="AO3698">
        <v>8.6602540378443855</v>
      </c>
      <c r="AP3698">
        <v>253</v>
      </c>
      <c r="AQ3698">
        <v>3.4641016151377544</v>
      </c>
      <c r="AW3698" s="28">
        <f t="shared" si="365"/>
        <v>-3.6388706091787366</v>
      </c>
      <c r="AX3698">
        <f t="shared" si="366"/>
        <v>0.8</v>
      </c>
      <c r="AY3698" s="62">
        <f t="shared" si="367"/>
        <v>-2.9110964873429896</v>
      </c>
      <c r="AZ3698" s="68" t="str">
        <f t="shared" si="368"/>
        <v>No</v>
      </c>
      <c r="BA3698" s="68" t="str">
        <f t="shared" si="369"/>
        <v>No</v>
      </c>
    </row>
    <row r="3699" spans="1:53" hidden="1">
      <c r="A3699" t="s">
        <v>3914</v>
      </c>
      <c r="G3699" t="s">
        <v>4154</v>
      </c>
      <c r="P3699" t="s">
        <v>60</v>
      </c>
      <c r="R3699" t="s">
        <v>4116</v>
      </c>
      <c r="S3699" t="s">
        <v>4156</v>
      </c>
      <c r="V3699" t="s">
        <v>3956</v>
      </c>
      <c r="Z3699">
        <v>3</v>
      </c>
      <c r="AA3699">
        <v>3</v>
      </c>
      <c r="AC3699">
        <v>359</v>
      </c>
      <c r="AD3699">
        <v>17</v>
      </c>
      <c r="AE3699">
        <v>2835.9</v>
      </c>
      <c r="AF3699">
        <v>17</v>
      </c>
      <c r="AJ3699" t="s">
        <v>4167</v>
      </c>
      <c r="AK3699" t="s">
        <v>4151</v>
      </c>
      <c r="AN3699">
        <v>3</v>
      </c>
      <c r="AO3699">
        <v>0.17320508075688773</v>
      </c>
      <c r="AP3699">
        <v>6</v>
      </c>
      <c r="AQ3699">
        <v>5.196152422706632</v>
      </c>
      <c r="AW3699" s="28">
        <f t="shared" si="365"/>
        <v>0.81604334937410861</v>
      </c>
      <c r="AX3699">
        <f t="shared" si="366"/>
        <v>0.8</v>
      </c>
      <c r="AY3699" s="62">
        <f t="shared" si="367"/>
        <v>0.65283467949928697</v>
      </c>
      <c r="AZ3699" s="68" t="str">
        <f t="shared" si="368"/>
        <v>No</v>
      </c>
      <c r="BA3699" s="68" t="str">
        <f t="shared" si="369"/>
        <v>No</v>
      </c>
    </row>
    <row r="3700" spans="1:53" hidden="1">
      <c r="A3700" t="s">
        <v>3914</v>
      </c>
      <c r="G3700" t="s">
        <v>4154</v>
      </c>
      <c r="P3700" t="s">
        <v>60</v>
      </c>
      <c r="R3700" t="s">
        <v>4116</v>
      </c>
      <c r="S3700" t="s">
        <v>4156</v>
      </c>
      <c r="V3700" t="s">
        <v>3956</v>
      </c>
      <c r="Z3700">
        <v>3</v>
      </c>
      <c r="AA3700">
        <v>3</v>
      </c>
      <c r="AC3700">
        <v>359</v>
      </c>
      <c r="AD3700">
        <v>17</v>
      </c>
      <c r="AE3700">
        <v>638.4</v>
      </c>
      <c r="AF3700">
        <v>17</v>
      </c>
      <c r="AJ3700" t="s">
        <v>4167</v>
      </c>
      <c r="AK3700" t="s">
        <v>4151</v>
      </c>
      <c r="AN3700">
        <v>3</v>
      </c>
      <c r="AO3700">
        <v>0.17320508075688773</v>
      </c>
      <c r="AP3700">
        <v>10</v>
      </c>
      <c r="AQ3700">
        <v>8.6602540378443855</v>
      </c>
      <c r="AW3700" s="28">
        <f t="shared" si="365"/>
        <v>1.1428666628190156</v>
      </c>
      <c r="AX3700">
        <f t="shared" si="366"/>
        <v>0.8</v>
      </c>
      <c r="AY3700" s="62">
        <f t="shared" si="367"/>
        <v>0.91429333025521253</v>
      </c>
      <c r="AZ3700" s="68" t="str">
        <f t="shared" si="368"/>
        <v>No</v>
      </c>
      <c r="BA3700" s="68" t="str">
        <f t="shared" si="369"/>
        <v>No</v>
      </c>
    </row>
    <row r="3701" spans="1:53" hidden="1">
      <c r="A3701" t="s">
        <v>3914</v>
      </c>
      <c r="G3701" t="s">
        <v>4154</v>
      </c>
      <c r="P3701" t="s">
        <v>60</v>
      </c>
      <c r="R3701" t="s">
        <v>4116</v>
      </c>
      <c r="S3701" t="s">
        <v>4156</v>
      </c>
      <c r="V3701" t="s">
        <v>3956</v>
      </c>
      <c r="Z3701">
        <v>3</v>
      </c>
      <c r="AA3701">
        <v>3</v>
      </c>
      <c r="AC3701">
        <v>359</v>
      </c>
      <c r="AD3701">
        <v>17</v>
      </c>
      <c r="AE3701">
        <v>638.4</v>
      </c>
      <c r="AF3701">
        <v>17</v>
      </c>
      <c r="AJ3701" t="s">
        <v>4065</v>
      </c>
      <c r="AK3701" t="s">
        <v>4258</v>
      </c>
      <c r="AN3701">
        <v>51</v>
      </c>
      <c r="AO3701">
        <v>19.05255888325765</v>
      </c>
      <c r="AP3701">
        <v>19</v>
      </c>
      <c r="AQ3701">
        <v>14.722431864335457</v>
      </c>
      <c r="AW3701" s="28">
        <f t="shared" si="365"/>
        <v>-1.8795098128759138</v>
      </c>
      <c r="AX3701">
        <f t="shared" si="366"/>
        <v>0.8</v>
      </c>
      <c r="AY3701" s="62">
        <f t="shared" si="367"/>
        <v>-1.5036078503007311</v>
      </c>
      <c r="AZ3701" s="68" t="str">
        <f t="shared" si="368"/>
        <v>No</v>
      </c>
      <c r="BA3701" s="68" t="str">
        <f t="shared" si="369"/>
        <v>No</v>
      </c>
    </row>
    <row r="3702" spans="1:53" hidden="1">
      <c r="A3702" t="s">
        <v>3914</v>
      </c>
      <c r="G3702" t="s">
        <v>4196</v>
      </c>
      <c r="P3702" t="s">
        <v>60</v>
      </c>
      <c r="R3702" t="s">
        <v>4116</v>
      </c>
      <c r="S3702" t="s">
        <v>1083</v>
      </c>
      <c r="V3702" t="s">
        <v>3956</v>
      </c>
      <c r="Z3702">
        <v>5</v>
      </c>
      <c r="AA3702">
        <v>5</v>
      </c>
      <c r="AC3702">
        <v>445</v>
      </c>
      <c r="AD3702">
        <v>16.5</v>
      </c>
      <c r="AE3702">
        <v>1020</v>
      </c>
      <c r="AF3702">
        <v>16.5</v>
      </c>
      <c r="AJ3702" t="s">
        <v>4218</v>
      </c>
      <c r="AK3702" t="s">
        <v>4244</v>
      </c>
      <c r="AN3702">
        <v>108</v>
      </c>
      <c r="AO3702">
        <v>6</v>
      </c>
      <c r="AP3702">
        <v>100</v>
      </c>
      <c r="AQ3702">
        <v>10</v>
      </c>
      <c r="AW3702" s="28">
        <f t="shared" si="365"/>
        <v>-0.97014250014533188</v>
      </c>
      <c r="AX3702">
        <f t="shared" si="366"/>
        <v>0.90322580645161288</v>
      </c>
      <c r="AY3702" s="62">
        <f t="shared" si="367"/>
        <v>-0.87625774206675133</v>
      </c>
      <c r="AZ3702" s="68" t="str">
        <f t="shared" si="368"/>
        <v>No</v>
      </c>
      <c r="BA3702" s="68" t="str">
        <f t="shared" si="369"/>
        <v>No</v>
      </c>
    </row>
    <row r="3703" spans="1:53" hidden="1">
      <c r="A3703" t="s">
        <v>3914</v>
      </c>
      <c r="G3703" t="s">
        <v>4196</v>
      </c>
      <c r="P3703" t="s">
        <v>60</v>
      </c>
      <c r="R3703" t="s">
        <v>4116</v>
      </c>
      <c r="S3703" t="s">
        <v>1083</v>
      </c>
      <c r="V3703" t="s">
        <v>3956</v>
      </c>
      <c r="Z3703">
        <v>5</v>
      </c>
      <c r="AA3703">
        <v>5</v>
      </c>
      <c r="AC3703">
        <v>445</v>
      </c>
      <c r="AD3703">
        <v>16.5</v>
      </c>
      <c r="AE3703">
        <v>1398</v>
      </c>
      <c r="AF3703">
        <v>16.5</v>
      </c>
      <c r="AJ3703" t="s">
        <v>4218</v>
      </c>
      <c r="AK3703" t="s">
        <v>4244</v>
      </c>
      <c r="AN3703">
        <v>108</v>
      </c>
      <c r="AO3703">
        <v>6</v>
      </c>
      <c r="AP3703">
        <v>92</v>
      </c>
      <c r="AQ3703">
        <v>13</v>
      </c>
      <c r="AW3703" s="28">
        <f t="shared" si="365"/>
        <v>-1.5803673546393433</v>
      </c>
      <c r="AX3703">
        <f t="shared" si="366"/>
        <v>0.90322580645161288</v>
      </c>
      <c r="AY3703" s="62">
        <f t="shared" si="367"/>
        <v>-1.4274285783839229</v>
      </c>
      <c r="AZ3703" s="68" t="str">
        <f t="shared" si="368"/>
        <v>No</v>
      </c>
      <c r="BA3703" s="68" t="str">
        <f t="shared" si="369"/>
        <v>No</v>
      </c>
    </row>
    <row r="3704" spans="1:53" hidden="1">
      <c r="A3704" t="s">
        <v>3914</v>
      </c>
      <c r="G3704" t="s">
        <v>4196</v>
      </c>
      <c r="P3704" t="s">
        <v>60</v>
      </c>
      <c r="R3704" t="s">
        <v>4116</v>
      </c>
      <c r="S3704" t="s">
        <v>1083</v>
      </c>
      <c r="V3704" t="s">
        <v>3956</v>
      </c>
      <c r="Z3704">
        <v>5</v>
      </c>
      <c r="AA3704">
        <v>5</v>
      </c>
      <c r="AC3704">
        <v>445</v>
      </c>
      <c r="AD3704">
        <v>16.5</v>
      </c>
      <c r="AE3704">
        <v>1020</v>
      </c>
      <c r="AF3704">
        <v>16.5</v>
      </c>
      <c r="AJ3704" t="s">
        <v>4264</v>
      </c>
      <c r="AK3704" t="s">
        <v>4266</v>
      </c>
      <c r="AN3704">
        <v>194</v>
      </c>
      <c r="AO3704">
        <v>22</v>
      </c>
      <c r="AP3704">
        <v>190</v>
      </c>
      <c r="AQ3704">
        <v>18</v>
      </c>
      <c r="AW3704" s="28">
        <f t="shared" si="365"/>
        <v>-0.19900743804199783</v>
      </c>
      <c r="AX3704">
        <f t="shared" si="366"/>
        <v>0.90322580645161288</v>
      </c>
      <c r="AY3704" s="62">
        <f t="shared" si="367"/>
        <v>-0.17974865371535287</v>
      </c>
      <c r="AZ3704" s="68" t="str">
        <f t="shared" si="368"/>
        <v>No</v>
      </c>
      <c r="BA3704" s="68" t="str">
        <f t="shared" si="369"/>
        <v>No</v>
      </c>
    </row>
    <row r="3705" spans="1:53" hidden="1">
      <c r="A3705" t="s">
        <v>3914</v>
      </c>
      <c r="G3705" t="s">
        <v>4196</v>
      </c>
      <c r="P3705" t="s">
        <v>60</v>
      </c>
      <c r="R3705" t="s">
        <v>4116</v>
      </c>
      <c r="S3705" t="s">
        <v>1083</v>
      </c>
      <c r="V3705" t="s">
        <v>3956</v>
      </c>
      <c r="Z3705">
        <v>5</v>
      </c>
      <c r="AA3705">
        <v>5</v>
      </c>
      <c r="AC3705">
        <v>445</v>
      </c>
      <c r="AD3705">
        <v>16.5</v>
      </c>
      <c r="AE3705">
        <v>1398</v>
      </c>
      <c r="AF3705">
        <v>16.5</v>
      </c>
      <c r="AJ3705" t="s">
        <v>4264</v>
      </c>
      <c r="AK3705" t="s">
        <v>4266</v>
      </c>
      <c r="AN3705">
        <v>194</v>
      </c>
      <c r="AO3705">
        <v>22</v>
      </c>
      <c r="AP3705">
        <v>156</v>
      </c>
      <c r="AQ3705">
        <v>26</v>
      </c>
      <c r="AW3705" s="28">
        <f t="shared" si="365"/>
        <v>-1.5778641172210595</v>
      </c>
      <c r="AX3705">
        <f t="shared" si="366"/>
        <v>0.90322580645161288</v>
      </c>
      <c r="AY3705" s="62">
        <f t="shared" si="367"/>
        <v>-1.4251675897480536</v>
      </c>
      <c r="AZ3705" s="68" t="str">
        <f t="shared" si="368"/>
        <v>No</v>
      </c>
      <c r="BA3705" s="68" t="str">
        <f t="shared" si="369"/>
        <v>No</v>
      </c>
    </row>
    <row r="3706" spans="1:53" hidden="1">
      <c r="A3706" t="s">
        <v>3914</v>
      </c>
      <c r="G3706" s="50" t="s">
        <v>4528</v>
      </c>
      <c r="P3706" t="s">
        <v>60</v>
      </c>
      <c r="R3706" t="s">
        <v>4509</v>
      </c>
      <c r="S3706" s="50" t="s">
        <v>1138</v>
      </c>
      <c r="V3706" t="s">
        <v>3956</v>
      </c>
      <c r="Z3706" s="50">
        <v>18</v>
      </c>
      <c r="AA3706" s="50">
        <v>18</v>
      </c>
      <c r="AC3706">
        <v>323</v>
      </c>
      <c r="AD3706">
        <v>18.899999999999999</v>
      </c>
      <c r="AE3706">
        <v>734</v>
      </c>
      <c r="AF3706">
        <v>19.100000000000001</v>
      </c>
      <c r="AJ3706" s="50" t="s">
        <v>4540</v>
      </c>
      <c r="AK3706" t="s">
        <v>4537</v>
      </c>
      <c r="AN3706">
        <v>33</v>
      </c>
      <c r="AO3706">
        <v>4</v>
      </c>
      <c r="AP3706">
        <v>31</v>
      </c>
      <c r="AQ3706">
        <v>4</v>
      </c>
      <c r="AW3706" s="28">
        <f t="shared" si="365"/>
        <v>-0.5</v>
      </c>
      <c r="AX3706">
        <f t="shared" si="366"/>
        <v>0.97777777777777775</v>
      </c>
      <c r="AY3706" s="62">
        <f t="shared" si="367"/>
        <v>-0.48888888888888887</v>
      </c>
      <c r="AZ3706" s="68" t="str">
        <f t="shared" si="368"/>
        <v>No</v>
      </c>
      <c r="BA3706" s="68" t="str">
        <f t="shared" si="369"/>
        <v>No</v>
      </c>
    </row>
    <row r="3707" spans="1:53" hidden="1">
      <c r="A3707" t="s">
        <v>3914</v>
      </c>
      <c r="G3707" t="s">
        <v>4528</v>
      </c>
      <c r="P3707" t="s">
        <v>60</v>
      </c>
      <c r="R3707" t="s">
        <v>4509</v>
      </c>
      <c r="S3707" t="s">
        <v>1138</v>
      </c>
      <c r="V3707" t="s">
        <v>3956</v>
      </c>
      <c r="Z3707">
        <v>9</v>
      </c>
      <c r="AA3707">
        <v>9</v>
      </c>
      <c r="AC3707">
        <v>323</v>
      </c>
      <c r="AD3707">
        <v>18.899999999999999</v>
      </c>
      <c r="AE3707">
        <v>734</v>
      </c>
      <c r="AF3707">
        <v>19.100000000000001</v>
      </c>
      <c r="AJ3707" t="s">
        <v>4563</v>
      </c>
      <c r="AK3707" t="s">
        <v>4502</v>
      </c>
      <c r="AN3707">
        <v>26</v>
      </c>
      <c r="AO3707">
        <v>7</v>
      </c>
      <c r="AP3707">
        <v>25</v>
      </c>
      <c r="AQ3707">
        <v>11</v>
      </c>
      <c r="AW3707" s="28">
        <f t="shared" si="365"/>
        <v>-0.10846522890932808</v>
      </c>
      <c r="AX3707">
        <f t="shared" si="366"/>
        <v>0.95238095238095233</v>
      </c>
      <c r="AY3707" s="62">
        <f t="shared" si="367"/>
        <v>-0.10330021800888388</v>
      </c>
      <c r="AZ3707" s="68" t="str">
        <f t="shared" si="368"/>
        <v>No</v>
      </c>
      <c r="BA3707" s="68" t="str">
        <f t="shared" si="369"/>
        <v>No</v>
      </c>
    </row>
    <row r="3708" spans="1:53" hidden="1">
      <c r="A3708" t="s">
        <v>3914</v>
      </c>
      <c r="G3708" t="s">
        <v>5088</v>
      </c>
      <c r="P3708" t="s">
        <v>60</v>
      </c>
      <c r="R3708" t="s">
        <v>4509</v>
      </c>
      <c r="S3708" t="s">
        <v>1138</v>
      </c>
      <c r="V3708" t="s">
        <v>3956</v>
      </c>
      <c r="Z3708">
        <v>18</v>
      </c>
      <c r="AA3708">
        <v>18</v>
      </c>
      <c r="AC3708">
        <v>323</v>
      </c>
      <c r="AD3708">
        <v>18.899999999999999</v>
      </c>
      <c r="AE3708">
        <v>734</v>
      </c>
      <c r="AF3708">
        <v>19.100000000000001</v>
      </c>
      <c r="AJ3708" t="s">
        <v>4534</v>
      </c>
      <c r="AK3708" t="s">
        <v>4537</v>
      </c>
      <c r="AN3708">
        <v>4650</v>
      </c>
      <c r="AO3708">
        <v>150</v>
      </c>
      <c r="AP3708">
        <v>4300</v>
      </c>
      <c r="AQ3708">
        <v>200</v>
      </c>
      <c r="AW3708" s="28">
        <f t="shared" si="365"/>
        <v>-1.9798989873223329</v>
      </c>
      <c r="AX3708">
        <f t="shared" si="366"/>
        <v>0.97777777777777775</v>
      </c>
      <c r="AY3708" s="62">
        <f t="shared" si="367"/>
        <v>-1.9359012320485032</v>
      </c>
      <c r="AZ3708" s="68" t="str">
        <f t="shared" si="368"/>
        <v>No</v>
      </c>
      <c r="BA3708" s="68" t="str">
        <f t="shared" si="369"/>
        <v>No</v>
      </c>
    </row>
    <row r="3709" spans="1:53" hidden="1">
      <c r="A3709" t="s">
        <v>3914</v>
      </c>
      <c r="G3709" t="s">
        <v>3920</v>
      </c>
      <c r="P3709" t="s">
        <v>60</v>
      </c>
      <c r="R3709" t="s">
        <v>3942</v>
      </c>
      <c r="S3709" t="s">
        <v>3945</v>
      </c>
      <c r="V3709" t="s">
        <v>3956</v>
      </c>
      <c r="Z3709">
        <v>4</v>
      </c>
      <c r="AA3709">
        <v>4</v>
      </c>
      <c r="AC3709">
        <v>396</v>
      </c>
      <c r="AD3709">
        <v>25</v>
      </c>
      <c r="AE3709">
        <v>634</v>
      </c>
      <c r="AF3709">
        <v>25</v>
      </c>
      <c r="AJ3709" t="s">
        <v>3996</v>
      </c>
      <c r="AK3709" t="s">
        <v>904</v>
      </c>
      <c r="AN3709">
        <v>9.6000000000000002E-2</v>
      </c>
      <c r="AO3709">
        <v>2.5999999999999999E-2</v>
      </c>
      <c r="AP3709">
        <v>0.14000000000000001</v>
      </c>
      <c r="AQ3709">
        <v>0.02</v>
      </c>
      <c r="AW3709" s="28">
        <f t="shared" si="365"/>
        <v>1.8969746996605987</v>
      </c>
      <c r="AX3709">
        <f t="shared" si="366"/>
        <v>0.86956521739130432</v>
      </c>
      <c r="AY3709" s="62">
        <f t="shared" si="367"/>
        <v>1.6495432170961728</v>
      </c>
      <c r="AZ3709" s="68" t="str">
        <f t="shared" si="368"/>
        <v>No</v>
      </c>
      <c r="BA3709" s="68" t="str">
        <f t="shared" si="369"/>
        <v>No</v>
      </c>
    </row>
    <row r="3710" spans="1:53" hidden="1">
      <c r="A3710" t="s">
        <v>3914</v>
      </c>
      <c r="G3710" t="s">
        <v>3920</v>
      </c>
      <c r="P3710" t="s">
        <v>60</v>
      </c>
      <c r="R3710" t="s">
        <v>3942</v>
      </c>
      <c r="S3710" t="s">
        <v>3945</v>
      </c>
      <c r="V3710" t="s">
        <v>3956</v>
      </c>
      <c r="Z3710">
        <v>4</v>
      </c>
      <c r="AA3710">
        <v>4</v>
      </c>
      <c r="AC3710">
        <v>396</v>
      </c>
      <c r="AD3710">
        <v>25</v>
      </c>
      <c r="AE3710">
        <v>1081</v>
      </c>
      <c r="AF3710">
        <v>25</v>
      </c>
      <c r="AJ3710" t="s">
        <v>3995</v>
      </c>
      <c r="AK3710" t="s">
        <v>904</v>
      </c>
      <c r="AN3710">
        <v>9.6000000000000002E-2</v>
      </c>
      <c r="AO3710">
        <v>2.5999999999999999E-2</v>
      </c>
      <c r="AP3710">
        <v>0.13800000000000001</v>
      </c>
      <c r="AQ3710">
        <v>2.4E-2</v>
      </c>
      <c r="AW3710" s="28">
        <f t="shared" si="365"/>
        <v>1.6786576106526068</v>
      </c>
      <c r="AX3710">
        <f t="shared" si="366"/>
        <v>0.86956521739130432</v>
      </c>
      <c r="AY3710" s="62">
        <f t="shared" si="367"/>
        <v>1.4597022701327016</v>
      </c>
      <c r="AZ3710" s="68" t="str">
        <f t="shared" si="368"/>
        <v>No</v>
      </c>
      <c r="BA3710" s="68" t="str">
        <f t="shared" si="369"/>
        <v>No</v>
      </c>
    </row>
    <row r="3711" spans="1:53" hidden="1">
      <c r="A3711" t="s">
        <v>3914</v>
      </c>
      <c r="G3711" s="50" t="s">
        <v>3920</v>
      </c>
      <c r="P3711" t="s">
        <v>60</v>
      </c>
      <c r="R3711" t="s">
        <v>3942</v>
      </c>
      <c r="S3711" t="s">
        <v>3945</v>
      </c>
      <c r="V3711" t="s">
        <v>3956</v>
      </c>
      <c r="Z3711">
        <v>4</v>
      </c>
      <c r="AA3711">
        <v>4</v>
      </c>
      <c r="AC3711">
        <v>396</v>
      </c>
      <c r="AD3711">
        <v>25</v>
      </c>
      <c r="AE3711">
        <v>1081</v>
      </c>
      <c r="AF3711">
        <v>25</v>
      </c>
      <c r="AJ3711" s="50" t="s">
        <v>665</v>
      </c>
      <c r="AK3711" t="s">
        <v>904</v>
      </c>
      <c r="AN3711">
        <v>0.73</v>
      </c>
      <c r="AO3711">
        <v>0.06</v>
      </c>
      <c r="AP3711">
        <v>0.33</v>
      </c>
      <c r="AQ3711">
        <v>0.1</v>
      </c>
      <c r="AW3711" s="28">
        <f t="shared" si="365"/>
        <v>-4.8507125007266589</v>
      </c>
      <c r="AX3711">
        <f t="shared" si="366"/>
        <v>0.86956521739130432</v>
      </c>
      <c r="AY3711" s="62">
        <f t="shared" si="367"/>
        <v>-4.2180108701970944</v>
      </c>
      <c r="AZ3711" s="68" t="str">
        <f t="shared" si="368"/>
        <v>No</v>
      </c>
      <c r="BA3711" s="68" t="str">
        <f t="shared" si="369"/>
        <v>No</v>
      </c>
    </row>
    <row r="3712" spans="1:53" hidden="1">
      <c r="A3712" t="s">
        <v>3914</v>
      </c>
      <c r="G3712" t="s">
        <v>3920</v>
      </c>
      <c r="P3712" t="s">
        <v>60</v>
      </c>
      <c r="R3712" t="s">
        <v>3942</v>
      </c>
      <c r="S3712" t="s">
        <v>3945</v>
      </c>
      <c r="V3712" t="s">
        <v>3956</v>
      </c>
      <c r="Z3712">
        <v>4</v>
      </c>
      <c r="AA3712">
        <v>4</v>
      </c>
      <c r="AC3712">
        <v>396</v>
      </c>
      <c r="AD3712">
        <v>25</v>
      </c>
      <c r="AE3712">
        <v>634</v>
      </c>
      <c r="AF3712">
        <v>25</v>
      </c>
      <c r="AJ3712" t="s">
        <v>665</v>
      </c>
      <c r="AK3712" t="s">
        <v>904</v>
      </c>
      <c r="AN3712">
        <v>0.73</v>
      </c>
      <c r="AO3712">
        <v>0.06</v>
      </c>
      <c r="AP3712">
        <v>0.68</v>
      </c>
      <c r="AQ3712">
        <v>0.11</v>
      </c>
      <c r="AW3712" s="28">
        <f t="shared" si="365"/>
        <v>-0.56433264798309957</v>
      </c>
      <c r="AX3712">
        <f t="shared" si="366"/>
        <v>0.86956521739130432</v>
      </c>
      <c r="AY3712" s="62">
        <f t="shared" si="367"/>
        <v>-0.4907240417244344</v>
      </c>
      <c r="AZ3712" s="68" t="str">
        <f t="shared" si="368"/>
        <v>No</v>
      </c>
      <c r="BA3712" s="68" t="str">
        <f t="shared" si="369"/>
        <v>No</v>
      </c>
    </row>
    <row r="3713" spans="1:53" hidden="1">
      <c r="A3713" t="s">
        <v>3914</v>
      </c>
      <c r="G3713" t="s">
        <v>3920</v>
      </c>
      <c r="P3713" t="s">
        <v>60</v>
      </c>
      <c r="R3713" t="s">
        <v>3942</v>
      </c>
      <c r="S3713" t="s">
        <v>3945</v>
      </c>
      <c r="V3713" t="s">
        <v>3956</v>
      </c>
      <c r="Z3713">
        <v>4</v>
      </c>
      <c r="AA3713">
        <v>4</v>
      </c>
      <c r="AC3713">
        <v>396</v>
      </c>
      <c r="AD3713">
        <v>25</v>
      </c>
      <c r="AE3713">
        <v>1081</v>
      </c>
      <c r="AF3713">
        <v>25</v>
      </c>
      <c r="AJ3713" t="s">
        <v>3984</v>
      </c>
      <c r="AK3713" t="s">
        <v>904</v>
      </c>
      <c r="AN3713">
        <v>3.3</v>
      </c>
      <c r="AO3713">
        <f>0.1*SQRT(4)</f>
        <v>0.2</v>
      </c>
      <c r="AP3713">
        <v>1.75</v>
      </c>
      <c r="AQ3713">
        <f>0.3*SQRT(4)</f>
        <v>0.6</v>
      </c>
      <c r="AW3713" s="28">
        <f t="shared" si="365"/>
        <v>-3.4659053651246738</v>
      </c>
      <c r="AX3713">
        <f t="shared" si="366"/>
        <v>0.86956521739130432</v>
      </c>
      <c r="AY3713" s="62">
        <f t="shared" si="367"/>
        <v>-3.0138307522823249</v>
      </c>
      <c r="AZ3713" s="68" t="str">
        <f t="shared" si="368"/>
        <v>No</v>
      </c>
      <c r="BA3713" s="68" t="str">
        <f t="shared" si="369"/>
        <v>No</v>
      </c>
    </row>
    <row r="3714" spans="1:53" hidden="1">
      <c r="A3714" t="s">
        <v>3914</v>
      </c>
      <c r="G3714" t="s">
        <v>3920</v>
      </c>
      <c r="P3714" t="s">
        <v>60</v>
      </c>
      <c r="R3714" t="s">
        <v>3942</v>
      </c>
      <c r="S3714" t="s">
        <v>3945</v>
      </c>
      <c r="V3714" t="s">
        <v>3956</v>
      </c>
      <c r="Z3714">
        <v>4</v>
      </c>
      <c r="AA3714">
        <v>4</v>
      </c>
      <c r="AC3714">
        <v>396</v>
      </c>
      <c r="AD3714">
        <v>25</v>
      </c>
      <c r="AE3714">
        <v>1081</v>
      </c>
      <c r="AF3714">
        <v>25</v>
      </c>
      <c r="AJ3714" t="s">
        <v>3988</v>
      </c>
      <c r="AK3714" t="s">
        <v>904</v>
      </c>
      <c r="AN3714">
        <v>3.7</v>
      </c>
      <c r="AO3714">
        <f>0.3*SQRT(4)</f>
        <v>0.6</v>
      </c>
      <c r="AP3714">
        <v>1.8</v>
      </c>
      <c r="AQ3714">
        <f>0.3*SQRT(4)</f>
        <v>0.6</v>
      </c>
      <c r="AW3714" s="28">
        <f t="shared" si="365"/>
        <v>-3.166666666666667</v>
      </c>
      <c r="AX3714">
        <f t="shared" si="366"/>
        <v>0.86956521739130432</v>
      </c>
      <c r="AY3714" s="62">
        <f t="shared" si="367"/>
        <v>-2.7536231884057973</v>
      </c>
      <c r="AZ3714" s="68" t="str">
        <f t="shared" si="368"/>
        <v>No</v>
      </c>
      <c r="BA3714" s="68" t="str">
        <f t="shared" si="369"/>
        <v>No</v>
      </c>
    </row>
    <row r="3715" spans="1:53" hidden="1">
      <c r="A3715" t="s">
        <v>3914</v>
      </c>
      <c r="G3715" t="s">
        <v>3920</v>
      </c>
      <c r="P3715" t="s">
        <v>60</v>
      </c>
      <c r="R3715" t="s">
        <v>3942</v>
      </c>
      <c r="S3715" t="s">
        <v>3945</v>
      </c>
      <c r="V3715" t="s">
        <v>3956</v>
      </c>
      <c r="Z3715">
        <v>4</v>
      </c>
      <c r="AA3715">
        <v>4</v>
      </c>
      <c r="AC3715">
        <v>396</v>
      </c>
      <c r="AD3715">
        <v>25</v>
      </c>
      <c r="AE3715">
        <v>634</v>
      </c>
      <c r="AF3715">
        <v>25</v>
      </c>
      <c r="AJ3715" t="s">
        <v>3988</v>
      </c>
      <c r="AK3715" t="s">
        <v>904</v>
      </c>
      <c r="AN3715">
        <v>3.7</v>
      </c>
      <c r="AO3715">
        <f>0.3*SQRT(4)</f>
        <v>0.6</v>
      </c>
      <c r="AP3715">
        <v>2.5</v>
      </c>
      <c r="AQ3715">
        <f>0.4*SQRT(4)</f>
        <v>0.8</v>
      </c>
      <c r="AW3715" s="28">
        <f t="shared" si="365"/>
        <v>-1.6970562748477143</v>
      </c>
      <c r="AX3715">
        <f t="shared" si="366"/>
        <v>0.86956521739130432</v>
      </c>
      <c r="AY3715" s="62">
        <f t="shared" si="367"/>
        <v>-1.4757011085632297</v>
      </c>
      <c r="AZ3715" s="68" t="str">
        <f t="shared" si="368"/>
        <v>No</v>
      </c>
      <c r="BA3715" s="68" t="str">
        <f t="shared" si="369"/>
        <v>No</v>
      </c>
    </row>
    <row r="3716" spans="1:53" hidden="1">
      <c r="A3716" t="s">
        <v>3914</v>
      </c>
      <c r="G3716" t="s">
        <v>3920</v>
      </c>
      <c r="P3716" t="s">
        <v>60</v>
      </c>
      <c r="R3716" t="s">
        <v>3942</v>
      </c>
      <c r="S3716" t="s">
        <v>3945</v>
      </c>
      <c r="V3716" t="s">
        <v>3956</v>
      </c>
      <c r="Z3716">
        <v>4</v>
      </c>
      <c r="AA3716">
        <v>4</v>
      </c>
      <c r="AC3716">
        <v>396</v>
      </c>
      <c r="AD3716">
        <v>25</v>
      </c>
      <c r="AE3716">
        <v>634</v>
      </c>
      <c r="AF3716">
        <v>25</v>
      </c>
      <c r="AJ3716" t="s">
        <v>3984</v>
      </c>
      <c r="AK3716" t="s">
        <v>904</v>
      </c>
      <c r="AN3716">
        <v>3.3</v>
      </c>
      <c r="AO3716">
        <v>0.2</v>
      </c>
      <c r="AP3716">
        <v>1.75</v>
      </c>
      <c r="AQ3716">
        <v>1.1000000000000001</v>
      </c>
      <c r="AW3716" s="28">
        <f t="shared" si="365"/>
        <v>-1.9606121493043949</v>
      </c>
      <c r="AX3716">
        <f t="shared" si="366"/>
        <v>0.86956521739130432</v>
      </c>
      <c r="AY3716" s="62">
        <f t="shared" si="367"/>
        <v>-1.7048801298299086</v>
      </c>
      <c r="AZ3716" s="68" t="str">
        <f t="shared" si="368"/>
        <v>No</v>
      </c>
      <c r="BA3716" s="68" t="str">
        <f t="shared" si="369"/>
        <v>No</v>
      </c>
    </row>
    <row r="3717" spans="1:53" hidden="1">
      <c r="A3717" t="s">
        <v>3914</v>
      </c>
      <c r="G3717" t="s">
        <v>4200</v>
      </c>
      <c r="P3717" t="s">
        <v>60</v>
      </c>
      <c r="R3717" t="s">
        <v>4116</v>
      </c>
      <c r="S3717" t="s">
        <v>1068</v>
      </c>
      <c r="V3717" t="s">
        <v>3956</v>
      </c>
      <c r="Z3717">
        <v>3</v>
      </c>
      <c r="AA3717">
        <v>3</v>
      </c>
      <c r="AC3717">
        <v>400</v>
      </c>
      <c r="AD3717">
        <v>22</v>
      </c>
      <c r="AE3717">
        <v>1000</v>
      </c>
      <c r="AF3717">
        <v>22</v>
      </c>
      <c r="AJ3717" t="s">
        <v>4218</v>
      </c>
      <c r="AK3717" t="s">
        <v>4244</v>
      </c>
      <c r="AN3717">
        <v>69.900000000000006</v>
      </c>
      <c r="AO3717">
        <v>0.75</v>
      </c>
      <c r="AP3717">
        <v>69.8</v>
      </c>
      <c r="AQ3717">
        <v>0.6</v>
      </c>
      <c r="AW3717" s="28">
        <f t="shared" si="365"/>
        <v>-0.1472420347664746</v>
      </c>
      <c r="AX3717">
        <f t="shared" si="366"/>
        <v>0.8</v>
      </c>
      <c r="AY3717" s="62">
        <f t="shared" si="367"/>
        <v>-0.11779362781317969</v>
      </c>
      <c r="AZ3717" s="68" t="str">
        <f t="shared" si="368"/>
        <v>No</v>
      </c>
      <c r="BA3717" s="68" t="str">
        <f t="shared" si="369"/>
        <v>No</v>
      </c>
    </row>
    <row r="3718" spans="1:53" hidden="1">
      <c r="A3718" t="s">
        <v>3914</v>
      </c>
      <c r="G3718" t="s">
        <v>4077</v>
      </c>
      <c r="P3718" t="s">
        <v>60</v>
      </c>
      <c r="R3718" t="s">
        <v>4035</v>
      </c>
      <c r="S3718" t="s">
        <v>1749</v>
      </c>
      <c r="V3718" t="s">
        <v>3956</v>
      </c>
      <c r="Z3718">
        <v>6</v>
      </c>
      <c r="AA3718">
        <v>6</v>
      </c>
      <c r="AC3718">
        <v>435.93</v>
      </c>
      <c r="AD3718">
        <v>27.5</v>
      </c>
      <c r="AE3718">
        <v>995.54</v>
      </c>
      <c r="AF3718">
        <v>28.1</v>
      </c>
      <c r="AJ3718" t="s">
        <v>4079</v>
      </c>
      <c r="AK3718" t="s">
        <v>4081</v>
      </c>
      <c r="AN3718">
        <v>0.09</v>
      </c>
      <c r="AO3718">
        <v>4.8989794855663557E-3</v>
      </c>
      <c r="AP3718">
        <v>8.2000000000000003E-2</v>
      </c>
      <c r="AQ3718">
        <v>1.4696938456699067E-2</v>
      </c>
      <c r="AW3718" s="28">
        <f t="shared" si="365"/>
        <v>-0.7302967433402211</v>
      </c>
      <c r="AX3718">
        <f t="shared" si="366"/>
        <v>0.92307692307692313</v>
      </c>
      <c r="AY3718" s="62">
        <f t="shared" si="367"/>
        <v>-0.67412007077558878</v>
      </c>
      <c r="AZ3718" s="68" t="str">
        <f t="shared" si="368"/>
        <v>No</v>
      </c>
      <c r="BA3718" s="68" t="str">
        <f t="shared" si="369"/>
        <v>No</v>
      </c>
    </row>
    <row r="3719" spans="1:53" hidden="1">
      <c r="A3719" t="s">
        <v>3914</v>
      </c>
      <c r="G3719" t="s">
        <v>4940</v>
      </c>
      <c r="P3719" t="s">
        <v>4596</v>
      </c>
      <c r="R3719" t="s">
        <v>4035</v>
      </c>
      <c r="S3719" t="s">
        <v>1749</v>
      </c>
      <c r="V3719" t="s">
        <v>4598</v>
      </c>
      <c r="Z3719">
        <v>6</v>
      </c>
      <c r="AA3719">
        <v>6</v>
      </c>
      <c r="AC3719">
        <v>435.9</v>
      </c>
      <c r="AD3719">
        <v>27.8</v>
      </c>
      <c r="AE3719">
        <v>476.62</v>
      </c>
      <c r="AF3719">
        <v>30.6</v>
      </c>
      <c r="AJ3719" t="s">
        <v>4743</v>
      </c>
      <c r="AK3719" t="s">
        <v>904</v>
      </c>
      <c r="AN3719">
        <v>0.09</v>
      </c>
      <c r="AO3719">
        <v>4.8989794855663557E-3</v>
      </c>
      <c r="AP3719">
        <v>0.13400000000000001</v>
      </c>
      <c r="AQ3719">
        <f>SQRT(6)*(0.14-0.126)</f>
        <v>3.4292856398964518E-2</v>
      </c>
      <c r="AW3719" s="28">
        <f t="shared" si="365"/>
        <v>1.7962924780409963</v>
      </c>
      <c r="AX3719">
        <f t="shared" si="366"/>
        <v>0.92307692307692313</v>
      </c>
      <c r="AY3719" s="62">
        <f t="shared" si="367"/>
        <v>1.6581161335763044</v>
      </c>
      <c r="AZ3719" s="68" t="str">
        <f t="shared" si="368"/>
        <v>No</v>
      </c>
      <c r="BA3719" s="68" t="str">
        <f t="shared" si="369"/>
        <v>No</v>
      </c>
    </row>
    <row r="3720" spans="1:53" hidden="1">
      <c r="A3720" t="s">
        <v>3914</v>
      </c>
      <c r="G3720" t="s">
        <v>4077</v>
      </c>
      <c r="P3720" t="s">
        <v>4596</v>
      </c>
      <c r="R3720" t="s">
        <v>4035</v>
      </c>
      <c r="S3720" t="s">
        <v>1749</v>
      </c>
      <c r="V3720" t="s">
        <v>4600</v>
      </c>
      <c r="Z3720">
        <v>6</v>
      </c>
      <c r="AA3720">
        <v>6</v>
      </c>
      <c r="AC3720">
        <v>435.9</v>
      </c>
      <c r="AD3720">
        <v>27.8</v>
      </c>
      <c r="AE3720">
        <v>952</v>
      </c>
      <c r="AF3720">
        <v>30.6</v>
      </c>
      <c r="AJ3720" t="s">
        <v>4079</v>
      </c>
      <c r="AK3720" t="s">
        <v>904</v>
      </c>
      <c r="AN3720">
        <v>0.09</v>
      </c>
      <c r="AO3720">
        <v>4.8989794855663557E-3</v>
      </c>
      <c r="AP3720">
        <v>0.108</v>
      </c>
      <c r="AQ3720">
        <f>SQRT(6)*(0.118-0.098)</f>
        <v>4.8989794855663536E-2</v>
      </c>
      <c r="AW3720" s="28">
        <f t="shared" si="365"/>
        <v>0.51703649065928381</v>
      </c>
      <c r="AX3720">
        <f t="shared" si="366"/>
        <v>0.92307692307692313</v>
      </c>
      <c r="AY3720" s="62">
        <f t="shared" si="367"/>
        <v>0.47726445291626202</v>
      </c>
      <c r="AZ3720" s="68" t="str">
        <f t="shared" si="368"/>
        <v>No</v>
      </c>
      <c r="BA3720" s="68" t="str">
        <f t="shared" si="369"/>
        <v>No</v>
      </c>
    </row>
    <row r="3721" spans="1:53" hidden="1">
      <c r="A3721" t="s">
        <v>3914</v>
      </c>
      <c r="G3721" t="s">
        <v>4068</v>
      </c>
      <c r="P3721" t="s">
        <v>4596</v>
      </c>
      <c r="R3721" t="s">
        <v>4035</v>
      </c>
      <c r="S3721" t="s">
        <v>1749</v>
      </c>
      <c r="V3721" t="s">
        <v>4598</v>
      </c>
      <c r="Z3721">
        <v>6</v>
      </c>
      <c r="AA3721">
        <v>6</v>
      </c>
      <c r="AC3721">
        <v>477</v>
      </c>
      <c r="AD3721">
        <v>28.1</v>
      </c>
      <c r="AE3721">
        <v>473</v>
      </c>
      <c r="AF3721">
        <v>30.7</v>
      </c>
      <c r="AJ3721" t="s">
        <v>4773</v>
      </c>
      <c r="AK3721" t="s">
        <v>4642</v>
      </c>
      <c r="AL3721" s="59"/>
      <c r="AM3721" s="60"/>
      <c r="AN3721">
        <v>0.94199999999999995</v>
      </c>
      <c r="AO3721" s="61">
        <v>7.5368915162558919E-2</v>
      </c>
      <c r="AP3721">
        <v>0.94699999999999995</v>
      </c>
      <c r="AQ3721" s="61">
        <v>6.2807429302132248E-2</v>
      </c>
      <c r="AR3721" s="37"/>
      <c r="AS3721" s="37"/>
      <c r="AT3721" s="37"/>
      <c r="AU3721" s="37"/>
      <c r="AV3721" s="37"/>
      <c r="AW3721" s="28">
        <f t="shared" si="365"/>
        <v>7.2074073918071385E-2</v>
      </c>
      <c r="AX3721">
        <f t="shared" si="366"/>
        <v>0.92307692307692313</v>
      </c>
      <c r="AY3721" s="62">
        <f t="shared" si="367"/>
        <v>6.6529914385912048E-2</v>
      </c>
      <c r="AZ3721" s="68" t="str">
        <f t="shared" si="368"/>
        <v>No</v>
      </c>
      <c r="BA3721" s="68" t="str">
        <f t="shared" si="369"/>
        <v>No</v>
      </c>
    </row>
    <row r="3722" spans="1:53" hidden="1">
      <c r="A3722" t="s">
        <v>3914</v>
      </c>
      <c r="G3722" t="s">
        <v>4068</v>
      </c>
      <c r="P3722" t="s">
        <v>4596</v>
      </c>
      <c r="R3722" t="s">
        <v>4035</v>
      </c>
      <c r="S3722" t="s">
        <v>1749</v>
      </c>
      <c r="V3722" t="s">
        <v>4600</v>
      </c>
      <c r="Z3722">
        <v>6</v>
      </c>
      <c r="AA3722">
        <v>6</v>
      </c>
      <c r="AC3722">
        <v>477</v>
      </c>
      <c r="AD3722">
        <v>28.1</v>
      </c>
      <c r="AE3722">
        <v>1035</v>
      </c>
      <c r="AF3722">
        <v>30.7</v>
      </c>
      <c r="AJ3722" t="s">
        <v>4216</v>
      </c>
      <c r="AK3722" t="s">
        <v>4642</v>
      </c>
      <c r="AL3722" s="59"/>
      <c r="AM3722" s="60"/>
      <c r="AN3722">
        <v>0.94199999999999995</v>
      </c>
      <c r="AO3722" s="61">
        <v>7.5368915162558919E-2</v>
      </c>
      <c r="AP3722">
        <v>1.0109999999999999</v>
      </c>
      <c r="AQ3722" s="61">
        <v>8.7930401022986382E-2</v>
      </c>
      <c r="AR3722" s="37"/>
      <c r="AS3722" s="37"/>
      <c r="AT3722" s="37"/>
      <c r="AU3722" s="37"/>
      <c r="AV3722" s="37"/>
      <c r="AW3722" s="28">
        <f t="shared" si="365"/>
        <v>0.84258478365506717</v>
      </c>
      <c r="AX3722">
        <f t="shared" si="366"/>
        <v>0.92307692307692313</v>
      </c>
      <c r="AY3722" s="62">
        <f t="shared" si="367"/>
        <v>0.77777056952775436</v>
      </c>
      <c r="AZ3722" s="68" t="str">
        <f t="shared" si="368"/>
        <v>No</v>
      </c>
      <c r="BA3722" s="68" t="str">
        <f t="shared" si="369"/>
        <v>No</v>
      </c>
    </row>
    <row r="3723" spans="1:53" hidden="1">
      <c r="A3723" t="s">
        <v>3914</v>
      </c>
      <c r="G3723" t="s">
        <v>4068</v>
      </c>
      <c r="P3723" t="s">
        <v>60</v>
      </c>
      <c r="R3723" t="s">
        <v>4035</v>
      </c>
      <c r="S3723" t="s">
        <v>1749</v>
      </c>
      <c r="V3723" t="s">
        <v>3956</v>
      </c>
      <c r="Z3723">
        <v>6</v>
      </c>
      <c r="AA3723">
        <v>6</v>
      </c>
      <c r="AC3723">
        <v>459</v>
      </c>
      <c r="AD3723">
        <v>28</v>
      </c>
      <c r="AE3723">
        <v>1002</v>
      </c>
      <c r="AF3723">
        <v>28</v>
      </c>
      <c r="AJ3723" t="s">
        <v>4073</v>
      </c>
      <c r="AK3723" t="s">
        <v>3983</v>
      </c>
      <c r="AN3723">
        <v>0.65500000000000003</v>
      </c>
      <c r="AO3723">
        <v>0.11022703842524301</v>
      </c>
      <c r="AP3723">
        <v>0.753</v>
      </c>
      <c r="AQ3723">
        <v>9.7979589711327114E-2</v>
      </c>
      <c r="AW3723" s="28">
        <f t="shared" si="365"/>
        <v>0.93974807091135271</v>
      </c>
      <c r="AX3723">
        <f t="shared" si="366"/>
        <v>0.92307692307692313</v>
      </c>
      <c r="AY3723" s="62">
        <f t="shared" si="367"/>
        <v>0.8674597577643256</v>
      </c>
      <c r="AZ3723" s="68" t="str">
        <f t="shared" si="368"/>
        <v>No</v>
      </c>
      <c r="BA3723" s="68" t="str">
        <f t="shared" si="369"/>
        <v>No</v>
      </c>
    </row>
    <row r="3724" spans="1:53" hidden="1">
      <c r="A3724" t="s">
        <v>3914</v>
      </c>
      <c r="G3724" t="s">
        <v>4938</v>
      </c>
      <c r="P3724" t="s">
        <v>4596</v>
      </c>
      <c r="R3724" t="s">
        <v>4035</v>
      </c>
      <c r="S3724" t="s">
        <v>1749</v>
      </c>
      <c r="V3724" t="s">
        <v>4598</v>
      </c>
      <c r="Z3724">
        <v>6</v>
      </c>
      <c r="AA3724">
        <v>6</v>
      </c>
      <c r="AC3724">
        <v>477</v>
      </c>
      <c r="AD3724">
        <v>28.1</v>
      </c>
      <c r="AE3724">
        <v>473</v>
      </c>
      <c r="AF3724">
        <v>30.7</v>
      </c>
      <c r="AJ3724" t="s">
        <v>4772</v>
      </c>
      <c r="AK3724" t="s">
        <v>4642</v>
      </c>
      <c r="AL3724" s="59"/>
      <c r="AM3724" s="60"/>
      <c r="AN3724">
        <v>0.65500000000000003</v>
      </c>
      <c r="AO3724" s="61">
        <v>0.10688682513962974</v>
      </c>
      <c r="AP3724">
        <v>0.68600000000000005</v>
      </c>
      <c r="AQ3724" s="61">
        <v>0.11579406056793382</v>
      </c>
      <c r="AR3724" s="37"/>
      <c r="AS3724" s="37"/>
      <c r="AT3724" s="37"/>
      <c r="AU3724" s="37"/>
      <c r="AV3724" s="37"/>
      <c r="AW3724" s="28">
        <f t="shared" si="365"/>
        <v>0.2782028607615098</v>
      </c>
      <c r="AX3724">
        <f t="shared" si="366"/>
        <v>0.92307692307692313</v>
      </c>
      <c r="AY3724" s="62">
        <f t="shared" si="367"/>
        <v>0.25680264070293213</v>
      </c>
      <c r="AZ3724" s="68" t="str">
        <f t="shared" si="368"/>
        <v>No</v>
      </c>
      <c r="BA3724" s="68" t="str">
        <f t="shared" si="369"/>
        <v>No</v>
      </c>
    </row>
    <row r="3725" spans="1:53" hidden="1">
      <c r="A3725" t="s">
        <v>3914</v>
      </c>
      <c r="G3725" t="s">
        <v>4068</v>
      </c>
      <c r="P3725" t="s">
        <v>4596</v>
      </c>
      <c r="R3725" t="s">
        <v>4035</v>
      </c>
      <c r="S3725" t="s">
        <v>1749</v>
      </c>
      <c r="V3725" t="s">
        <v>4600</v>
      </c>
      <c r="Z3725">
        <v>6</v>
      </c>
      <c r="AA3725">
        <v>6</v>
      </c>
      <c r="AC3725">
        <v>477</v>
      </c>
      <c r="AD3725">
        <v>28.1</v>
      </c>
      <c r="AE3725">
        <v>1035</v>
      </c>
      <c r="AF3725">
        <v>30.7</v>
      </c>
      <c r="AJ3725" t="s">
        <v>4073</v>
      </c>
      <c r="AK3725" t="s">
        <v>4642</v>
      </c>
      <c r="AL3725" s="59"/>
      <c r="AM3725" s="60"/>
      <c r="AN3725">
        <v>0.65500000000000003</v>
      </c>
      <c r="AO3725" s="61">
        <v>0.10688682513962974</v>
      </c>
      <c r="AP3725">
        <v>0.73799999999999999</v>
      </c>
      <c r="AQ3725" s="61">
        <v>0.13360853142453807</v>
      </c>
      <c r="AR3725" s="37"/>
      <c r="AS3725" s="37"/>
      <c r="AT3725" s="37"/>
      <c r="AU3725" s="37"/>
      <c r="AV3725" s="37"/>
      <c r="AW3725" s="28">
        <f t="shared" si="365"/>
        <v>0.68602031370946737</v>
      </c>
      <c r="AX3725">
        <f t="shared" si="366"/>
        <v>0.92307692307692313</v>
      </c>
      <c r="AY3725" s="62">
        <f t="shared" si="367"/>
        <v>0.63324952034720072</v>
      </c>
      <c r="AZ3725" s="68" t="str">
        <f t="shared" si="368"/>
        <v>No</v>
      </c>
      <c r="BA3725" s="68" t="str">
        <f t="shared" si="369"/>
        <v>No</v>
      </c>
    </row>
    <row r="3726" spans="1:53" hidden="1">
      <c r="A3726" t="s">
        <v>3914</v>
      </c>
      <c r="G3726" t="s">
        <v>4068</v>
      </c>
      <c r="P3726" t="s">
        <v>4596</v>
      </c>
      <c r="R3726" t="s">
        <v>4035</v>
      </c>
      <c r="S3726" t="s">
        <v>1749</v>
      </c>
      <c r="V3726" t="s">
        <v>4600</v>
      </c>
      <c r="Z3726">
        <v>6</v>
      </c>
      <c r="AA3726">
        <v>6</v>
      </c>
      <c r="AC3726">
        <v>477</v>
      </c>
      <c r="AD3726">
        <v>28.1</v>
      </c>
      <c r="AE3726">
        <v>1035</v>
      </c>
      <c r="AF3726">
        <v>30.7</v>
      </c>
      <c r="AJ3726" t="s">
        <v>4774</v>
      </c>
      <c r="AK3726" t="s">
        <v>4650</v>
      </c>
      <c r="AL3726" s="59"/>
      <c r="AM3726" s="60"/>
      <c r="AN3726">
        <v>5.7519999999999998</v>
      </c>
      <c r="AO3726" s="61">
        <v>0.93200097530287074</v>
      </c>
      <c r="AP3726">
        <v>4.5419999999999998</v>
      </c>
      <c r="AQ3726" s="61">
        <v>1.2187705061652723</v>
      </c>
      <c r="AR3726" s="37"/>
      <c r="AS3726" s="37"/>
      <c r="AT3726" s="37"/>
      <c r="AU3726" s="37"/>
      <c r="AV3726" s="37"/>
      <c r="AW3726" s="28">
        <f t="shared" ref="AW3726:AW3789" si="370">(AP3726-$AN3726)/SQRT(((AA3726-1)*AQ3726*AQ3726+($Z3726-1)*$AO3726*$AO3726)/(AA3726+$Z3726-2))</f>
        <v>-1.1153074793490139</v>
      </c>
      <c r="AX3726">
        <f t="shared" ref="AX3726:AX3789" si="371">1-(3/(4*(AA3726+$Z3726-2)-1))</f>
        <v>0.92307692307692313</v>
      </c>
      <c r="AY3726" s="62">
        <f t="shared" ref="AY3726:AY3789" si="372">AX3726*AW3726</f>
        <v>-1.0295145963221668</v>
      </c>
      <c r="AZ3726" s="68" t="str">
        <f t="shared" ref="AZ3726:AZ3789" si="373">IF(AY3726&gt;10,"Yes","No")</f>
        <v>No</v>
      </c>
      <c r="BA3726" s="68" t="str">
        <f t="shared" ref="BA3726:BA3789" si="374">IF(AY3726&lt;-10,"Yes","No")</f>
        <v>No</v>
      </c>
    </row>
    <row r="3727" spans="1:53" hidden="1">
      <c r="A3727" t="s">
        <v>3914</v>
      </c>
      <c r="G3727" t="s">
        <v>4068</v>
      </c>
      <c r="P3727" t="s">
        <v>60</v>
      </c>
      <c r="R3727" t="s">
        <v>4035</v>
      </c>
      <c r="S3727" t="s">
        <v>1749</v>
      </c>
      <c r="V3727" t="s">
        <v>3956</v>
      </c>
      <c r="Z3727">
        <v>6</v>
      </c>
      <c r="AA3727">
        <v>6</v>
      </c>
      <c r="AC3727">
        <v>469</v>
      </c>
      <c r="AD3727">
        <v>28</v>
      </c>
      <c r="AE3727">
        <v>1002</v>
      </c>
      <c r="AF3727">
        <v>28</v>
      </c>
      <c r="AJ3727" t="s">
        <v>1803</v>
      </c>
      <c r="AK3727" t="s">
        <v>4081</v>
      </c>
      <c r="AN3727">
        <v>5.7519999999999998</v>
      </c>
      <c r="AO3727">
        <v>1.185553035507058</v>
      </c>
      <c r="AP3727">
        <v>6.9509999999999996</v>
      </c>
      <c r="AQ3727">
        <v>1.6607540456069947</v>
      </c>
      <c r="AW3727" s="28">
        <f t="shared" si="370"/>
        <v>0.83099343895691258</v>
      </c>
      <c r="AX3727">
        <f t="shared" si="371"/>
        <v>0.92307692307692313</v>
      </c>
      <c r="AY3727" s="62">
        <f t="shared" si="372"/>
        <v>0.76707086672945779</v>
      </c>
      <c r="AZ3727" s="68" t="str">
        <f t="shared" si="373"/>
        <v>No</v>
      </c>
      <c r="BA3727" s="68" t="str">
        <f t="shared" si="374"/>
        <v>No</v>
      </c>
    </row>
    <row r="3728" spans="1:53" hidden="1">
      <c r="A3728" t="s">
        <v>3914</v>
      </c>
      <c r="G3728" t="s">
        <v>4068</v>
      </c>
      <c r="P3728" t="s">
        <v>4596</v>
      </c>
      <c r="R3728" t="s">
        <v>4035</v>
      </c>
      <c r="S3728" t="s">
        <v>1749</v>
      </c>
      <c r="V3728" t="s">
        <v>4598</v>
      </c>
      <c r="Z3728">
        <v>6</v>
      </c>
      <c r="AA3728">
        <v>6</v>
      </c>
      <c r="AC3728">
        <v>477</v>
      </c>
      <c r="AD3728">
        <v>28.1</v>
      </c>
      <c r="AE3728">
        <v>473</v>
      </c>
      <c r="AF3728">
        <v>30.7</v>
      </c>
      <c r="AJ3728" t="s">
        <v>4774</v>
      </c>
      <c r="AK3728" t="s">
        <v>4650</v>
      </c>
      <c r="AL3728" s="59"/>
      <c r="AM3728" s="60"/>
      <c r="AN3728">
        <v>5.7519999999999998</v>
      </c>
      <c r="AO3728" s="61">
        <v>0.93200097530287074</v>
      </c>
      <c r="AP3728">
        <v>4.3120000000000003</v>
      </c>
      <c r="AQ3728" s="61">
        <v>2.6526181604773864</v>
      </c>
      <c r="AR3728" s="37"/>
      <c r="AS3728" s="37"/>
      <c r="AT3728" s="37"/>
      <c r="AU3728" s="37"/>
      <c r="AV3728" s="37"/>
      <c r="AW3728" s="28">
        <f t="shared" si="370"/>
        <v>-0.72431304614555059</v>
      </c>
      <c r="AX3728">
        <f t="shared" si="371"/>
        <v>0.92307692307692313</v>
      </c>
      <c r="AY3728" s="62">
        <f t="shared" si="372"/>
        <v>-0.66859665798050827</v>
      </c>
      <c r="AZ3728" s="68" t="str">
        <f t="shared" si="373"/>
        <v>No</v>
      </c>
      <c r="BA3728" s="68" t="str">
        <f t="shared" si="374"/>
        <v>No</v>
      </c>
    </row>
    <row r="3729" spans="1:53" hidden="1">
      <c r="A3729" t="s">
        <v>3914</v>
      </c>
      <c r="G3729" t="s">
        <v>4069</v>
      </c>
      <c r="P3729" t="s">
        <v>4596</v>
      </c>
      <c r="R3729" t="s">
        <v>4869</v>
      </c>
      <c r="S3729" t="s">
        <v>1749</v>
      </c>
      <c r="V3729" t="s">
        <v>4600</v>
      </c>
      <c r="Z3729">
        <v>20</v>
      </c>
      <c r="AA3729">
        <v>20</v>
      </c>
      <c r="AC3729">
        <v>466</v>
      </c>
      <c r="AD3729" s="54">
        <v>28</v>
      </c>
      <c r="AE3729">
        <v>1007</v>
      </c>
      <c r="AF3729" s="54">
        <v>31</v>
      </c>
      <c r="AJ3729" t="s">
        <v>4216</v>
      </c>
      <c r="AK3729" t="s">
        <v>4849</v>
      </c>
      <c r="AN3729">
        <v>1.02</v>
      </c>
      <c r="AO3729">
        <f>0.04*SQRT(20)</f>
        <v>0.17888543819998318</v>
      </c>
      <c r="AP3729">
        <v>0.98</v>
      </c>
      <c r="AQ3729">
        <f>0.025*SQRT(20)</f>
        <v>0.1118033988749895</v>
      </c>
      <c r="AW3729" s="28">
        <f t="shared" si="370"/>
        <v>-0.26816060926159663</v>
      </c>
      <c r="AX3729">
        <f t="shared" si="371"/>
        <v>0.98013245033112584</v>
      </c>
      <c r="AY3729" s="62">
        <f t="shared" si="372"/>
        <v>-0.26283291503785627</v>
      </c>
      <c r="AZ3729" s="68" t="str">
        <f t="shared" si="373"/>
        <v>No</v>
      </c>
      <c r="BA3729" s="68" t="str">
        <f t="shared" si="374"/>
        <v>No</v>
      </c>
    </row>
    <row r="3730" spans="1:53" ht="13.5" hidden="1" customHeight="1">
      <c r="A3730" t="s">
        <v>3914</v>
      </c>
      <c r="G3730" t="s">
        <v>4069</v>
      </c>
      <c r="P3730" t="s">
        <v>60</v>
      </c>
      <c r="R3730" t="s">
        <v>4035</v>
      </c>
      <c r="S3730" t="s">
        <v>1749</v>
      </c>
      <c r="V3730" t="s">
        <v>3956</v>
      </c>
      <c r="Z3730">
        <v>20</v>
      </c>
      <c r="AA3730">
        <v>20</v>
      </c>
      <c r="AC3730">
        <v>466</v>
      </c>
      <c r="AD3730">
        <v>28.4</v>
      </c>
      <c r="AE3730">
        <v>1034</v>
      </c>
      <c r="AF3730">
        <v>27.93</v>
      </c>
      <c r="AJ3730" t="s">
        <v>4073</v>
      </c>
      <c r="AK3730" t="s">
        <v>3983</v>
      </c>
      <c r="AN3730">
        <v>0.65</v>
      </c>
      <c r="AO3730">
        <v>0.17888543819998318</v>
      </c>
      <c r="AP3730">
        <v>0.7</v>
      </c>
      <c r="AQ3730">
        <v>0.13416407864998739</v>
      </c>
      <c r="AW3730" s="28">
        <f t="shared" si="370"/>
        <v>0.3162277660168375</v>
      </c>
      <c r="AX3730">
        <f t="shared" si="371"/>
        <v>0.98013245033112584</v>
      </c>
      <c r="AY3730" s="62">
        <f t="shared" si="372"/>
        <v>0.30994509516882085</v>
      </c>
      <c r="AZ3730" s="68" t="str">
        <f t="shared" si="373"/>
        <v>No</v>
      </c>
      <c r="BA3730" s="68" t="str">
        <f t="shared" si="374"/>
        <v>No</v>
      </c>
    </row>
    <row r="3731" spans="1:53" hidden="1">
      <c r="A3731" t="s">
        <v>3914</v>
      </c>
      <c r="G3731" t="s">
        <v>4069</v>
      </c>
      <c r="P3731" t="s">
        <v>4596</v>
      </c>
      <c r="R3731" t="s">
        <v>4869</v>
      </c>
      <c r="S3731" t="s">
        <v>1749</v>
      </c>
      <c r="V3731" t="s">
        <v>4600</v>
      </c>
      <c r="Z3731">
        <v>20</v>
      </c>
      <c r="AA3731">
        <v>20</v>
      </c>
      <c r="AC3731">
        <v>466</v>
      </c>
      <c r="AD3731" s="54">
        <v>28</v>
      </c>
      <c r="AE3731">
        <v>1007</v>
      </c>
      <c r="AF3731" s="54">
        <v>31</v>
      </c>
      <c r="AJ3731" t="s">
        <v>4073</v>
      </c>
      <c r="AK3731" t="s">
        <v>4849</v>
      </c>
      <c r="AN3731">
        <v>0.65</v>
      </c>
      <c r="AO3731">
        <f>0.035*SQRT(20)</f>
        <v>0.15652475842498531</v>
      </c>
      <c r="AP3731">
        <v>0.63500000000000001</v>
      </c>
      <c r="AQ3731">
        <f>0.03*SQRT(20)</f>
        <v>0.13416407864998739</v>
      </c>
      <c r="AW3731" s="28">
        <f t="shared" si="370"/>
        <v>-0.10289915108550536</v>
      </c>
      <c r="AX3731">
        <f t="shared" si="371"/>
        <v>0.98013245033112584</v>
      </c>
      <c r="AY3731" s="62">
        <f t="shared" si="372"/>
        <v>-0.10085479709042909</v>
      </c>
      <c r="AZ3731" s="68" t="str">
        <f t="shared" si="373"/>
        <v>No</v>
      </c>
      <c r="BA3731" s="68" t="str">
        <f t="shared" si="374"/>
        <v>No</v>
      </c>
    </row>
    <row r="3732" spans="1:53" hidden="1">
      <c r="A3732" t="s">
        <v>3914</v>
      </c>
      <c r="G3732" t="s">
        <v>4868</v>
      </c>
      <c r="P3732" t="s">
        <v>4596</v>
      </c>
      <c r="R3732" t="s">
        <v>4869</v>
      </c>
      <c r="S3732" t="s">
        <v>1749</v>
      </c>
      <c r="V3732" t="s">
        <v>4598</v>
      </c>
      <c r="Z3732">
        <v>20</v>
      </c>
      <c r="AA3732">
        <v>20</v>
      </c>
      <c r="AC3732">
        <v>466</v>
      </c>
      <c r="AD3732" s="54">
        <v>28</v>
      </c>
      <c r="AE3732">
        <v>467</v>
      </c>
      <c r="AF3732" s="54">
        <v>31</v>
      </c>
      <c r="AJ3732" t="s">
        <v>4871</v>
      </c>
      <c r="AK3732" t="s">
        <v>4849</v>
      </c>
      <c r="AN3732">
        <v>0.65</v>
      </c>
      <c r="AO3732">
        <f>0.035*SQRT(20)</f>
        <v>0.15652475842498531</v>
      </c>
      <c r="AP3732">
        <v>0.72</v>
      </c>
      <c r="AQ3732">
        <f>0.05*SQRT(20)</f>
        <v>0.22360679774997899</v>
      </c>
      <c r="AW3732" s="28">
        <f t="shared" si="370"/>
        <v>0.36268943210558763</v>
      </c>
      <c r="AX3732">
        <f t="shared" si="371"/>
        <v>0.98013245033112584</v>
      </c>
      <c r="AY3732" s="62">
        <f t="shared" si="372"/>
        <v>0.35548368179885409</v>
      </c>
      <c r="AZ3732" s="68" t="str">
        <f t="shared" si="373"/>
        <v>No</v>
      </c>
      <c r="BA3732" s="68" t="str">
        <f t="shared" si="374"/>
        <v>No</v>
      </c>
    </row>
    <row r="3733" spans="1:53" hidden="1">
      <c r="A3733" t="s">
        <v>3914</v>
      </c>
      <c r="G3733" t="s">
        <v>4069</v>
      </c>
      <c r="P3733" t="s">
        <v>4596</v>
      </c>
      <c r="R3733" t="s">
        <v>4869</v>
      </c>
      <c r="S3733" t="s">
        <v>1749</v>
      </c>
      <c r="V3733" t="s">
        <v>4598</v>
      </c>
      <c r="Z3733">
        <v>20</v>
      </c>
      <c r="AA3733">
        <v>20</v>
      </c>
      <c r="AC3733">
        <v>466</v>
      </c>
      <c r="AD3733" s="54">
        <v>28</v>
      </c>
      <c r="AE3733">
        <v>467</v>
      </c>
      <c r="AF3733" s="54">
        <v>31</v>
      </c>
      <c r="AJ3733" t="s">
        <v>4216</v>
      </c>
      <c r="AK3733" t="s">
        <v>4849</v>
      </c>
      <c r="AN3733">
        <v>1.02</v>
      </c>
      <c r="AO3733">
        <f>0.04*SQRT(20)</f>
        <v>0.17888543819998318</v>
      </c>
      <c r="AP3733">
        <v>1.1299999999999999</v>
      </c>
      <c r="AQ3733">
        <f>0.07*SQRT(20)</f>
        <v>0.31304951684997062</v>
      </c>
      <c r="AW3733" s="28">
        <f t="shared" si="370"/>
        <v>0.43145549730400434</v>
      </c>
      <c r="AX3733">
        <f t="shared" si="371"/>
        <v>0.98013245033112584</v>
      </c>
      <c r="AY3733" s="62">
        <f t="shared" si="372"/>
        <v>0.42288353378140825</v>
      </c>
      <c r="AZ3733" s="68" t="str">
        <f t="shared" si="373"/>
        <v>No</v>
      </c>
      <c r="BA3733" s="68" t="str">
        <f t="shared" si="374"/>
        <v>No</v>
      </c>
    </row>
    <row r="3734" spans="1:53" hidden="1">
      <c r="A3734" t="s">
        <v>3914</v>
      </c>
      <c r="G3734" t="s">
        <v>4069</v>
      </c>
      <c r="P3734" t="s">
        <v>4596</v>
      </c>
      <c r="R3734" t="s">
        <v>4869</v>
      </c>
      <c r="S3734" t="s">
        <v>1749</v>
      </c>
      <c r="V3734" t="s">
        <v>4600</v>
      </c>
      <c r="Z3734">
        <v>4</v>
      </c>
      <c r="AA3734">
        <v>4</v>
      </c>
      <c r="AC3734">
        <v>466</v>
      </c>
      <c r="AD3734" s="54">
        <v>28</v>
      </c>
      <c r="AE3734">
        <v>1007</v>
      </c>
      <c r="AF3734" s="54">
        <v>31</v>
      </c>
      <c r="AJ3734" t="s">
        <v>4963</v>
      </c>
      <c r="AK3734" t="s">
        <v>4864</v>
      </c>
      <c r="AN3734">
        <v>8.1999999999999993</v>
      </c>
      <c r="AO3734">
        <f>0.7*SQRT(4)</f>
        <v>1.4</v>
      </c>
      <c r="AP3734">
        <v>8.4</v>
      </c>
      <c r="AQ3734">
        <f>0.45*SQRT(4)</f>
        <v>0.9</v>
      </c>
      <c r="AW3734" s="28">
        <f t="shared" si="370"/>
        <v>0.16994371546483586</v>
      </c>
      <c r="AX3734">
        <f t="shared" si="371"/>
        <v>0.86956521739130432</v>
      </c>
      <c r="AY3734" s="62">
        <f t="shared" si="372"/>
        <v>0.14777714388246596</v>
      </c>
      <c r="AZ3734" s="68" t="str">
        <f t="shared" si="373"/>
        <v>No</v>
      </c>
      <c r="BA3734" s="68" t="str">
        <f t="shared" si="374"/>
        <v>No</v>
      </c>
    </row>
    <row r="3735" spans="1:53" hidden="1">
      <c r="A3735" t="s">
        <v>3914</v>
      </c>
      <c r="G3735" t="s">
        <v>4069</v>
      </c>
      <c r="P3735" t="s">
        <v>4596</v>
      </c>
      <c r="R3735" t="s">
        <v>4869</v>
      </c>
      <c r="S3735" t="s">
        <v>1749</v>
      </c>
      <c r="V3735" t="s">
        <v>4598</v>
      </c>
      <c r="Z3735">
        <v>4</v>
      </c>
      <c r="AA3735">
        <v>4</v>
      </c>
      <c r="AC3735">
        <v>466</v>
      </c>
      <c r="AD3735" s="54">
        <v>28</v>
      </c>
      <c r="AE3735">
        <v>467</v>
      </c>
      <c r="AF3735" s="54">
        <v>31</v>
      </c>
      <c r="AJ3735" t="s">
        <v>4872</v>
      </c>
      <c r="AK3735" t="s">
        <v>4864</v>
      </c>
      <c r="AN3735">
        <v>8.1999999999999993</v>
      </c>
      <c r="AO3735">
        <f>0.7*SQRT(4)</f>
        <v>1.4</v>
      </c>
      <c r="AP3735">
        <v>12.3</v>
      </c>
      <c r="AQ3735">
        <f>1.1*SQRT(4)</f>
        <v>2.2000000000000002</v>
      </c>
      <c r="AW3735" s="28">
        <f t="shared" si="370"/>
        <v>2.2235371926412264</v>
      </c>
      <c r="AX3735">
        <f t="shared" si="371"/>
        <v>0.86956521739130432</v>
      </c>
      <c r="AY3735" s="62">
        <f t="shared" si="372"/>
        <v>1.9335106022967186</v>
      </c>
      <c r="AZ3735" s="68" t="str">
        <f t="shared" si="373"/>
        <v>No</v>
      </c>
      <c r="BA3735" s="68" t="str">
        <f t="shared" si="374"/>
        <v>No</v>
      </c>
    </row>
    <row r="3736" spans="1:53" hidden="1">
      <c r="A3736" t="s">
        <v>3914</v>
      </c>
      <c r="G3736" t="s">
        <v>4069</v>
      </c>
      <c r="P3736" t="s">
        <v>4596</v>
      </c>
      <c r="R3736" t="s">
        <v>4869</v>
      </c>
      <c r="S3736" t="s">
        <v>1749</v>
      </c>
      <c r="V3736" t="s">
        <v>4598</v>
      </c>
      <c r="Z3736">
        <v>4</v>
      </c>
      <c r="AA3736">
        <v>4</v>
      </c>
      <c r="AC3736">
        <v>466</v>
      </c>
      <c r="AD3736" s="54">
        <v>28</v>
      </c>
      <c r="AE3736">
        <v>467</v>
      </c>
      <c r="AF3736" s="54">
        <v>31</v>
      </c>
      <c r="AJ3736" t="s">
        <v>4873</v>
      </c>
      <c r="AK3736" t="s">
        <v>4864</v>
      </c>
      <c r="AN3736">
        <v>12.3</v>
      </c>
      <c r="AO3736">
        <f>0.7*SQRT(4)</f>
        <v>1.4</v>
      </c>
      <c r="AP3736">
        <v>16</v>
      </c>
      <c r="AQ3736">
        <f>1.3*SQRT(4)</f>
        <v>2.6</v>
      </c>
      <c r="AW3736" s="28">
        <f t="shared" si="370"/>
        <v>1.7719786276591296</v>
      </c>
      <c r="AX3736">
        <f t="shared" si="371"/>
        <v>0.86956521739130432</v>
      </c>
      <c r="AY3736" s="62">
        <f t="shared" si="372"/>
        <v>1.5408509805731561</v>
      </c>
      <c r="AZ3736" s="68" t="str">
        <f t="shared" si="373"/>
        <v>No</v>
      </c>
      <c r="BA3736" s="68" t="str">
        <f t="shared" si="374"/>
        <v>No</v>
      </c>
    </row>
    <row r="3737" spans="1:53" hidden="1">
      <c r="A3737" t="s">
        <v>3914</v>
      </c>
      <c r="G3737" t="s">
        <v>4069</v>
      </c>
      <c r="P3737" t="s">
        <v>60</v>
      </c>
      <c r="R3737" t="s">
        <v>4035</v>
      </c>
      <c r="S3737" t="s">
        <v>1749</v>
      </c>
      <c r="V3737" t="s">
        <v>3956</v>
      </c>
      <c r="Z3737">
        <v>4</v>
      </c>
      <c r="AA3737">
        <v>4</v>
      </c>
      <c r="AC3737">
        <v>466</v>
      </c>
      <c r="AD3737">
        <v>28.4</v>
      </c>
      <c r="AE3737">
        <v>1034</v>
      </c>
      <c r="AF3737">
        <v>27.93</v>
      </c>
      <c r="AJ3737" t="s">
        <v>4083</v>
      </c>
      <c r="AK3737" t="s">
        <v>4081</v>
      </c>
      <c r="AN3737">
        <v>8</v>
      </c>
      <c r="AO3737">
        <v>1.6</v>
      </c>
      <c r="AP3737">
        <v>9.6</v>
      </c>
      <c r="AQ3737">
        <v>2.8</v>
      </c>
      <c r="AW3737" s="28">
        <f t="shared" si="370"/>
        <v>0.70164641544562334</v>
      </c>
      <c r="AX3737">
        <f t="shared" si="371"/>
        <v>0.86956521739130432</v>
      </c>
      <c r="AY3737" s="62">
        <f t="shared" si="372"/>
        <v>0.61012731777880291</v>
      </c>
      <c r="AZ3737" s="68" t="str">
        <f t="shared" si="373"/>
        <v>No</v>
      </c>
      <c r="BA3737" s="68" t="str">
        <f t="shared" si="374"/>
        <v>No</v>
      </c>
    </row>
    <row r="3738" spans="1:53" hidden="1">
      <c r="A3738" t="s">
        <v>3914</v>
      </c>
      <c r="G3738" t="s">
        <v>4069</v>
      </c>
      <c r="P3738" t="s">
        <v>4596</v>
      </c>
      <c r="R3738" t="s">
        <v>4869</v>
      </c>
      <c r="S3738" t="s">
        <v>1749</v>
      </c>
      <c r="V3738" t="s">
        <v>4600</v>
      </c>
      <c r="Z3738">
        <v>4</v>
      </c>
      <c r="AA3738">
        <v>4</v>
      </c>
      <c r="AC3738">
        <v>466</v>
      </c>
      <c r="AD3738" s="54">
        <v>28</v>
      </c>
      <c r="AE3738">
        <v>1007</v>
      </c>
      <c r="AF3738" s="54">
        <v>31</v>
      </c>
      <c r="AJ3738" t="s">
        <v>4870</v>
      </c>
      <c r="AK3738" t="s">
        <v>4864</v>
      </c>
      <c r="AN3738">
        <v>12.3</v>
      </c>
      <c r="AO3738">
        <f>0.7*SQRT(4)</f>
        <v>1.4</v>
      </c>
      <c r="AP3738">
        <f>2.1*SQRT(4)</f>
        <v>4.2</v>
      </c>
      <c r="AQ3738">
        <v>4</v>
      </c>
      <c r="AW3738" s="28">
        <f t="shared" si="370"/>
        <v>-2.7030050092772999</v>
      </c>
      <c r="AX3738">
        <f t="shared" si="371"/>
        <v>0.86956521739130432</v>
      </c>
      <c r="AY3738" s="62">
        <f t="shared" si="372"/>
        <v>-2.3504391385019998</v>
      </c>
      <c r="AZ3738" s="68" t="str">
        <f t="shared" si="373"/>
        <v>No</v>
      </c>
      <c r="BA3738" s="68" t="str">
        <f t="shared" si="374"/>
        <v>No</v>
      </c>
    </row>
    <row r="3739" spans="1:53" hidden="1">
      <c r="A3739" t="s">
        <v>3914</v>
      </c>
      <c r="G3739" t="s">
        <v>4568</v>
      </c>
      <c r="P3739" t="s">
        <v>4596</v>
      </c>
      <c r="R3739" t="s">
        <v>4701</v>
      </c>
      <c r="S3739" t="s">
        <v>4572</v>
      </c>
      <c r="V3739" t="s">
        <v>4600</v>
      </c>
      <c r="Z3739">
        <v>3</v>
      </c>
      <c r="AA3739">
        <v>3</v>
      </c>
      <c r="AC3739">
        <v>400</v>
      </c>
      <c r="AD3739">
        <v>18</v>
      </c>
      <c r="AE3739">
        <v>1654</v>
      </c>
      <c r="AF3739">
        <v>22</v>
      </c>
      <c r="AJ3739" s="65" t="s">
        <v>4714</v>
      </c>
      <c r="AK3739" t="s">
        <v>4721</v>
      </c>
      <c r="AN3739">
        <v>34</v>
      </c>
      <c r="AO3739">
        <v>7.2930648769575015</v>
      </c>
      <c r="AP3739">
        <v>100</v>
      </c>
      <c r="AQ3739">
        <v>0</v>
      </c>
      <c r="AW3739" s="28">
        <f t="shared" si="370"/>
        <v>12.798198931635278</v>
      </c>
      <c r="AX3739">
        <f t="shared" si="371"/>
        <v>0.8</v>
      </c>
      <c r="AY3739" s="62">
        <f t="shared" si="372"/>
        <v>10.238559145308223</v>
      </c>
      <c r="AZ3739" s="68" t="str">
        <f t="shared" si="373"/>
        <v>Yes</v>
      </c>
      <c r="BA3739" s="68" t="str">
        <f t="shared" si="374"/>
        <v>No</v>
      </c>
    </row>
    <row r="3740" spans="1:53" hidden="1">
      <c r="A3740" t="s">
        <v>3914</v>
      </c>
      <c r="G3740" t="s">
        <v>4568</v>
      </c>
      <c r="P3740" t="s">
        <v>60</v>
      </c>
      <c r="R3740" t="s">
        <v>4570</v>
      </c>
      <c r="S3740" t="s">
        <v>4572</v>
      </c>
      <c r="V3740" t="s">
        <v>3956</v>
      </c>
      <c r="Z3740">
        <v>20</v>
      </c>
      <c r="AA3740">
        <v>20</v>
      </c>
      <c r="AC3740">
        <v>500</v>
      </c>
      <c r="AD3740">
        <v>18</v>
      </c>
      <c r="AE3740">
        <v>1600</v>
      </c>
      <c r="AF3740">
        <v>18</v>
      </c>
      <c r="AJ3740" t="s">
        <v>4594</v>
      </c>
      <c r="AK3740" t="s">
        <v>4502</v>
      </c>
      <c r="AN3740">
        <v>7.53</v>
      </c>
      <c r="AO3740">
        <v>7.0000000000000007E-2</v>
      </c>
      <c r="AP3740">
        <v>7.25</v>
      </c>
      <c r="AQ3740">
        <v>0.01</v>
      </c>
      <c r="AW3740" s="28">
        <f t="shared" si="370"/>
        <v>-5.600000000000005</v>
      </c>
      <c r="AX3740">
        <f t="shared" si="371"/>
        <v>0.98013245033112584</v>
      </c>
      <c r="AY3740" s="69">
        <f t="shared" si="372"/>
        <v>-5.4887417218543098</v>
      </c>
      <c r="AZ3740" s="68" t="str">
        <f t="shared" si="373"/>
        <v>No</v>
      </c>
      <c r="BA3740" s="68" t="str">
        <f t="shared" si="374"/>
        <v>No</v>
      </c>
    </row>
    <row r="3741" spans="1:53" hidden="1">
      <c r="A3741" t="s">
        <v>3914</v>
      </c>
      <c r="G3741" t="s">
        <v>4568</v>
      </c>
      <c r="P3741" t="s">
        <v>4596</v>
      </c>
      <c r="R3741" t="s">
        <v>4701</v>
      </c>
      <c r="S3741" t="s">
        <v>4572</v>
      </c>
      <c r="V3741" t="s">
        <v>4600</v>
      </c>
      <c r="Z3741">
        <v>20</v>
      </c>
      <c r="AA3741">
        <v>20</v>
      </c>
      <c r="AC3741">
        <v>400</v>
      </c>
      <c r="AD3741">
        <v>18</v>
      </c>
      <c r="AE3741">
        <v>1654</v>
      </c>
      <c r="AF3741">
        <v>22</v>
      </c>
      <c r="AJ3741" t="s">
        <v>4594</v>
      </c>
      <c r="AK3741" t="s">
        <v>904</v>
      </c>
      <c r="AN3741">
        <v>7.52</v>
      </c>
      <c r="AO3741">
        <v>6.7669172932330199E-2</v>
      </c>
      <c r="AP3741">
        <v>7.22</v>
      </c>
      <c r="AQ3741">
        <v>3.7593984962410509E-2</v>
      </c>
      <c r="AW3741" s="28">
        <f t="shared" si="370"/>
        <v>-5.4806865015525732</v>
      </c>
      <c r="AX3741">
        <f t="shared" si="371"/>
        <v>0.98013245033112584</v>
      </c>
      <c r="AY3741" s="62">
        <f t="shared" si="372"/>
        <v>-5.3717986902634491</v>
      </c>
      <c r="AZ3741" s="68" t="str">
        <f t="shared" si="373"/>
        <v>No</v>
      </c>
      <c r="BA3741" s="68" t="str">
        <f t="shared" si="374"/>
        <v>No</v>
      </c>
    </row>
    <row r="3742" spans="1:53" hidden="1">
      <c r="A3742" t="s">
        <v>3914</v>
      </c>
      <c r="G3742" t="s">
        <v>4568</v>
      </c>
      <c r="P3742" t="s">
        <v>4596</v>
      </c>
      <c r="R3742" t="s">
        <v>4701</v>
      </c>
      <c r="S3742" t="s">
        <v>4572</v>
      </c>
      <c r="V3742" t="s">
        <v>4598</v>
      </c>
      <c r="Z3742">
        <v>20</v>
      </c>
      <c r="AA3742">
        <v>20</v>
      </c>
      <c r="AC3742">
        <v>400</v>
      </c>
      <c r="AD3742">
        <v>18</v>
      </c>
      <c r="AE3742">
        <v>424.5</v>
      </c>
      <c r="AF3742">
        <v>22</v>
      </c>
      <c r="AJ3742" t="s">
        <v>4594</v>
      </c>
      <c r="AK3742" t="s">
        <v>904</v>
      </c>
      <c r="AN3742">
        <v>7.52</v>
      </c>
      <c r="AO3742">
        <v>6.7669172932330213E-2</v>
      </c>
      <c r="AP3742">
        <v>7.53</v>
      </c>
      <c r="AQ3742">
        <v>3.8738149722130188E-2</v>
      </c>
      <c r="AW3742" s="28">
        <f t="shared" si="370"/>
        <v>0.1813726242489036</v>
      </c>
      <c r="AX3742">
        <f t="shared" si="371"/>
        <v>0.98013245033112584</v>
      </c>
      <c r="AY3742" s="62">
        <f t="shared" si="372"/>
        <v>0.17776919462806445</v>
      </c>
      <c r="AZ3742" s="68" t="str">
        <f t="shared" si="373"/>
        <v>No</v>
      </c>
      <c r="BA3742" s="68" t="str">
        <f t="shared" si="374"/>
        <v>No</v>
      </c>
    </row>
    <row r="3743" spans="1:53" hidden="1">
      <c r="A3743" t="s">
        <v>3914</v>
      </c>
      <c r="G3743" t="s">
        <v>4568</v>
      </c>
      <c r="P3743" t="s">
        <v>60</v>
      </c>
      <c r="R3743" t="s">
        <v>4570</v>
      </c>
      <c r="S3743" t="s">
        <v>4572</v>
      </c>
      <c r="V3743" t="s">
        <v>3956</v>
      </c>
      <c r="Z3743">
        <v>20</v>
      </c>
      <c r="AA3743">
        <v>20</v>
      </c>
      <c r="AC3743">
        <v>500</v>
      </c>
      <c r="AD3743">
        <v>18</v>
      </c>
      <c r="AE3743">
        <v>1600</v>
      </c>
      <c r="AF3743">
        <v>18</v>
      </c>
      <c r="AJ3743" t="s">
        <v>4595</v>
      </c>
      <c r="AK3743" t="s">
        <v>4502</v>
      </c>
      <c r="AN3743">
        <v>7.13</v>
      </c>
      <c r="AO3743">
        <v>0.09</v>
      </c>
      <c r="AP3743">
        <v>6.87</v>
      </c>
      <c r="AQ3743">
        <v>0.04</v>
      </c>
      <c r="AW3743" s="28">
        <f t="shared" si="370"/>
        <v>-3.7333824248122349</v>
      </c>
      <c r="AX3743">
        <f t="shared" si="371"/>
        <v>0.98013245033112584</v>
      </c>
      <c r="AY3743" s="69">
        <f t="shared" si="372"/>
        <v>-3.6592092640543759</v>
      </c>
      <c r="AZ3743" s="68" t="str">
        <f t="shared" si="373"/>
        <v>No</v>
      </c>
      <c r="BA3743" s="68" t="str">
        <f t="shared" si="374"/>
        <v>No</v>
      </c>
    </row>
    <row r="3744" spans="1:53" hidden="1">
      <c r="A3744" t="s">
        <v>3914</v>
      </c>
      <c r="G3744" t="s">
        <v>4568</v>
      </c>
      <c r="P3744" t="s">
        <v>4596</v>
      </c>
      <c r="R3744" t="s">
        <v>4701</v>
      </c>
      <c r="S3744" t="s">
        <v>4572</v>
      </c>
      <c r="V3744" t="s">
        <v>4598</v>
      </c>
      <c r="Z3744">
        <v>20</v>
      </c>
      <c r="AA3744">
        <v>20</v>
      </c>
      <c r="AC3744">
        <v>400</v>
      </c>
      <c r="AD3744">
        <v>18</v>
      </c>
      <c r="AE3744">
        <v>424.5</v>
      </c>
      <c r="AF3744">
        <v>22</v>
      </c>
      <c r="AJ3744" t="s">
        <v>4595</v>
      </c>
      <c r="AK3744" t="s">
        <v>904</v>
      </c>
      <c r="AN3744">
        <v>7.14</v>
      </c>
      <c r="AO3744">
        <v>8.1081081081079809E-2</v>
      </c>
      <c r="AP3744">
        <v>7.5</v>
      </c>
      <c r="AQ3744">
        <v>4.8648648648649484E-2</v>
      </c>
      <c r="AW3744" s="28">
        <f t="shared" si="370"/>
        <v>5.3842908758066352</v>
      </c>
      <c r="AX3744">
        <f t="shared" si="371"/>
        <v>0.98013245033112584</v>
      </c>
      <c r="AY3744" s="62">
        <f t="shared" si="372"/>
        <v>5.2773182093998807</v>
      </c>
      <c r="AZ3744" s="68" t="str">
        <f t="shared" si="373"/>
        <v>No</v>
      </c>
      <c r="BA3744" s="68" t="str">
        <f t="shared" si="374"/>
        <v>No</v>
      </c>
    </row>
    <row r="3745" spans="1:53" hidden="1">
      <c r="A3745" t="s">
        <v>3914</v>
      </c>
      <c r="G3745" t="s">
        <v>4568</v>
      </c>
      <c r="P3745" t="s">
        <v>4596</v>
      </c>
      <c r="R3745" t="s">
        <v>4701</v>
      </c>
      <c r="S3745" t="s">
        <v>4572</v>
      </c>
      <c r="V3745" t="s">
        <v>4600</v>
      </c>
      <c r="Z3745">
        <v>20</v>
      </c>
      <c r="AA3745">
        <v>20</v>
      </c>
      <c r="AC3745">
        <v>400</v>
      </c>
      <c r="AD3745">
        <v>18</v>
      </c>
      <c r="AE3745">
        <v>1654</v>
      </c>
      <c r="AF3745">
        <v>22</v>
      </c>
      <c r="AJ3745" t="s">
        <v>4595</v>
      </c>
      <c r="AK3745" t="s">
        <v>904</v>
      </c>
      <c r="AN3745">
        <v>7.14</v>
      </c>
      <c r="AO3745">
        <v>8.1081081081079809E-2</v>
      </c>
      <c r="AP3745">
        <v>7.15</v>
      </c>
      <c r="AQ3745">
        <v>7.5675675675669574E-2</v>
      </c>
      <c r="AW3745" s="28">
        <f t="shared" si="370"/>
        <v>0.12751042060719631</v>
      </c>
      <c r="AX3745">
        <f t="shared" si="371"/>
        <v>0.98013245033112584</v>
      </c>
      <c r="AY3745" s="62">
        <f t="shared" si="372"/>
        <v>0.1249771009924838</v>
      </c>
      <c r="AZ3745" s="68" t="str">
        <f t="shared" si="373"/>
        <v>No</v>
      </c>
      <c r="BA3745" s="68" t="str">
        <f t="shared" si="374"/>
        <v>No</v>
      </c>
    </row>
    <row r="3746" spans="1:53" hidden="1">
      <c r="A3746" t="s">
        <v>3914</v>
      </c>
      <c r="G3746" t="s">
        <v>4568</v>
      </c>
      <c r="P3746" t="s">
        <v>4596</v>
      </c>
      <c r="R3746" t="s">
        <v>4701</v>
      </c>
      <c r="S3746" t="s">
        <v>4572</v>
      </c>
      <c r="V3746" t="s">
        <v>4598</v>
      </c>
      <c r="Z3746">
        <v>20</v>
      </c>
      <c r="AA3746">
        <v>20</v>
      </c>
      <c r="AC3746">
        <v>400</v>
      </c>
      <c r="AD3746">
        <v>18</v>
      </c>
      <c r="AE3746">
        <v>424.5</v>
      </c>
      <c r="AF3746">
        <v>22</v>
      </c>
      <c r="AJ3746" t="s">
        <v>4722</v>
      </c>
      <c r="AK3746" t="s">
        <v>904</v>
      </c>
      <c r="AN3746">
        <v>1.4</v>
      </c>
      <c r="AO3746">
        <v>0.51923305942597997</v>
      </c>
      <c r="AP3746">
        <v>2.2000000000000002</v>
      </c>
      <c r="AQ3746">
        <v>0.29057996903656003</v>
      </c>
      <c r="AW3746" s="28">
        <f t="shared" si="370"/>
        <v>1.9014241688841365</v>
      </c>
      <c r="AX3746">
        <f t="shared" si="371"/>
        <v>0.98013245033112584</v>
      </c>
      <c r="AY3746" s="62">
        <f t="shared" si="372"/>
        <v>1.863647529767233</v>
      </c>
      <c r="AZ3746" s="68" t="str">
        <f t="shared" si="373"/>
        <v>No</v>
      </c>
      <c r="BA3746" s="68" t="str">
        <f t="shared" si="374"/>
        <v>No</v>
      </c>
    </row>
    <row r="3747" spans="1:53" hidden="1">
      <c r="A3747" t="s">
        <v>3914</v>
      </c>
      <c r="G3747" t="s">
        <v>4568</v>
      </c>
      <c r="P3747" t="s">
        <v>60</v>
      </c>
      <c r="R3747" t="s">
        <v>4570</v>
      </c>
      <c r="S3747" t="s">
        <v>4572</v>
      </c>
      <c r="V3747" t="s">
        <v>3956</v>
      </c>
      <c r="Z3747">
        <v>20</v>
      </c>
      <c r="AA3747">
        <v>20</v>
      </c>
      <c r="AC3747">
        <v>500</v>
      </c>
      <c r="AD3747">
        <v>18</v>
      </c>
      <c r="AE3747">
        <v>1600</v>
      </c>
      <c r="AF3747">
        <v>18</v>
      </c>
      <c r="AJ3747" t="s">
        <v>4588</v>
      </c>
      <c r="AK3747" t="s">
        <v>4502</v>
      </c>
      <c r="AN3747">
        <v>1.4</v>
      </c>
      <c r="AO3747">
        <v>0.6</v>
      </c>
      <c r="AP3747">
        <v>1.2</v>
      </c>
      <c r="AQ3747">
        <v>0.5</v>
      </c>
      <c r="AW3747" s="28">
        <f t="shared" si="370"/>
        <v>-0.36214298417007407</v>
      </c>
      <c r="AX3747">
        <f t="shared" si="371"/>
        <v>0.98013245033112584</v>
      </c>
      <c r="AY3747" s="62">
        <f t="shared" si="372"/>
        <v>-0.35494809044484082</v>
      </c>
      <c r="AZ3747" s="68" t="str">
        <f t="shared" si="373"/>
        <v>No</v>
      </c>
      <c r="BA3747" s="68" t="str">
        <f t="shared" si="374"/>
        <v>No</v>
      </c>
    </row>
    <row r="3748" spans="1:53" hidden="1">
      <c r="A3748" t="s">
        <v>3914</v>
      </c>
      <c r="G3748" t="s">
        <v>4568</v>
      </c>
      <c r="P3748" t="s">
        <v>4596</v>
      </c>
      <c r="R3748" t="s">
        <v>4701</v>
      </c>
      <c r="S3748" t="s">
        <v>4572</v>
      </c>
      <c r="V3748" t="s">
        <v>4600</v>
      </c>
      <c r="Z3748">
        <v>20</v>
      </c>
      <c r="AA3748">
        <v>20</v>
      </c>
      <c r="AC3748">
        <v>400</v>
      </c>
      <c r="AD3748">
        <v>18</v>
      </c>
      <c r="AE3748">
        <v>1654</v>
      </c>
      <c r="AF3748">
        <v>22</v>
      </c>
      <c r="AJ3748" t="s">
        <v>4588</v>
      </c>
      <c r="AK3748" t="s">
        <v>904</v>
      </c>
      <c r="AN3748">
        <v>1.4</v>
      </c>
      <c r="AO3748">
        <v>0.51923305942598019</v>
      </c>
      <c r="AP3748">
        <v>1.8</v>
      </c>
      <c r="AQ3748">
        <v>0.58711444563533988</v>
      </c>
      <c r="AW3748" s="28">
        <f t="shared" si="370"/>
        <v>0.72174284899505958</v>
      </c>
      <c r="AX3748">
        <f t="shared" si="371"/>
        <v>0.98013245033112584</v>
      </c>
      <c r="AY3748" s="62">
        <f t="shared" si="372"/>
        <v>0.70740358709449547</v>
      </c>
      <c r="AZ3748" s="68" t="str">
        <f t="shared" si="373"/>
        <v>No</v>
      </c>
      <c r="BA3748" s="68" t="str">
        <f t="shared" si="374"/>
        <v>No</v>
      </c>
    </row>
    <row r="3749" spans="1:53" hidden="1">
      <c r="A3749" t="s">
        <v>3914</v>
      </c>
      <c r="G3749" t="s">
        <v>4568</v>
      </c>
      <c r="P3749" t="s">
        <v>4596</v>
      </c>
      <c r="R3749" t="s">
        <v>4701</v>
      </c>
      <c r="S3749" t="s">
        <v>4572</v>
      </c>
      <c r="V3749" t="s">
        <v>4600</v>
      </c>
      <c r="Z3749">
        <v>20</v>
      </c>
      <c r="AA3749">
        <v>20</v>
      </c>
      <c r="AC3749">
        <v>400</v>
      </c>
      <c r="AD3749">
        <v>18</v>
      </c>
      <c r="AE3749">
        <v>1654</v>
      </c>
      <c r="AF3749">
        <v>22</v>
      </c>
      <c r="AJ3749" t="s">
        <v>4589</v>
      </c>
      <c r="AK3749" t="s">
        <v>904</v>
      </c>
      <c r="AN3749">
        <v>5.8</v>
      </c>
      <c r="AO3749">
        <v>2.6576865512080299</v>
      </c>
      <c r="AP3749">
        <v>2.6</v>
      </c>
      <c r="AQ3749">
        <v>0.68847551849476973</v>
      </c>
      <c r="AW3749" s="28">
        <f t="shared" si="370"/>
        <v>-1.6483794087699319</v>
      </c>
      <c r="AX3749">
        <f t="shared" si="371"/>
        <v>0.98013245033112584</v>
      </c>
      <c r="AY3749" s="62">
        <f t="shared" si="372"/>
        <v>-1.6156301489930458</v>
      </c>
      <c r="AZ3749" s="68" t="str">
        <f t="shared" si="373"/>
        <v>No</v>
      </c>
      <c r="BA3749" s="68" t="str">
        <f t="shared" si="374"/>
        <v>No</v>
      </c>
    </row>
    <row r="3750" spans="1:53" hidden="1">
      <c r="A3750" t="s">
        <v>3914</v>
      </c>
      <c r="G3750" t="s">
        <v>4568</v>
      </c>
      <c r="P3750" t="s">
        <v>4596</v>
      </c>
      <c r="R3750" t="s">
        <v>4701</v>
      </c>
      <c r="S3750" t="s">
        <v>4572</v>
      </c>
      <c r="V3750" t="s">
        <v>4598</v>
      </c>
      <c r="Z3750">
        <v>20</v>
      </c>
      <c r="AA3750">
        <v>20</v>
      </c>
      <c r="AC3750">
        <v>400</v>
      </c>
      <c r="AD3750">
        <v>18</v>
      </c>
      <c r="AE3750">
        <v>424.5</v>
      </c>
      <c r="AF3750">
        <v>22</v>
      </c>
      <c r="AJ3750" t="s">
        <v>4589</v>
      </c>
      <c r="AK3750" t="s">
        <v>904</v>
      </c>
      <c r="AN3750">
        <v>5.8</v>
      </c>
      <c r="AO3750">
        <v>2.6576865512080303</v>
      </c>
      <c r="AP3750">
        <v>4</v>
      </c>
      <c r="AQ3750">
        <v>0.98353645499251963</v>
      </c>
      <c r="AW3750" s="28">
        <f t="shared" si="370"/>
        <v>-0.89828133641643282</v>
      </c>
      <c r="AX3750">
        <f t="shared" si="371"/>
        <v>0.98013245033112584</v>
      </c>
      <c r="AY3750" s="62">
        <f t="shared" si="372"/>
        <v>-0.88043468734855668</v>
      </c>
      <c r="AZ3750" s="68" t="str">
        <f t="shared" si="373"/>
        <v>No</v>
      </c>
      <c r="BA3750" s="68" t="str">
        <f t="shared" si="374"/>
        <v>No</v>
      </c>
    </row>
    <row r="3751" spans="1:53" hidden="1">
      <c r="A3751" t="s">
        <v>3914</v>
      </c>
      <c r="G3751" t="s">
        <v>5103</v>
      </c>
      <c r="P3751" t="s">
        <v>60</v>
      </c>
      <c r="R3751" t="s">
        <v>4570</v>
      </c>
      <c r="S3751" t="s">
        <v>4572</v>
      </c>
      <c r="V3751" t="s">
        <v>3956</v>
      </c>
      <c r="Z3751">
        <v>3</v>
      </c>
      <c r="AA3751">
        <v>3</v>
      </c>
      <c r="AC3751">
        <v>500</v>
      </c>
      <c r="AD3751">
        <v>18</v>
      </c>
      <c r="AE3751">
        <v>1600</v>
      </c>
      <c r="AF3751">
        <v>18</v>
      </c>
      <c r="AJ3751" t="s">
        <v>4571</v>
      </c>
      <c r="AK3751" t="s">
        <v>4525</v>
      </c>
      <c r="AN3751">
        <v>49</v>
      </c>
      <c r="AO3751">
        <v>3</v>
      </c>
      <c r="AP3751">
        <v>47.5</v>
      </c>
      <c r="AQ3751">
        <v>1.5</v>
      </c>
      <c r="AW3751" s="28">
        <f t="shared" si="370"/>
        <v>-0.63245553203367588</v>
      </c>
      <c r="AX3751">
        <f t="shared" si="371"/>
        <v>0.8</v>
      </c>
      <c r="AY3751" s="62">
        <f t="shared" si="372"/>
        <v>-0.50596442562694077</v>
      </c>
      <c r="AZ3751" s="68" t="str">
        <f t="shared" si="373"/>
        <v>No</v>
      </c>
      <c r="BA3751" s="68" t="str">
        <f t="shared" si="374"/>
        <v>No</v>
      </c>
    </row>
    <row r="3752" spans="1:53" hidden="1">
      <c r="A3752" t="s">
        <v>3914</v>
      </c>
      <c r="G3752" t="s">
        <v>4568</v>
      </c>
      <c r="P3752" t="s">
        <v>60</v>
      </c>
      <c r="R3752" t="s">
        <v>4570</v>
      </c>
      <c r="S3752" t="s">
        <v>4572</v>
      </c>
      <c r="V3752" t="s">
        <v>3956</v>
      </c>
      <c r="Z3752">
        <v>20</v>
      </c>
      <c r="AA3752">
        <v>20</v>
      </c>
      <c r="AC3752">
        <v>500</v>
      </c>
      <c r="AD3752">
        <v>18</v>
      </c>
      <c r="AE3752">
        <v>1600</v>
      </c>
      <c r="AF3752">
        <v>18</v>
      </c>
      <c r="AJ3752" t="s">
        <v>4589</v>
      </c>
      <c r="AK3752" t="s">
        <v>4502</v>
      </c>
      <c r="AN3752">
        <v>5.8</v>
      </c>
      <c r="AO3752">
        <v>2.7</v>
      </c>
      <c r="AP3752">
        <v>4.5</v>
      </c>
      <c r="AQ3752">
        <v>1.7</v>
      </c>
      <c r="AW3752" s="28">
        <f t="shared" si="370"/>
        <v>-0.57621486933131705</v>
      </c>
      <c r="AX3752">
        <f t="shared" si="371"/>
        <v>0.98013245033112584</v>
      </c>
      <c r="AY3752" s="62">
        <f t="shared" si="372"/>
        <v>-0.56476689179493322</v>
      </c>
      <c r="AZ3752" s="68" t="str">
        <f t="shared" si="373"/>
        <v>No</v>
      </c>
      <c r="BA3752" s="68" t="str">
        <f t="shared" si="374"/>
        <v>No</v>
      </c>
    </row>
    <row r="3753" spans="1:53" hidden="1">
      <c r="A3753" t="s">
        <v>3914</v>
      </c>
      <c r="G3753" t="s">
        <v>4568</v>
      </c>
      <c r="P3753" t="s">
        <v>4596</v>
      </c>
      <c r="R3753" t="s">
        <v>4701</v>
      </c>
      <c r="S3753" t="s">
        <v>4572</v>
      </c>
      <c r="V3753" t="s">
        <v>4598</v>
      </c>
      <c r="Z3753">
        <v>3</v>
      </c>
      <c r="AA3753">
        <v>3</v>
      </c>
      <c r="AC3753">
        <v>400</v>
      </c>
      <c r="AD3753">
        <v>18</v>
      </c>
      <c r="AE3753">
        <v>424.5</v>
      </c>
      <c r="AF3753">
        <v>22</v>
      </c>
      <c r="AJ3753" s="65" t="s">
        <v>4719</v>
      </c>
      <c r="AK3753" t="s">
        <v>4721</v>
      </c>
      <c r="AN3753">
        <v>34</v>
      </c>
      <c r="AO3753">
        <v>7.2930648769574997</v>
      </c>
      <c r="AP3753">
        <v>78</v>
      </c>
      <c r="AQ3753">
        <v>1.8523489932885013</v>
      </c>
      <c r="AW3753" s="28">
        <f t="shared" si="370"/>
        <v>8.2695670367309653</v>
      </c>
      <c r="AX3753">
        <f t="shared" si="371"/>
        <v>0.8</v>
      </c>
      <c r="AY3753" s="62">
        <f t="shared" si="372"/>
        <v>6.6156536293847727</v>
      </c>
      <c r="AZ3753" s="68" t="str">
        <f t="shared" si="373"/>
        <v>No</v>
      </c>
      <c r="BA3753" s="68" t="str">
        <f t="shared" si="374"/>
        <v>No</v>
      </c>
    </row>
    <row r="3754" spans="1:53" hidden="1">
      <c r="A3754" t="s">
        <v>3914</v>
      </c>
      <c r="G3754" t="s">
        <v>4568</v>
      </c>
      <c r="P3754" t="s">
        <v>4596</v>
      </c>
      <c r="R3754" t="s">
        <v>4701</v>
      </c>
      <c r="S3754" t="s">
        <v>4572</v>
      </c>
      <c r="V3754" t="s">
        <v>4598</v>
      </c>
      <c r="Z3754">
        <v>3</v>
      </c>
      <c r="AA3754">
        <v>3</v>
      </c>
      <c r="AC3754">
        <v>400</v>
      </c>
      <c r="AD3754">
        <v>18</v>
      </c>
      <c r="AE3754">
        <v>424.5</v>
      </c>
      <c r="AF3754">
        <v>22</v>
      </c>
      <c r="AJ3754" t="s">
        <v>4717</v>
      </c>
      <c r="AK3754" t="s">
        <v>4718</v>
      </c>
      <c r="AN3754">
        <v>49</v>
      </c>
      <c r="AO3754">
        <v>2.6293005240373972</v>
      </c>
      <c r="AP3754">
        <v>32.5</v>
      </c>
      <c r="AQ3754">
        <v>5.5912508544087984</v>
      </c>
      <c r="AW3754" s="28">
        <f t="shared" si="370"/>
        <v>-3.7766581071365235</v>
      </c>
      <c r="AX3754">
        <f t="shared" si="371"/>
        <v>0.8</v>
      </c>
      <c r="AY3754" s="62">
        <f t="shared" si="372"/>
        <v>-3.0213264857092188</v>
      </c>
      <c r="AZ3754" s="68" t="str">
        <f t="shared" si="373"/>
        <v>No</v>
      </c>
      <c r="BA3754" s="68" t="str">
        <f t="shared" si="374"/>
        <v>No</v>
      </c>
    </row>
    <row r="3755" spans="1:53" hidden="1">
      <c r="A3755" t="s">
        <v>3914</v>
      </c>
      <c r="G3755" t="s">
        <v>4568</v>
      </c>
      <c r="P3755" t="s">
        <v>4596</v>
      </c>
      <c r="R3755" t="s">
        <v>4701</v>
      </c>
      <c r="S3755" t="s">
        <v>4572</v>
      </c>
      <c r="V3755" t="s">
        <v>4600</v>
      </c>
      <c r="Z3755">
        <v>3</v>
      </c>
      <c r="AA3755">
        <v>3</v>
      </c>
      <c r="AC3755">
        <v>400</v>
      </c>
      <c r="AD3755">
        <v>18</v>
      </c>
      <c r="AE3755">
        <v>1654</v>
      </c>
      <c r="AF3755">
        <v>22</v>
      </c>
      <c r="AJ3755" t="s">
        <v>4571</v>
      </c>
      <c r="AK3755" t="s">
        <v>4718</v>
      </c>
      <c r="AN3755">
        <v>49</v>
      </c>
      <c r="AO3755">
        <v>2.6293005240373972</v>
      </c>
      <c r="AP3755">
        <v>33.5</v>
      </c>
      <c r="AQ3755">
        <v>5.6596035543404</v>
      </c>
      <c r="AW3755" s="28">
        <f t="shared" si="370"/>
        <v>-3.5125665189499031</v>
      </c>
      <c r="AX3755">
        <f t="shared" si="371"/>
        <v>0.8</v>
      </c>
      <c r="AY3755" s="62">
        <f t="shared" si="372"/>
        <v>-2.8100532151599227</v>
      </c>
      <c r="AZ3755" s="68" t="str">
        <f t="shared" si="373"/>
        <v>No</v>
      </c>
      <c r="BA3755" s="68" t="str">
        <f t="shared" si="374"/>
        <v>No</v>
      </c>
    </row>
    <row r="3756" spans="1:53" hidden="1">
      <c r="A3756" t="s">
        <v>3914</v>
      </c>
      <c r="G3756" t="s">
        <v>4568</v>
      </c>
      <c r="P3756" t="s">
        <v>4596</v>
      </c>
      <c r="R3756" t="s">
        <v>4701</v>
      </c>
      <c r="S3756" t="s">
        <v>4572</v>
      </c>
      <c r="V3756" t="s">
        <v>4600</v>
      </c>
      <c r="Z3756">
        <v>3</v>
      </c>
      <c r="AA3756">
        <v>3</v>
      </c>
      <c r="AC3756">
        <v>400</v>
      </c>
      <c r="AD3756">
        <v>18</v>
      </c>
      <c r="AE3756">
        <v>1654</v>
      </c>
      <c r="AF3756">
        <v>22</v>
      </c>
      <c r="AJ3756" t="s">
        <v>4713</v>
      </c>
      <c r="AK3756" t="s">
        <v>4672</v>
      </c>
      <c r="AN3756">
        <v>92</v>
      </c>
      <c r="AO3756">
        <v>7.6261723983917022</v>
      </c>
      <c r="AP3756">
        <v>32</v>
      </c>
      <c r="AQ3756">
        <v>11.813309513175501</v>
      </c>
      <c r="AW3756" s="28">
        <f t="shared" si="370"/>
        <v>-6.0346052891693711</v>
      </c>
      <c r="AX3756">
        <f t="shared" si="371"/>
        <v>0.8</v>
      </c>
      <c r="AY3756" s="62">
        <f t="shared" si="372"/>
        <v>-4.8276842313354971</v>
      </c>
      <c r="AZ3756" s="68" t="str">
        <f t="shared" si="373"/>
        <v>No</v>
      </c>
      <c r="BA3756" s="68" t="str">
        <f t="shared" si="374"/>
        <v>No</v>
      </c>
    </row>
    <row r="3757" spans="1:53" ht="15" hidden="1">
      <c r="A3757" t="s">
        <v>3914</v>
      </c>
      <c r="G3757" s="56" t="s">
        <v>4708</v>
      </c>
      <c r="P3757" t="s">
        <v>4596</v>
      </c>
      <c r="R3757" t="s">
        <v>4701</v>
      </c>
      <c r="S3757" t="s">
        <v>4572</v>
      </c>
      <c r="V3757" t="s">
        <v>4598</v>
      </c>
      <c r="Z3757">
        <v>3</v>
      </c>
      <c r="AA3757">
        <v>3</v>
      </c>
      <c r="AC3757">
        <v>400</v>
      </c>
      <c r="AD3757">
        <v>18</v>
      </c>
      <c r="AE3757">
        <v>424.5</v>
      </c>
      <c r="AF3757">
        <v>22</v>
      </c>
      <c r="AJ3757" t="s">
        <v>4713</v>
      </c>
      <c r="AK3757" t="s">
        <v>4672</v>
      </c>
      <c r="AN3757">
        <v>92</v>
      </c>
      <c r="AO3757">
        <v>7.6261723983916996</v>
      </c>
      <c r="AP3757">
        <v>64</v>
      </c>
      <c r="AQ3757">
        <v>17.976775346136698</v>
      </c>
      <c r="AW3757" s="28">
        <f t="shared" si="370"/>
        <v>-2.0278066966438955</v>
      </c>
      <c r="AX3757">
        <f t="shared" si="371"/>
        <v>0.8</v>
      </c>
      <c r="AY3757" s="62">
        <f t="shared" si="372"/>
        <v>-1.6222453573151165</v>
      </c>
      <c r="AZ3757" s="68" t="str">
        <f t="shared" si="373"/>
        <v>No</v>
      </c>
      <c r="BA3757" s="68" t="str">
        <f t="shared" si="374"/>
        <v>No</v>
      </c>
    </row>
    <row r="3758" spans="1:53" hidden="1">
      <c r="A3758" s="77" t="s">
        <v>3914</v>
      </c>
      <c r="G3758" s="77" t="s">
        <v>4567</v>
      </c>
      <c r="P3758" s="77" t="s">
        <v>60</v>
      </c>
      <c r="Q3758" s="77"/>
      <c r="R3758" s="77" t="s">
        <v>4570</v>
      </c>
      <c r="S3758" s="77" t="s">
        <v>1765</v>
      </c>
      <c r="T3758" s="77"/>
      <c r="U3758" s="77"/>
      <c r="V3758" s="77" t="s">
        <v>3956</v>
      </c>
      <c r="W3758" s="77"/>
      <c r="X3758" s="77"/>
      <c r="Y3758" s="77"/>
      <c r="Z3758" s="77">
        <v>10</v>
      </c>
      <c r="AA3758" s="77">
        <v>10</v>
      </c>
      <c r="AB3758" s="77"/>
      <c r="AC3758" s="77">
        <v>433.2</v>
      </c>
      <c r="AD3758" s="77">
        <v>13</v>
      </c>
      <c r="AE3758" s="77">
        <v>1681.9</v>
      </c>
      <c r="AF3758" s="77">
        <v>13</v>
      </c>
      <c r="AG3758" s="77"/>
      <c r="AH3758" s="77"/>
      <c r="AI3758" s="77"/>
      <c r="AJ3758" s="77" t="s">
        <v>4584</v>
      </c>
      <c r="AK3758" s="77" t="s">
        <v>4537</v>
      </c>
      <c r="AN3758" s="77">
        <v>8.1999999999999993</v>
      </c>
      <c r="AO3758" s="77">
        <v>1.3</v>
      </c>
      <c r="AP3758" s="77">
        <v>3.3</v>
      </c>
      <c r="AQ3758" s="77">
        <v>0.2</v>
      </c>
      <c r="AW3758" s="28">
        <f t="shared" si="370"/>
        <v>-5.2685126395906083</v>
      </c>
      <c r="AX3758">
        <f t="shared" si="371"/>
        <v>0.95774647887323949</v>
      </c>
      <c r="AY3758" s="62">
        <f t="shared" si="372"/>
        <v>-5.0458994294670614</v>
      </c>
      <c r="AZ3758" s="68" t="str">
        <f t="shared" si="373"/>
        <v>No</v>
      </c>
      <c r="BA3758" s="68" t="str">
        <f t="shared" si="374"/>
        <v>No</v>
      </c>
    </row>
    <row r="3759" spans="1:53" hidden="1">
      <c r="A3759" s="77" t="s">
        <v>3914</v>
      </c>
      <c r="G3759" s="77" t="s">
        <v>4567</v>
      </c>
      <c r="P3759" s="77" t="s">
        <v>60</v>
      </c>
      <c r="Q3759" s="77"/>
      <c r="R3759" s="77" t="s">
        <v>4570</v>
      </c>
      <c r="S3759" s="77" t="s">
        <v>1765</v>
      </c>
      <c r="T3759" s="77"/>
      <c r="U3759" s="77"/>
      <c r="V3759" s="77" t="s">
        <v>3956</v>
      </c>
      <c r="W3759" s="77"/>
      <c r="X3759" s="77"/>
      <c r="Y3759" s="77"/>
      <c r="Z3759" s="77">
        <v>10</v>
      </c>
      <c r="AA3759" s="77">
        <v>10</v>
      </c>
      <c r="AB3759" s="77"/>
      <c r="AC3759" s="77">
        <v>433.2</v>
      </c>
      <c r="AD3759" s="77">
        <v>13</v>
      </c>
      <c r="AE3759" s="77">
        <v>1681.9</v>
      </c>
      <c r="AF3759" s="77">
        <v>13</v>
      </c>
      <c r="AG3759" s="77"/>
      <c r="AH3759" s="77"/>
      <c r="AI3759" s="77"/>
      <c r="AJ3759" s="77" t="s">
        <v>4584</v>
      </c>
      <c r="AK3759" s="77" t="s">
        <v>4537</v>
      </c>
      <c r="AN3759" s="77">
        <v>4.25</v>
      </c>
      <c r="AO3759" s="77">
        <v>0.4</v>
      </c>
      <c r="AP3759" s="77">
        <v>2.75</v>
      </c>
      <c r="AQ3759" s="77">
        <v>0.25</v>
      </c>
      <c r="AW3759" s="28">
        <f t="shared" si="370"/>
        <v>-4.4971901339751685</v>
      </c>
      <c r="AX3759">
        <f t="shared" si="371"/>
        <v>0.95774647887323949</v>
      </c>
      <c r="AY3759" s="62">
        <f t="shared" si="372"/>
        <v>-4.3071680156381902</v>
      </c>
      <c r="AZ3759" s="68" t="str">
        <f t="shared" si="373"/>
        <v>No</v>
      </c>
      <c r="BA3759" s="68" t="str">
        <f t="shared" si="374"/>
        <v>No</v>
      </c>
    </row>
    <row r="3760" spans="1:53" hidden="1">
      <c r="A3760" t="s">
        <v>3914</v>
      </c>
      <c r="G3760" t="s">
        <v>4567</v>
      </c>
      <c r="P3760" t="s">
        <v>60</v>
      </c>
      <c r="R3760" t="s">
        <v>4570</v>
      </c>
      <c r="S3760" t="s">
        <v>1765</v>
      </c>
      <c r="V3760" t="s">
        <v>3956</v>
      </c>
      <c r="Z3760">
        <v>3</v>
      </c>
      <c r="AA3760">
        <v>3</v>
      </c>
      <c r="AC3760">
        <v>433.2</v>
      </c>
      <c r="AD3760">
        <v>13</v>
      </c>
      <c r="AE3760">
        <v>1681.9</v>
      </c>
      <c r="AF3760">
        <v>13</v>
      </c>
      <c r="AJ3760" t="s">
        <v>4590</v>
      </c>
      <c r="AK3760" t="s">
        <v>4502</v>
      </c>
      <c r="AN3760">
        <v>13</v>
      </c>
      <c r="AO3760">
        <v>3</v>
      </c>
      <c r="AP3760">
        <v>12</v>
      </c>
      <c r="AQ3760">
        <v>1</v>
      </c>
      <c r="AW3760" s="28">
        <f t="shared" si="370"/>
        <v>-0.44721359549995793</v>
      </c>
      <c r="AX3760">
        <f t="shared" si="371"/>
        <v>0.8</v>
      </c>
      <c r="AY3760" s="62">
        <f t="shared" si="372"/>
        <v>-0.35777087639996635</v>
      </c>
      <c r="AZ3760" s="68" t="str">
        <f t="shared" si="373"/>
        <v>No</v>
      </c>
      <c r="BA3760" s="68" t="str">
        <f t="shared" si="374"/>
        <v>No</v>
      </c>
    </row>
    <row r="3761" spans="1:55" hidden="1">
      <c r="A3761" t="s">
        <v>3914</v>
      </c>
      <c r="G3761" t="s">
        <v>5102</v>
      </c>
      <c r="P3761" t="s">
        <v>60</v>
      </c>
      <c r="R3761" t="s">
        <v>4570</v>
      </c>
      <c r="S3761" t="s">
        <v>1765</v>
      </c>
      <c r="V3761" t="s">
        <v>3956</v>
      </c>
      <c r="Z3761">
        <v>10</v>
      </c>
      <c r="AA3761">
        <v>10</v>
      </c>
      <c r="AC3761">
        <v>433.2</v>
      </c>
      <c r="AD3761">
        <v>13</v>
      </c>
      <c r="AE3761">
        <v>1681.9</v>
      </c>
      <c r="AF3761">
        <v>13</v>
      </c>
      <c r="AJ3761" t="s">
        <v>4571</v>
      </c>
      <c r="AK3761" t="s">
        <v>4525</v>
      </c>
      <c r="AN3761">
        <v>21.3</v>
      </c>
      <c r="AO3761">
        <v>1.7</v>
      </c>
      <c r="AP3761">
        <v>28.5</v>
      </c>
      <c r="AQ3761">
        <v>2</v>
      </c>
      <c r="AW3761" s="28">
        <f t="shared" si="370"/>
        <v>3.8791617007706303</v>
      </c>
      <c r="AX3761">
        <f t="shared" si="371"/>
        <v>0.95774647887323949</v>
      </c>
      <c r="AY3761" s="62">
        <f t="shared" si="372"/>
        <v>3.715253459892998</v>
      </c>
      <c r="AZ3761" s="68" t="str">
        <f t="shared" si="373"/>
        <v>No</v>
      </c>
      <c r="BA3761" s="68" t="str">
        <f t="shared" si="374"/>
        <v>No</v>
      </c>
    </row>
    <row r="3762" spans="1:55" hidden="1">
      <c r="A3762" t="s">
        <v>3914</v>
      </c>
      <c r="G3762" t="s">
        <v>4567</v>
      </c>
      <c r="P3762" t="s">
        <v>60</v>
      </c>
      <c r="R3762" t="s">
        <v>4570</v>
      </c>
      <c r="S3762" t="s">
        <v>1765</v>
      </c>
      <c r="V3762" t="s">
        <v>3956</v>
      </c>
      <c r="Z3762">
        <v>10</v>
      </c>
      <c r="AA3762">
        <v>10</v>
      </c>
      <c r="AC3762">
        <v>433.2</v>
      </c>
      <c r="AD3762">
        <v>13</v>
      </c>
      <c r="AE3762">
        <v>1681.9</v>
      </c>
      <c r="AF3762">
        <v>13</v>
      </c>
      <c r="AJ3762" t="s">
        <v>4571</v>
      </c>
      <c r="AK3762" t="s">
        <v>4525</v>
      </c>
      <c r="AN3762">
        <v>27.4</v>
      </c>
      <c r="AO3762">
        <v>0.7</v>
      </c>
      <c r="AP3762">
        <v>36.200000000000003</v>
      </c>
      <c r="AQ3762">
        <v>2</v>
      </c>
      <c r="AW3762" s="28">
        <f t="shared" si="370"/>
        <v>5.8731960695408016</v>
      </c>
      <c r="AX3762">
        <f t="shared" si="371"/>
        <v>0.95774647887323949</v>
      </c>
      <c r="AY3762" s="62">
        <f t="shared" si="372"/>
        <v>5.6250328553348528</v>
      </c>
      <c r="AZ3762" s="68" t="str">
        <f t="shared" si="373"/>
        <v>No</v>
      </c>
      <c r="BA3762" s="68" t="str">
        <f t="shared" si="374"/>
        <v>No</v>
      </c>
    </row>
    <row r="3763" spans="1:55" hidden="1">
      <c r="A3763" t="s">
        <v>3914</v>
      </c>
      <c r="G3763" t="s">
        <v>4567</v>
      </c>
      <c r="P3763" t="s">
        <v>60</v>
      </c>
      <c r="R3763" t="s">
        <v>4570</v>
      </c>
      <c r="S3763" t="s">
        <v>1765</v>
      </c>
      <c r="V3763" t="s">
        <v>3956</v>
      </c>
      <c r="Z3763">
        <v>3</v>
      </c>
      <c r="AA3763">
        <v>3</v>
      </c>
      <c r="AC3763">
        <v>433.2</v>
      </c>
      <c r="AD3763">
        <v>13</v>
      </c>
      <c r="AE3763">
        <v>1681.9</v>
      </c>
      <c r="AF3763">
        <v>13</v>
      </c>
      <c r="AJ3763" t="s">
        <v>4590</v>
      </c>
      <c r="AK3763" t="s">
        <v>4502</v>
      </c>
      <c r="AN3763">
        <v>21</v>
      </c>
      <c r="AO3763">
        <v>3</v>
      </c>
      <c r="AP3763">
        <v>16</v>
      </c>
      <c r="AQ3763">
        <v>4</v>
      </c>
      <c r="AW3763" s="28">
        <f t="shared" si="370"/>
        <v>-1.4142135623730949</v>
      </c>
      <c r="AX3763">
        <f t="shared" si="371"/>
        <v>0.8</v>
      </c>
      <c r="AY3763" s="62">
        <f t="shared" si="372"/>
        <v>-1.131370849898476</v>
      </c>
      <c r="AZ3763" s="68" t="str">
        <f t="shared" si="373"/>
        <v>No</v>
      </c>
      <c r="BA3763" s="68" t="str">
        <f t="shared" si="374"/>
        <v>No</v>
      </c>
    </row>
    <row r="3764" spans="1:55" hidden="1">
      <c r="A3764" t="s">
        <v>3914</v>
      </c>
      <c r="G3764" t="s">
        <v>5054</v>
      </c>
      <c r="P3764" t="s">
        <v>60</v>
      </c>
      <c r="R3764" t="s">
        <v>4357</v>
      </c>
      <c r="S3764" t="s">
        <v>4398</v>
      </c>
      <c r="V3764" t="s">
        <v>3956</v>
      </c>
      <c r="Z3764">
        <v>21</v>
      </c>
      <c r="AA3764">
        <v>21</v>
      </c>
      <c r="AC3764">
        <v>419</v>
      </c>
      <c r="AD3764">
        <v>10.17</v>
      </c>
      <c r="AE3764">
        <v>1145</v>
      </c>
      <c r="AF3764">
        <v>10.34</v>
      </c>
      <c r="AJ3764" t="s">
        <v>4232</v>
      </c>
      <c r="AK3764" t="s">
        <v>4244</v>
      </c>
      <c r="AN3764">
        <v>3.7999999999999999E-2</v>
      </c>
      <c r="AO3764">
        <v>3.0000000000000001E-3</v>
      </c>
      <c r="AP3764">
        <v>3.4000000000000002E-2</v>
      </c>
      <c r="AQ3764">
        <v>2.8500000000000001E-3</v>
      </c>
      <c r="AW3764" s="28">
        <f t="shared" si="370"/>
        <v>-1.367072042269375</v>
      </c>
      <c r="AX3764">
        <f t="shared" si="371"/>
        <v>0.98113207547169812</v>
      </c>
      <c r="AY3764" s="62">
        <f t="shared" si="372"/>
        <v>-1.3412782301510848</v>
      </c>
      <c r="AZ3764" s="68" t="str">
        <f t="shared" si="373"/>
        <v>No</v>
      </c>
      <c r="BA3764" s="68" t="str">
        <f t="shared" si="374"/>
        <v>No</v>
      </c>
    </row>
    <row r="3765" spans="1:55" hidden="1">
      <c r="A3765" t="s">
        <v>3914</v>
      </c>
      <c r="G3765" t="s">
        <v>4277</v>
      </c>
      <c r="P3765" t="s">
        <v>60</v>
      </c>
      <c r="R3765" t="s">
        <v>4285</v>
      </c>
      <c r="S3765" t="s">
        <v>4281</v>
      </c>
      <c r="V3765" t="s">
        <v>3956</v>
      </c>
      <c r="Z3765">
        <v>10</v>
      </c>
      <c r="AA3765">
        <v>10</v>
      </c>
      <c r="AC3765">
        <v>450</v>
      </c>
      <c r="AD3765">
        <v>16.100000000000001</v>
      </c>
      <c r="AE3765">
        <v>3150</v>
      </c>
      <c r="AF3765">
        <v>15.9</v>
      </c>
      <c r="AJ3765" t="s">
        <v>4284</v>
      </c>
      <c r="AK3765" t="s">
        <v>4093</v>
      </c>
      <c r="AN3765">
        <v>9.1999999999999993</v>
      </c>
      <c r="AO3765">
        <v>5.0596442562694079</v>
      </c>
      <c r="AP3765">
        <v>1.7</v>
      </c>
      <c r="AQ3765">
        <v>1.5811388300841898</v>
      </c>
      <c r="AW3765" s="28">
        <f t="shared" si="370"/>
        <v>-2.0008894819207801</v>
      </c>
      <c r="AX3765">
        <f t="shared" si="371"/>
        <v>0.95774647887323949</v>
      </c>
      <c r="AY3765" s="62">
        <f t="shared" si="372"/>
        <v>-1.9163448559241276</v>
      </c>
      <c r="AZ3765" s="68" t="str">
        <f t="shared" si="373"/>
        <v>No</v>
      </c>
      <c r="BA3765" s="68" t="str">
        <f t="shared" si="374"/>
        <v>No</v>
      </c>
    </row>
    <row r="3766" spans="1:55" hidden="1">
      <c r="A3766" t="s">
        <v>3914</v>
      </c>
      <c r="G3766" t="s">
        <v>4277</v>
      </c>
      <c r="P3766" t="s">
        <v>60</v>
      </c>
      <c r="R3766" t="s">
        <v>4285</v>
      </c>
      <c r="S3766" t="s">
        <v>4281</v>
      </c>
      <c r="V3766" t="s">
        <v>3956</v>
      </c>
      <c r="Z3766">
        <v>10</v>
      </c>
      <c r="AA3766">
        <v>10</v>
      </c>
      <c r="AC3766">
        <v>450</v>
      </c>
      <c r="AD3766">
        <v>16.100000000000001</v>
      </c>
      <c r="AE3766">
        <v>1193</v>
      </c>
      <c r="AF3766">
        <v>15.7</v>
      </c>
      <c r="AJ3766" t="s">
        <v>4284</v>
      </c>
      <c r="AK3766" t="s">
        <v>4093</v>
      </c>
      <c r="AN3766">
        <v>9.1999999999999993</v>
      </c>
      <c r="AO3766">
        <v>5.0596442562694079</v>
      </c>
      <c r="AP3766">
        <v>7.3</v>
      </c>
      <c r="AQ3766">
        <v>7.905694150420949</v>
      </c>
      <c r="AW3766" s="28">
        <f t="shared" si="370"/>
        <v>-0.28627316832223121</v>
      </c>
      <c r="AX3766">
        <f t="shared" si="371"/>
        <v>0.95774647887323949</v>
      </c>
      <c r="AY3766" s="62">
        <f t="shared" si="372"/>
        <v>-0.27417711895650315</v>
      </c>
      <c r="AZ3766" s="68" t="str">
        <f t="shared" si="373"/>
        <v>No</v>
      </c>
      <c r="BA3766" s="68" t="str">
        <f t="shared" si="374"/>
        <v>No</v>
      </c>
    </row>
    <row r="3767" spans="1:55" hidden="1">
      <c r="A3767" t="s">
        <v>3914</v>
      </c>
      <c r="G3767" t="s">
        <v>4098</v>
      </c>
      <c r="P3767" t="s">
        <v>60</v>
      </c>
      <c r="R3767" t="s">
        <v>4116</v>
      </c>
      <c r="S3767" t="s">
        <v>4109</v>
      </c>
      <c r="V3767" t="s">
        <v>3956</v>
      </c>
      <c r="Z3767">
        <v>4</v>
      </c>
      <c r="AA3767">
        <v>4</v>
      </c>
      <c r="AC3767">
        <v>384.1</v>
      </c>
      <c r="AD3767">
        <v>20</v>
      </c>
      <c r="AE3767">
        <v>1442.1</v>
      </c>
      <c r="AF3767">
        <v>20</v>
      </c>
      <c r="AJ3767" t="s">
        <v>2020</v>
      </c>
      <c r="AK3767" t="s">
        <v>4093</v>
      </c>
      <c r="AN3767">
        <v>84</v>
      </c>
      <c r="AO3767">
        <v>10</v>
      </c>
      <c r="AP3767">
        <v>56</v>
      </c>
      <c r="AQ3767">
        <v>1</v>
      </c>
      <c r="AW3767" s="28">
        <f t="shared" si="370"/>
        <v>-3.9401462504896343</v>
      </c>
      <c r="AX3767">
        <f t="shared" si="371"/>
        <v>0.86956521739130432</v>
      </c>
      <c r="AY3767" s="62">
        <f t="shared" si="372"/>
        <v>-3.4262141308605516</v>
      </c>
      <c r="AZ3767" s="68" t="str">
        <f t="shared" si="373"/>
        <v>No</v>
      </c>
      <c r="BA3767" s="68" t="str">
        <f t="shared" si="374"/>
        <v>No</v>
      </c>
    </row>
    <row r="3768" spans="1:55" ht="15" hidden="1">
      <c r="A3768" t="s">
        <v>3914</v>
      </c>
      <c r="G3768" t="s">
        <v>4098</v>
      </c>
      <c r="P3768" t="s">
        <v>60</v>
      </c>
      <c r="R3768" t="s">
        <v>4116</v>
      </c>
      <c r="S3768" t="s">
        <v>4109</v>
      </c>
      <c r="V3768" t="s">
        <v>3956</v>
      </c>
      <c r="Z3768">
        <v>4</v>
      </c>
      <c r="AA3768">
        <v>4</v>
      </c>
      <c r="AC3768">
        <v>384.1</v>
      </c>
      <c r="AD3768">
        <v>20</v>
      </c>
      <c r="AE3768">
        <v>1442.1</v>
      </c>
      <c r="AF3768">
        <v>20</v>
      </c>
      <c r="AJ3768" t="s">
        <v>4231</v>
      </c>
      <c r="AK3768" t="s">
        <v>4244</v>
      </c>
      <c r="AN3768">
        <v>124.5</v>
      </c>
      <c r="AO3768">
        <v>3.4</v>
      </c>
      <c r="AP3768">
        <v>116</v>
      </c>
      <c r="AQ3768">
        <v>4</v>
      </c>
      <c r="AW3768" s="28">
        <f t="shared" si="370"/>
        <v>-2.2897829483715526</v>
      </c>
      <c r="AX3768">
        <f t="shared" si="371"/>
        <v>0.86956521739130432</v>
      </c>
      <c r="AY3768" s="73">
        <f t="shared" si="372"/>
        <v>-1.991115607279611</v>
      </c>
      <c r="AZ3768" s="74" t="str">
        <f t="shared" si="373"/>
        <v>No</v>
      </c>
      <c r="BA3768" s="74" t="str">
        <f t="shared" si="374"/>
        <v>No</v>
      </c>
      <c r="BB3768" s="56"/>
      <c r="BC3768" s="56"/>
    </row>
    <row r="3769" spans="1:55" ht="15" hidden="1">
      <c r="A3769" t="s">
        <v>3914</v>
      </c>
      <c r="G3769" t="s">
        <v>4098</v>
      </c>
      <c r="P3769" t="s">
        <v>60</v>
      </c>
      <c r="R3769" t="s">
        <v>4116</v>
      </c>
      <c r="S3769" t="s">
        <v>4109</v>
      </c>
      <c r="V3769" t="s">
        <v>3956</v>
      </c>
      <c r="Z3769">
        <v>4</v>
      </c>
      <c r="AA3769">
        <v>4</v>
      </c>
      <c r="AC3769">
        <v>384.1</v>
      </c>
      <c r="AD3769">
        <v>20</v>
      </c>
      <c r="AE3769">
        <v>1442.1</v>
      </c>
      <c r="AF3769">
        <v>20</v>
      </c>
      <c r="AJ3769" t="s">
        <v>4142</v>
      </c>
      <c r="AK3769" t="s">
        <v>4151</v>
      </c>
      <c r="AN3769">
        <v>86</v>
      </c>
      <c r="AO3769">
        <v>8</v>
      </c>
      <c r="AP3769">
        <v>50</v>
      </c>
      <c r="AQ3769">
        <v>13</v>
      </c>
      <c r="AW3769" s="28">
        <f t="shared" si="370"/>
        <v>-3.3353355932069721</v>
      </c>
      <c r="AX3769">
        <f t="shared" si="371"/>
        <v>0.86956521739130432</v>
      </c>
      <c r="AY3769" s="73">
        <f t="shared" si="372"/>
        <v>-2.9002918201799757</v>
      </c>
      <c r="AZ3769" s="74" t="str">
        <f t="shared" si="373"/>
        <v>No</v>
      </c>
      <c r="BA3769" s="74" t="str">
        <f t="shared" si="374"/>
        <v>No</v>
      </c>
      <c r="BB3769" s="56"/>
      <c r="BC3769" s="56"/>
    </row>
    <row r="3770" spans="1:55" ht="15" hidden="1">
      <c r="A3770" t="s">
        <v>3914</v>
      </c>
      <c r="G3770" t="s">
        <v>5083</v>
      </c>
      <c r="P3770" t="s">
        <v>60</v>
      </c>
      <c r="R3770" t="s">
        <v>4509</v>
      </c>
      <c r="S3770" t="s">
        <v>1751</v>
      </c>
      <c r="V3770" t="s">
        <v>3956</v>
      </c>
      <c r="Z3770">
        <v>3</v>
      </c>
      <c r="AA3770">
        <v>3</v>
      </c>
      <c r="AC3770">
        <v>489</v>
      </c>
      <c r="AD3770">
        <v>6.13</v>
      </c>
      <c r="AE3770">
        <v>1026</v>
      </c>
      <c r="AF3770">
        <v>5.96</v>
      </c>
      <c r="AJ3770" t="s">
        <v>4079</v>
      </c>
      <c r="AK3770" t="s">
        <v>4502</v>
      </c>
      <c r="AN3770">
        <v>0.14000000000000001</v>
      </c>
      <c r="AO3770">
        <v>5.1961524227066312E-2</v>
      </c>
      <c r="AP3770">
        <v>0.1</v>
      </c>
      <c r="AQ3770">
        <v>5.1961524227066317E-3</v>
      </c>
      <c r="AW3770" s="28">
        <f t="shared" si="370"/>
        <v>-1.083259284936517</v>
      </c>
      <c r="AX3770">
        <f t="shared" si="371"/>
        <v>0.8</v>
      </c>
      <c r="AY3770" s="73">
        <f t="shared" si="372"/>
        <v>-0.86660742794921364</v>
      </c>
      <c r="AZ3770" s="74" t="str">
        <f t="shared" si="373"/>
        <v>No</v>
      </c>
      <c r="BA3770" s="74" t="str">
        <f t="shared" si="374"/>
        <v>No</v>
      </c>
      <c r="BB3770" s="56"/>
      <c r="BC3770" s="56"/>
    </row>
    <row r="3771" spans="1:55" ht="15" hidden="1">
      <c r="A3771" t="s">
        <v>3914</v>
      </c>
      <c r="G3771" t="s">
        <v>4519</v>
      </c>
      <c r="P3771" t="s">
        <v>60</v>
      </c>
      <c r="R3771" t="s">
        <v>4509</v>
      </c>
      <c r="S3771" t="s">
        <v>1751</v>
      </c>
      <c r="V3771" t="s">
        <v>3956</v>
      </c>
      <c r="Z3771">
        <v>3</v>
      </c>
      <c r="AA3771">
        <v>3</v>
      </c>
      <c r="AC3771">
        <v>489</v>
      </c>
      <c r="AD3771">
        <v>6.13</v>
      </c>
      <c r="AE3771">
        <v>1026</v>
      </c>
      <c r="AF3771">
        <v>5.96</v>
      </c>
      <c r="AJ3771" t="s">
        <v>4020</v>
      </c>
      <c r="AK3771" t="s">
        <v>4537</v>
      </c>
      <c r="AN3771">
        <v>0.115</v>
      </c>
      <c r="AO3771">
        <v>8.6602540378443865E-3</v>
      </c>
      <c r="AP3771">
        <v>0.115</v>
      </c>
      <c r="AQ3771">
        <v>8.6602540378443865E-3</v>
      </c>
      <c r="AW3771" s="28">
        <f t="shared" si="370"/>
        <v>0</v>
      </c>
      <c r="AX3771">
        <f t="shared" si="371"/>
        <v>0.8</v>
      </c>
      <c r="AY3771" s="73">
        <f t="shared" si="372"/>
        <v>0</v>
      </c>
      <c r="AZ3771" s="74" t="str">
        <f t="shared" si="373"/>
        <v>No</v>
      </c>
      <c r="BA3771" s="74" t="str">
        <f t="shared" si="374"/>
        <v>No</v>
      </c>
      <c r="BB3771" s="56"/>
      <c r="BC3771" s="56"/>
    </row>
    <row r="3772" spans="1:55" ht="15" hidden="1">
      <c r="A3772" t="s">
        <v>3914</v>
      </c>
      <c r="G3772" t="s">
        <v>4519</v>
      </c>
      <c r="P3772" t="s">
        <v>60</v>
      </c>
      <c r="R3772" t="s">
        <v>4509</v>
      </c>
      <c r="S3772" t="s">
        <v>1751</v>
      </c>
      <c r="V3772" t="s">
        <v>3956</v>
      </c>
      <c r="Z3772">
        <v>3</v>
      </c>
      <c r="AA3772">
        <v>3</v>
      </c>
      <c r="AC3772">
        <v>489</v>
      </c>
      <c r="AD3772">
        <v>6.13</v>
      </c>
      <c r="AE3772">
        <v>2343</v>
      </c>
      <c r="AF3772">
        <v>6.3</v>
      </c>
      <c r="AJ3772" t="s">
        <v>4020</v>
      </c>
      <c r="AK3772" t="s">
        <v>4537</v>
      </c>
      <c r="AN3772">
        <v>0.115</v>
      </c>
      <c r="AO3772">
        <v>8.6602540378443865E-3</v>
      </c>
      <c r="AP3772">
        <v>0.11799999999999999</v>
      </c>
      <c r="AQ3772">
        <v>8.6602540378443865E-3</v>
      </c>
      <c r="AW3772" s="28">
        <f t="shared" si="370"/>
        <v>0.34641016151377418</v>
      </c>
      <c r="AX3772">
        <f t="shared" si="371"/>
        <v>0.8</v>
      </c>
      <c r="AY3772" s="73">
        <f t="shared" si="372"/>
        <v>0.27712812921101937</v>
      </c>
      <c r="AZ3772" s="74" t="str">
        <f t="shared" si="373"/>
        <v>No</v>
      </c>
      <c r="BA3772" s="74" t="str">
        <f t="shared" si="374"/>
        <v>No</v>
      </c>
      <c r="BB3772" s="56"/>
      <c r="BC3772" s="56"/>
    </row>
    <row r="3773" spans="1:55" ht="15" hidden="1">
      <c r="A3773" t="s">
        <v>3914</v>
      </c>
      <c r="G3773" t="s">
        <v>4519</v>
      </c>
      <c r="P3773" t="s">
        <v>60</v>
      </c>
      <c r="R3773" t="s">
        <v>4509</v>
      </c>
      <c r="S3773" t="s">
        <v>1751</v>
      </c>
      <c r="V3773" t="s">
        <v>3956</v>
      </c>
      <c r="Z3773">
        <v>3</v>
      </c>
      <c r="AA3773">
        <v>3</v>
      </c>
      <c r="AC3773">
        <v>489</v>
      </c>
      <c r="AD3773">
        <v>6.13</v>
      </c>
      <c r="AE3773">
        <v>2343</v>
      </c>
      <c r="AF3773">
        <v>6.3</v>
      </c>
      <c r="AJ3773" t="s">
        <v>4079</v>
      </c>
      <c r="AK3773" t="s">
        <v>4502</v>
      </c>
      <c r="AN3773">
        <v>0.14000000000000001</v>
      </c>
      <c r="AO3773">
        <v>5.1961524227066312E-2</v>
      </c>
      <c r="AP3773">
        <v>0.115</v>
      </c>
      <c r="AQ3773">
        <v>4.3301270189221933E-2</v>
      </c>
      <c r="AW3773" s="28">
        <f t="shared" si="370"/>
        <v>-0.52270837348931687</v>
      </c>
      <c r="AX3773">
        <f t="shared" si="371"/>
        <v>0.8</v>
      </c>
      <c r="AY3773" s="73">
        <f t="shared" si="372"/>
        <v>-0.41816669879145352</v>
      </c>
      <c r="AZ3773" s="74" t="str">
        <f t="shared" si="373"/>
        <v>No</v>
      </c>
      <c r="BA3773" s="74" t="str">
        <f t="shared" si="374"/>
        <v>No</v>
      </c>
      <c r="BB3773" s="56"/>
      <c r="BC3773" s="56"/>
    </row>
    <row r="3774" spans="1:55" ht="15" hidden="1">
      <c r="A3774" t="s">
        <v>3914</v>
      </c>
      <c r="G3774" t="s">
        <v>4519</v>
      </c>
      <c r="P3774" t="s">
        <v>60</v>
      </c>
      <c r="R3774" t="s">
        <v>4509</v>
      </c>
      <c r="S3774" t="s">
        <v>1751</v>
      </c>
      <c r="V3774" t="s">
        <v>3956</v>
      </c>
      <c r="Z3774">
        <v>3</v>
      </c>
      <c r="AA3774">
        <v>3</v>
      </c>
      <c r="AC3774">
        <v>489</v>
      </c>
      <c r="AD3774">
        <v>6.13</v>
      </c>
      <c r="AE3774">
        <v>2343</v>
      </c>
      <c r="AF3774">
        <v>6.3</v>
      </c>
      <c r="AJ3774" t="s">
        <v>4523</v>
      </c>
      <c r="AK3774" t="s">
        <v>4525</v>
      </c>
      <c r="AN3774">
        <v>45</v>
      </c>
      <c r="AO3774">
        <v>1</v>
      </c>
      <c r="AP3774">
        <v>42</v>
      </c>
      <c r="AQ3774">
        <v>2</v>
      </c>
      <c r="AW3774" s="28">
        <f t="shared" si="370"/>
        <v>-1.8973665961010275</v>
      </c>
      <c r="AX3774">
        <f t="shared" si="371"/>
        <v>0.8</v>
      </c>
      <c r="AY3774" s="73">
        <f t="shared" si="372"/>
        <v>-1.5178932768808222</v>
      </c>
      <c r="AZ3774" s="74" t="str">
        <f t="shared" si="373"/>
        <v>No</v>
      </c>
      <c r="BA3774" s="74" t="str">
        <f t="shared" si="374"/>
        <v>No</v>
      </c>
      <c r="BB3774" s="56"/>
      <c r="BC3774" s="56"/>
    </row>
    <row r="3775" spans="1:55" ht="15" hidden="1">
      <c r="A3775" t="s">
        <v>3914</v>
      </c>
      <c r="G3775" t="s">
        <v>5083</v>
      </c>
      <c r="P3775" t="s">
        <v>60</v>
      </c>
      <c r="R3775" t="s">
        <v>4509</v>
      </c>
      <c r="S3775" t="s">
        <v>1751</v>
      </c>
      <c r="V3775" t="s">
        <v>3956</v>
      </c>
      <c r="Z3775">
        <v>3</v>
      </c>
      <c r="AA3775">
        <v>3</v>
      </c>
      <c r="AC3775">
        <v>489</v>
      </c>
      <c r="AD3775">
        <v>6.13</v>
      </c>
      <c r="AE3775">
        <v>1026</v>
      </c>
      <c r="AF3775">
        <v>5.96</v>
      </c>
      <c r="AJ3775" t="s">
        <v>4523</v>
      </c>
      <c r="AK3775" t="s">
        <v>4525</v>
      </c>
      <c r="AN3775">
        <v>45</v>
      </c>
      <c r="AO3775">
        <v>1</v>
      </c>
      <c r="AP3775">
        <v>43</v>
      </c>
      <c r="AQ3775">
        <v>4</v>
      </c>
      <c r="AW3775" s="28">
        <f t="shared" si="370"/>
        <v>-0.68599434057003528</v>
      </c>
      <c r="AX3775">
        <f t="shared" si="371"/>
        <v>0.8</v>
      </c>
      <c r="AY3775" s="73">
        <f t="shared" si="372"/>
        <v>-0.54879547245602822</v>
      </c>
      <c r="AZ3775" s="74" t="str">
        <f t="shared" si="373"/>
        <v>No</v>
      </c>
      <c r="BA3775" s="74" t="str">
        <f t="shared" si="374"/>
        <v>No</v>
      </c>
      <c r="BB3775" s="56"/>
      <c r="BC3775" s="56"/>
    </row>
    <row r="3776" spans="1:55" ht="15" hidden="1">
      <c r="A3776" t="s">
        <v>3914</v>
      </c>
      <c r="G3776" s="50" t="s">
        <v>4519</v>
      </c>
      <c r="P3776" t="s">
        <v>60</v>
      </c>
      <c r="R3776" t="s">
        <v>4509</v>
      </c>
      <c r="S3776" s="50" t="s">
        <v>1751</v>
      </c>
      <c r="V3776" t="s">
        <v>3956</v>
      </c>
      <c r="Z3776" s="50">
        <v>3</v>
      </c>
      <c r="AA3776" s="50">
        <v>3</v>
      </c>
      <c r="AC3776">
        <v>489</v>
      </c>
      <c r="AD3776">
        <v>6.13</v>
      </c>
      <c r="AE3776">
        <v>2343</v>
      </c>
      <c r="AF3776">
        <v>6.3</v>
      </c>
      <c r="AJ3776" s="50" t="s">
        <v>4065</v>
      </c>
      <c r="AK3776" t="s">
        <v>4491</v>
      </c>
      <c r="AN3776">
        <v>81.3</v>
      </c>
      <c r="AO3776">
        <v>2.2999999999999998</v>
      </c>
      <c r="AP3776">
        <v>84.6</v>
      </c>
      <c r="AQ3776">
        <v>4</v>
      </c>
      <c r="AW3776" s="28">
        <f t="shared" si="370"/>
        <v>1.0114422871498159</v>
      </c>
      <c r="AX3776">
        <f t="shared" si="371"/>
        <v>0.8</v>
      </c>
      <c r="AY3776" s="73">
        <f t="shared" si="372"/>
        <v>0.80915382971985272</v>
      </c>
      <c r="AZ3776" s="74" t="str">
        <f t="shared" si="373"/>
        <v>No</v>
      </c>
      <c r="BA3776" s="74" t="str">
        <f t="shared" si="374"/>
        <v>No</v>
      </c>
      <c r="BB3776" s="56"/>
      <c r="BC3776" s="56"/>
    </row>
    <row r="3777" spans="1:55" ht="15" hidden="1">
      <c r="A3777" t="s">
        <v>3914</v>
      </c>
      <c r="G3777" s="50" t="s">
        <v>4519</v>
      </c>
      <c r="P3777" t="s">
        <v>60</v>
      </c>
      <c r="R3777" t="s">
        <v>4509</v>
      </c>
      <c r="S3777" s="50" t="s">
        <v>1751</v>
      </c>
      <c r="V3777" t="s">
        <v>3956</v>
      </c>
      <c r="Z3777" s="50">
        <v>3</v>
      </c>
      <c r="AA3777" s="50">
        <v>3</v>
      </c>
      <c r="AC3777">
        <v>489</v>
      </c>
      <c r="AD3777">
        <v>6.13</v>
      </c>
      <c r="AE3777">
        <v>1026</v>
      </c>
      <c r="AF3777">
        <v>5.96</v>
      </c>
      <c r="AJ3777" s="50" t="s">
        <v>4065</v>
      </c>
      <c r="AK3777" t="s">
        <v>4491</v>
      </c>
      <c r="AN3777">
        <v>81.3</v>
      </c>
      <c r="AO3777">
        <v>2.2999999999999998</v>
      </c>
      <c r="AP3777">
        <v>82.5</v>
      </c>
      <c r="AQ3777">
        <v>9.5</v>
      </c>
      <c r="AW3777" s="28">
        <f t="shared" si="370"/>
        <v>0.1736215485430439</v>
      </c>
      <c r="AX3777">
        <f t="shared" si="371"/>
        <v>0.8</v>
      </c>
      <c r="AY3777" s="73">
        <f t="shared" si="372"/>
        <v>0.13889723883443514</v>
      </c>
      <c r="AZ3777" s="74" t="str">
        <f t="shared" si="373"/>
        <v>No</v>
      </c>
      <c r="BA3777" s="74" t="str">
        <f t="shared" si="374"/>
        <v>No</v>
      </c>
      <c r="BB3777" s="56"/>
      <c r="BC3777" s="56"/>
    </row>
    <row r="3778" spans="1:55" ht="15" hidden="1">
      <c r="A3778" t="s">
        <v>3914</v>
      </c>
      <c r="G3778" s="50" t="s">
        <v>5096</v>
      </c>
      <c r="P3778" t="s">
        <v>60</v>
      </c>
      <c r="R3778" t="s">
        <v>4509</v>
      </c>
      <c r="S3778" s="50" t="s">
        <v>1751</v>
      </c>
      <c r="V3778" t="s">
        <v>3956</v>
      </c>
      <c r="Z3778" s="50">
        <v>5</v>
      </c>
      <c r="AA3778" s="50">
        <v>5</v>
      </c>
      <c r="AC3778">
        <v>428</v>
      </c>
      <c r="AD3778">
        <v>10</v>
      </c>
      <c r="AE3778">
        <v>3390</v>
      </c>
      <c r="AF3778">
        <v>10</v>
      </c>
      <c r="AJ3778" s="50" t="s">
        <v>4551</v>
      </c>
      <c r="AK3778" t="s">
        <v>4491</v>
      </c>
      <c r="AN3778">
        <v>84.5</v>
      </c>
      <c r="AO3778">
        <v>5</v>
      </c>
      <c r="AP3778">
        <v>78.400000000000006</v>
      </c>
      <c r="AQ3778">
        <v>6</v>
      </c>
      <c r="AW3778" s="28">
        <f t="shared" si="370"/>
        <v>-1.104536101718725</v>
      </c>
      <c r="AX3778">
        <f t="shared" si="371"/>
        <v>0.90322580645161288</v>
      </c>
      <c r="AY3778" s="73">
        <f t="shared" si="372"/>
        <v>-0.99764551122981604</v>
      </c>
      <c r="AZ3778" s="74" t="str">
        <f t="shared" si="373"/>
        <v>No</v>
      </c>
      <c r="BA3778" s="74" t="str">
        <f t="shared" si="374"/>
        <v>No</v>
      </c>
      <c r="BB3778" s="56"/>
      <c r="BC3778" s="56"/>
    </row>
    <row r="3779" spans="1:55" ht="15" hidden="1">
      <c r="A3779" t="s">
        <v>3914</v>
      </c>
      <c r="G3779" s="50" t="s">
        <v>4543</v>
      </c>
      <c r="P3779" t="s">
        <v>60</v>
      </c>
      <c r="R3779" t="s">
        <v>4509</v>
      </c>
      <c r="S3779" s="50" t="s">
        <v>1751</v>
      </c>
      <c r="V3779" t="s">
        <v>3956</v>
      </c>
      <c r="Z3779" s="50">
        <v>5</v>
      </c>
      <c r="AA3779" s="50">
        <v>5</v>
      </c>
      <c r="AC3779">
        <v>428</v>
      </c>
      <c r="AD3779">
        <v>10</v>
      </c>
      <c r="AE3779">
        <v>3390</v>
      </c>
      <c r="AF3779">
        <v>10</v>
      </c>
      <c r="AJ3779" s="50" t="s">
        <v>4552</v>
      </c>
      <c r="AK3779" t="s">
        <v>4491</v>
      </c>
      <c r="AN3779">
        <v>85.3</v>
      </c>
      <c r="AO3779">
        <v>11</v>
      </c>
      <c r="AP3779">
        <v>67.7</v>
      </c>
      <c r="AQ3779">
        <v>13</v>
      </c>
      <c r="AW3779" s="28">
        <f t="shared" si="370"/>
        <v>-1.4616004454258229</v>
      </c>
      <c r="AX3779">
        <f t="shared" si="371"/>
        <v>0.90322580645161288</v>
      </c>
      <c r="AY3779" s="73">
        <f t="shared" si="372"/>
        <v>-1.3201552410297754</v>
      </c>
      <c r="AZ3779" s="74" t="str">
        <f t="shared" si="373"/>
        <v>No</v>
      </c>
      <c r="BA3779" s="74" t="str">
        <f t="shared" si="374"/>
        <v>No</v>
      </c>
      <c r="BB3779" s="56"/>
      <c r="BC3779" s="56"/>
    </row>
    <row r="3780" spans="1:55" ht="15" hidden="1">
      <c r="A3780" t="s">
        <v>3914</v>
      </c>
      <c r="G3780" t="s">
        <v>4520</v>
      </c>
      <c r="P3780" t="s">
        <v>60</v>
      </c>
      <c r="R3780" t="s">
        <v>4509</v>
      </c>
      <c r="S3780" t="s">
        <v>1751</v>
      </c>
      <c r="V3780" t="s">
        <v>3956</v>
      </c>
      <c r="Z3780">
        <v>8</v>
      </c>
      <c r="AA3780">
        <v>8</v>
      </c>
      <c r="AC3780">
        <v>349</v>
      </c>
      <c r="AD3780">
        <v>4.5</v>
      </c>
      <c r="AE3780">
        <v>3103</v>
      </c>
      <c r="AF3780">
        <v>4.4000000000000004</v>
      </c>
      <c r="AJ3780" t="s">
        <v>4020</v>
      </c>
      <c r="AK3780" t="s">
        <v>4537</v>
      </c>
      <c r="AN3780">
        <v>0.17699999999999999</v>
      </c>
      <c r="AO3780">
        <v>1.4142135623730952E-2</v>
      </c>
      <c r="AP3780">
        <v>0.16</v>
      </c>
      <c r="AQ3780">
        <v>1.4142135623730952E-2</v>
      </c>
      <c r="AW3780" s="28">
        <f t="shared" si="370"/>
        <v>-1.2020815280171298</v>
      </c>
      <c r="AX3780">
        <f t="shared" si="371"/>
        <v>0.94545454545454544</v>
      </c>
      <c r="AY3780" s="73">
        <f t="shared" si="372"/>
        <v>-1.1365134446707408</v>
      </c>
      <c r="AZ3780" s="74" t="str">
        <f t="shared" si="373"/>
        <v>No</v>
      </c>
      <c r="BA3780" s="74" t="str">
        <f t="shared" si="374"/>
        <v>No</v>
      </c>
      <c r="BB3780" s="56"/>
      <c r="BC3780" s="56"/>
    </row>
    <row r="3781" spans="1:55" ht="15" hidden="1">
      <c r="A3781" t="s">
        <v>3914</v>
      </c>
      <c r="G3781" t="s">
        <v>4520</v>
      </c>
      <c r="P3781" t="s">
        <v>60</v>
      </c>
      <c r="R3781" t="s">
        <v>4509</v>
      </c>
      <c r="S3781" t="s">
        <v>1751</v>
      </c>
      <c r="V3781" t="s">
        <v>3956</v>
      </c>
      <c r="Z3781">
        <v>8</v>
      </c>
      <c r="AA3781">
        <v>8</v>
      </c>
      <c r="AC3781">
        <v>349</v>
      </c>
      <c r="AD3781">
        <v>4.5</v>
      </c>
      <c r="AE3781">
        <v>3103</v>
      </c>
      <c r="AF3781">
        <v>4.4000000000000004</v>
      </c>
      <c r="AJ3781" t="s">
        <v>4566</v>
      </c>
      <c r="AK3781" t="s">
        <v>4502</v>
      </c>
      <c r="AN3781">
        <v>0.68</v>
      </c>
      <c r="AO3781">
        <v>0.62225396744416184</v>
      </c>
      <c r="AP3781">
        <v>1</v>
      </c>
      <c r="AQ3781">
        <v>8.4852813742385708E-2</v>
      </c>
      <c r="AW3781" s="28">
        <f t="shared" si="370"/>
        <v>0.72060375857767189</v>
      </c>
      <c r="AX3781">
        <f t="shared" si="371"/>
        <v>0.94545454545454544</v>
      </c>
      <c r="AY3781" s="73">
        <f t="shared" si="372"/>
        <v>0.68129809901888982</v>
      </c>
      <c r="AZ3781" s="74" t="str">
        <f t="shared" si="373"/>
        <v>No</v>
      </c>
      <c r="BA3781" s="74" t="str">
        <f t="shared" si="374"/>
        <v>No</v>
      </c>
      <c r="BB3781" s="56"/>
      <c r="BC3781" s="56"/>
    </row>
    <row r="3782" spans="1:55" ht="15" hidden="1">
      <c r="A3782" t="s">
        <v>3914</v>
      </c>
      <c r="G3782" t="s">
        <v>5084</v>
      </c>
      <c r="P3782" t="s">
        <v>60</v>
      </c>
      <c r="R3782" t="s">
        <v>4509</v>
      </c>
      <c r="S3782" t="s">
        <v>1751</v>
      </c>
      <c r="V3782" t="s">
        <v>3956</v>
      </c>
      <c r="Z3782">
        <v>6</v>
      </c>
      <c r="AA3782">
        <v>6</v>
      </c>
      <c r="AC3782">
        <v>349</v>
      </c>
      <c r="AD3782">
        <v>4.5</v>
      </c>
      <c r="AE3782">
        <v>3103</v>
      </c>
      <c r="AF3782">
        <v>4.4000000000000004</v>
      </c>
      <c r="AJ3782" t="s">
        <v>4524</v>
      </c>
      <c r="AK3782" t="s">
        <v>4525</v>
      </c>
      <c r="AN3782">
        <v>53</v>
      </c>
      <c r="AO3782">
        <v>3</v>
      </c>
      <c r="AP3782">
        <v>65</v>
      </c>
      <c r="AQ3782">
        <v>7.5</v>
      </c>
      <c r="AW3782" s="28">
        <f t="shared" si="370"/>
        <v>2.1009029257555607</v>
      </c>
      <c r="AX3782">
        <f t="shared" si="371"/>
        <v>0.92307692307692313</v>
      </c>
      <c r="AY3782" s="73">
        <f t="shared" si="372"/>
        <v>1.9392950083897484</v>
      </c>
      <c r="AZ3782" s="74" t="str">
        <f t="shared" si="373"/>
        <v>No</v>
      </c>
      <c r="BA3782" s="74" t="str">
        <f t="shared" si="374"/>
        <v>No</v>
      </c>
      <c r="BB3782" s="56"/>
      <c r="BC3782" s="56"/>
    </row>
    <row r="3783" spans="1:55" ht="15" hidden="1">
      <c r="A3783" t="s">
        <v>3914</v>
      </c>
      <c r="G3783" t="s">
        <v>5084</v>
      </c>
      <c r="P3783" t="s">
        <v>60</v>
      </c>
      <c r="R3783" t="s">
        <v>4509</v>
      </c>
      <c r="S3783" t="s">
        <v>1751</v>
      </c>
      <c r="V3783" t="s">
        <v>3956</v>
      </c>
      <c r="Z3783">
        <v>6</v>
      </c>
      <c r="AA3783">
        <v>6</v>
      </c>
      <c r="AC3783">
        <v>349</v>
      </c>
      <c r="AD3783">
        <v>4.5</v>
      </c>
      <c r="AE3783">
        <v>3103</v>
      </c>
      <c r="AF3783">
        <v>4.4000000000000004</v>
      </c>
      <c r="AJ3783" t="s">
        <v>4549</v>
      </c>
      <c r="AK3783" t="s">
        <v>4491</v>
      </c>
      <c r="AN3783">
        <v>26</v>
      </c>
      <c r="AO3783">
        <v>12.24744871391589</v>
      </c>
      <c r="AP3783">
        <v>33</v>
      </c>
      <c r="AQ3783">
        <v>11.022703842524301</v>
      </c>
      <c r="AW3783" s="28">
        <f t="shared" si="370"/>
        <v>0.60079750559202438</v>
      </c>
      <c r="AX3783">
        <f t="shared" si="371"/>
        <v>0.92307692307692313</v>
      </c>
      <c r="AY3783" s="73">
        <f t="shared" si="372"/>
        <v>0.55458231285417636</v>
      </c>
      <c r="AZ3783" s="74" t="str">
        <f t="shared" si="373"/>
        <v>No</v>
      </c>
      <c r="BA3783" s="74" t="str">
        <f t="shared" si="374"/>
        <v>No</v>
      </c>
      <c r="BB3783" s="56"/>
      <c r="BC3783" s="56"/>
    </row>
    <row r="3784" spans="1:55" ht="15" hidden="1">
      <c r="A3784" t="s">
        <v>3914</v>
      </c>
      <c r="G3784" t="s">
        <v>4520</v>
      </c>
      <c r="P3784" t="s">
        <v>60</v>
      </c>
      <c r="R3784" t="s">
        <v>4509</v>
      </c>
      <c r="S3784" t="s">
        <v>1751</v>
      </c>
      <c r="V3784" t="s">
        <v>3956</v>
      </c>
      <c r="Z3784">
        <v>6</v>
      </c>
      <c r="AA3784">
        <v>6</v>
      </c>
      <c r="AC3784">
        <v>349</v>
      </c>
      <c r="AD3784">
        <v>4.5</v>
      </c>
      <c r="AE3784">
        <v>3103</v>
      </c>
      <c r="AF3784">
        <v>4.4000000000000004</v>
      </c>
      <c r="AJ3784" t="s">
        <v>4550</v>
      </c>
      <c r="AK3784" t="s">
        <v>4491</v>
      </c>
      <c r="AN3784">
        <v>34</v>
      </c>
      <c r="AO3784">
        <v>9.7979589711327115</v>
      </c>
      <c r="AP3784">
        <v>30</v>
      </c>
      <c r="AQ3784">
        <v>14.696938456699067</v>
      </c>
      <c r="AW3784" s="28">
        <f t="shared" si="370"/>
        <v>-0.32025630761017432</v>
      </c>
      <c r="AX3784">
        <f t="shared" si="371"/>
        <v>0.92307692307692313</v>
      </c>
      <c r="AY3784" s="73">
        <f t="shared" si="372"/>
        <v>-0.29562120702477629</v>
      </c>
      <c r="AZ3784" s="74" t="str">
        <f t="shared" si="373"/>
        <v>No</v>
      </c>
      <c r="BA3784" s="74" t="str">
        <f t="shared" si="374"/>
        <v>No</v>
      </c>
      <c r="BB3784" s="56"/>
      <c r="BC3784" s="56"/>
    </row>
    <row r="3785" spans="1:55" hidden="1">
      <c r="A3785" t="s">
        <v>3914</v>
      </c>
      <c r="G3785" t="s">
        <v>3961</v>
      </c>
      <c r="P3785" t="s">
        <v>60</v>
      </c>
      <c r="R3785" t="s">
        <v>3942</v>
      </c>
      <c r="S3785" t="s">
        <v>3971</v>
      </c>
      <c r="V3785" t="s">
        <v>3956</v>
      </c>
      <c r="Z3785">
        <v>3</v>
      </c>
      <c r="AA3785">
        <v>3</v>
      </c>
      <c r="AC3785">
        <v>479</v>
      </c>
      <c r="AD3785">
        <v>28.7</v>
      </c>
      <c r="AE3785">
        <v>738</v>
      </c>
      <c r="AF3785">
        <v>27.9</v>
      </c>
      <c r="AJ3785" t="s">
        <v>108</v>
      </c>
      <c r="AK3785" t="s">
        <v>904</v>
      </c>
      <c r="AN3785">
        <v>7.0000000000000001E-3</v>
      </c>
      <c r="AO3785">
        <v>4.5000000000000005E-3</v>
      </c>
      <c r="AP3785">
        <v>4.0000000000000001E-3</v>
      </c>
      <c r="AQ3785">
        <v>1.1250000000000001E-3</v>
      </c>
      <c r="AW3785" s="28">
        <f t="shared" si="370"/>
        <v>-0.91465912076004718</v>
      </c>
      <c r="AX3785">
        <f t="shared" si="371"/>
        <v>0.8</v>
      </c>
      <c r="AY3785" s="62">
        <f t="shared" si="372"/>
        <v>-0.73172729660803781</v>
      </c>
      <c r="AZ3785" s="68" t="str">
        <f t="shared" si="373"/>
        <v>No</v>
      </c>
      <c r="BA3785" s="68" t="str">
        <f t="shared" si="374"/>
        <v>No</v>
      </c>
    </row>
    <row r="3786" spans="1:55" hidden="1">
      <c r="A3786" t="s">
        <v>3914</v>
      </c>
      <c r="G3786" t="s">
        <v>3961</v>
      </c>
      <c r="P3786" t="s">
        <v>4596</v>
      </c>
      <c r="R3786" t="s">
        <v>3942</v>
      </c>
      <c r="S3786" t="s">
        <v>3971</v>
      </c>
      <c r="V3786" t="s">
        <v>4600</v>
      </c>
      <c r="Z3786">
        <v>3</v>
      </c>
      <c r="AA3786">
        <v>3</v>
      </c>
      <c r="AC3786">
        <v>479</v>
      </c>
      <c r="AD3786">
        <v>28</v>
      </c>
      <c r="AE3786">
        <v>790</v>
      </c>
      <c r="AF3786">
        <v>31</v>
      </c>
      <c r="AJ3786" t="s">
        <v>108</v>
      </c>
      <c r="AK3786" t="s">
        <v>904</v>
      </c>
      <c r="AL3786" s="59"/>
      <c r="AM3786" s="60"/>
      <c r="AN3786">
        <v>6.0000000000000001E-3</v>
      </c>
      <c r="AO3786" s="61">
        <v>9.6499973564551696E-3</v>
      </c>
      <c r="AP3786">
        <v>4.0000000000000001E-3</v>
      </c>
      <c r="AQ3786" s="61">
        <v>2.4743582965269699E-3</v>
      </c>
      <c r="AR3786" s="37"/>
      <c r="AS3786" s="37"/>
      <c r="AT3786" s="37"/>
      <c r="AU3786" s="37"/>
      <c r="AV3786" s="37"/>
      <c r="AW3786" s="28">
        <f t="shared" si="370"/>
        <v>-0.28391667399242926</v>
      </c>
      <c r="AX3786">
        <f t="shared" si="371"/>
        <v>0.8</v>
      </c>
      <c r="AY3786" s="62">
        <f t="shared" si="372"/>
        <v>-0.22713333919394341</v>
      </c>
      <c r="AZ3786" s="68" t="str">
        <f t="shared" si="373"/>
        <v>No</v>
      </c>
      <c r="BA3786" s="68" t="str">
        <f t="shared" si="374"/>
        <v>No</v>
      </c>
    </row>
    <row r="3787" spans="1:55" hidden="1">
      <c r="A3787" t="s">
        <v>3914</v>
      </c>
      <c r="G3787" t="s">
        <v>3961</v>
      </c>
      <c r="P3787" t="s">
        <v>4596</v>
      </c>
      <c r="R3787" t="s">
        <v>3942</v>
      </c>
      <c r="S3787" t="s">
        <v>3971</v>
      </c>
      <c r="V3787" t="s">
        <v>4598</v>
      </c>
      <c r="Z3787">
        <v>3</v>
      </c>
      <c r="AA3787">
        <v>3</v>
      </c>
      <c r="AC3787">
        <v>479</v>
      </c>
      <c r="AD3787">
        <v>28</v>
      </c>
      <c r="AE3787">
        <v>499</v>
      </c>
      <c r="AF3787">
        <v>31</v>
      </c>
      <c r="AJ3787" t="s">
        <v>4656</v>
      </c>
      <c r="AK3787" t="s">
        <v>904</v>
      </c>
      <c r="AL3787" s="59"/>
      <c r="AM3787" s="60"/>
      <c r="AN3787">
        <v>6.0000000000000001E-3</v>
      </c>
      <c r="AO3787" s="61">
        <v>9.6499973564551696E-3</v>
      </c>
      <c r="AP3787">
        <v>4.0000000000000001E-3</v>
      </c>
      <c r="AQ3787" s="61">
        <v>2.7217941261796618E-3</v>
      </c>
      <c r="AR3787" s="37"/>
      <c r="AS3787" s="37"/>
      <c r="AT3787" s="37"/>
      <c r="AU3787" s="37"/>
      <c r="AV3787" s="37"/>
      <c r="AW3787" s="28">
        <f t="shared" si="370"/>
        <v>-0.28209528657975785</v>
      </c>
      <c r="AX3787">
        <f t="shared" si="371"/>
        <v>0.8</v>
      </c>
      <c r="AY3787" s="62">
        <f t="shared" si="372"/>
        <v>-0.22567622926380629</v>
      </c>
      <c r="AZ3787" s="68" t="str">
        <f t="shared" si="373"/>
        <v>No</v>
      </c>
      <c r="BA3787" s="68" t="str">
        <f t="shared" si="374"/>
        <v>No</v>
      </c>
    </row>
    <row r="3788" spans="1:55" hidden="1">
      <c r="A3788" t="s">
        <v>3914</v>
      </c>
      <c r="G3788" t="s">
        <v>3961</v>
      </c>
      <c r="P3788" t="s">
        <v>60</v>
      </c>
      <c r="R3788" t="s">
        <v>3942</v>
      </c>
      <c r="S3788" t="s">
        <v>1012</v>
      </c>
      <c r="V3788" t="s">
        <v>3956</v>
      </c>
      <c r="Z3788">
        <v>3</v>
      </c>
      <c r="AA3788">
        <v>3</v>
      </c>
      <c r="AC3788">
        <v>479</v>
      </c>
      <c r="AD3788">
        <v>28.7</v>
      </c>
      <c r="AE3788">
        <v>738</v>
      </c>
      <c r="AF3788">
        <v>27.9</v>
      </c>
      <c r="AJ3788" t="s">
        <v>108</v>
      </c>
      <c r="AK3788" t="s">
        <v>904</v>
      </c>
      <c r="AN3788">
        <v>1.7999999999999999E-2</v>
      </c>
      <c r="AO3788">
        <v>5.2500000000000003E-3</v>
      </c>
      <c r="AP3788">
        <v>0.02</v>
      </c>
      <c r="AQ3788">
        <v>3.7499999999999999E-3</v>
      </c>
      <c r="AW3788" s="28">
        <f t="shared" si="370"/>
        <v>0.43839729948095318</v>
      </c>
      <c r="AX3788">
        <f t="shared" si="371"/>
        <v>0.8</v>
      </c>
      <c r="AY3788" s="62">
        <f t="shared" si="372"/>
        <v>0.35071783958476255</v>
      </c>
      <c r="AZ3788" s="68" t="str">
        <f t="shared" si="373"/>
        <v>No</v>
      </c>
      <c r="BA3788" s="68" t="str">
        <f t="shared" si="374"/>
        <v>No</v>
      </c>
    </row>
    <row r="3789" spans="1:55" hidden="1">
      <c r="A3789" t="s">
        <v>3914</v>
      </c>
      <c r="G3789" t="s">
        <v>3961</v>
      </c>
      <c r="P3789" t="s">
        <v>60</v>
      </c>
      <c r="R3789" t="s">
        <v>3942</v>
      </c>
      <c r="S3789" t="s">
        <v>3971</v>
      </c>
      <c r="V3789" t="s">
        <v>3956</v>
      </c>
      <c r="Z3789">
        <v>3</v>
      </c>
      <c r="AA3789">
        <v>3</v>
      </c>
      <c r="AC3789">
        <v>479</v>
      </c>
      <c r="AD3789">
        <v>28.7</v>
      </c>
      <c r="AE3789">
        <v>738</v>
      </c>
      <c r="AF3789">
        <v>27.9</v>
      </c>
      <c r="AJ3789" t="s">
        <v>3987</v>
      </c>
      <c r="AK3789" t="s">
        <v>904</v>
      </c>
      <c r="AN3789">
        <v>0.05</v>
      </c>
      <c r="AO3789">
        <f>0.033*0.75</f>
        <v>2.4750000000000001E-2</v>
      </c>
      <c r="AP3789">
        <v>3.2000000000000001E-2</v>
      </c>
      <c r="AQ3789">
        <f>0.006*0.75</f>
        <v>4.5000000000000005E-3</v>
      </c>
      <c r="AW3789" s="28">
        <f t="shared" si="370"/>
        <v>-1.0119288512538813</v>
      </c>
      <c r="AX3789">
        <f t="shared" si="371"/>
        <v>0.8</v>
      </c>
      <c r="AY3789" s="62">
        <f t="shared" si="372"/>
        <v>-0.80954308100310512</v>
      </c>
      <c r="AZ3789" s="68" t="str">
        <f t="shared" si="373"/>
        <v>No</v>
      </c>
      <c r="BA3789" s="68" t="str">
        <f t="shared" si="374"/>
        <v>No</v>
      </c>
    </row>
    <row r="3790" spans="1:55" hidden="1">
      <c r="A3790" t="s">
        <v>3914</v>
      </c>
      <c r="G3790" t="s">
        <v>3961</v>
      </c>
      <c r="P3790" t="s">
        <v>4596</v>
      </c>
      <c r="R3790" t="s">
        <v>3942</v>
      </c>
      <c r="S3790" t="s">
        <v>1012</v>
      </c>
      <c r="V3790" t="s">
        <v>4600</v>
      </c>
      <c r="Z3790">
        <v>3</v>
      </c>
      <c r="AA3790">
        <v>3</v>
      </c>
      <c r="AC3790">
        <v>479</v>
      </c>
      <c r="AD3790">
        <v>28</v>
      </c>
      <c r="AE3790">
        <v>790</v>
      </c>
      <c r="AF3790">
        <v>31</v>
      </c>
      <c r="AJ3790" t="s">
        <v>108</v>
      </c>
      <c r="AK3790" t="s">
        <v>904</v>
      </c>
      <c r="AL3790" s="59"/>
      <c r="AM3790" s="60"/>
      <c r="AN3790">
        <v>1.6E-2</v>
      </c>
      <c r="AO3790" s="61">
        <v>1.1876919823329515E-2</v>
      </c>
      <c r="AP3790">
        <v>8.9999999999999993E-3</v>
      </c>
      <c r="AQ3790" s="61">
        <v>8.9076898674969388E-3</v>
      </c>
      <c r="AR3790" s="37"/>
      <c r="AS3790" s="37"/>
      <c r="AT3790" s="37"/>
      <c r="AU3790" s="37"/>
      <c r="AV3790" s="37"/>
      <c r="AW3790" s="28">
        <f t="shared" ref="AW3790:AW3853" si="375">(AP3790-$AN3790)/SQRT(((AA3790-1)*AQ3790*AQ3790+($Z3790-1)*$AO3790*$AO3790)/(AA3790+$Z3790-2))</f>
        <v>-0.66680554109097767</v>
      </c>
      <c r="AX3790">
        <f t="shared" ref="AX3790:AX3853" si="376">1-(3/(4*(AA3790+$Z3790-2)-1))</f>
        <v>0.8</v>
      </c>
      <c r="AY3790" s="62">
        <f t="shared" ref="AY3790:AY3853" si="377">AX3790*AW3790</f>
        <v>-0.5334444328727822</v>
      </c>
      <c r="AZ3790" s="68" t="str">
        <f t="shared" ref="AZ3790:AZ3853" si="378">IF(AY3790&gt;10,"Yes","No")</f>
        <v>No</v>
      </c>
      <c r="BA3790" s="68" t="str">
        <f t="shared" ref="BA3790:BA3853" si="379">IF(AY3790&lt;-10,"Yes","No")</f>
        <v>No</v>
      </c>
    </row>
    <row r="3791" spans="1:55" hidden="1">
      <c r="A3791" t="s">
        <v>3914</v>
      </c>
      <c r="G3791" t="s">
        <v>3961</v>
      </c>
      <c r="P3791" t="s">
        <v>60</v>
      </c>
      <c r="R3791" t="s">
        <v>3942</v>
      </c>
      <c r="S3791" t="s">
        <v>3971</v>
      </c>
      <c r="V3791" t="s">
        <v>3956</v>
      </c>
      <c r="Z3791">
        <v>3</v>
      </c>
      <c r="AA3791">
        <v>3</v>
      </c>
      <c r="AC3791">
        <v>479</v>
      </c>
      <c r="AD3791">
        <v>28.7</v>
      </c>
      <c r="AE3791">
        <v>738</v>
      </c>
      <c r="AF3791">
        <v>27.9</v>
      </c>
      <c r="AJ3791" t="s">
        <v>3993</v>
      </c>
      <c r="AK3791" t="s">
        <v>904</v>
      </c>
      <c r="AN3791">
        <v>0.73</v>
      </c>
      <c r="AO3791">
        <f>0.015*0.75</f>
        <v>1.125E-2</v>
      </c>
      <c r="AP3791">
        <v>0.73199999999999998</v>
      </c>
      <c r="AQ3791">
        <f>0.012*0.75</f>
        <v>9.0000000000000011E-3</v>
      </c>
      <c r="AW3791" s="28">
        <f t="shared" si="375"/>
        <v>0.19632271302194956</v>
      </c>
      <c r="AX3791">
        <f t="shared" si="376"/>
        <v>0.8</v>
      </c>
      <c r="AY3791" s="62">
        <f t="shared" si="377"/>
        <v>0.15705817041755965</v>
      </c>
      <c r="AZ3791" s="68" t="str">
        <f t="shared" si="378"/>
        <v>No</v>
      </c>
      <c r="BA3791" s="68" t="str">
        <f t="shared" si="379"/>
        <v>No</v>
      </c>
    </row>
    <row r="3792" spans="1:55" hidden="1">
      <c r="A3792" t="s">
        <v>3914</v>
      </c>
      <c r="G3792" t="s">
        <v>3961</v>
      </c>
      <c r="P3792" t="s">
        <v>4596</v>
      </c>
      <c r="R3792" t="s">
        <v>3942</v>
      </c>
      <c r="S3792" t="s">
        <v>1012</v>
      </c>
      <c r="V3792" t="s">
        <v>4598</v>
      </c>
      <c r="Z3792">
        <v>3</v>
      </c>
      <c r="AA3792">
        <v>3</v>
      </c>
      <c r="AC3792">
        <v>479</v>
      </c>
      <c r="AD3792">
        <v>28</v>
      </c>
      <c r="AE3792">
        <v>499</v>
      </c>
      <c r="AF3792">
        <v>31</v>
      </c>
      <c r="AJ3792" t="s">
        <v>108</v>
      </c>
      <c r="AK3792" t="s">
        <v>904</v>
      </c>
      <c r="AL3792" s="59"/>
      <c r="AM3792" s="60"/>
      <c r="AN3792">
        <v>1.6E-2</v>
      </c>
      <c r="AO3792" s="61">
        <v>1.1876919823329515E-2</v>
      </c>
      <c r="AP3792">
        <v>1.4999999999999999E-2</v>
      </c>
      <c r="AQ3792" s="61">
        <v>9.1551256971498015E-3</v>
      </c>
      <c r="AR3792" s="37"/>
      <c r="AS3792" s="37"/>
      <c r="AT3792" s="37"/>
      <c r="AU3792" s="37"/>
      <c r="AV3792" s="37"/>
      <c r="AW3792" s="28">
        <f t="shared" si="375"/>
        <v>-9.4306569302048268E-2</v>
      </c>
      <c r="AX3792">
        <f t="shared" si="376"/>
        <v>0.8</v>
      </c>
      <c r="AY3792" s="62">
        <f t="shared" si="377"/>
        <v>-7.5445255441638617E-2</v>
      </c>
      <c r="AZ3792" s="68" t="str">
        <f t="shared" si="378"/>
        <v>No</v>
      </c>
      <c r="BA3792" s="68" t="str">
        <f t="shared" si="379"/>
        <v>No</v>
      </c>
    </row>
    <row r="3793" spans="1:53" hidden="1">
      <c r="A3793" t="s">
        <v>3914</v>
      </c>
      <c r="G3793" t="s">
        <v>3961</v>
      </c>
      <c r="P3793" t="s">
        <v>4596</v>
      </c>
      <c r="R3793" t="s">
        <v>3942</v>
      </c>
      <c r="S3793" t="s">
        <v>1012</v>
      </c>
      <c r="V3793" t="s">
        <v>4600</v>
      </c>
      <c r="Z3793">
        <v>3</v>
      </c>
      <c r="AA3793">
        <v>3</v>
      </c>
      <c r="AC3793">
        <v>479</v>
      </c>
      <c r="AD3793">
        <v>28</v>
      </c>
      <c r="AE3793">
        <v>790</v>
      </c>
      <c r="AF3793">
        <v>31</v>
      </c>
      <c r="AJ3793" t="s">
        <v>3987</v>
      </c>
      <c r="AK3793" t="s">
        <v>904</v>
      </c>
      <c r="AL3793" s="59"/>
      <c r="AM3793" s="60"/>
      <c r="AN3793">
        <v>2.7E-2</v>
      </c>
      <c r="AO3793" s="61">
        <v>3.3385906870530564E-2</v>
      </c>
      <c r="AP3793">
        <v>0.01</v>
      </c>
      <c r="AQ3793" s="61">
        <v>1.1572327044025148E-2</v>
      </c>
      <c r="AR3793" s="37"/>
      <c r="AS3793" s="37"/>
      <c r="AT3793" s="37"/>
      <c r="AU3793" s="37"/>
      <c r="AV3793" s="37"/>
      <c r="AW3793" s="28">
        <f t="shared" si="375"/>
        <v>-0.68039814102287688</v>
      </c>
      <c r="AX3793">
        <f t="shared" si="376"/>
        <v>0.8</v>
      </c>
      <c r="AY3793" s="62">
        <f t="shared" si="377"/>
        <v>-0.54431851281830157</v>
      </c>
      <c r="AZ3793" s="68" t="str">
        <f t="shared" si="378"/>
        <v>No</v>
      </c>
      <c r="BA3793" s="68" t="str">
        <f t="shared" si="379"/>
        <v>No</v>
      </c>
    </row>
    <row r="3794" spans="1:53" hidden="1">
      <c r="A3794" t="s">
        <v>3914</v>
      </c>
      <c r="G3794" t="s">
        <v>3961</v>
      </c>
      <c r="P3794" t="s">
        <v>4596</v>
      </c>
      <c r="R3794" t="s">
        <v>3942</v>
      </c>
      <c r="S3794" t="s">
        <v>3971</v>
      </c>
      <c r="V3794" t="s">
        <v>4600</v>
      </c>
      <c r="Z3794">
        <v>3</v>
      </c>
      <c r="AA3794">
        <v>3</v>
      </c>
      <c r="AC3794">
        <v>479</v>
      </c>
      <c r="AD3794">
        <v>28</v>
      </c>
      <c r="AE3794">
        <v>790</v>
      </c>
      <c r="AF3794">
        <v>31</v>
      </c>
      <c r="AJ3794" t="s">
        <v>3987</v>
      </c>
      <c r="AK3794" t="s">
        <v>904</v>
      </c>
      <c r="AL3794" s="59"/>
      <c r="AM3794" s="60"/>
      <c r="AN3794">
        <v>3.9E-2</v>
      </c>
      <c r="AO3794" s="61">
        <v>6.1207495929305911E-2</v>
      </c>
      <c r="AP3794">
        <v>1.4999999999999999E-2</v>
      </c>
      <c r="AQ3794" s="61">
        <v>1.2592929784498386E-2</v>
      </c>
      <c r="AR3794" s="37"/>
      <c r="AS3794" s="37"/>
      <c r="AT3794" s="37"/>
      <c r="AU3794" s="37"/>
      <c r="AV3794" s="37"/>
      <c r="AW3794" s="28">
        <f t="shared" si="375"/>
        <v>-0.5431491298786244</v>
      </c>
      <c r="AX3794">
        <f t="shared" si="376"/>
        <v>0.8</v>
      </c>
      <c r="AY3794" s="62">
        <f t="shared" si="377"/>
        <v>-0.43451930390289956</v>
      </c>
      <c r="AZ3794" s="68" t="str">
        <f t="shared" si="378"/>
        <v>No</v>
      </c>
      <c r="BA3794" s="68" t="str">
        <f t="shared" si="379"/>
        <v>No</v>
      </c>
    </row>
    <row r="3795" spans="1:53" hidden="1">
      <c r="A3795" t="s">
        <v>3914</v>
      </c>
      <c r="G3795" t="s">
        <v>3961</v>
      </c>
      <c r="P3795" t="s">
        <v>4596</v>
      </c>
      <c r="R3795" t="s">
        <v>3942</v>
      </c>
      <c r="S3795" t="s">
        <v>3971</v>
      </c>
      <c r="V3795" t="s">
        <v>4598</v>
      </c>
      <c r="Z3795">
        <v>3</v>
      </c>
      <c r="AA3795">
        <v>3</v>
      </c>
      <c r="AC3795">
        <v>479</v>
      </c>
      <c r="AD3795">
        <v>28</v>
      </c>
      <c r="AE3795">
        <v>499</v>
      </c>
      <c r="AF3795">
        <v>31</v>
      </c>
      <c r="AJ3795" t="s">
        <v>4958</v>
      </c>
      <c r="AK3795" t="s">
        <v>904</v>
      </c>
      <c r="AL3795" s="59"/>
      <c r="AM3795" s="60"/>
      <c r="AN3795">
        <v>3.9E-2</v>
      </c>
      <c r="AO3795" s="61">
        <v>6.1207495929305911E-2</v>
      </c>
      <c r="AP3795">
        <v>1.9E-2</v>
      </c>
      <c r="AQ3795" s="61">
        <v>1.288578861669608E-2</v>
      </c>
      <c r="AR3795" s="37"/>
      <c r="AS3795" s="37"/>
      <c r="AT3795" s="37"/>
      <c r="AU3795" s="37"/>
      <c r="AV3795" s="37"/>
      <c r="AW3795" s="28">
        <f t="shared" si="375"/>
        <v>-0.45219245008287962</v>
      </c>
      <c r="AX3795">
        <f t="shared" si="376"/>
        <v>0.8</v>
      </c>
      <c r="AY3795" s="62">
        <f t="shared" si="377"/>
        <v>-0.36175396006630373</v>
      </c>
      <c r="AZ3795" s="68" t="str">
        <f t="shared" si="378"/>
        <v>No</v>
      </c>
      <c r="BA3795" s="68" t="str">
        <f t="shared" si="379"/>
        <v>No</v>
      </c>
    </row>
    <row r="3796" spans="1:53" hidden="1">
      <c r="A3796" t="s">
        <v>3914</v>
      </c>
      <c r="G3796" t="s">
        <v>3961</v>
      </c>
      <c r="P3796" t="s">
        <v>60</v>
      </c>
      <c r="R3796" t="s">
        <v>3942</v>
      </c>
      <c r="S3796" t="s">
        <v>1012</v>
      </c>
      <c r="V3796" t="s">
        <v>3956</v>
      </c>
      <c r="Z3796">
        <v>3</v>
      </c>
      <c r="AA3796">
        <v>3</v>
      </c>
      <c r="AC3796">
        <v>479</v>
      </c>
      <c r="AD3796">
        <v>28.7</v>
      </c>
      <c r="AE3796">
        <v>738</v>
      </c>
      <c r="AF3796">
        <v>27.9</v>
      </c>
      <c r="AJ3796" t="s">
        <v>3987</v>
      </c>
      <c r="AK3796" t="s">
        <v>904</v>
      </c>
      <c r="AN3796">
        <v>2.7E-2</v>
      </c>
      <c r="AO3796">
        <f>0.02*0.75</f>
        <v>1.4999999999999999E-2</v>
      </c>
      <c r="AP3796">
        <v>3.1E-2</v>
      </c>
      <c r="AQ3796">
        <f>0.019*0.75</f>
        <v>1.4249999999999999E-2</v>
      </c>
      <c r="AW3796" s="28">
        <f t="shared" si="375"/>
        <v>0.27341440845387527</v>
      </c>
      <c r="AX3796">
        <f t="shared" si="376"/>
        <v>0.8</v>
      </c>
      <c r="AY3796" s="62">
        <f t="shared" si="377"/>
        <v>0.21873152676310023</v>
      </c>
      <c r="AZ3796" s="68" t="str">
        <f t="shared" si="378"/>
        <v>No</v>
      </c>
      <c r="BA3796" s="68" t="str">
        <f t="shared" si="379"/>
        <v>No</v>
      </c>
    </row>
    <row r="3797" spans="1:53" hidden="1">
      <c r="A3797" t="s">
        <v>3914</v>
      </c>
      <c r="G3797" t="s">
        <v>3961</v>
      </c>
      <c r="P3797" t="s">
        <v>4596</v>
      </c>
      <c r="R3797" t="s">
        <v>3942</v>
      </c>
      <c r="S3797" t="s">
        <v>1012</v>
      </c>
      <c r="V3797" t="s">
        <v>4598</v>
      </c>
      <c r="Z3797">
        <v>3</v>
      </c>
      <c r="AA3797">
        <v>3</v>
      </c>
      <c r="AC3797">
        <v>479</v>
      </c>
      <c r="AD3797">
        <v>28</v>
      </c>
      <c r="AE3797">
        <v>499</v>
      </c>
      <c r="AF3797">
        <v>31</v>
      </c>
      <c r="AJ3797" t="s">
        <v>3987</v>
      </c>
      <c r="AK3797" t="s">
        <v>904</v>
      </c>
      <c r="AL3797" s="59"/>
      <c r="AM3797" s="60"/>
      <c r="AN3797">
        <v>2.7E-2</v>
      </c>
      <c r="AO3797" s="61">
        <v>3.3385906870530564E-2</v>
      </c>
      <c r="AP3797">
        <v>1.4999999999999999E-2</v>
      </c>
      <c r="AQ3797" s="61">
        <v>1.6985812267462805E-2</v>
      </c>
      <c r="AR3797" s="37"/>
      <c r="AS3797" s="37"/>
      <c r="AT3797" s="37"/>
      <c r="AU3797" s="37"/>
      <c r="AV3797" s="37"/>
      <c r="AW3797" s="28">
        <f t="shared" si="375"/>
        <v>-0.45305013897110291</v>
      </c>
      <c r="AX3797">
        <f t="shared" si="376"/>
        <v>0.8</v>
      </c>
      <c r="AY3797" s="62">
        <f t="shared" si="377"/>
        <v>-0.36244011117688235</v>
      </c>
      <c r="AZ3797" s="68" t="str">
        <f t="shared" si="378"/>
        <v>No</v>
      </c>
      <c r="BA3797" s="68" t="str">
        <f t="shared" si="379"/>
        <v>No</v>
      </c>
    </row>
    <row r="3798" spans="1:53" hidden="1">
      <c r="A3798" t="s">
        <v>3914</v>
      </c>
      <c r="G3798" t="s">
        <v>3961</v>
      </c>
      <c r="P3798" t="s">
        <v>4596</v>
      </c>
      <c r="R3798" t="s">
        <v>3942</v>
      </c>
      <c r="S3798" t="s">
        <v>3971</v>
      </c>
      <c r="V3798" t="s">
        <v>4600</v>
      </c>
      <c r="Z3798">
        <v>3</v>
      </c>
      <c r="AA3798">
        <v>3</v>
      </c>
      <c r="AC3798">
        <v>479</v>
      </c>
      <c r="AD3798">
        <v>28</v>
      </c>
      <c r="AE3798">
        <v>790</v>
      </c>
      <c r="AF3798">
        <v>31</v>
      </c>
      <c r="AJ3798" t="s">
        <v>3993</v>
      </c>
      <c r="AK3798" t="s">
        <v>4650</v>
      </c>
      <c r="AL3798" s="59"/>
      <c r="AM3798" s="60"/>
      <c r="AN3798">
        <v>0.73</v>
      </c>
      <c r="AO3798" s="61">
        <v>2.2059137643566221E-2</v>
      </c>
      <c r="AP3798">
        <v>0.71799999999999997</v>
      </c>
      <c r="AQ3798" s="61">
        <v>2.6144163133114351E-2</v>
      </c>
      <c r="AR3798" s="37"/>
      <c r="AS3798" s="37"/>
      <c r="AT3798" s="37"/>
      <c r="AU3798" s="37"/>
      <c r="AV3798" s="37"/>
      <c r="AW3798" s="28">
        <f t="shared" si="375"/>
        <v>-0.49611289957752197</v>
      </c>
      <c r="AX3798">
        <f t="shared" si="376"/>
        <v>0.8</v>
      </c>
      <c r="AY3798" s="62">
        <f t="shared" si="377"/>
        <v>-0.3968903196620176</v>
      </c>
      <c r="AZ3798" s="68" t="str">
        <f t="shared" si="378"/>
        <v>No</v>
      </c>
      <c r="BA3798" s="68" t="str">
        <f t="shared" si="379"/>
        <v>No</v>
      </c>
    </row>
    <row r="3799" spans="1:53" hidden="1">
      <c r="A3799" t="s">
        <v>3914</v>
      </c>
      <c r="G3799" t="s">
        <v>3961</v>
      </c>
      <c r="P3799" t="s">
        <v>4596</v>
      </c>
      <c r="R3799" t="s">
        <v>3942</v>
      </c>
      <c r="S3799" t="s">
        <v>3971</v>
      </c>
      <c r="V3799" t="s">
        <v>4598</v>
      </c>
      <c r="Z3799">
        <v>3</v>
      </c>
      <c r="AA3799">
        <v>3</v>
      </c>
      <c r="AC3799">
        <v>479</v>
      </c>
      <c r="AD3799">
        <v>28</v>
      </c>
      <c r="AE3799">
        <v>499</v>
      </c>
      <c r="AF3799">
        <v>31</v>
      </c>
      <c r="AJ3799" t="s">
        <v>3993</v>
      </c>
      <c r="AK3799" t="s">
        <v>4650</v>
      </c>
      <c r="AL3799" s="59"/>
      <c r="AM3799" s="60"/>
      <c r="AN3799">
        <v>0.73</v>
      </c>
      <c r="AO3799" s="61">
        <v>2.2059137643566221E-2</v>
      </c>
      <c r="AP3799">
        <v>0.72199999999999998</v>
      </c>
      <c r="AQ3799" s="61">
        <v>2.777817332893549E-2</v>
      </c>
      <c r="AR3799" s="37"/>
      <c r="AS3799" s="37"/>
      <c r="AT3799" s="37"/>
      <c r="AU3799" s="37"/>
      <c r="AV3799" s="37"/>
      <c r="AW3799" s="28">
        <f t="shared" si="375"/>
        <v>-0.31895142081785588</v>
      </c>
      <c r="AX3799">
        <f t="shared" si="376"/>
        <v>0.8</v>
      </c>
      <c r="AY3799" s="62">
        <f t="shared" si="377"/>
        <v>-0.25516113665428469</v>
      </c>
      <c r="AZ3799" s="68" t="str">
        <f t="shared" si="378"/>
        <v>No</v>
      </c>
      <c r="BA3799" s="68" t="str">
        <f t="shared" si="379"/>
        <v>No</v>
      </c>
    </row>
    <row r="3800" spans="1:53" hidden="1">
      <c r="A3800" t="s">
        <v>3914</v>
      </c>
      <c r="G3800" t="s">
        <v>3961</v>
      </c>
      <c r="P3800" t="s">
        <v>4596</v>
      </c>
      <c r="R3800" t="s">
        <v>3942</v>
      </c>
      <c r="S3800" t="s">
        <v>1012</v>
      </c>
      <c r="V3800" t="s">
        <v>4600</v>
      </c>
      <c r="Z3800">
        <v>3</v>
      </c>
      <c r="AA3800">
        <v>3</v>
      </c>
      <c r="AC3800">
        <v>479</v>
      </c>
      <c r="AD3800">
        <v>28</v>
      </c>
      <c r="AE3800">
        <v>790</v>
      </c>
      <c r="AF3800">
        <v>31</v>
      </c>
      <c r="AJ3800" t="s">
        <v>3995</v>
      </c>
      <c r="AK3800" t="s">
        <v>4650</v>
      </c>
      <c r="AL3800" s="59"/>
      <c r="AM3800" s="60"/>
      <c r="AN3800">
        <v>0.15</v>
      </c>
      <c r="AO3800" s="61">
        <v>5.6350968054467793E-2</v>
      </c>
      <c r="AP3800">
        <v>0.04</v>
      </c>
      <c r="AQ3800" s="61">
        <v>3.2624244663112471E-2</v>
      </c>
      <c r="AR3800" s="37"/>
      <c r="AS3800" s="37"/>
      <c r="AT3800" s="37"/>
      <c r="AU3800" s="37"/>
      <c r="AV3800" s="37"/>
      <c r="AW3800" s="28">
        <f t="shared" si="375"/>
        <v>-2.3891113066175631</v>
      </c>
      <c r="AX3800">
        <f t="shared" si="376"/>
        <v>0.8</v>
      </c>
      <c r="AY3800" s="62">
        <f t="shared" si="377"/>
        <v>-1.9112890452940505</v>
      </c>
      <c r="AZ3800" s="68" t="str">
        <f t="shared" si="378"/>
        <v>No</v>
      </c>
      <c r="BA3800" s="68" t="str">
        <f t="shared" si="379"/>
        <v>No</v>
      </c>
    </row>
    <row r="3801" spans="1:53" hidden="1">
      <c r="A3801" t="s">
        <v>3914</v>
      </c>
      <c r="G3801" t="s">
        <v>3961</v>
      </c>
      <c r="P3801" t="s">
        <v>4596</v>
      </c>
      <c r="R3801" t="s">
        <v>3942</v>
      </c>
      <c r="S3801" t="s">
        <v>1012</v>
      </c>
      <c r="V3801" t="s">
        <v>4598</v>
      </c>
      <c r="Z3801">
        <v>3</v>
      </c>
      <c r="AA3801">
        <v>3</v>
      </c>
      <c r="AC3801">
        <v>479</v>
      </c>
      <c r="AD3801">
        <v>28</v>
      </c>
      <c r="AE3801">
        <v>499</v>
      </c>
      <c r="AF3801">
        <v>31</v>
      </c>
      <c r="AJ3801" t="s">
        <v>3993</v>
      </c>
      <c r="AK3801" t="s">
        <v>4650</v>
      </c>
      <c r="AL3801" s="59"/>
      <c r="AM3801" s="60"/>
      <c r="AN3801">
        <v>0.70799999999999996</v>
      </c>
      <c r="AO3801" s="61">
        <v>1.6340101958196952E-2</v>
      </c>
      <c r="AP3801">
        <v>0.69299999999999995</v>
      </c>
      <c r="AQ3801" s="61">
        <v>3.2680203916394285E-2</v>
      </c>
      <c r="AR3801" s="37"/>
      <c r="AS3801" s="37"/>
      <c r="AT3801" s="37"/>
      <c r="AU3801" s="37"/>
      <c r="AV3801" s="37"/>
      <c r="AW3801" s="28">
        <f t="shared" si="375"/>
        <v>-0.5805859109554713</v>
      </c>
      <c r="AX3801">
        <f t="shared" si="376"/>
        <v>0.8</v>
      </c>
      <c r="AY3801" s="62">
        <f t="shared" si="377"/>
        <v>-0.46446872876437706</v>
      </c>
      <c r="AZ3801" s="68" t="str">
        <f t="shared" si="378"/>
        <v>No</v>
      </c>
      <c r="BA3801" s="68" t="str">
        <f t="shared" si="379"/>
        <v>No</v>
      </c>
    </row>
    <row r="3802" spans="1:53" hidden="1">
      <c r="A3802" t="s">
        <v>3914</v>
      </c>
      <c r="G3802" t="s">
        <v>3961</v>
      </c>
      <c r="P3802" t="s">
        <v>60</v>
      </c>
      <c r="R3802" t="s">
        <v>3942</v>
      </c>
      <c r="S3802" t="s">
        <v>3971</v>
      </c>
      <c r="V3802" t="s">
        <v>3956</v>
      </c>
      <c r="Z3802">
        <v>3</v>
      </c>
      <c r="AA3802">
        <v>3</v>
      </c>
      <c r="AC3802">
        <v>479</v>
      </c>
      <c r="AD3802">
        <v>28.7</v>
      </c>
      <c r="AE3802">
        <v>738</v>
      </c>
      <c r="AF3802">
        <v>27.9</v>
      </c>
      <c r="AJ3802" t="s">
        <v>3995</v>
      </c>
      <c r="AK3802" t="s">
        <v>904</v>
      </c>
      <c r="AN3802">
        <v>0.15</v>
      </c>
      <c r="AO3802">
        <v>1.8750000000000003E-2</v>
      </c>
      <c r="AP3802">
        <v>0.16500000000000001</v>
      </c>
      <c r="AQ3802">
        <v>3.7500000000000006E-2</v>
      </c>
      <c r="AW3802" s="28">
        <f t="shared" si="375"/>
        <v>0.50596442562694111</v>
      </c>
      <c r="AX3802">
        <f t="shared" si="376"/>
        <v>0.8</v>
      </c>
      <c r="AY3802" s="62">
        <f t="shared" si="377"/>
        <v>0.4047715405015529</v>
      </c>
      <c r="AZ3802" s="68" t="str">
        <f t="shared" si="378"/>
        <v>No</v>
      </c>
      <c r="BA3802" s="68" t="str">
        <f t="shared" si="379"/>
        <v>No</v>
      </c>
    </row>
    <row r="3803" spans="1:53" hidden="1">
      <c r="A3803" t="s">
        <v>3914</v>
      </c>
      <c r="G3803" t="s">
        <v>3961</v>
      </c>
      <c r="P3803" t="s">
        <v>4596</v>
      </c>
      <c r="R3803" t="s">
        <v>3942</v>
      </c>
      <c r="S3803" t="s">
        <v>1012</v>
      </c>
      <c r="V3803" t="s">
        <v>4600</v>
      </c>
      <c r="Z3803">
        <v>3</v>
      </c>
      <c r="AA3803">
        <v>3</v>
      </c>
      <c r="AC3803">
        <v>479</v>
      </c>
      <c r="AD3803">
        <v>28</v>
      </c>
      <c r="AE3803">
        <v>790</v>
      </c>
      <c r="AF3803">
        <v>31</v>
      </c>
      <c r="AJ3803" t="s">
        <v>3993</v>
      </c>
      <c r="AK3803" t="s">
        <v>4650</v>
      </c>
      <c r="AL3803" s="59"/>
      <c r="AM3803" s="60"/>
      <c r="AN3803">
        <v>0.70799999999999996</v>
      </c>
      <c r="AO3803" s="61">
        <v>1.6340101958196952E-2</v>
      </c>
      <c r="AP3803">
        <v>0.69</v>
      </c>
      <c r="AQ3803">
        <f>0.712-0.658</f>
        <v>5.3999999999999937E-2</v>
      </c>
      <c r="AR3803" s="37"/>
      <c r="AS3803" s="37"/>
      <c r="AT3803" s="37"/>
      <c r="AU3803" s="37"/>
      <c r="AV3803" s="37"/>
      <c r="AW3803" s="28">
        <f t="shared" si="375"/>
        <v>-0.45120017195189976</v>
      </c>
      <c r="AX3803">
        <f t="shared" si="376"/>
        <v>0.8</v>
      </c>
      <c r="AY3803" s="62">
        <f t="shared" si="377"/>
        <v>-0.36096013756151984</v>
      </c>
      <c r="AZ3803" s="68" t="str">
        <f t="shared" si="378"/>
        <v>No</v>
      </c>
      <c r="BA3803" s="68" t="str">
        <f t="shared" si="379"/>
        <v>No</v>
      </c>
    </row>
    <row r="3804" spans="1:53" hidden="1">
      <c r="A3804" t="s">
        <v>3914</v>
      </c>
      <c r="G3804" t="s">
        <v>3961</v>
      </c>
      <c r="P3804" t="s">
        <v>4596</v>
      </c>
      <c r="R3804" t="s">
        <v>3942</v>
      </c>
      <c r="S3804" t="s">
        <v>3971</v>
      </c>
      <c r="V3804" t="s">
        <v>4600</v>
      </c>
      <c r="Z3804">
        <v>3</v>
      </c>
      <c r="AA3804">
        <v>3</v>
      </c>
      <c r="AC3804">
        <v>479</v>
      </c>
      <c r="AD3804">
        <v>28</v>
      </c>
      <c r="AE3804">
        <v>790</v>
      </c>
      <c r="AF3804">
        <v>31</v>
      </c>
      <c r="AJ3804" t="s">
        <v>3995</v>
      </c>
      <c r="AK3804" t="s">
        <v>4650</v>
      </c>
      <c r="AL3804" s="59"/>
      <c r="AM3804" s="60"/>
      <c r="AN3804">
        <v>0.15</v>
      </c>
      <c r="AO3804" s="61">
        <v>3.8555925510951522E-2</v>
      </c>
      <c r="AP3804">
        <v>7.0000000000000007E-2</v>
      </c>
      <c r="AQ3804" s="61">
        <v>6.821432975014409E-2</v>
      </c>
      <c r="AR3804" s="37"/>
      <c r="AS3804" s="37"/>
      <c r="AT3804" s="37"/>
      <c r="AU3804" s="37"/>
      <c r="AV3804" s="37"/>
      <c r="AW3804" s="28">
        <f t="shared" si="375"/>
        <v>-1.4438746555752009</v>
      </c>
      <c r="AX3804">
        <f t="shared" si="376"/>
        <v>0.8</v>
      </c>
      <c r="AY3804" s="62">
        <f t="shared" si="377"/>
        <v>-1.1550997244601608</v>
      </c>
      <c r="AZ3804" s="68" t="str">
        <f t="shared" si="378"/>
        <v>No</v>
      </c>
      <c r="BA3804" s="68" t="str">
        <f t="shared" si="379"/>
        <v>No</v>
      </c>
    </row>
    <row r="3805" spans="1:53" hidden="1">
      <c r="A3805" t="s">
        <v>3914</v>
      </c>
      <c r="G3805" t="s">
        <v>3961</v>
      </c>
      <c r="P3805" t="s">
        <v>4596</v>
      </c>
      <c r="R3805" t="s">
        <v>3942</v>
      </c>
      <c r="S3805" t="s">
        <v>1012</v>
      </c>
      <c r="V3805" t="s">
        <v>4598</v>
      </c>
      <c r="Z3805">
        <v>3</v>
      </c>
      <c r="AA3805">
        <v>3</v>
      </c>
      <c r="AC3805">
        <v>479</v>
      </c>
      <c r="AD3805">
        <v>28</v>
      </c>
      <c r="AE3805">
        <v>499</v>
      </c>
      <c r="AF3805">
        <v>31</v>
      </c>
      <c r="AJ3805" t="s">
        <v>40</v>
      </c>
      <c r="AK3805" t="s">
        <v>40</v>
      </c>
      <c r="AL3805" s="59"/>
      <c r="AM3805" s="60"/>
      <c r="AN3805">
        <v>0.1</v>
      </c>
      <c r="AO3805" s="61">
        <v>5.6685299156798707E-2</v>
      </c>
      <c r="AP3805">
        <v>0.11</v>
      </c>
      <c r="AQ3805" s="61">
        <v>6.9282032302753704E-2</v>
      </c>
      <c r="AR3805" s="37"/>
      <c r="AS3805" s="37"/>
      <c r="AT3805" s="37"/>
      <c r="AU3805" s="37"/>
      <c r="AV3805" s="37"/>
      <c r="AW3805" s="28">
        <f t="shared" si="375"/>
        <v>0.157983372145895</v>
      </c>
      <c r="AX3805">
        <f t="shared" si="376"/>
        <v>0.8</v>
      </c>
      <c r="AY3805" s="62">
        <f t="shared" si="377"/>
        <v>0.12638669771671601</v>
      </c>
      <c r="AZ3805" s="68" t="str">
        <f t="shared" si="378"/>
        <v>No</v>
      </c>
      <c r="BA3805" s="68" t="str">
        <f t="shared" si="379"/>
        <v>No</v>
      </c>
    </row>
    <row r="3806" spans="1:53" hidden="1">
      <c r="A3806" t="s">
        <v>3914</v>
      </c>
      <c r="G3806" t="s">
        <v>3961</v>
      </c>
      <c r="P3806" t="s">
        <v>60</v>
      </c>
      <c r="R3806" t="s">
        <v>3942</v>
      </c>
      <c r="S3806" t="s">
        <v>1012</v>
      </c>
      <c r="V3806" t="s">
        <v>3956</v>
      </c>
      <c r="Z3806">
        <v>3</v>
      </c>
      <c r="AA3806">
        <v>3</v>
      </c>
      <c r="AC3806">
        <v>479</v>
      </c>
      <c r="AD3806">
        <v>28.7</v>
      </c>
      <c r="AE3806">
        <v>738</v>
      </c>
      <c r="AF3806">
        <v>27.9</v>
      </c>
      <c r="AJ3806" t="s">
        <v>3995</v>
      </c>
      <c r="AK3806" t="s">
        <v>904</v>
      </c>
      <c r="AN3806">
        <v>0.16</v>
      </c>
      <c r="AO3806">
        <v>2.6250000000000002E-2</v>
      </c>
      <c r="AP3806">
        <v>0.18</v>
      </c>
      <c r="AQ3806">
        <v>7.5000000000000011E-2</v>
      </c>
      <c r="AW3806" s="28">
        <f t="shared" si="375"/>
        <v>0.3559512769418664</v>
      </c>
      <c r="AX3806">
        <f t="shared" si="376"/>
        <v>0.8</v>
      </c>
      <c r="AY3806" s="62">
        <f t="shared" si="377"/>
        <v>0.28476102155349314</v>
      </c>
      <c r="AZ3806" s="68" t="str">
        <f t="shared" si="378"/>
        <v>No</v>
      </c>
      <c r="BA3806" s="68" t="str">
        <f t="shared" si="379"/>
        <v>No</v>
      </c>
    </row>
    <row r="3807" spans="1:53" hidden="1">
      <c r="A3807" t="s">
        <v>3914</v>
      </c>
      <c r="G3807" t="s">
        <v>3961</v>
      </c>
      <c r="P3807" t="s">
        <v>4596</v>
      </c>
      <c r="R3807" t="s">
        <v>3942</v>
      </c>
      <c r="S3807" t="s">
        <v>3971</v>
      </c>
      <c r="V3807" t="s">
        <v>4598</v>
      </c>
      <c r="Z3807">
        <v>3</v>
      </c>
      <c r="AA3807">
        <v>3</v>
      </c>
      <c r="AC3807">
        <v>479</v>
      </c>
      <c r="AD3807">
        <v>28</v>
      </c>
      <c r="AE3807">
        <v>499</v>
      </c>
      <c r="AF3807">
        <v>31</v>
      </c>
      <c r="AJ3807" t="s">
        <v>3995</v>
      </c>
      <c r="AK3807" t="s">
        <v>4650</v>
      </c>
      <c r="AL3807" s="59"/>
      <c r="AM3807" s="60"/>
      <c r="AN3807">
        <v>0.15</v>
      </c>
      <c r="AO3807" s="61">
        <v>3.8555925510951522E-2</v>
      </c>
      <c r="AP3807">
        <v>0.09</v>
      </c>
      <c r="AQ3807" s="61">
        <v>7.5628930809941486E-2</v>
      </c>
      <c r="AR3807" s="37"/>
      <c r="AS3807" s="37"/>
      <c r="AT3807" s="37"/>
      <c r="AU3807" s="37"/>
      <c r="AV3807" s="37"/>
      <c r="AW3807" s="28">
        <f t="shared" si="375"/>
        <v>-0.99956316366544096</v>
      </c>
      <c r="AX3807">
        <f t="shared" si="376"/>
        <v>0.8</v>
      </c>
      <c r="AY3807" s="62">
        <f t="shared" si="377"/>
        <v>-0.79965053093235283</v>
      </c>
      <c r="AZ3807" s="68" t="str">
        <f t="shared" si="378"/>
        <v>No</v>
      </c>
      <c r="BA3807" s="68" t="str">
        <f t="shared" si="379"/>
        <v>No</v>
      </c>
    </row>
    <row r="3808" spans="1:53" hidden="1">
      <c r="A3808" t="s">
        <v>3914</v>
      </c>
      <c r="G3808" t="s">
        <v>3961</v>
      </c>
      <c r="P3808" t="s">
        <v>4596</v>
      </c>
      <c r="R3808" t="s">
        <v>3942</v>
      </c>
      <c r="S3808" t="s">
        <v>1012</v>
      </c>
      <c r="V3808" t="s">
        <v>4600</v>
      </c>
      <c r="Z3808">
        <v>3</v>
      </c>
      <c r="AA3808">
        <v>3</v>
      </c>
      <c r="AC3808">
        <v>479</v>
      </c>
      <c r="AD3808">
        <v>28</v>
      </c>
      <c r="AE3808">
        <v>790</v>
      </c>
      <c r="AF3808">
        <v>31</v>
      </c>
      <c r="AJ3808" t="s">
        <v>40</v>
      </c>
      <c r="AK3808" t="s">
        <v>40</v>
      </c>
      <c r="AL3808" s="59"/>
      <c r="AM3808" s="60"/>
      <c r="AN3808">
        <v>0.1</v>
      </c>
      <c r="AO3808" s="61">
        <v>5.6685299156798707E-2</v>
      </c>
      <c r="AP3808">
        <v>0.08</v>
      </c>
      <c r="AQ3808" s="61">
        <v>8.8177132021688115E-2</v>
      </c>
      <c r="AR3808" s="37"/>
      <c r="AS3808" s="37"/>
      <c r="AT3808" s="37"/>
      <c r="AU3808" s="37"/>
      <c r="AV3808" s="37"/>
      <c r="AW3808" s="28">
        <f t="shared" si="375"/>
        <v>-0.26982188714444771</v>
      </c>
      <c r="AX3808">
        <f t="shared" si="376"/>
        <v>0.8</v>
      </c>
      <c r="AY3808" s="62">
        <f t="shared" si="377"/>
        <v>-0.21585750971555817</v>
      </c>
      <c r="AZ3808" s="68" t="str">
        <f t="shared" si="378"/>
        <v>No</v>
      </c>
      <c r="BA3808" s="68" t="str">
        <f t="shared" si="379"/>
        <v>No</v>
      </c>
    </row>
    <row r="3809" spans="1:55" hidden="1">
      <c r="A3809" t="s">
        <v>3914</v>
      </c>
      <c r="G3809" t="s">
        <v>3961</v>
      </c>
      <c r="P3809" t="s">
        <v>60</v>
      </c>
      <c r="R3809" t="s">
        <v>3942</v>
      </c>
      <c r="S3809" t="s">
        <v>1012</v>
      </c>
      <c r="V3809" t="s">
        <v>3956</v>
      </c>
      <c r="Z3809">
        <v>3</v>
      </c>
      <c r="AA3809">
        <v>3</v>
      </c>
      <c r="AC3809">
        <v>479</v>
      </c>
      <c r="AD3809">
        <v>28.7</v>
      </c>
      <c r="AE3809">
        <v>738</v>
      </c>
      <c r="AF3809">
        <v>27.9</v>
      </c>
      <c r="AJ3809" t="s">
        <v>40</v>
      </c>
      <c r="AK3809" t="s">
        <v>40</v>
      </c>
      <c r="AN3809">
        <v>0.08</v>
      </c>
      <c r="AO3809">
        <v>1.4999999999999999E-2</v>
      </c>
      <c r="AP3809">
        <v>0.13</v>
      </c>
      <c r="AQ3809">
        <v>0.09</v>
      </c>
      <c r="AW3809" s="28">
        <f t="shared" si="375"/>
        <v>0.77498425829212858</v>
      </c>
      <c r="AX3809">
        <f t="shared" si="376"/>
        <v>0.8</v>
      </c>
      <c r="AY3809" s="62">
        <f t="shared" si="377"/>
        <v>0.61998740663370289</v>
      </c>
      <c r="AZ3809" s="68" t="str">
        <f t="shared" si="378"/>
        <v>No</v>
      </c>
      <c r="BA3809" s="68" t="str">
        <f t="shared" si="379"/>
        <v>No</v>
      </c>
    </row>
    <row r="3810" spans="1:55" hidden="1">
      <c r="A3810" t="s">
        <v>3914</v>
      </c>
      <c r="G3810" t="s">
        <v>3961</v>
      </c>
      <c r="P3810" t="s">
        <v>60</v>
      </c>
      <c r="R3810" t="s">
        <v>3942</v>
      </c>
      <c r="S3810" t="s">
        <v>1012</v>
      </c>
      <c r="V3810" t="s">
        <v>3956</v>
      </c>
      <c r="Z3810">
        <v>3</v>
      </c>
      <c r="AA3810">
        <v>3</v>
      </c>
      <c r="AC3810">
        <v>479</v>
      </c>
      <c r="AD3810">
        <v>28.7</v>
      </c>
      <c r="AE3810">
        <v>738</v>
      </c>
      <c r="AF3810">
        <v>27.9</v>
      </c>
      <c r="AJ3810" t="s">
        <v>3993</v>
      </c>
      <c r="AK3810" t="s">
        <v>904</v>
      </c>
      <c r="AN3810">
        <v>0.70799999999999996</v>
      </c>
      <c r="AO3810">
        <f>0.01*0.75</f>
        <v>7.4999999999999997E-3</v>
      </c>
      <c r="AP3810">
        <v>0.70899999999999996</v>
      </c>
      <c r="AQ3810">
        <f>0.15*0.75</f>
        <v>0.11249999999999999</v>
      </c>
      <c r="AW3810" s="28">
        <f t="shared" si="375"/>
        <v>1.254294491178131E-2</v>
      </c>
      <c r="AX3810">
        <f t="shared" si="376"/>
        <v>0.8</v>
      </c>
      <c r="AY3810" s="62">
        <f t="shared" si="377"/>
        <v>1.0034355929425049E-2</v>
      </c>
      <c r="AZ3810" s="68" t="str">
        <f t="shared" si="378"/>
        <v>No</v>
      </c>
      <c r="BA3810" s="68" t="str">
        <f t="shared" si="379"/>
        <v>No</v>
      </c>
    </row>
    <row r="3811" spans="1:55" hidden="1">
      <c r="A3811" t="s">
        <v>3914</v>
      </c>
      <c r="G3811" t="s">
        <v>3961</v>
      </c>
      <c r="P3811" t="s">
        <v>4596</v>
      </c>
      <c r="R3811" t="s">
        <v>3942</v>
      </c>
      <c r="S3811" t="s">
        <v>1012</v>
      </c>
      <c r="V3811" t="s">
        <v>4598</v>
      </c>
      <c r="Z3811">
        <v>3</v>
      </c>
      <c r="AA3811">
        <v>3</v>
      </c>
      <c r="AC3811">
        <v>479</v>
      </c>
      <c r="AD3811">
        <v>28</v>
      </c>
      <c r="AE3811">
        <v>499</v>
      </c>
      <c r="AF3811">
        <v>31</v>
      </c>
      <c r="AJ3811" t="s">
        <v>3995</v>
      </c>
      <c r="AK3811" t="s">
        <v>4650</v>
      </c>
      <c r="AL3811" s="59"/>
      <c r="AM3811" s="60"/>
      <c r="AN3811">
        <v>0.15</v>
      </c>
      <c r="AO3811" s="61">
        <v>5.6350968054467793E-2</v>
      </c>
      <c r="AP3811">
        <v>8.5000000000000006E-2</v>
      </c>
      <c r="AQ3811" s="61">
        <v>0.13197989886440792</v>
      </c>
      <c r="AR3811" s="37"/>
      <c r="AS3811" s="37"/>
      <c r="AT3811" s="37"/>
      <c r="AU3811" s="37"/>
      <c r="AV3811" s="37"/>
      <c r="AW3811" s="28">
        <f t="shared" si="375"/>
        <v>-0.64055537390920636</v>
      </c>
      <c r="AX3811">
        <f t="shared" si="376"/>
        <v>0.8</v>
      </c>
      <c r="AY3811" s="62">
        <f t="shared" si="377"/>
        <v>-0.51244429912736511</v>
      </c>
      <c r="AZ3811" s="68" t="str">
        <f t="shared" si="378"/>
        <v>No</v>
      </c>
      <c r="BA3811" s="68" t="str">
        <f t="shared" si="379"/>
        <v>No</v>
      </c>
    </row>
    <row r="3812" spans="1:55" ht="15" hidden="1">
      <c r="A3812" t="s">
        <v>3914</v>
      </c>
      <c r="G3812" t="s">
        <v>3961</v>
      </c>
      <c r="P3812" t="s">
        <v>60</v>
      </c>
      <c r="R3812" t="s">
        <v>3942</v>
      </c>
      <c r="S3812" t="s">
        <v>3971</v>
      </c>
      <c r="V3812" t="s">
        <v>3956</v>
      </c>
      <c r="Z3812">
        <v>3</v>
      </c>
      <c r="AA3812">
        <v>3</v>
      </c>
      <c r="AC3812">
        <v>479</v>
      </c>
      <c r="AD3812">
        <v>28.7</v>
      </c>
      <c r="AE3812">
        <v>738</v>
      </c>
      <c r="AF3812">
        <v>27.9</v>
      </c>
      <c r="AJ3812" t="s">
        <v>40</v>
      </c>
      <c r="AK3812" t="s">
        <v>40</v>
      </c>
      <c r="AN3812">
        <v>0.4</v>
      </c>
      <c r="AO3812">
        <v>0.29249999999999998</v>
      </c>
      <c r="AP3812">
        <v>0.34</v>
      </c>
      <c r="AQ3812">
        <v>0.21749999999999997</v>
      </c>
      <c r="AW3812" s="28">
        <f t="shared" si="375"/>
        <v>-0.23279038479173017</v>
      </c>
      <c r="AX3812">
        <f t="shared" si="376"/>
        <v>0.8</v>
      </c>
      <c r="AY3812" s="73">
        <f t="shared" si="377"/>
        <v>-0.18623230783338415</v>
      </c>
      <c r="AZ3812" s="74" t="str">
        <f t="shared" si="378"/>
        <v>No</v>
      </c>
      <c r="BA3812" s="74" t="str">
        <f t="shared" si="379"/>
        <v>No</v>
      </c>
      <c r="BB3812" s="56"/>
      <c r="BC3812" s="56"/>
    </row>
    <row r="3813" spans="1:55" hidden="1">
      <c r="A3813" t="s">
        <v>3914</v>
      </c>
      <c r="G3813" t="s">
        <v>3961</v>
      </c>
      <c r="P3813" t="s">
        <v>4596</v>
      </c>
      <c r="R3813" t="s">
        <v>3942</v>
      </c>
      <c r="S3813" t="s">
        <v>3971</v>
      </c>
      <c r="V3813" t="s">
        <v>4600</v>
      </c>
      <c r="Z3813">
        <v>3</v>
      </c>
      <c r="AA3813">
        <v>3</v>
      </c>
      <c r="AC3813">
        <v>479</v>
      </c>
      <c r="AD3813">
        <v>28</v>
      </c>
      <c r="AE3813">
        <v>790</v>
      </c>
      <c r="AF3813">
        <v>31</v>
      </c>
      <c r="AJ3813" t="s">
        <v>40</v>
      </c>
      <c r="AK3813" t="s">
        <v>40</v>
      </c>
      <c r="AL3813" s="59"/>
      <c r="AM3813" s="60"/>
      <c r="AN3813">
        <v>0.35</v>
      </c>
      <c r="AO3813" s="61">
        <v>0.67392522330861759</v>
      </c>
      <c r="AP3813">
        <v>0.16</v>
      </c>
      <c r="AQ3813" s="61">
        <v>0.30861996207590825</v>
      </c>
      <c r="AR3813" s="37"/>
      <c r="AS3813" s="37"/>
      <c r="AT3813" s="37"/>
      <c r="AU3813" s="37"/>
      <c r="AV3813" s="37"/>
      <c r="AW3813" s="28">
        <f t="shared" si="375"/>
        <v>-0.36250648361353938</v>
      </c>
      <c r="AX3813">
        <f t="shared" si="376"/>
        <v>0.8</v>
      </c>
      <c r="AY3813" s="62">
        <f t="shared" si="377"/>
        <v>-0.29000518689083149</v>
      </c>
      <c r="AZ3813" s="68" t="str">
        <f t="shared" si="378"/>
        <v>No</v>
      </c>
      <c r="BA3813" s="68" t="str">
        <f t="shared" si="379"/>
        <v>No</v>
      </c>
    </row>
    <row r="3814" spans="1:55" hidden="1">
      <c r="A3814" t="s">
        <v>3914</v>
      </c>
      <c r="G3814" t="s">
        <v>3961</v>
      </c>
      <c r="P3814" t="s">
        <v>4596</v>
      </c>
      <c r="R3814" t="s">
        <v>3942</v>
      </c>
      <c r="S3814" t="s">
        <v>3971</v>
      </c>
      <c r="V3814" t="s">
        <v>4598</v>
      </c>
      <c r="Z3814">
        <v>3</v>
      </c>
      <c r="AA3814">
        <v>3</v>
      </c>
      <c r="AC3814">
        <v>479</v>
      </c>
      <c r="AD3814">
        <v>28</v>
      </c>
      <c r="AE3814">
        <v>499</v>
      </c>
      <c r="AF3814">
        <v>31</v>
      </c>
      <c r="AJ3814" t="s">
        <v>40</v>
      </c>
      <c r="AK3814" t="s">
        <v>40</v>
      </c>
      <c r="AL3814" s="59"/>
      <c r="AM3814" s="60"/>
      <c r="AN3814">
        <v>0.35</v>
      </c>
      <c r="AO3814" s="61">
        <v>0.67392522330861759</v>
      </c>
      <c r="AP3814">
        <v>0.25</v>
      </c>
      <c r="AQ3814" s="61">
        <v>0.47867585954630731</v>
      </c>
      <c r="AR3814" s="37"/>
      <c r="AS3814" s="37"/>
      <c r="AT3814" s="37"/>
      <c r="AU3814" s="37"/>
      <c r="AV3814" s="37"/>
      <c r="AW3814" s="28">
        <f t="shared" si="375"/>
        <v>-0.17108323315187582</v>
      </c>
      <c r="AX3814">
        <f t="shared" si="376"/>
        <v>0.8</v>
      </c>
      <c r="AY3814" s="62">
        <f t="shared" si="377"/>
        <v>-0.13686658652150066</v>
      </c>
      <c r="AZ3814" s="68" t="str">
        <f t="shared" si="378"/>
        <v>No</v>
      </c>
      <c r="BA3814" s="68" t="str">
        <f t="shared" si="379"/>
        <v>No</v>
      </c>
    </row>
    <row r="3815" spans="1:55" hidden="1">
      <c r="A3815" t="s">
        <v>3914</v>
      </c>
      <c r="G3815" t="s">
        <v>3961</v>
      </c>
      <c r="P3815" t="s">
        <v>4596</v>
      </c>
      <c r="R3815" t="s">
        <v>3942</v>
      </c>
      <c r="S3815" t="s">
        <v>1012</v>
      </c>
      <c r="V3815" t="s">
        <v>4598</v>
      </c>
      <c r="Z3815">
        <v>3</v>
      </c>
      <c r="AA3815">
        <v>3</v>
      </c>
      <c r="AC3815">
        <v>479</v>
      </c>
      <c r="AD3815">
        <v>28</v>
      </c>
      <c r="AE3815">
        <v>499</v>
      </c>
      <c r="AF3815">
        <v>31</v>
      </c>
      <c r="AJ3815" t="s">
        <v>69</v>
      </c>
      <c r="AK3815" t="s">
        <v>69</v>
      </c>
      <c r="AL3815" s="59"/>
      <c r="AM3815" s="60"/>
      <c r="AN3815">
        <v>98</v>
      </c>
      <c r="AO3815" s="61">
        <v>1.4</v>
      </c>
      <c r="AP3815">
        <v>94</v>
      </c>
      <c r="AQ3815" s="61">
        <v>3.03</v>
      </c>
      <c r="AR3815" s="37"/>
      <c r="AS3815" s="37"/>
      <c r="AT3815" s="37"/>
      <c r="AU3815" s="37"/>
      <c r="AV3815" s="37"/>
      <c r="AW3815" s="28">
        <f t="shared" si="375"/>
        <v>-1.6947859349786214</v>
      </c>
      <c r="AX3815">
        <f t="shared" si="376"/>
        <v>0.8</v>
      </c>
      <c r="AY3815" s="62">
        <f t="shared" si="377"/>
        <v>-1.3558287479828972</v>
      </c>
      <c r="AZ3815" s="68" t="str">
        <f t="shared" si="378"/>
        <v>No</v>
      </c>
      <c r="BA3815" s="68" t="str">
        <f t="shared" si="379"/>
        <v>No</v>
      </c>
    </row>
    <row r="3816" spans="1:55" hidden="1">
      <c r="A3816" t="s">
        <v>3914</v>
      </c>
      <c r="G3816" t="s">
        <v>3961</v>
      </c>
      <c r="P3816" t="s">
        <v>4596</v>
      </c>
      <c r="R3816" t="s">
        <v>3942</v>
      </c>
      <c r="S3816" t="s">
        <v>3971</v>
      </c>
      <c r="V3816" t="s">
        <v>4598</v>
      </c>
      <c r="Z3816">
        <v>3</v>
      </c>
      <c r="AA3816">
        <v>3</v>
      </c>
      <c r="AC3816">
        <v>479</v>
      </c>
      <c r="AD3816">
        <v>28</v>
      </c>
      <c r="AE3816">
        <v>499</v>
      </c>
      <c r="AF3816">
        <v>31</v>
      </c>
      <c r="AJ3816" t="s">
        <v>4672</v>
      </c>
      <c r="AK3816" t="s">
        <v>4672</v>
      </c>
      <c r="AL3816" s="59"/>
      <c r="AM3816" s="60"/>
      <c r="AN3816">
        <v>93</v>
      </c>
      <c r="AO3816" s="61">
        <v>3.21</v>
      </c>
      <c r="AP3816">
        <v>84</v>
      </c>
      <c r="AQ3816" s="61">
        <v>3.69</v>
      </c>
      <c r="AR3816" s="37"/>
      <c r="AS3816" s="37"/>
      <c r="AT3816" s="37"/>
      <c r="AU3816" s="37"/>
      <c r="AV3816" s="37"/>
      <c r="AW3816" s="28">
        <f t="shared" si="375"/>
        <v>-2.602406314245763</v>
      </c>
      <c r="AX3816">
        <f t="shared" si="376"/>
        <v>0.8</v>
      </c>
      <c r="AY3816" s="62">
        <f t="shared" si="377"/>
        <v>-2.0819250513966105</v>
      </c>
      <c r="AZ3816" s="68" t="str">
        <f t="shared" si="378"/>
        <v>No</v>
      </c>
      <c r="BA3816" s="68" t="str">
        <f t="shared" si="379"/>
        <v>No</v>
      </c>
    </row>
    <row r="3817" spans="1:55" hidden="1">
      <c r="A3817" t="s">
        <v>3914</v>
      </c>
      <c r="G3817" t="s">
        <v>3961</v>
      </c>
      <c r="P3817" t="s">
        <v>4596</v>
      </c>
      <c r="R3817" t="s">
        <v>3942</v>
      </c>
      <c r="S3817" t="s">
        <v>1012</v>
      </c>
      <c r="V3817" t="s">
        <v>4600</v>
      </c>
      <c r="Z3817">
        <v>3</v>
      </c>
      <c r="AA3817">
        <v>3</v>
      </c>
      <c r="AC3817">
        <v>479</v>
      </c>
      <c r="AD3817">
        <v>28</v>
      </c>
      <c r="AE3817">
        <v>790</v>
      </c>
      <c r="AF3817">
        <v>31</v>
      </c>
      <c r="AJ3817" t="s">
        <v>69</v>
      </c>
      <c r="AK3817" t="s">
        <v>69</v>
      </c>
      <c r="AL3817" s="59"/>
      <c r="AM3817" s="60"/>
      <c r="AN3817">
        <v>98</v>
      </c>
      <c r="AO3817" s="61">
        <v>1.4</v>
      </c>
      <c r="AP3817">
        <v>95</v>
      </c>
      <c r="AQ3817" s="61">
        <v>4.1399999999999997</v>
      </c>
      <c r="AR3817" s="37"/>
      <c r="AS3817" s="37"/>
      <c r="AT3817" s="37"/>
      <c r="AU3817" s="37"/>
      <c r="AV3817" s="37"/>
      <c r="AW3817" s="28">
        <f t="shared" si="375"/>
        <v>-0.9707873679018354</v>
      </c>
      <c r="AX3817">
        <f t="shared" si="376"/>
        <v>0.8</v>
      </c>
      <c r="AY3817" s="62">
        <f t="shared" si="377"/>
        <v>-0.77662989432146834</v>
      </c>
      <c r="AZ3817" s="68" t="str">
        <f t="shared" si="378"/>
        <v>No</v>
      </c>
      <c r="BA3817" s="68" t="str">
        <f t="shared" si="379"/>
        <v>No</v>
      </c>
    </row>
    <row r="3818" spans="1:55" hidden="1">
      <c r="A3818" t="s">
        <v>3914</v>
      </c>
      <c r="G3818" t="s">
        <v>3961</v>
      </c>
      <c r="P3818" t="s">
        <v>4596</v>
      </c>
      <c r="R3818" t="s">
        <v>3942</v>
      </c>
      <c r="S3818" t="s">
        <v>3971</v>
      </c>
      <c r="V3818" t="s">
        <v>4600</v>
      </c>
      <c r="Z3818">
        <v>3</v>
      </c>
      <c r="AA3818">
        <v>3</v>
      </c>
      <c r="AC3818">
        <v>479</v>
      </c>
      <c r="AD3818">
        <v>28</v>
      </c>
      <c r="AE3818">
        <v>790</v>
      </c>
      <c r="AF3818">
        <v>31</v>
      </c>
      <c r="AJ3818" t="s">
        <v>69</v>
      </c>
      <c r="AK3818" t="s">
        <v>69</v>
      </c>
      <c r="AL3818" s="59"/>
      <c r="AM3818" s="60"/>
      <c r="AN3818">
        <v>93</v>
      </c>
      <c r="AO3818" s="61">
        <v>3.21</v>
      </c>
      <c r="AP3818">
        <v>70</v>
      </c>
      <c r="AQ3818" s="61">
        <v>5.56</v>
      </c>
      <c r="AR3818" s="37"/>
      <c r="AS3818" s="37"/>
      <c r="AT3818" s="37"/>
      <c r="AU3818" s="37"/>
      <c r="AV3818" s="37"/>
      <c r="AW3818" s="28">
        <f t="shared" si="375"/>
        <v>-5.0664172871658248</v>
      </c>
      <c r="AX3818">
        <f t="shared" si="376"/>
        <v>0.8</v>
      </c>
      <c r="AY3818" s="62">
        <f t="shared" si="377"/>
        <v>-4.0531338297326602</v>
      </c>
      <c r="AZ3818" s="68" t="str">
        <f t="shared" si="378"/>
        <v>No</v>
      </c>
      <c r="BA3818" s="68" t="str">
        <f t="shared" si="379"/>
        <v>No</v>
      </c>
    </row>
    <row r="3819" spans="1:55" ht="15" hidden="1">
      <c r="A3819" s="56" t="s">
        <v>3914</v>
      </c>
      <c r="G3819" s="56" t="s">
        <v>4033</v>
      </c>
      <c r="P3819" s="56" t="s">
        <v>4596</v>
      </c>
      <c r="Q3819" s="56"/>
      <c r="R3819" s="56" t="s">
        <v>4035</v>
      </c>
      <c r="S3819" s="56" t="s">
        <v>4040</v>
      </c>
      <c r="T3819" s="56"/>
      <c r="U3819" s="56"/>
      <c r="V3819" s="56" t="s">
        <v>4600</v>
      </c>
      <c r="W3819" s="56"/>
      <c r="X3819" s="56"/>
      <c r="Y3819" s="56"/>
      <c r="Z3819" s="56">
        <v>5</v>
      </c>
      <c r="AA3819" s="56">
        <v>5</v>
      </c>
      <c r="AB3819" s="56"/>
      <c r="AC3819" s="56">
        <v>562</v>
      </c>
      <c r="AD3819" s="56">
        <v>27</v>
      </c>
      <c r="AE3819" s="56">
        <v>992</v>
      </c>
      <c r="AF3819" s="56">
        <v>31</v>
      </c>
      <c r="AG3819" s="56"/>
      <c r="AH3819" s="56"/>
      <c r="AI3819" s="56"/>
      <c r="AJ3819" s="56" t="s">
        <v>4042</v>
      </c>
      <c r="AK3819" s="56"/>
      <c r="AL3819" s="59"/>
      <c r="AM3819" s="60"/>
      <c r="AN3819" s="56">
        <v>12</v>
      </c>
      <c r="AO3819" s="75">
        <v>6</v>
      </c>
      <c r="AP3819" s="56">
        <v>99</v>
      </c>
      <c r="AQ3819" s="75">
        <v>0</v>
      </c>
      <c r="AR3819" s="37"/>
      <c r="AS3819" s="37"/>
      <c r="AT3819" s="37"/>
      <c r="AU3819" s="37"/>
      <c r="AV3819" s="37"/>
      <c r="AW3819" s="28">
        <f t="shared" si="375"/>
        <v>20.50609665440988</v>
      </c>
      <c r="AX3819">
        <f t="shared" si="376"/>
        <v>0.90322580645161288</v>
      </c>
      <c r="AY3819" s="62">
        <f t="shared" si="377"/>
        <v>18.521635687854086</v>
      </c>
      <c r="AZ3819" s="68" t="str">
        <f t="shared" si="378"/>
        <v>Yes</v>
      </c>
      <c r="BA3819" s="68" t="str">
        <f t="shared" si="379"/>
        <v>No</v>
      </c>
    </row>
    <row r="3820" spans="1:55" ht="15" hidden="1">
      <c r="A3820" s="56" t="s">
        <v>3914</v>
      </c>
      <c r="G3820" s="56" t="s">
        <v>4033</v>
      </c>
      <c r="P3820" s="56" t="s">
        <v>4596</v>
      </c>
      <c r="Q3820" s="56"/>
      <c r="R3820" s="56" t="s">
        <v>4035</v>
      </c>
      <c r="S3820" s="56" t="s">
        <v>1778</v>
      </c>
      <c r="T3820" s="56"/>
      <c r="U3820" s="56"/>
      <c r="V3820" s="56" t="s">
        <v>4598</v>
      </c>
      <c r="W3820" s="56"/>
      <c r="X3820" s="56"/>
      <c r="Y3820" s="56"/>
      <c r="Z3820" s="56">
        <v>5</v>
      </c>
      <c r="AA3820" s="56">
        <v>5</v>
      </c>
      <c r="AB3820" s="56"/>
      <c r="AC3820" s="56">
        <v>562</v>
      </c>
      <c r="AD3820" s="56">
        <v>27</v>
      </c>
      <c r="AE3820" s="56">
        <v>590</v>
      </c>
      <c r="AF3820" s="56">
        <v>31</v>
      </c>
      <c r="AG3820" s="56"/>
      <c r="AH3820" s="56"/>
      <c r="AI3820" s="56"/>
      <c r="AJ3820" s="56" t="s">
        <v>4042</v>
      </c>
      <c r="AK3820" s="56"/>
      <c r="AL3820" s="59"/>
      <c r="AM3820" s="60"/>
      <c r="AN3820" s="56">
        <v>3</v>
      </c>
      <c r="AO3820" s="75">
        <v>1</v>
      </c>
      <c r="AP3820" s="56">
        <v>100</v>
      </c>
      <c r="AQ3820" s="75">
        <v>0</v>
      </c>
      <c r="AR3820" s="37"/>
      <c r="AS3820" s="37"/>
      <c r="AT3820" s="37"/>
      <c r="AU3820" s="37"/>
      <c r="AV3820" s="37"/>
      <c r="AW3820" s="28">
        <f t="shared" si="375"/>
        <v>137.17871555019022</v>
      </c>
      <c r="AX3820">
        <f t="shared" si="376"/>
        <v>0.90322580645161288</v>
      </c>
      <c r="AY3820" s="62">
        <f t="shared" si="377"/>
        <v>123.90335598081697</v>
      </c>
      <c r="AZ3820" s="68" t="str">
        <f t="shared" si="378"/>
        <v>Yes</v>
      </c>
      <c r="BA3820" s="68" t="str">
        <f t="shared" si="379"/>
        <v>No</v>
      </c>
    </row>
    <row r="3821" spans="1:55" ht="15" hidden="1">
      <c r="A3821" s="56" t="s">
        <v>3914</v>
      </c>
      <c r="G3821" s="56" t="s">
        <v>4033</v>
      </c>
      <c r="P3821" s="56" t="s">
        <v>4596</v>
      </c>
      <c r="Q3821" s="56"/>
      <c r="R3821" s="56" t="s">
        <v>4035</v>
      </c>
      <c r="S3821" s="56" t="s">
        <v>4040</v>
      </c>
      <c r="T3821" s="56"/>
      <c r="U3821" s="56"/>
      <c r="V3821" s="56" t="s">
        <v>4600</v>
      </c>
      <c r="W3821" s="56"/>
      <c r="X3821" s="56"/>
      <c r="Y3821" s="56"/>
      <c r="Z3821" s="56">
        <v>5</v>
      </c>
      <c r="AA3821" s="56">
        <v>5</v>
      </c>
      <c r="AB3821" s="56"/>
      <c r="AC3821" s="56">
        <v>562</v>
      </c>
      <c r="AD3821" s="56">
        <v>27</v>
      </c>
      <c r="AE3821" s="56">
        <v>992</v>
      </c>
      <c r="AF3821" s="56">
        <v>31</v>
      </c>
      <c r="AG3821" s="56"/>
      <c r="AH3821" s="56"/>
      <c r="AI3821" s="56"/>
      <c r="AJ3821" s="56" t="s">
        <v>4043</v>
      </c>
      <c r="AK3821" s="56" t="s">
        <v>59</v>
      </c>
      <c r="AL3821" s="59"/>
      <c r="AM3821" s="60"/>
      <c r="AN3821" s="56">
        <v>87</v>
      </c>
      <c r="AO3821" s="75">
        <v>6</v>
      </c>
      <c r="AP3821" s="56">
        <v>1</v>
      </c>
      <c r="AQ3821" s="75">
        <v>0.2</v>
      </c>
      <c r="AR3821" s="37"/>
      <c r="AS3821" s="37"/>
      <c r="AT3821" s="37"/>
      <c r="AU3821" s="37"/>
      <c r="AV3821" s="37"/>
      <c r="AW3821" s="28">
        <f t="shared" si="375"/>
        <v>-20.259142439556456</v>
      </c>
      <c r="AX3821">
        <f t="shared" si="376"/>
        <v>0.90322580645161288</v>
      </c>
      <c r="AY3821" s="62">
        <f t="shared" si="377"/>
        <v>-18.298580267986477</v>
      </c>
      <c r="AZ3821" s="68" t="str">
        <f t="shared" si="378"/>
        <v>No</v>
      </c>
      <c r="BA3821" s="68" t="str">
        <f t="shared" si="379"/>
        <v>Yes</v>
      </c>
    </row>
    <row r="3822" spans="1:55" ht="15" hidden="1">
      <c r="A3822" s="56" t="s">
        <v>3914</v>
      </c>
      <c r="G3822" s="56" t="s">
        <v>4033</v>
      </c>
      <c r="P3822" s="56" t="s">
        <v>4596</v>
      </c>
      <c r="Q3822" s="56"/>
      <c r="R3822" s="56" t="s">
        <v>4035</v>
      </c>
      <c r="S3822" s="56" t="s">
        <v>1778</v>
      </c>
      <c r="T3822" s="56"/>
      <c r="U3822" s="56"/>
      <c r="V3822" s="56" t="s">
        <v>4598</v>
      </c>
      <c r="W3822" s="56"/>
      <c r="X3822" s="56"/>
      <c r="Y3822" s="56"/>
      <c r="Z3822" s="56">
        <v>5</v>
      </c>
      <c r="AA3822" s="56">
        <v>5</v>
      </c>
      <c r="AB3822" s="56"/>
      <c r="AC3822" s="56">
        <v>562</v>
      </c>
      <c r="AD3822" s="56">
        <v>27</v>
      </c>
      <c r="AE3822" s="56">
        <v>590</v>
      </c>
      <c r="AF3822" s="56">
        <v>31</v>
      </c>
      <c r="AG3822" s="56"/>
      <c r="AH3822" s="56"/>
      <c r="AI3822" s="56"/>
      <c r="AJ3822" s="56" t="s">
        <v>2020</v>
      </c>
      <c r="AK3822" s="56" t="s">
        <v>59</v>
      </c>
      <c r="AL3822" s="59"/>
      <c r="AM3822" s="60"/>
      <c r="AN3822" s="56">
        <v>99</v>
      </c>
      <c r="AO3822" s="75">
        <v>4.9000000000000004</v>
      </c>
      <c r="AP3822" s="56">
        <v>98</v>
      </c>
      <c r="AQ3822" s="75">
        <v>0.49</v>
      </c>
      <c r="AR3822" s="37"/>
      <c r="AS3822" s="37"/>
      <c r="AT3822" s="37"/>
      <c r="AU3822" s="37"/>
      <c r="AV3822" s="37"/>
      <c r="AW3822" s="28">
        <f t="shared" si="375"/>
        <v>-0.28718267131848646</v>
      </c>
      <c r="AX3822">
        <f t="shared" si="376"/>
        <v>0.90322580645161288</v>
      </c>
      <c r="AY3822" s="62">
        <f t="shared" si="377"/>
        <v>-0.2593907999005684</v>
      </c>
      <c r="AZ3822" s="68" t="str">
        <f t="shared" si="378"/>
        <v>No</v>
      </c>
      <c r="BA3822" s="68" t="str">
        <f t="shared" si="379"/>
        <v>No</v>
      </c>
    </row>
    <row r="3823" spans="1:55" hidden="1">
      <c r="A3823" t="s">
        <v>3914</v>
      </c>
      <c r="G3823" t="s">
        <v>4033</v>
      </c>
      <c r="P3823" t="s">
        <v>60</v>
      </c>
      <c r="R3823" t="s">
        <v>4035</v>
      </c>
      <c r="S3823" t="s">
        <v>1778</v>
      </c>
      <c r="V3823" t="s">
        <v>3956</v>
      </c>
      <c r="Z3823" s="51">
        <v>5</v>
      </c>
      <c r="AA3823" s="51">
        <v>5</v>
      </c>
      <c r="AC3823">
        <v>478</v>
      </c>
      <c r="AD3823">
        <v>26.84</v>
      </c>
      <c r="AE3823">
        <v>1034</v>
      </c>
      <c r="AF3823">
        <v>26.78</v>
      </c>
      <c r="AJ3823" t="s">
        <v>4042</v>
      </c>
      <c r="AK3823" t="s">
        <v>4123</v>
      </c>
      <c r="AN3823">
        <v>2</v>
      </c>
      <c r="AO3823">
        <v>1</v>
      </c>
      <c r="AP3823">
        <v>1</v>
      </c>
      <c r="AQ3823">
        <v>0.5</v>
      </c>
      <c r="AW3823" s="28">
        <f t="shared" si="375"/>
        <v>-1.2649110640673518</v>
      </c>
      <c r="AX3823">
        <f t="shared" si="376"/>
        <v>0.90322580645161288</v>
      </c>
      <c r="AY3823" s="62">
        <f t="shared" si="377"/>
        <v>-1.1425003159318015</v>
      </c>
      <c r="AZ3823" s="68" t="str">
        <f t="shared" si="378"/>
        <v>No</v>
      </c>
      <c r="BA3823" s="68" t="str">
        <f t="shared" si="379"/>
        <v>No</v>
      </c>
    </row>
    <row r="3824" spans="1:55" ht="15" hidden="1">
      <c r="A3824" s="56" t="s">
        <v>3914</v>
      </c>
      <c r="G3824" s="56" t="s">
        <v>4033</v>
      </c>
      <c r="P3824" s="56" t="s">
        <v>4596</v>
      </c>
      <c r="Q3824" s="56"/>
      <c r="R3824" s="56" t="s">
        <v>4035</v>
      </c>
      <c r="S3824" s="56" t="s">
        <v>4040</v>
      </c>
      <c r="T3824" s="56"/>
      <c r="U3824" s="56"/>
      <c r="V3824" s="56" t="s">
        <v>4598</v>
      </c>
      <c r="W3824" s="56"/>
      <c r="X3824" s="56"/>
      <c r="Y3824" s="56"/>
      <c r="Z3824" s="56">
        <v>5</v>
      </c>
      <c r="AA3824" s="56">
        <v>5</v>
      </c>
      <c r="AB3824" s="56"/>
      <c r="AC3824" s="56">
        <v>562</v>
      </c>
      <c r="AD3824" s="56">
        <v>27</v>
      </c>
      <c r="AE3824" s="56">
        <v>590</v>
      </c>
      <c r="AF3824" s="56">
        <v>31</v>
      </c>
      <c r="AG3824" s="56"/>
      <c r="AH3824" s="56"/>
      <c r="AI3824" s="56"/>
      <c r="AJ3824" s="56" t="s">
        <v>2020</v>
      </c>
      <c r="AK3824" s="56" t="s">
        <v>59</v>
      </c>
      <c r="AL3824" s="59"/>
      <c r="AM3824" s="60"/>
      <c r="AN3824" s="56">
        <v>86.5</v>
      </c>
      <c r="AO3824" s="75">
        <v>4</v>
      </c>
      <c r="AP3824" s="56">
        <v>90</v>
      </c>
      <c r="AQ3824" s="75">
        <v>0.5</v>
      </c>
      <c r="AR3824" s="37"/>
      <c r="AS3824" s="37"/>
      <c r="AT3824" s="37"/>
      <c r="AU3824" s="37"/>
      <c r="AV3824" s="37"/>
      <c r="AW3824" s="28">
        <f t="shared" si="375"/>
        <v>1.2278812270298409</v>
      </c>
      <c r="AX3824">
        <f t="shared" si="376"/>
        <v>0.90322580645161288</v>
      </c>
      <c r="AY3824" s="62">
        <f t="shared" si="377"/>
        <v>1.1090540115108241</v>
      </c>
      <c r="AZ3824" s="68" t="str">
        <f t="shared" si="378"/>
        <v>No</v>
      </c>
      <c r="BA3824" s="68" t="str">
        <f t="shared" si="379"/>
        <v>No</v>
      </c>
    </row>
    <row r="3825" spans="1:53" ht="15" hidden="1">
      <c r="A3825" s="56" t="s">
        <v>3914</v>
      </c>
      <c r="G3825" s="56" t="s">
        <v>4033</v>
      </c>
      <c r="P3825" s="56" t="s">
        <v>4596</v>
      </c>
      <c r="Q3825" s="56"/>
      <c r="R3825" s="56" t="s">
        <v>4035</v>
      </c>
      <c r="S3825" s="56" t="s">
        <v>4038</v>
      </c>
      <c r="T3825" s="56"/>
      <c r="U3825" s="56"/>
      <c r="V3825" s="56" t="s">
        <v>4600</v>
      </c>
      <c r="W3825" s="56"/>
      <c r="X3825" s="56"/>
      <c r="Y3825" s="56"/>
      <c r="Z3825" s="56">
        <v>5</v>
      </c>
      <c r="AA3825" s="56">
        <v>5</v>
      </c>
      <c r="AB3825" s="56"/>
      <c r="AC3825" s="56">
        <v>562</v>
      </c>
      <c r="AD3825" s="56">
        <v>27</v>
      </c>
      <c r="AE3825" s="56">
        <v>992</v>
      </c>
      <c r="AF3825" s="56">
        <v>31</v>
      </c>
      <c r="AG3825" s="56"/>
      <c r="AH3825" s="56"/>
      <c r="AI3825" s="56"/>
      <c r="AJ3825" s="56" t="s">
        <v>4043</v>
      </c>
      <c r="AK3825" s="56" t="s">
        <v>59</v>
      </c>
      <c r="AL3825" s="59"/>
      <c r="AM3825" s="60"/>
      <c r="AN3825" s="56">
        <v>38</v>
      </c>
      <c r="AO3825" s="75">
        <v>5.5</v>
      </c>
      <c r="AP3825" s="56">
        <v>1.5</v>
      </c>
      <c r="AQ3825" s="75">
        <v>0.5</v>
      </c>
      <c r="AR3825" s="37"/>
      <c r="AS3825" s="37"/>
      <c r="AT3825" s="37"/>
      <c r="AU3825" s="37"/>
      <c r="AV3825" s="37"/>
      <c r="AW3825" s="28">
        <f t="shared" si="375"/>
        <v>-9.3466922351014059</v>
      </c>
      <c r="AX3825">
        <f t="shared" si="376"/>
        <v>0.90322580645161288</v>
      </c>
      <c r="AY3825" s="62">
        <f t="shared" si="377"/>
        <v>-8.4421736317044953</v>
      </c>
      <c r="AZ3825" s="68" t="str">
        <f t="shared" si="378"/>
        <v>No</v>
      </c>
      <c r="BA3825" s="68" t="str">
        <f t="shared" si="379"/>
        <v>No</v>
      </c>
    </row>
    <row r="3826" spans="1:53" hidden="1">
      <c r="A3826" t="s">
        <v>3914</v>
      </c>
      <c r="G3826" t="s">
        <v>4033</v>
      </c>
      <c r="P3826" t="s">
        <v>60</v>
      </c>
      <c r="R3826" t="s">
        <v>4035</v>
      </c>
      <c r="S3826" t="s">
        <v>1778</v>
      </c>
      <c r="V3826" t="s">
        <v>3956</v>
      </c>
      <c r="Z3826" s="51">
        <v>5</v>
      </c>
      <c r="AA3826" s="51">
        <v>5</v>
      </c>
      <c r="AC3826">
        <v>478</v>
      </c>
      <c r="AD3826">
        <v>26.84</v>
      </c>
      <c r="AE3826">
        <v>1034</v>
      </c>
      <c r="AF3826">
        <v>26.78</v>
      </c>
      <c r="AJ3826" t="s">
        <v>2020</v>
      </c>
      <c r="AK3826" t="s">
        <v>4041</v>
      </c>
      <c r="AN3826">
        <v>96</v>
      </c>
      <c r="AO3826">
        <v>1.2</v>
      </c>
      <c r="AP3826">
        <v>98</v>
      </c>
      <c r="AQ3826">
        <v>1</v>
      </c>
      <c r="AW3826" s="28">
        <f t="shared" si="375"/>
        <v>1.8107149208503706</v>
      </c>
      <c r="AX3826">
        <f t="shared" si="376"/>
        <v>0.90322580645161288</v>
      </c>
      <c r="AY3826" s="62">
        <f t="shared" si="377"/>
        <v>1.6354844446390444</v>
      </c>
      <c r="AZ3826" s="68" t="str">
        <f t="shared" si="378"/>
        <v>No</v>
      </c>
      <c r="BA3826" s="68" t="str">
        <f t="shared" si="379"/>
        <v>No</v>
      </c>
    </row>
    <row r="3827" spans="1:53" hidden="1">
      <c r="A3827" t="s">
        <v>3914</v>
      </c>
      <c r="G3827" t="s">
        <v>4033</v>
      </c>
      <c r="P3827" t="s">
        <v>60</v>
      </c>
      <c r="R3827" t="s">
        <v>4035</v>
      </c>
      <c r="S3827" t="s">
        <v>1778</v>
      </c>
      <c r="V3827" t="s">
        <v>3956</v>
      </c>
      <c r="Z3827" s="51">
        <v>5</v>
      </c>
      <c r="AA3827" s="51">
        <v>5</v>
      </c>
      <c r="AC3827">
        <v>478</v>
      </c>
      <c r="AD3827">
        <v>26.84</v>
      </c>
      <c r="AE3827">
        <v>1034</v>
      </c>
      <c r="AF3827">
        <v>26.78</v>
      </c>
      <c r="AJ3827" t="s">
        <v>4043</v>
      </c>
      <c r="AK3827" t="s">
        <v>4041</v>
      </c>
      <c r="AN3827">
        <v>94.8</v>
      </c>
      <c r="AO3827">
        <v>1</v>
      </c>
      <c r="AP3827">
        <v>97</v>
      </c>
      <c r="AQ3827">
        <v>1</v>
      </c>
      <c r="AW3827" s="28">
        <f t="shared" si="375"/>
        <v>2.2000000000000028</v>
      </c>
      <c r="AX3827">
        <f t="shared" si="376"/>
        <v>0.90322580645161288</v>
      </c>
      <c r="AY3827" s="62">
        <f t="shared" si="377"/>
        <v>1.9870967741935508</v>
      </c>
      <c r="AZ3827" s="68" t="str">
        <f t="shared" si="378"/>
        <v>No</v>
      </c>
      <c r="BA3827" s="68" t="str">
        <f t="shared" si="379"/>
        <v>No</v>
      </c>
    </row>
    <row r="3828" spans="1:53" hidden="1">
      <c r="A3828" t="s">
        <v>3914</v>
      </c>
      <c r="G3828" t="s">
        <v>4033</v>
      </c>
      <c r="P3828" t="s">
        <v>60</v>
      </c>
      <c r="R3828" t="s">
        <v>4035</v>
      </c>
      <c r="S3828" t="s">
        <v>4040</v>
      </c>
      <c r="V3828" t="s">
        <v>3956</v>
      </c>
      <c r="Z3828" s="51">
        <v>5</v>
      </c>
      <c r="AA3828" s="51">
        <v>5</v>
      </c>
      <c r="AC3828">
        <v>478</v>
      </c>
      <c r="AD3828">
        <v>26.84</v>
      </c>
      <c r="AE3828">
        <v>1034</v>
      </c>
      <c r="AF3828">
        <v>26.78</v>
      </c>
      <c r="AJ3828" t="s">
        <v>2020</v>
      </c>
      <c r="AK3828" t="s">
        <v>4041</v>
      </c>
      <c r="AN3828">
        <v>98</v>
      </c>
      <c r="AO3828">
        <v>1.2</v>
      </c>
      <c r="AP3828">
        <v>91</v>
      </c>
      <c r="AQ3828">
        <v>1.2</v>
      </c>
      <c r="AW3828" s="28">
        <f t="shared" si="375"/>
        <v>-5.8333333333333339</v>
      </c>
      <c r="AX3828">
        <f t="shared" si="376"/>
        <v>0.90322580645161288</v>
      </c>
      <c r="AY3828" s="62">
        <f t="shared" si="377"/>
        <v>-5.2688172043010759</v>
      </c>
      <c r="AZ3828" s="68" t="str">
        <f t="shared" si="378"/>
        <v>No</v>
      </c>
      <c r="BA3828" s="68" t="str">
        <f t="shared" si="379"/>
        <v>No</v>
      </c>
    </row>
    <row r="3829" spans="1:53" ht="15" hidden="1">
      <c r="A3829" s="56" t="s">
        <v>3914</v>
      </c>
      <c r="G3829" s="56" t="s">
        <v>4033</v>
      </c>
      <c r="P3829" s="56" t="s">
        <v>4596</v>
      </c>
      <c r="Q3829" s="56"/>
      <c r="R3829" s="56" t="s">
        <v>4035</v>
      </c>
      <c r="S3829" s="56" t="s">
        <v>4040</v>
      </c>
      <c r="T3829" s="56"/>
      <c r="U3829" s="56"/>
      <c r="V3829" s="56" t="s">
        <v>4600</v>
      </c>
      <c r="W3829" s="56"/>
      <c r="X3829" s="56"/>
      <c r="Y3829" s="56"/>
      <c r="Z3829" s="56">
        <v>5</v>
      </c>
      <c r="AA3829" s="56">
        <v>5</v>
      </c>
      <c r="AB3829" s="56"/>
      <c r="AC3829" s="56">
        <v>562</v>
      </c>
      <c r="AD3829" s="56">
        <v>27</v>
      </c>
      <c r="AE3829" s="56">
        <v>992</v>
      </c>
      <c r="AF3829" s="56">
        <v>31</v>
      </c>
      <c r="AG3829" s="56"/>
      <c r="AH3829" s="56"/>
      <c r="AI3829" s="56"/>
      <c r="AJ3829" s="56" t="s">
        <v>2020</v>
      </c>
      <c r="AK3829" s="56" t="s">
        <v>59</v>
      </c>
      <c r="AL3829" s="59"/>
      <c r="AM3829" s="60"/>
      <c r="AN3829" s="56">
        <v>99</v>
      </c>
      <c r="AO3829" s="75">
        <v>4.9000000000000004</v>
      </c>
      <c r="AP3829" s="56">
        <v>96</v>
      </c>
      <c r="AQ3829" s="75">
        <v>1.5</v>
      </c>
      <c r="AR3829" s="37"/>
      <c r="AS3829" s="37"/>
      <c r="AT3829" s="37"/>
      <c r="AU3829" s="37"/>
      <c r="AV3829" s="37"/>
      <c r="AW3829" s="28">
        <f t="shared" si="375"/>
        <v>-0.82792098699132233</v>
      </c>
      <c r="AX3829">
        <f t="shared" si="376"/>
        <v>0.90322580645161288</v>
      </c>
      <c r="AY3829" s="62">
        <f t="shared" si="377"/>
        <v>-0.74779960115345245</v>
      </c>
      <c r="AZ3829" s="68" t="str">
        <f t="shared" si="378"/>
        <v>No</v>
      </c>
      <c r="BA3829" s="68" t="str">
        <f t="shared" si="379"/>
        <v>No</v>
      </c>
    </row>
    <row r="3830" spans="1:53" ht="15" hidden="1">
      <c r="A3830" s="56" t="s">
        <v>3914</v>
      </c>
      <c r="G3830" s="56" t="s">
        <v>4033</v>
      </c>
      <c r="P3830" s="56" t="s">
        <v>4596</v>
      </c>
      <c r="Q3830" s="56"/>
      <c r="R3830" s="56" t="s">
        <v>4035</v>
      </c>
      <c r="S3830" s="56" t="s">
        <v>4038</v>
      </c>
      <c r="T3830" s="56"/>
      <c r="U3830" s="56"/>
      <c r="V3830" s="56" t="s">
        <v>4600</v>
      </c>
      <c r="W3830" s="56"/>
      <c r="X3830" s="56"/>
      <c r="Y3830" s="56"/>
      <c r="Z3830" s="56">
        <v>5</v>
      </c>
      <c r="AA3830" s="56">
        <v>5</v>
      </c>
      <c r="AB3830" s="56"/>
      <c r="AC3830" s="56">
        <v>562</v>
      </c>
      <c r="AD3830" s="56">
        <v>27</v>
      </c>
      <c r="AE3830" s="56">
        <v>992</v>
      </c>
      <c r="AF3830" s="56">
        <v>31</v>
      </c>
      <c r="AG3830" s="56"/>
      <c r="AH3830" s="56"/>
      <c r="AI3830" s="56"/>
      <c r="AJ3830" s="56" t="s">
        <v>4042</v>
      </c>
      <c r="AK3830" s="56"/>
      <c r="AL3830" s="59"/>
      <c r="AM3830" s="60"/>
      <c r="AN3830" s="56">
        <v>70</v>
      </c>
      <c r="AO3830" s="75">
        <v>13.5</v>
      </c>
      <c r="AP3830" s="56">
        <v>4</v>
      </c>
      <c r="AQ3830" s="75">
        <v>1.6</v>
      </c>
      <c r="AR3830" s="37"/>
      <c r="AS3830" s="37"/>
      <c r="AT3830" s="37"/>
      <c r="AU3830" s="37"/>
      <c r="AV3830" s="37"/>
      <c r="AW3830" s="28">
        <f t="shared" si="375"/>
        <v>-6.8658798606211962</v>
      </c>
      <c r="AX3830">
        <f t="shared" si="376"/>
        <v>0.90322580645161288</v>
      </c>
      <c r="AY3830" s="62">
        <f t="shared" si="377"/>
        <v>-6.2014398741094672</v>
      </c>
      <c r="AZ3830" s="68" t="str">
        <f t="shared" si="378"/>
        <v>No</v>
      </c>
      <c r="BA3830" s="68" t="str">
        <f t="shared" si="379"/>
        <v>No</v>
      </c>
    </row>
    <row r="3831" spans="1:53" hidden="1">
      <c r="A3831" t="s">
        <v>3914</v>
      </c>
      <c r="G3831" t="s">
        <v>4033</v>
      </c>
      <c r="P3831" t="s">
        <v>60</v>
      </c>
      <c r="R3831" t="s">
        <v>4035</v>
      </c>
      <c r="S3831" t="s">
        <v>4039</v>
      </c>
      <c r="V3831" t="s">
        <v>3956</v>
      </c>
      <c r="Z3831" s="51">
        <v>5</v>
      </c>
      <c r="AA3831" s="51">
        <v>5</v>
      </c>
      <c r="AC3831">
        <v>403.95</v>
      </c>
      <c r="AD3831">
        <v>27</v>
      </c>
      <c r="AE3831">
        <v>933.75</v>
      </c>
      <c r="AF3831">
        <v>27</v>
      </c>
      <c r="AJ3831" t="s">
        <v>4042</v>
      </c>
      <c r="AK3831" t="s">
        <v>4123</v>
      </c>
      <c r="AN3831">
        <v>4</v>
      </c>
      <c r="AO3831">
        <v>2</v>
      </c>
      <c r="AP3831">
        <v>2</v>
      </c>
      <c r="AQ3831">
        <v>2</v>
      </c>
      <c r="AW3831" s="28">
        <f t="shared" si="375"/>
        <v>-1</v>
      </c>
      <c r="AX3831">
        <f t="shared" si="376"/>
        <v>0.90322580645161288</v>
      </c>
      <c r="AY3831" s="62">
        <f t="shared" si="377"/>
        <v>-0.90322580645161288</v>
      </c>
      <c r="AZ3831" s="68" t="str">
        <f t="shared" si="378"/>
        <v>No</v>
      </c>
      <c r="BA3831" s="68" t="str">
        <f t="shared" si="379"/>
        <v>No</v>
      </c>
    </row>
    <row r="3832" spans="1:53" hidden="1">
      <c r="A3832" t="s">
        <v>3914</v>
      </c>
      <c r="G3832" t="s">
        <v>4033</v>
      </c>
      <c r="P3832" t="s">
        <v>60</v>
      </c>
      <c r="R3832" t="s">
        <v>4035</v>
      </c>
      <c r="S3832" t="s">
        <v>4040</v>
      </c>
      <c r="V3832" t="s">
        <v>3956</v>
      </c>
      <c r="Z3832" s="51">
        <v>5</v>
      </c>
      <c r="AA3832" s="51">
        <v>5</v>
      </c>
      <c r="AC3832">
        <v>478</v>
      </c>
      <c r="AD3832">
        <v>26.84</v>
      </c>
      <c r="AE3832">
        <v>1034</v>
      </c>
      <c r="AF3832">
        <v>26.78</v>
      </c>
      <c r="AJ3832" t="s">
        <v>4042</v>
      </c>
      <c r="AK3832" t="s">
        <v>4123</v>
      </c>
      <c r="AN3832">
        <v>12</v>
      </c>
      <c r="AO3832">
        <v>5</v>
      </c>
      <c r="AP3832">
        <v>8</v>
      </c>
      <c r="AQ3832">
        <v>2</v>
      </c>
      <c r="AW3832" s="28">
        <f t="shared" si="375"/>
        <v>-1.0504514628777804</v>
      </c>
      <c r="AX3832">
        <f t="shared" si="376"/>
        <v>0.90322580645161288</v>
      </c>
      <c r="AY3832" s="62">
        <f t="shared" si="377"/>
        <v>-0.94879486969605964</v>
      </c>
      <c r="AZ3832" s="68" t="str">
        <f t="shared" si="378"/>
        <v>No</v>
      </c>
      <c r="BA3832" s="68" t="str">
        <f t="shared" si="379"/>
        <v>No</v>
      </c>
    </row>
    <row r="3833" spans="1:53" ht="15" hidden="1">
      <c r="A3833" s="56" t="s">
        <v>3914</v>
      </c>
      <c r="G3833" s="56" t="s">
        <v>4033</v>
      </c>
      <c r="P3833" s="56" t="s">
        <v>4596</v>
      </c>
      <c r="Q3833" s="56"/>
      <c r="R3833" s="56" t="s">
        <v>4035</v>
      </c>
      <c r="S3833" s="56" t="s">
        <v>1778</v>
      </c>
      <c r="T3833" s="56"/>
      <c r="U3833" s="56"/>
      <c r="V3833" s="56" t="s">
        <v>4600</v>
      </c>
      <c r="W3833" s="56"/>
      <c r="X3833" s="56"/>
      <c r="Y3833" s="56"/>
      <c r="Z3833" s="56">
        <v>5</v>
      </c>
      <c r="AA3833" s="56">
        <v>5</v>
      </c>
      <c r="AB3833" s="56"/>
      <c r="AC3833" s="56">
        <v>562</v>
      </c>
      <c r="AD3833" s="56">
        <v>27</v>
      </c>
      <c r="AE3833" s="56">
        <v>992</v>
      </c>
      <c r="AF3833" s="56">
        <v>31</v>
      </c>
      <c r="AG3833" s="56"/>
      <c r="AH3833" s="56"/>
      <c r="AI3833" s="56"/>
      <c r="AJ3833" s="56" t="s">
        <v>4042</v>
      </c>
      <c r="AK3833" s="56"/>
      <c r="AL3833" s="59"/>
      <c r="AM3833" s="60"/>
      <c r="AN3833" s="56">
        <v>3</v>
      </c>
      <c r="AO3833" s="75">
        <v>1</v>
      </c>
      <c r="AP3833" s="56">
        <v>16</v>
      </c>
      <c r="AQ3833" s="75">
        <v>2</v>
      </c>
      <c r="AR3833" s="37"/>
      <c r="AS3833" s="37"/>
      <c r="AT3833" s="37"/>
      <c r="AU3833" s="37"/>
      <c r="AV3833" s="37"/>
      <c r="AW3833" s="28">
        <f t="shared" si="375"/>
        <v>8.2219219164377861</v>
      </c>
      <c r="AX3833">
        <f t="shared" si="376"/>
        <v>0.90322580645161288</v>
      </c>
      <c r="AY3833" s="62">
        <f t="shared" si="377"/>
        <v>7.42625205355671</v>
      </c>
      <c r="AZ3833" s="68" t="str">
        <f t="shared" si="378"/>
        <v>No</v>
      </c>
      <c r="BA3833" s="68" t="str">
        <f t="shared" si="379"/>
        <v>No</v>
      </c>
    </row>
    <row r="3834" spans="1:53" hidden="1">
      <c r="A3834" t="s">
        <v>3914</v>
      </c>
      <c r="G3834" t="s">
        <v>4033</v>
      </c>
      <c r="P3834" t="s">
        <v>60</v>
      </c>
      <c r="R3834" t="s">
        <v>4035</v>
      </c>
      <c r="S3834" t="s">
        <v>4040</v>
      </c>
      <c r="V3834" t="s">
        <v>3956</v>
      </c>
      <c r="Z3834" s="51">
        <v>5</v>
      </c>
      <c r="AA3834" s="51">
        <v>5</v>
      </c>
      <c r="AC3834">
        <v>478</v>
      </c>
      <c r="AD3834">
        <v>26.84</v>
      </c>
      <c r="AE3834">
        <v>1034</v>
      </c>
      <c r="AF3834">
        <v>26.78</v>
      </c>
      <c r="AJ3834" t="s">
        <v>4043</v>
      </c>
      <c r="AK3834" t="s">
        <v>4041</v>
      </c>
      <c r="AN3834">
        <v>87</v>
      </c>
      <c r="AO3834">
        <v>7</v>
      </c>
      <c r="AP3834">
        <v>83</v>
      </c>
      <c r="AQ3834">
        <v>3</v>
      </c>
      <c r="AW3834" s="28">
        <f t="shared" si="375"/>
        <v>-0.74278135270820744</v>
      </c>
      <c r="AX3834">
        <f t="shared" si="376"/>
        <v>0.90322580645161288</v>
      </c>
      <c r="AY3834" s="62">
        <f t="shared" si="377"/>
        <v>-0.67089928631709062</v>
      </c>
      <c r="AZ3834" s="68" t="str">
        <f t="shared" si="378"/>
        <v>No</v>
      </c>
      <c r="BA3834" s="68" t="str">
        <f t="shared" si="379"/>
        <v>No</v>
      </c>
    </row>
    <row r="3835" spans="1:53" ht="15" hidden="1">
      <c r="A3835" s="56" t="s">
        <v>3914</v>
      </c>
      <c r="G3835" s="56" t="s">
        <v>4033</v>
      </c>
      <c r="P3835" s="56" t="s">
        <v>4596</v>
      </c>
      <c r="Q3835" s="56"/>
      <c r="R3835" s="56" t="s">
        <v>4035</v>
      </c>
      <c r="S3835" s="56" t="s">
        <v>4038</v>
      </c>
      <c r="T3835" s="56"/>
      <c r="U3835" s="56"/>
      <c r="V3835" s="56" t="s">
        <v>4600</v>
      </c>
      <c r="W3835" s="56"/>
      <c r="X3835" s="56"/>
      <c r="Y3835" s="56"/>
      <c r="Z3835" s="56">
        <v>5</v>
      </c>
      <c r="AA3835" s="56">
        <v>5</v>
      </c>
      <c r="AB3835" s="56"/>
      <c r="AC3835" s="56">
        <v>562</v>
      </c>
      <c r="AD3835" s="56">
        <v>27</v>
      </c>
      <c r="AE3835" s="56">
        <v>992</v>
      </c>
      <c r="AF3835" s="56">
        <v>31</v>
      </c>
      <c r="AG3835" s="56"/>
      <c r="AH3835" s="56"/>
      <c r="AI3835" s="56"/>
      <c r="AJ3835" s="56" t="s">
        <v>2020</v>
      </c>
      <c r="AK3835" s="56" t="s">
        <v>904</v>
      </c>
      <c r="AL3835" s="59"/>
      <c r="AM3835" s="60"/>
      <c r="AN3835" s="56">
        <v>41</v>
      </c>
      <c r="AO3835" s="75">
        <v>6</v>
      </c>
      <c r="AP3835" s="56">
        <v>8</v>
      </c>
      <c r="AQ3835" s="75">
        <v>3</v>
      </c>
      <c r="AR3835" s="37"/>
      <c r="AS3835" s="37"/>
      <c r="AT3835" s="37"/>
      <c r="AU3835" s="37"/>
      <c r="AV3835" s="37"/>
      <c r="AW3835" s="28">
        <f t="shared" si="375"/>
        <v>-6.9570108523704342</v>
      </c>
      <c r="AX3835">
        <f t="shared" si="376"/>
        <v>0.90322580645161288</v>
      </c>
      <c r="AY3835" s="62">
        <f t="shared" si="377"/>
        <v>-6.2837517376249084</v>
      </c>
      <c r="AZ3835" s="68" t="str">
        <f t="shared" si="378"/>
        <v>No</v>
      </c>
      <c r="BA3835" s="68" t="str">
        <f t="shared" si="379"/>
        <v>No</v>
      </c>
    </row>
    <row r="3836" spans="1:53" ht="15" hidden="1">
      <c r="A3836" s="56" t="s">
        <v>3914</v>
      </c>
      <c r="G3836" s="56" t="s">
        <v>4033</v>
      </c>
      <c r="P3836" s="56" t="s">
        <v>4596</v>
      </c>
      <c r="Q3836" s="56"/>
      <c r="R3836" s="56" t="s">
        <v>4035</v>
      </c>
      <c r="S3836" s="56" t="s">
        <v>4038</v>
      </c>
      <c r="T3836" s="56"/>
      <c r="U3836" s="56"/>
      <c r="V3836" s="56" t="s">
        <v>4598</v>
      </c>
      <c r="W3836" s="56"/>
      <c r="X3836" s="56"/>
      <c r="Y3836" s="56"/>
      <c r="Z3836" s="56">
        <v>5</v>
      </c>
      <c r="AA3836" s="56">
        <v>5</v>
      </c>
      <c r="AB3836" s="56"/>
      <c r="AC3836" s="56">
        <v>562</v>
      </c>
      <c r="AD3836" s="56">
        <v>27</v>
      </c>
      <c r="AE3836" s="56">
        <v>590</v>
      </c>
      <c r="AF3836" s="56">
        <v>31</v>
      </c>
      <c r="AG3836" s="56"/>
      <c r="AH3836" s="56"/>
      <c r="AI3836" s="56"/>
      <c r="AJ3836" s="56" t="s">
        <v>4955</v>
      </c>
      <c r="AK3836" s="56" t="s">
        <v>59</v>
      </c>
      <c r="AL3836" s="59"/>
      <c r="AM3836" s="60"/>
      <c r="AN3836" s="56">
        <v>38</v>
      </c>
      <c r="AO3836" s="75">
        <v>5.5</v>
      </c>
      <c r="AP3836" s="56">
        <v>5</v>
      </c>
      <c r="AQ3836" s="75">
        <v>3.5</v>
      </c>
      <c r="AR3836" s="37" t="s">
        <v>4966</v>
      </c>
      <c r="AS3836" s="37"/>
      <c r="AT3836" s="37"/>
      <c r="AU3836" s="37"/>
      <c r="AV3836" s="37"/>
      <c r="AW3836" s="28">
        <f t="shared" si="375"/>
        <v>-7.1587051080156536</v>
      </c>
      <c r="AX3836">
        <f t="shared" si="376"/>
        <v>0.90322580645161288</v>
      </c>
      <c r="AY3836" s="62">
        <f t="shared" si="377"/>
        <v>-6.4659271943367189</v>
      </c>
      <c r="AZ3836" s="68" t="str">
        <f t="shared" si="378"/>
        <v>No</v>
      </c>
      <c r="BA3836" s="68" t="str">
        <f t="shared" si="379"/>
        <v>No</v>
      </c>
    </row>
    <row r="3837" spans="1:53" ht="15" hidden="1">
      <c r="A3837" s="56" t="s">
        <v>3914</v>
      </c>
      <c r="G3837" s="56" t="s">
        <v>4033</v>
      </c>
      <c r="P3837" s="56" t="s">
        <v>4596</v>
      </c>
      <c r="Q3837" s="56"/>
      <c r="R3837" s="56" t="s">
        <v>4035</v>
      </c>
      <c r="S3837" s="56" t="s">
        <v>4038</v>
      </c>
      <c r="T3837" s="56"/>
      <c r="U3837" s="56"/>
      <c r="V3837" s="56" t="s">
        <v>4598</v>
      </c>
      <c r="W3837" s="56"/>
      <c r="X3837" s="56"/>
      <c r="Y3837" s="56"/>
      <c r="Z3837" s="56">
        <v>5</v>
      </c>
      <c r="AA3837" s="56">
        <v>5</v>
      </c>
      <c r="AB3837" s="56"/>
      <c r="AC3837" s="56">
        <v>562</v>
      </c>
      <c r="AD3837" s="56">
        <v>27</v>
      </c>
      <c r="AE3837" s="56">
        <v>590</v>
      </c>
      <c r="AF3837" s="56">
        <v>31</v>
      </c>
      <c r="AG3837" s="56"/>
      <c r="AH3837" s="56"/>
      <c r="AI3837" s="56"/>
      <c r="AJ3837" s="56" t="s">
        <v>4753</v>
      </c>
      <c r="AK3837" s="56"/>
      <c r="AL3837" s="59"/>
      <c r="AM3837" s="60"/>
      <c r="AN3837" s="56">
        <v>73</v>
      </c>
      <c r="AO3837" s="75">
        <v>0</v>
      </c>
      <c r="AP3837" s="56">
        <v>5</v>
      </c>
      <c r="AQ3837" s="75">
        <v>4</v>
      </c>
      <c r="AR3837" s="37"/>
      <c r="AS3837" s="37"/>
      <c r="AT3837" s="37"/>
      <c r="AU3837" s="37"/>
      <c r="AV3837" s="37"/>
      <c r="AW3837" s="28">
        <f t="shared" si="375"/>
        <v>-24.041630560342615</v>
      </c>
      <c r="AX3837">
        <f t="shared" si="376"/>
        <v>0.90322580645161288</v>
      </c>
      <c r="AY3837" s="62">
        <f t="shared" si="377"/>
        <v>-21.715021151277199</v>
      </c>
      <c r="AZ3837" s="68" t="str">
        <f t="shared" si="378"/>
        <v>No</v>
      </c>
      <c r="BA3837" s="68" t="str">
        <f t="shared" si="379"/>
        <v>Yes</v>
      </c>
    </row>
    <row r="3838" spans="1:53" ht="15" hidden="1">
      <c r="A3838" s="56" t="s">
        <v>3914</v>
      </c>
      <c r="G3838" s="56" t="s">
        <v>4033</v>
      </c>
      <c r="P3838" s="56" t="s">
        <v>4596</v>
      </c>
      <c r="Q3838" s="56"/>
      <c r="R3838" s="56" t="s">
        <v>4035</v>
      </c>
      <c r="S3838" s="56" t="s">
        <v>1778</v>
      </c>
      <c r="T3838" s="56"/>
      <c r="U3838" s="56"/>
      <c r="V3838" s="56" t="s">
        <v>4600</v>
      </c>
      <c r="W3838" s="56"/>
      <c r="X3838" s="56"/>
      <c r="Y3838" s="56"/>
      <c r="Z3838" s="56">
        <v>5</v>
      </c>
      <c r="AA3838" s="56">
        <v>5</v>
      </c>
      <c r="AB3838" s="56"/>
      <c r="AC3838" s="56">
        <v>562</v>
      </c>
      <c r="AD3838" s="56">
        <v>27</v>
      </c>
      <c r="AE3838" s="56">
        <v>992</v>
      </c>
      <c r="AF3838" s="56">
        <v>31</v>
      </c>
      <c r="AG3838" s="56"/>
      <c r="AH3838" s="56"/>
      <c r="AI3838" s="56"/>
      <c r="AJ3838" s="56" t="s">
        <v>2020</v>
      </c>
      <c r="AK3838" s="56" t="s">
        <v>59</v>
      </c>
      <c r="AL3838" s="59"/>
      <c r="AM3838" s="60"/>
      <c r="AN3838" s="56">
        <v>73</v>
      </c>
      <c r="AO3838" s="75">
        <v>0</v>
      </c>
      <c r="AP3838" s="56">
        <v>7</v>
      </c>
      <c r="AQ3838" s="75">
        <v>4.5</v>
      </c>
      <c r="AR3838" s="37"/>
      <c r="AS3838" s="37"/>
      <c r="AT3838" s="37"/>
      <c r="AU3838" s="37"/>
      <c r="AV3838" s="37"/>
      <c r="AW3838" s="28">
        <f t="shared" si="375"/>
        <v>-20.741798914805393</v>
      </c>
      <c r="AX3838">
        <f t="shared" si="376"/>
        <v>0.90322580645161288</v>
      </c>
      <c r="AY3838" s="62">
        <f t="shared" si="377"/>
        <v>-18.73452805208229</v>
      </c>
      <c r="AZ3838" s="68" t="str">
        <f t="shared" si="378"/>
        <v>No</v>
      </c>
      <c r="BA3838" s="68" t="str">
        <f t="shared" si="379"/>
        <v>Yes</v>
      </c>
    </row>
    <row r="3839" spans="1:53" ht="15" hidden="1">
      <c r="A3839" s="56" t="s">
        <v>3914</v>
      </c>
      <c r="G3839" s="56" t="s">
        <v>4033</v>
      </c>
      <c r="P3839" s="56" t="s">
        <v>4596</v>
      </c>
      <c r="Q3839" s="56"/>
      <c r="R3839" s="56" t="s">
        <v>4035</v>
      </c>
      <c r="S3839" s="56" t="s">
        <v>1778</v>
      </c>
      <c r="T3839" s="56"/>
      <c r="U3839" s="56"/>
      <c r="V3839" s="56" t="s">
        <v>4600</v>
      </c>
      <c r="W3839" s="56"/>
      <c r="X3839" s="56"/>
      <c r="Y3839" s="56"/>
      <c r="Z3839" s="56">
        <v>5</v>
      </c>
      <c r="AA3839" s="56">
        <v>5</v>
      </c>
      <c r="AB3839" s="56"/>
      <c r="AC3839" s="56">
        <v>562</v>
      </c>
      <c r="AD3839" s="56">
        <v>27</v>
      </c>
      <c r="AE3839" s="56">
        <v>992</v>
      </c>
      <c r="AF3839" s="56">
        <v>31</v>
      </c>
      <c r="AG3839" s="56"/>
      <c r="AH3839" s="56"/>
      <c r="AI3839" s="56"/>
      <c r="AJ3839" s="56" t="s">
        <v>4043</v>
      </c>
      <c r="AK3839" s="56" t="s">
        <v>59</v>
      </c>
      <c r="AL3839" s="59"/>
      <c r="AM3839" s="60"/>
      <c r="AN3839" s="56">
        <v>94</v>
      </c>
      <c r="AO3839" s="75">
        <v>1</v>
      </c>
      <c r="AP3839" s="56">
        <v>70</v>
      </c>
      <c r="AQ3839" s="75">
        <v>4.5</v>
      </c>
      <c r="AR3839" s="37"/>
      <c r="AS3839" s="37"/>
      <c r="AT3839" s="37"/>
      <c r="AU3839" s="37"/>
      <c r="AV3839" s="37"/>
      <c r="AW3839" s="28">
        <f t="shared" si="375"/>
        <v>-7.3628638929347554</v>
      </c>
      <c r="AX3839">
        <f t="shared" si="376"/>
        <v>0.90322580645161288</v>
      </c>
      <c r="AY3839" s="62">
        <f t="shared" si="377"/>
        <v>-6.6503286774894566</v>
      </c>
      <c r="AZ3839" s="68" t="str">
        <f t="shared" si="378"/>
        <v>No</v>
      </c>
      <c r="BA3839" s="68" t="str">
        <f t="shared" si="379"/>
        <v>No</v>
      </c>
    </row>
    <row r="3840" spans="1:53" hidden="1">
      <c r="A3840" t="s">
        <v>3914</v>
      </c>
      <c r="G3840" t="s">
        <v>4033</v>
      </c>
      <c r="P3840" t="s">
        <v>60</v>
      </c>
      <c r="R3840" t="s">
        <v>4035</v>
      </c>
      <c r="S3840" t="s">
        <v>4038</v>
      </c>
      <c r="V3840" t="s">
        <v>3956</v>
      </c>
      <c r="Z3840" s="51">
        <v>5</v>
      </c>
      <c r="AA3840" s="51">
        <v>5</v>
      </c>
      <c r="AC3840">
        <v>403.95</v>
      </c>
      <c r="AD3840">
        <v>27</v>
      </c>
      <c r="AE3840">
        <v>933.75</v>
      </c>
      <c r="AF3840">
        <v>27</v>
      </c>
      <c r="AJ3840" t="s">
        <v>2020</v>
      </c>
      <c r="AK3840" t="s">
        <v>4041</v>
      </c>
      <c r="AN3840">
        <v>41</v>
      </c>
      <c r="AO3840">
        <v>7</v>
      </c>
      <c r="AP3840">
        <v>48</v>
      </c>
      <c r="AQ3840">
        <v>5</v>
      </c>
      <c r="AW3840" s="28">
        <f t="shared" si="375"/>
        <v>1.150792911137501</v>
      </c>
      <c r="AX3840">
        <f t="shared" si="376"/>
        <v>0.90322580645161288</v>
      </c>
      <c r="AY3840" s="62">
        <f t="shared" si="377"/>
        <v>1.0394258552209688</v>
      </c>
      <c r="AZ3840" s="68" t="str">
        <f t="shared" si="378"/>
        <v>No</v>
      </c>
      <c r="BA3840" s="68" t="str">
        <f t="shared" si="379"/>
        <v>No</v>
      </c>
    </row>
    <row r="3841" spans="1:53" hidden="1">
      <c r="A3841" t="s">
        <v>3914</v>
      </c>
      <c r="G3841" t="s">
        <v>4033</v>
      </c>
      <c r="P3841" t="s">
        <v>60</v>
      </c>
      <c r="R3841" t="s">
        <v>4035</v>
      </c>
      <c r="S3841" t="s">
        <v>4038</v>
      </c>
      <c r="V3841" t="s">
        <v>3956</v>
      </c>
      <c r="Z3841" s="51">
        <v>5</v>
      </c>
      <c r="AA3841" s="51">
        <v>5</v>
      </c>
      <c r="AC3841">
        <v>403.95</v>
      </c>
      <c r="AD3841">
        <v>27</v>
      </c>
      <c r="AE3841">
        <v>933.75</v>
      </c>
      <c r="AF3841">
        <v>27</v>
      </c>
      <c r="AJ3841" t="s">
        <v>4042</v>
      </c>
      <c r="AK3841" t="s">
        <v>4123</v>
      </c>
      <c r="AN3841">
        <v>7</v>
      </c>
      <c r="AO3841">
        <v>5</v>
      </c>
      <c r="AP3841">
        <v>5</v>
      </c>
      <c r="AQ3841">
        <v>5</v>
      </c>
      <c r="AW3841" s="28">
        <f t="shared" si="375"/>
        <v>-0.4</v>
      </c>
      <c r="AX3841">
        <f t="shared" si="376"/>
        <v>0.90322580645161288</v>
      </c>
      <c r="AY3841" s="62">
        <f t="shared" si="377"/>
        <v>-0.3612903225806452</v>
      </c>
      <c r="AZ3841" s="68" t="str">
        <f t="shared" si="378"/>
        <v>No</v>
      </c>
      <c r="BA3841" s="68" t="str">
        <f t="shared" si="379"/>
        <v>No</v>
      </c>
    </row>
    <row r="3842" spans="1:53" ht="15" hidden="1">
      <c r="A3842" s="56" t="s">
        <v>3914</v>
      </c>
      <c r="G3842" s="56" t="s">
        <v>4977</v>
      </c>
      <c r="P3842" s="56" t="s">
        <v>4596</v>
      </c>
      <c r="Q3842" s="56"/>
      <c r="R3842" s="56" t="s">
        <v>4035</v>
      </c>
      <c r="S3842" s="56" t="s">
        <v>4038</v>
      </c>
      <c r="T3842" s="56"/>
      <c r="U3842" s="56"/>
      <c r="V3842" s="56" t="s">
        <v>4598</v>
      </c>
      <c r="W3842" s="56"/>
      <c r="X3842" s="56"/>
      <c r="Y3842" s="56"/>
      <c r="Z3842" s="56">
        <v>5</v>
      </c>
      <c r="AA3842" s="56">
        <v>5</v>
      </c>
      <c r="AB3842" s="56"/>
      <c r="AC3842" s="56">
        <v>562</v>
      </c>
      <c r="AD3842" s="56">
        <v>27</v>
      </c>
      <c r="AE3842" s="56">
        <v>590</v>
      </c>
      <c r="AF3842" s="56">
        <v>31</v>
      </c>
      <c r="AG3842" s="56"/>
      <c r="AH3842" s="56"/>
      <c r="AI3842" s="56"/>
      <c r="AJ3842" s="56" t="s">
        <v>2020</v>
      </c>
      <c r="AK3842" s="56" t="s">
        <v>904</v>
      </c>
      <c r="AL3842" s="59"/>
      <c r="AM3842" s="60"/>
      <c r="AN3842" s="56">
        <v>41</v>
      </c>
      <c r="AO3842" s="75">
        <v>6</v>
      </c>
      <c r="AP3842" s="56">
        <v>20</v>
      </c>
      <c r="AQ3842" s="75">
        <v>5</v>
      </c>
      <c r="AR3842" s="37"/>
      <c r="AS3842" s="37"/>
      <c r="AT3842" s="37"/>
      <c r="AU3842" s="37"/>
      <c r="AV3842" s="37"/>
      <c r="AW3842" s="28">
        <f t="shared" si="375"/>
        <v>-3.802501333785778</v>
      </c>
      <c r="AX3842">
        <f t="shared" si="376"/>
        <v>0.90322580645161288</v>
      </c>
      <c r="AY3842" s="62">
        <f t="shared" si="377"/>
        <v>-3.4345173337419928</v>
      </c>
      <c r="AZ3842" s="68" t="str">
        <f t="shared" si="378"/>
        <v>No</v>
      </c>
      <c r="BA3842" s="68" t="str">
        <f t="shared" si="379"/>
        <v>No</v>
      </c>
    </row>
    <row r="3843" spans="1:53" ht="15" hidden="1">
      <c r="A3843" s="56" t="s">
        <v>3914</v>
      </c>
      <c r="G3843" s="56" t="s">
        <v>4033</v>
      </c>
      <c r="P3843" s="56" t="s">
        <v>4596</v>
      </c>
      <c r="Q3843" s="56"/>
      <c r="R3843" s="56" t="s">
        <v>4035</v>
      </c>
      <c r="S3843" s="56" t="s">
        <v>4040</v>
      </c>
      <c r="T3843" s="56"/>
      <c r="U3843" s="56"/>
      <c r="V3843" s="56" t="s">
        <v>4598</v>
      </c>
      <c r="W3843" s="56"/>
      <c r="X3843" s="56"/>
      <c r="Y3843" s="56"/>
      <c r="Z3843" s="56">
        <v>5</v>
      </c>
      <c r="AA3843" s="56">
        <v>5</v>
      </c>
      <c r="AB3843" s="56"/>
      <c r="AC3843" s="56">
        <v>562</v>
      </c>
      <c r="AD3843" s="56">
        <v>27</v>
      </c>
      <c r="AE3843" s="56">
        <v>590</v>
      </c>
      <c r="AF3843" s="56">
        <v>31</v>
      </c>
      <c r="AG3843" s="56"/>
      <c r="AH3843" s="56"/>
      <c r="AI3843" s="56"/>
      <c r="AJ3843" s="56" t="s">
        <v>4042</v>
      </c>
      <c r="AK3843" s="56"/>
      <c r="AL3843" s="59"/>
      <c r="AM3843" s="60"/>
      <c r="AN3843" s="56">
        <v>12</v>
      </c>
      <c r="AO3843" s="75">
        <v>6</v>
      </c>
      <c r="AP3843" s="56">
        <v>93</v>
      </c>
      <c r="AQ3843" s="75">
        <v>5</v>
      </c>
      <c r="AR3843" s="37"/>
      <c r="AS3843" s="37"/>
      <c r="AT3843" s="37"/>
      <c r="AU3843" s="37"/>
      <c r="AV3843" s="37"/>
      <c r="AW3843" s="28">
        <f t="shared" si="375"/>
        <v>14.666790858888001</v>
      </c>
      <c r="AX3843">
        <f t="shared" si="376"/>
        <v>0.90322580645161288</v>
      </c>
      <c r="AY3843" s="62">
        <f t="shared" si="377"/>
        <v>13.24742400157626</v>
      </c>
      <c r="AZ3843" s="68" t="str">
        <f t="shared" si="378"/>
        <v>Yes</v>
      </c>
      <c r="BA3843" s="68" t="str">
        <f t="shared" si="379"/>
        <v>No</v>
      </c>
    </row>
    <row r="3844" spans="1:53" ht="15" hidden="1">
      <c r="A3844" s="56" t="s">
        <v>3914</v>
      </c>
      <c r="G3844" s="56" t="s">
        <v>4033</v>
      </c>
      <c r="P3844" s="56" t="s">
        <v>4596</v>
      </c>
      <c r="Q3844" s="56"/>
      <c r="R3844" s="56" t="s">
        <v>4035</v>
      </c>
      <c r="S3844" s="56" t="s">
        <v>4040</v>
      </c>
      <c r="T3844" s="56"/>
      <c r="U3844" s="56"/>
      <c r="V3844" s="56" t="s">
        <v>4598</v>
      </c>
      <c r="W3844" s="56"/>
      <c r="X3844" s="56"/>
      <c r="Y3844" s="56"/>
      <c r="Z3844" s="56">
        <v>5</v>
      </c>
      <c r="AA3844" s="56">
        <v>5</v>
      </c>
      <c r="AB3844" s="56"/>
      <c r="AC3844" s="56">
        <v>562</v>
      </c>
      <c r="AD3844" s="56">
        <v>27</v>
      </c>
      <c r="AE3844" s="56">
        <v>590</v>
      </c>
      <c r="AF3844" s="56">
        <v>31</v>
      </c>
      <c r="AG3844" s="56"/>
      <c r="AH3844" s="56"/>
      <c r="AI3844" s="56"/>
      <c r="AJ3844" s="56" t="s">
        <v>4043</v>
      </c>
      <c r="AK3844" s="56" t="s">
        <v>59</v>
      </c>
      <c r="AL3844" s="59"/>
      <c r="AM3844" s="60"/>
      <c r="AN3844" s="56">
        <v>87</v>
      </c>
      <c r="AO3844" s="75">
        <v>6</v>
      </c>
      <c r="AP3844" s="56">
        <v>6</v>
      </c>
      <c r="AQ3844" s="75">
        <v>5</v>
      </c>
      <c r="AR3844" s="37"/>
      <c r="AS3844" s="37"/>
      <c r="AT3844" s="37"/>
      <c r="AU3844" s="37"/>
      <c r="AV3844" s="37"/>
      <c r="AW3844" s="28">
        <f t="shared" si="375"/>
        <v>-14.666790858888001</v>
      </c>
      <c r="AX3844">
        <f t="shared" si="376"/>
        <v>0.90322580645161288</v>
      </c>
      <c r="AY3844" s="62">
        <f t="shared" si="377"/>
        <v>-13.24742400157626</v>
      </c>
      <c r="AZ3844" s="68" t="str">
        <f t="shared" si="378"/>
        <v>No</v>
      </c>
      <c r="BA3844" s="68" t="str">
        <f t="shared" si="379"/>
        <v>Yes</v>
      </c>
    </row>
    <row r="3845" spans="1:53" hidden="1">
      <c r="A3845" t="s">
        <v>3914</v>
      </c>
      <c r="G3845" t="s">
        <v>4033</v>
      </c>
      <c r="P3845" t="s">
        <v>60</v>
      </c>
      <c r="R3845" t="s">
        <v>4035</v>
      </c>
      <c r="S3845" t="s">
        <v>4039</v>
      </c>
      <c r="V3845" t="s">
        <v>3956</v>
      </c>
      <c r="Z3845" s="51">
        <v>5</v>
      </c>
      <c r="AA3845" s="51">
        <v>5</v>
      </c>
      <c r="AC3845">
        <v>403.95</v>
      </c>
      <c r="AD3845">
        <v>27</v>
      </c>
      <c r="AE3845">
        <v>933.75</v>
      </c>
      <c r="AF3845">
        <v>27</v>
      </c>
      <c r="AJ3845" t="s">
        <v>2020</v>
      </c>
      <c r="AK3845" t="s">
        <v>4041</v>
      </c>
      <c r="AN3845">
        <v>86.5</v>
      </c>
      <c r="AO3845">
        <v>3.5</v>
      </c>
      <c r="AP3845">
        <v>86.4</v>
      </c>
      <c r="AQ3845">
        <v>5.6</v>
      </c>
      <c r="AW3845" s="28">
        <f t="shared" si="375"/>
        <v>-2.1415191114166253E-2</v>
      </c>
      <c r="AX3845">
        <f t="shared" si="376"/>
        <v>0.90322580645161288</v>
      </c>
      <c r="AY3845" s="62">
        <f t="shared" si="377"/>
        <v>-1.9342753264408229E-2</v>
      </c>
      <c r="AZ3845" s="68" t="str">
        <f t="shared" si="378"/>
        <v>No</v>
      </c>
      <c r="BA3845" s="68" t="str">
        <f t="shared" si="379"/>
        <v>No</v>
      </c>
    </row>
    <row r="3846" spans="1:53" hidden="1">
      <c r="A3846" t="s">
        <v>3914</v>
      </c>
      <c r="G3846" t="s">
        <v>4033</v>
      </c>
      <c r="P3846" t="s">
        <v>60</v>
      </c>
      <c r="R3846" t="s">
        <v>4035</v>
      </c>
      <c r="S3846" t="s">
        <v>4038</v>
      </c>
      <c r="V3846" t="s">
        <v>3956</v>
      </c>
      <c r="Z3846" s="51">
        <v>5</v>
      </c>
      <c r="AA3846" s="51">
        <v>5</v>
      </c>
      <c r="AC3846">
        <v>403.95</v>
      </c>
      <c r="AD3846">
        <v>27</v>
      </c>
      <c r="AE3846">
        <v>933.75</v>
      </c>
      <c r="AF3846">
        <v>27</v>
      </c>
      <c r="AJ3846" t="s">
        <v>4043</v>
      </c>
      <c r="AK3846" t="s">
        <v>4041</v>
      </c>
      <c r="AN3846">
        <v>38</v>
      </c>
      <c r="AO3846">
        <v>6</v>
      </c>
      <c r="AP3846">
        <v>44</v>
      </c>
      <c r="AQ3846">
        <v>6</v>
      </c>
      <c r="AW3846" s="28">
        <f t="shared" si="375"/>
        <v>1</v>
      </c>
      <c r="AX3846">
        <f t="shared" si="376"/>
        <v>0.90322580645161288</v>
      </c>
      <c r="AY3846" s="62">
        <f t="shared" si="377"/>
        <v>0.90322580645161288</v>
      </c>
      <c r="AZ3846" s="68" t="str">
        <f t="shared" si="378"/>
        <v>No</v>
      </c>
      <c r="BA3846" s="68" t="str">
        <f t="shared" si="379"/>
        <v>No</v>
      </c>
    </row>
    <row r="3847" spans="1:53" hidden="1">
      <c r="A3847" t="s">
        <v>3914</v>
      </c>
      <c r="G3847" t="s">
        <v>4033</v>
      </c>
      <c r="P3847" t="s">
        <v>60</v>
      </c>
      <c r="R3847" t="s">
        <v>4035</v>
      </c>
      <c r="S3847" t="s">
        <v>4039</v>
      </c>
      <c r="V3847" t="s">
        <v>3956</v>
      </c>
      <c r="Z3847" s="51">
        <v>5</v>
      </c>
      <c r="AA3847" s="51">
        <v>5</v>
      </c>
      <c r="AC3847">
        <v>403.95</v>
      </c>
      <c r="AD3847">
        <v>27</v>
      </c>
      <c r="AE3847">
        <v>933.75</v>
      </c>
      <c r="AF3847">
        <v>27</v>
      </c>
      <c r="AJ3847" t="s">
        <v>4043</v>
      </c>
      <c r="AK3847" t="s">
        <v>4041</v>
      </c>
      <c r="AN3847">
        <v>82</v>
      </c>
      <c r="AO3847">
        <v>5</v>
      </c>
      <c r="AP3847">
        <v>84</v>
      </c>
      <c r="AQ3847">
        <v>8</v>
      </c>
      <c r="AW3847" s="28">
        <f t="shared" si="375"/>
        <v>0.29981267559834457</v>
      </c>
      <c r="AX3847">
        <f t="shared" si="376"/>
        <v>0.90322580645161288</v>
      </c>
      <c r="AY3847" s="62">
        <f t="shared" si="377"/>
        <v>0.27079854570173056</v>
      </c>
      <c r="AZ3847" s="68" t="str">
        <f t="shared" si="378"/>
        <v>No</v>
      </c>
      <c r="BA3847" s="68" t="str">
        <f t="shared" si="379"/>
        <v>No</v>
      </c>
    </row>
    <row r="3848" spans="1:53" ht="15" hidden="1">
      <c r="A3848" s="56" t="s">
        <v>3914</v>
      </c>
      <c r="G3848" s="56" t="s">
        <v>4033</v>
      </c>
      <c r="P3848" s="56" t="s">
        <v>4596</v>
      </c>
      <c r="Q3848" s="56"/>
      <c r="R3848" s="56" t="s">
        <v>4035</v>
      </c>
      <c r="S3848" s="56" t="s">
        <v>1778</v>
      </c>
      <c r="T3848" s="56"/>
      <c r="U3848" s="56"/>
      <c r="V3848" s="56" t="s">
        <v>4598</v>
      </c>
      <c r="W3848" s="56"/>
      <c r="X3848" s="56"/>
      <c r="Y3848" s="56"/>
      <c r="Z3848" s="56">
        <v>5</v>
      </c>
      <c r="AA3848" s="56">
        <v>5</v>
      </c>
      <c r="AB3848" s="56"/>
      <c r="AC3848" s="56">
        <v>562</v>
      </c>
      <c r="AD3848" s="56">
        <v>27</v>
      </c>
      <c r="AE3848" s="56">
        <v>590</v>
      </c>
      <c r="AF3848" s="56">
        <v>31</v>
      </c>
      <c r="AG3848" s="56"/>
      <c r="AH3848" s="56"/>
      <c r="AI3848" s="56"/>
      <c r="AJ3848" s="56" t="s">
        <v>4043</v>
      </c>
      <c r="AK3848" s="56" t="s">
        <v>59</v>
      </c>
      <c r="AL3848" s="59"/>
      <c r="AM3848" s="60"/>
      <c r="AN3848" s="56">
        <v>94</v>
      </c>
      <c r="AO3848" s="75">
        <v>1</v>
      </c>
      <c r="AP3848" s="56" t="s">
        <v>4982</v>
      </c>
      <c r="AQ3848" s="56"/>
      <c r="AR3848" s="37"/>
      <c r="AS3848" s="37"/>
      <c r="AT3848" s="37"/>
      <c r="AU3848" s="37"/>
      <c r="AV3848" s="37"/>
      <c r="AW3848" s="28" t="e">
        <f t="shared" si="375"/>
        <v>#VALUE!</v>
      </c>
      <c r="AX3848">
        <f t="shared" si="376"/>
        <v>0.90322580645161288</v>
      </c>
      <c r="AY3848" s="62" t="e">
        <f t="shared" si="377"/>
        <v>#VALUE!</v>
      </c>
      <c r="AZ3848" s="68" t="e">
        <f t="shared" si="378"/>
        <v>#VALUE!</v>
      </c>
      <c r="BA3848" s="68" t="e">
        <f t="shared" si="379"/>
        <v>#VALUE!</v>
      </c>
    </row>
    <row r="3849" spans="1:53" hidden="1">
      <c r="A3849" t="s">
        <v>3914</v>
      </c>
      <c r="G3849" t="s">
        <v>4205</v>
      </c>
      <c r="P3849" t="s">
        <v>60</v>
      </c>
      <c r="R3849" t="s">
        <v>4116</v>
      </c>
      <c r="S3849" t="s">
        <v>1070</v>
      </c>
      <c r="V3849" t="s">
        <v>3956</v>
      </c>
      <c r="Z3849">
        <v>4</v>
      </c>
      <c r="AA3849">
        <v>4</v>
      </c>
      <c r="AC3849">
        <v>634.99</v>
      </c>
      <c r="AD3849">
        <v>21.3</v>
      </c>
      <c r="AE3849">
        <v>1255.78</v>
      </c>
      <c r="AF3849">
        <v>21.3</v>
      </c>
      <c r="AJ3849" t="s">
        <v>4216</v>
      </c>
      <c r="AK3849" t="s">
        <v>4244</v>
      </c>
      <c r="AN3849">
        <v>130</v>
      </c>
      <c r="AO3849">
        <v>3</v>
      </c>
      <c r="AP3849">
        <v>143</v>
      </c>
      <c r="AQ3849">
        <v>3.2</v>
      </c>
      <c r="AW3849" s="28">
        <f t="shared" si="375"/>
        <v>4.1913682214245469</v>
      </c>
      <c r="AX3849">
        <f t="shared" si="376"/>
        <v>0.86956521739130432</v>
      </c>
      <c r="AY3849" s="62">
        <f t="shared" si="377"/>
        <v>3.6446680186300409</v>
      </c>
      <c r="AZ3849" s="68" t="str">
        <f t="shared" si="378"/>
        <v>No</v>
      </c>
      <c r="BA3849" s="68" t="str">
        <f t="shared" si="379"/>
        <v>No</v>
      </c>
    </row>
    <row r="3850" spans="1:53" hidden="1">
      <c r="A3850" t="s">
        <v>3914</v>
      </c>
      <c r="G3850" s="50" t="s">
        <v>4205</v>
      </c>
      <c r="P3850" t="s">
        <v>60</v>
      </c>
      <c r="R3850" t="s">
        <v>4116</v>
      </c>
      <c r="S3850" s="50" t="s">
        <v>1070</v>
      </c>
      <c r="V3850" t="s">
        <v>3956</v>
      </c>
      <c r="Z3850">
        <v>4</v>
      </c>
      <c r="AA3850">
        <v>4</v>
      </c>
      <c r="AC3850">
        <v>634.99</v>
      </c>
      <c r="AD3850">
        <v>21.3</v>
      </c>
      <c r="AE3850">
        <v>1255.78</v>
      </c>
      <c r="AF3850">
        <v>21.3</v>
      </c>
      <c r="AJ3850" s="50" t="s">
        <v>4256</v>
      </c>
      <c r="AK3850" t="s">
        <v>4258</v>
      </c>
      <c r="AN3850">
        <v>95</v>
      </c>
      <c r="AO3850">
        <v>0.2</v>
      </c>
      <c r="AP3850">
        <v>94</v>
      </c>
      <c r="AQ3850">
        <v>8</v>
      </c>
      <c r="AW3850" s="28">
        <f t="shared" si="375"/>
        <v>-0.17672147846090078</v>
      </c>
      <c r="AX3850">
        <f t="shared" si="376"/>
        <v>0.86956521739130432</v>
      </c>
      <c r="AY3850" s="62">
        <f t="shared" si="377"/>
        <v>-0.15367085083556589</v>
      </c>
      <c r="AZ3850" s="68" t="str">
        <f t="shared" si="378"/>
        <v>No</v>
      </c>
      <c r="BA3850" s="68" t="str">
        <f t="shared" si="379"/>
        <v>No</v>
      </c>
    </row>
    <row r="3851" spans="1:53" hidden="1">
      <c r="A3851" t="s">
        <v>3914</v>
      </c>
      <c r="G3851" t="s">
        <v>3998</v>
      </c>
      <c r="P3851" t="s">
        <v>60</v>
      </c>
      <c r="R3851" t="s">
        <v>4005</v>
      </c>
      <c r="S3851" t="s">
        <v>4006</v>
      </c>
      <c r="V3851" t="s">
        <v>3956</v>
      </c>
      <c r="Z3851">
        <v>15</v>
      </c>
      <c r="AA3851">
        <v>8</v>
      </c>
      <c r="AC3851">
        <v>372</v>
      </c>
      <c r="AD3851">
        <v>-1.8</v>
      </c>
      <c r="AE3851">
        <v>994</v>
      </c>
      <c r="AF3851">
        <v>-1.8</v>
      </c>
      <c r="AJ3851" t="s">
        <v>1792</v>
      </c>
      <c r="AK3851" t="s">
        <v>904</v>
      </c>
      <c r="AN3851">
        <v>4.47</v>
      </c>
      <c r="AO3851">
        <v>0.9</v>
      </c>
      <c r="AP3851">
        <v>4.37</v>
      </c>
      <c r="AQ3851">
        <v>0.93</v>
      </c>
      <c r="AW3851" s="28">
        <f t="shared" si="375"/>
        <v>-0.10987684214362105</v>
      </c>
      <c r="AX3851">
        <f t="shared" si="376"/>
        <v>0.96385542168674698</v>
      </c>
      <c r="AY3851" s="62">
        <f t="shared" si="377"/>
        <v>-0.10590539001794799</v>
      </c>
      <c r="AZ3851" s="68" t="str">
        <f t="shared" si="378"/>
        <v>No</v>
      </c>
      <c r="BA3851" s="68" t="str">
        <f t="shared" si="379"/>
        <v>No</v>
      </c>
    </row>
    <row r="3852" spans="1:53" hidden="1">
      <c r="A3852" t="s">
        <v>3914</v>
      </c>
      <c r="G3852" t="s">
        <v>5070</v>
      </c>
      <c r="P3852" t="s">
        <v>60</v>
      </c>
      <c r="R3852" t="s">
        <v>4357</v>
      </c>
      <c r="S3852" t="s">
        <v>948</v>
      </c>
      <c r="V3852" t="s">
        <v>3956</v>
      </c>
      <c r="Z3852">
        <v>7</v>
      </c>
      <c r="AA3852">
        <v>7</v>
      </c>
      <c r="AC3852">
        <v>384.1</v>
      </c>
      <c r="AD3852">
        <v>-1.07</v>
      </c>
      <c r="AE3852">
        <v>666</v>
      </c>
      <c r="AF3852">
        <v>-1.08</v>
      </c>
      <c r="AJ3852" t="s">
        <v>4467</v>
      </c>
      <c r="AK3852" t="s">
        <v>4151</v>
      </c>
      <c r="AN3852">
        <v>70.142857142857139</v>
      </c>
      <c r="AO3852">
        <v>18.854076229722601</v>
      </c>
      <c r="AP3852">
        <v>63.714285714285715</v>
      </c>
      <c r="AQ3852">
        <v>21.507473784046063</v>
      </c>
      <c r="AW3852" s="28">
        <f t="shared" si="375"/>
        <v>-0.31786314722910858</v>
      </c>
      <c r="AX3852">
        <f t="shared" si="376"/>
        <v>0.93617021276595747</v>
      </c>
      <c r="AY3852" s="62">
        <f t="shared" si="377"/>
        <v>-0.29757401017193141</v>
      </c>
      <c r="AZ3852" s="68" t="str">
        <f t="shared" si="378"/>
        <v>No</v>
      </c>
      <c r="BA3852" s="68" t="str">
        <f t="shared" si="379"/>
        <v>No</v>
      </c>
    </row>
    <row r="3853" spans="1:53" hidden="1">
      <c r="A3853" t="s">
        <v>3914</v>
      </c>
      <c r="G3853" t="s">
        <v>4102</v>
      </c>
      <c r="P3853" t="s">
        <v>60</v>
      </c>
      <c r="R3853" t="s">
        <v>4116</v>
      </c>
      <c r="S3853" t="s">
        <v>4112</v>
      </c>
      <c r="V3853" t="s">
        <v>3956</v>
      </c>
      <c r="Z3853">
        <v>9</v>
      </c>
      <c r="AA3853">
        <v>9</v>
      </c>
      <c r="AC3853">
        <v>589.33500000000004</v>
      </c>
      <c r="AD3853">
        <v>25.28</v>
      </c>
      <c r="AE3853">
        <v>3252.44</v>
      </c>
      <c r="AF3853">
        <v>25.13</v>
      </c>
      <c r="AJ3853" t="s">
        <v>2020</v>
      </c>
      <c r="AK3853" t="s">
        <v>4093</v>
      </c>
      <c r="AN3853">
        <v>83</v>
      </c>
      <c r="AO3853">
        <v>7.5</v>
      </c>
      <c r="AP3853">
        <v>60</v>
      </c>
      <c r="AQ3853">
        <v>9</v>
      </c>
      <c r="AW3853" s="28">
        <f t="shared" si="375"/>
        <v>-2.7764295453039014</v>
      </c>
      <c r="AX3853">
        <f t="shared" si="376"/>
        <v>0.95238095238095233</v>
      </c>
      <c r="AY3853" s="62">
        <f t="shared" si="377"/>
        <v>-2.6442186145751441</v>
      </c>
      <c r="AZ3853" s="68" t="str">
        <f t="shared" si="378"/>
        <v>No</v>
      </c>
      <c r="BA3853" s="68" t="str">
        <f t="shared" si="379"/>
        <v>No</v>
      </c>
    </row>
    <row r="3854" spans="1:53" hidden="1">
      <c r="A3854" t="s">
        <v>3914</v>
      </c>
      <c r="G3854" t="s">
        <v>4102</v>
      </c>
      <c r="P3854" t="s">
        <v>60</v>
      </c>
      <c r="R3854" t="s">
        <v>4116</v>
      </c>
      <c r="S3854" t="s">
        <v>4112</v>
      </c>
      <c r="V3854" t="s">
        <v>3956</v>
      </c>
      <c r="Z3854">
        <v>9</v>
      </c>
      <c r="AA3854">
        <v>9</v>
      </c>
      <c r="AC3854">
        <v>589.33500000000004</v>
      </c>
      <c r="AD3854">
        <v>25.28</v>
      </c>
      <c r="AE3854">
        <v>1347.24</v>
      </c>
      <c r="AF3854">
        <v>25.42</v>
      </c>
      <c r="AJ3854" t="s">
        <v>2020</v>
      </c>
      <c r="AK3854" t="s">
        <v>4093</v>
      </c>
      <c r="AN3854">
        <v>83</v>
      </c>
      <c r="AO3854">
        <v>7.5</v>
      </c>
      <c r="AP3854">
        <v>71</v>
      </c>
      <c r="AQ3854">
        <v>12</v>
      </c>
      <c r="AW3854" s="28">
        <f t="shared" ref="AW3854:AW3917" si="380">(AP3854-$AN3854)/SQRT(((AA3854-1)*AQ3854*AQ3854+($Z3854-1)*$AO3854*$AO3854)/(AA3854+$Z3854-2))</f>
        <v>-1.1992507023933783</v>
      </c>
      <c r="AX3854">
        <f t="shared" ref="AX3854:AX3917" si="381">1-(3/(4*(AA3854+$Z3854-2)-1))</f>
        <v>0.95238095238095233</v>
      </c>
      <c r="AY3854" s="62">
        <f t="shared" ref="AY3854:AY3917" si="382">AX3854*AW3854</f>
        <v>-1.1421435260889317</v>
      </c>
      <c r="AZ3854" s="68" t="str">
        <f t="shared" ref="AZ3854:AZ3917" si="383">IF(AY3854&gt;10,"Yes","No")</f>
        <v>No</v>
      </c>
      <c r="BA3854" s="68" t="str">
        <f t="shared" ref="BA3854:BA3917" si="384">IF(AY3854&lt;-10,"Yes","No")</f>
        <v>No</v>
      </c>
    </row>
    <row r="3855" spans="1:53" hidden="1">
      <c r="A3855" t="s">
        <v>3914</v>
      </c>
      <c r="G3855" t="s">
        <v>4105</v>
      </c>
      <c r="P3855" t="s">
        <v>60</v>
      </c>
      <c r="R3855" t="s">
        <v>4116</v>
      </c>
      <c r="S3855" t="s">
        <v>4112</v>
      </c>
      <c r="V3855" t="s">
        <v>3956</v>
      </c>
      <c r="Z3855">
        <v>11</v>
      </c>
      <c r="AA3855">
        <v>11</v>
      </c>
      <c r="AC3855">
        <v>546.13</v>
      </c>
      <c r="AD3855">
        <v>26.5</v>
      </c>
      <c r="AE3855">
        <v>2760.76</v>
      </c>
      <c r="AF3855">
        <v>26.3</v>
      </c>
      <c r="AJ3855" t="s">
        <v>2020</v>
      </c>
      <c r="AK3855" t="s">
        <v>4093</v>
      </c>
      <c r="AN3855">
        <v>84.45</v>
      </c>
      <c r="AO3855">
        <v>3.62</v>
      </c>
      <c r="AP3855">
        <v>28.48</v>
      </c>
      <c r="AQ3855">
        <v>12.96</v>
      </c>
      <c r="AW3855" s="28">
        <f t="shared" si="380"/>
        <v>-5.8823634024159412</v>
      </c>
      <c r="AX3855">
        <f t="shared" si="381"/>
        <v>0.96202531645569622</v>
      </c>
      <c r="AY3855" s="62">
        <f t="shared" si="382"/>
        <v>-5.6589825137166017</v>
      </c>
      <c r="AZ3855" s="68" t="str">
        <f t="shared" si="383"/>
        <v>No</v>
      </c>
      <c r="BA3855" s="68" t="str">
        <f t="shared" si="384"/>
        <v>No</v>
      </c>
    </row>
    <row r="3856" spans="1:53" hidden="1">
      <c r="A3856" t="s">
        <v>3914</v>
      </c>
      <c r="G3856" t="s">
        <v>4105</v>
      </c>
      <c r="P3856" t="s">
        <v>60</v>
      </c>
      <c r="R3856" t="s">
        <v>4116</v>
      </c>
      <c r="S3856" t="s">
        <v>4112</v>
      </c>
      <c r="V3856" t="s">
        <v>3956</v>
      </c>
      <c r="Z3856">
        <v>11</v>
      </c>
      <c r="AA3856">
        <v>11</v>
      </c>
      <c r="AC3856">
        <v>546.13</v>
      </c>
      <c r="AD3856">
        <v>26.5</v>
      </c>
      <c r="AE3856">
        <v>1161.3599999999999</v>
      </c>
      <c r="AF3856">
        <v>26.6</v>
      </c>
      <c r="AJ3856" t="s">
        <v>2020</v>
      </c>
      <c r="AK3856" t="s">
        <v>4093</v>
      </c>
      <c r="AN3856">
        <v>84.45</v>
      </c>
      <c r="AO3856">
        <v>3.62</v>
      </c>
      <c r="AP3856">
        <v>47.04</v>
      </c>
      <c r="AQ3856">
        <v>21.15</v>
      </c>
      <c r="AW3856" s="28">
        <f t="shared" si="380"/>
        <v>-2.4655985249766044</v>
      </c>
      <c r="AX3856">
        <f t="shared" si="381"/>
        <v>0.96202531645569622</v>
      </c>
      <c r="AY3856" s="62">
        <f t="shared" si="382"/>
        <v>-2.3719682012433156</v>
      </c>
      <c r="AZ3856" s="68" t="str">
        <f t="shared" si="383"/>
        <v>No</v>
      </c>
      <c r="BA3856" s="68" t="str">
        <f t="shared" si="384"/>
        <v>No</v>
      </c>
    </row>
    <row r="3857" spans="1:53" hidden="1">
      <c r="A3857" t="s">
        <v>3914</v>
      </c>
      <c r="G3857" t="s">
        <v>4577</v>
      </c>
      <c r="P3857" t="s">
        <v>60</v>
      </c>
      <c r="R3857" t="s">
        <v>4570</v>
      </c>
      <c r="S3857" t="s">
        <v>4572</v>
      </c>
      <c r="V3857" t="s">
        <v>3956</v>
      </c>
      <c r="Z3857">
        <v>3</v>
      </c>
      <c r="AA3857">
        <v>3</v>
      </c>
      <c r="AC3857">
        <v>520</v>
      </c>
      <c r="AD3857">
        <v>16</v>
      </c>
      <c r="AE3857">
        <v>3680</v>
      </c>
      <c r="AF3857">
        <v>16</v>
      </c>
      <c r="AJ3857" t="s">
        <v>4591</v>
      </c>
      <c r="AK3857" t="s">
        <v>4502</v>
      </c>
      <c r="AN3857">
        <v>2.5</v>
      </c>
      <c r="AO3857">
        <v>0.2</v>
      </c>
      <c r="AP3857">
        <v>2.9</v>
      </c>
      <c r="AQ3857">
        <v>0.2</v>
      </c>
      <c r="AW3857" s="28">
        <f t="shared" si="380"/>
        <v>1.9999999999999996</v>
      </c>
      <c r="AX3857">
        <f t="shared" si="381"/>
        <v>0.8</v>
      </c>
      <c r="AY3857" s="62">
        <f t="shared" si="382"/>
        <v>1.5999999999999996</v>
      </c>
      <c r="AZ3857" s="68" t="str">
        <f t="shared" si="383"/>
        <v>No</v>
      </c>
      <c r="BA3857" s="68" t="str">
        <f t="shared" si="384"/>
        <v>No</v>
      </c>
    </row>
    <row r="3858" spans="1:53" hidden="1">
      <c r="A3858" t="s">
        <v>3914</v>
      </c>
      <c r="G3858" s="50" t="s">
        <v>4577</v>
      </c>
      <c r="P3858" t="s">
        <v>60</v>
      </c>
      <c r="R3858" t="s">
        <v>4570</v>
      </c>
      <c r="S3858" s="50" t="s">
        <v>4572</v>
      </c>
      <c r="V3858" t="s">
        <v>3956</v>
      </c>
      <c r="Z3858" s="50">
        <v>28</v>
      </c>
      <c r="AA3858" s="50">
        <v>28</v>
      </c>
      <c r="AC3858">
        <v>520</v>
      </c>
      <c r="AD3858">
        <v>16</v>
      </c>
      <c r="AE3858">
        <v>1350</v>
      </c>
      <c r="AF3858">
        <v>16</v>
      </c>
      <c r="AJ3858" s="50" t="s">
        <v>4019</v>
      </c>
      <c r="AK3858" t="s">
        <v>4537</v>
      </c>
      <c r="AN3858">
        <v>6.3</v>
      </c>
      <c r="AO3858">
        <v>1.2749999999999999</v>
      </c>
      <c r="AP3858">
        <v>6</v>
      </c>
      <c r="AQ3858">
        <v>0.82500000000000007</v>
      </c>
      <c r="AW3858" s="28">
        <f t="shared" si="380"/>
        <v>-0.2793721183078311</v>
      </c>
      <c r="AX3858">
        <f t="shared" si="381"/>
        <v>0.98604651162790702</v>
      </c>
      <c r="AY3858" s="62">
        <f t="shared" si="382"/>
        <v>-0.27547390270353578</v>
      </c>
      <c r="AZ3858" s="68" t="str">
        <f t="shared" si="383"/>
        <v>No</v>
      </c>
      <c r="BA3858" s="68" t="str">
        <f t="shared" si="384"/>
        <v>No</v>
      </c>
    </row>
    <row r="3859" spans="1:53" hidden="1">
      <c r="A3859" t="s">
        <v>3914</v>
      </c>
      <c r="G3859" s="50" t="s">
        <v>5107</v>
      </c>
      <c r="P3859" t="s">
        <v>60</v>
      </c>
      <c r="R3859" t="s">
        <v>4570</v>
      </c>
      <c r="S3859" s="50" t="s">
        <v>4572</v>
      </c>
      <c r="V3859" t="s">
        <v>3956</v>
      </c>
      <c r="Z3859">
        <v>28</v>
      </c>
      <c r="AA3859">
        <v>28</v>
      </c>
      <c r="AC3859">
        <v>520</v>
      </c>
      <c r="AD3859">
        <v>16</v>
      </c>
      <c r="AE3859">
        <v>3680</v>
      </c>
      <c r="AF3859">
        <v>16</v>
      </c>
      <c r="AJ3859" s="50" t="s">
        <v>4019</v>
      </c>
      <c r="AK3859" t="s">
        <v>4537</v>
      </c>
      <c r="AN3859">
        <v>6.3</v>
      </c>
      <c r="AO3859">
        <v>1.2749999999999999</v>
      </c>
      <c r="AP3859">
        <v>4.2</v>
      </c>
      <c r="AQ3859">
        <v>0.97500000000000009</v>
      </c>
      <c r="AW3859" s="28">
        <f t="shared" si="380"/>
        <v>-1.8502920812742509</v>
      </c>
      <c r="AX3859">
        <f t="shared" si="381"/>
        <v>0.98604651162790702</v>
      </c>
      <c r="AY3859" s="62">
        <f t="shared" si="382"/>
        <v>-1.824474052233215</v>
      </c>
      <c r="AZ3859" s="68" t="str">
        <f t="shared" si="383"/>
        <v>No</v>
      </c>
      <c r="BA3859" s="68" t="str">
        <f t="shared" si="384"/>
        <v>No</v>
      </c>
    </row>
    <row r="3860" spans="1:53" hidden="1">
      <c r="A3860" t="s">
        <v>3914</v>
      </c>
      <c r="G3860" t="s">
        <v>3917</v>
      </c>
      <c r="P3860" t="s">
        <v>4596</v>
      </c>
      <c r="R3860" t="s">
        <v>3942</v>
      </c>
      <c r="S3860" t="s">
        <v>1012</v>
      </c>
      <c r="V3860" t="s">
        <v>4933</v>
      </c>
      <c r="Z3860">
        <v>4</v>
      </c>
      <c r="AA3860">
        <v>4</v>
      </c>
      <c r="AC3860">
        <v>338.5</v>
      </c>
      <c r="AD3860">
        <v>28</v>
      </c>
      <c r="AE3860">
        <v>1191.7</v>
      </c>
      <c r="AF3860">
        <v>34</v>
      </c>
      <c r="AJ3860" t="s">
        <v>3991</v>
      </c>
      <c r="AK3860" t="s">
        <v>4081</v>
      </c>
      <c r="AN3860">
        <v>0.14499999999999999</v>
      </c>
      <c r="AO3860">
        <f>0.15*SQRT(4)</f>
        <v>0.3</v>
      </c>
      <c r="AP3860">
        <v>5.0000000000000001E-3</v>
      </c>
      <c r="AQ3860">
        <f>0.0001*SQRT(4)</f>
        <v>2.0000000000000001E-4</v>
      </c>
      <c r="AU3860" s="57" t="s">
        <v>4934</v>
      </c>
      <c r="AW3860" s="28">
        <f t="shared" si="380"/>
        <v>-0.65996618244830896</v>
      </c>
      <c r="AX3860">
        <f t="shared" si="381"/>
        <v>0.86956521739130432</v>
      </c>
      <c r="AY3860" s="62">
        <f t="shared" si="382"/>
        <v>-0.57388363691157296</v>
      </c>
      <c r="AZ3860" s="68" t="str">
        <f t="shared" si="383"/>
        <v>No</v>
      </c>
      <c r="BA3860" s="68" t="str">
        <f t="shared" si="384"/>
        <v>No</v>
      </c>
    </row>
    <row r="3861" spans="1:53" hidden="1">
      <c r="A3861" t="s">
        <v>3914</v>
      </c>
      <c r="G3861" t="s">
        <v>3917</v>
      </c>
      <c r="P3861" t="s">
        <v>4596</v>
      </c>
      <c r="R3861" t="s">
        <v>3942</v>
      </c>
      <c r="S3861" t="s">
        <v>1012</v>
      </c>
      <c r="V3861" t="s">
        <v>4626</v>
      </c>
      <c r="Z3861">
        <v>4</v>
      </c>
      <c r="AA3861">
        <v>4</v>
      </c>
      <c r="AC3861">
        <v>338.5</v>
      </c>
      <c r="AD3861">
        <v>28</v>
      </c>
      <c r="AE3861">
        <v>1191.7</v>
      </c>
      <c r="AF3861">
        <v>34</v>
      </c>
      <c r="AJ3861" t="s">
        <v>4648</v>
      </c>
      <c r="AK3861" t="s">
        <v>4630</v>
      </c>
      <c r="AN3861">
        <v>0.12</v>
      </c>
      <c r="AO3861">
        <f t="shared" ref="AO3861:AO3878" si="385">0.001*SQRT(4)</f>
        <v>2E-3</v>
      </c>
      <c r="AP3861">
        <v>0.95</v>
      </c>
      <c r="AQ3861">
        <f>0.0005*SQRT(4)</f>
        <v>1E-3</v>
      </c>
      <c r="AU3861" s="57" t="s">
        <v>4934</v>
      </c>
      <c r="AW3861" s="28">
        <f t="shared" si="380"/>
        <v>524.93809158795091</v>
      </c>
      <c r="AX3861">
        <f t="shared" si="381"/>
        <v>0.86956521739130432</v>
      </c>
      <c r="AY3861" s="62">
        <f t="shared" si="382"/>
        <v>456.46790572865297</v>
      </c>
      <c r="AZ3861" s="68" t="str">
        <f t="shared" si="383"/>
        <v>Yes</v>
      </c>
      <c r="BA3861" s="68" t="str">
        <f t="shared" si="384"/>
        <v>No</v>
      </c>
    </row>
    <row r="3862" spans="1:53" hidden="1">
      <c r="A3862" t="s">
        <v>3914</v>
      </c>
      <c r="G3862" t="s">
        <v>3917</v>
      </c>
      <c r="P3862" t="s">
        <v>4596</v>
      </c>
      <c r="R3862" t="s">
        <v>3942</v>
      </c>
      <c r="S3862" t="s">
        <v>1012</v>
      </c>
      <c r="V3862" t="s">
        <v>4626</v>
      </c>
      <c r="Z3862">
        <v>4</v>
      </c>
      <c r="AA3862">
        <v>4</v>
      </c>
      <c r="AC3862">
        <v>338.5</v>
      </c>
      <c r="AD3862">
        <v>28</v>
      </c>
      <c r="AE3862">
        <v>1071.4000000000001</v>
      </c>
      <c r="AF3862">
        <v>32</v>
      </c>
      <c r="AJ3862" t="s">
        <v>4647</v>
      </c>
      <c r="AK3862" t="s">
        <v>4630</v>
      </c>
      <c r="AN3862">
        <v>-0.01</v>
      </c>
      <c r="AO3862">
        <f t="shared" si="385"/>
        <v>2E-3</v>
      </c>
      <c r="AP3862">
        <v>-7.0000000000000007E-2</v>
      </c>
      <c r="AQ3862">
        <f>0.001*SQRT(4)</f>
        <v>2E-3</v>
      </c>
      <c r="AU3862" s="57" t="s">
        <v>4934</v>
      </c>
      <c r="AW3862" s="28">
        <f t="shared" si="380"/>
        <v>-30</v>
      </c>
      <c r="AX3862">
        <f t="shared" si="381"/>
        <v>0.86956521739130432</v>
      </c>
      <c r="AY3862" s="62">
        <f t="shared" si="382"/>
        <v>-26.086956521739129</v>
      </c>
      <c r="AZ3862" s="68" t="str">
        <f t="shared" si="383"/>
        <v>No</v>
      </c>
      <c r="BA3862" s="68" t="str">
        <f t="shared" si="384"/>
        <v>Yes</v>
      </c>
    </row>
    <row r="3863" spans="1:53" hidden="1">
      <c r="A3863" t="s">
        <v>3914</v>
      </c>
      <c r="G3863" t="s">
        <v>3917</v>
      </c>
      <c r="P3863" t="s">
        <v>4596</v>
      </c>
      <c r="R3863" t="s">
        <v>3942</v>
      </c>
      <c r="S3863" t="s">
        <v>1012</v>
      </c>
      <c r="V3863" t="s">
        <v>4625</v>
      </c>
      <c r="Z3863">
        <v>4</v>
      </c>
      <c r="AA3863">
        <v>4</v>
      </c>
      <c r="AC3863">
        <v>338.5</v>
      </c>
      <c r="AD3863">
        <v>28</v>
      </c>
      <c r="AE3863">
        <v>386.7</v>
      </c>
      <c r="AF3863">
        <v>30</v>
      </c>
      <c r="AJ3863" t="s">
        <v>4648</v>
      </c>
      <c r="AK3863" t="s">
        <v>4630</v>
      </c>
      <c r="AN3863">
        <v>0.12</v>
      </c>
      <c r="AO3863">
        <f t="shared" si="385"/>
        <v>2E-3</v>
      </c>
      <c r="AP3863">
        <v>0.12</v>
      </c>
      <c r="AQ3863">
        <f>0.001*SQRT(4)</f>
        <v>2E-3</v>
      </c>
      <c r="AU3863" s="57" t="s">
        <v>4934</v>
      </c>
      <c r="AW3863" s="28">
        <f t="shared" si="380"/>
        <v>0</v>
      </c>
      <c r="AX3863">
        <f t="shared" si="381"/>
        <v>0.86956521739130432</v>
      </c>
      <c r="AY3863" s="62">
        <f t="shared" si="382"/>
        <v>0</v>
      </c>
      <c r="AZ3863" s="68" t="str">
        <f t="shared" si="383"/>
        <v>No</v>
      </c>
      <c r="BA3863" s="68" t="str">
        <f t="shared" si="384"/>
        <v>No</v>
      </c>
    </row>
    <row r="3864" spans="1:53" hidden="1">
      <c r="A3864" t="s">
        <v>3914</v>
      </c>
      <c r="G3864" t="s">
        <v>3917</v>
      </c>
      <c r="P3864" t="s">
        <v>4596</v>
      </c>
      <c r="R3864" t="s">
        <v>3942</v>
      </c>
      <c r="S3864" t="s">
        <v>1012</v>
      </c>
      <c r="V3864" t="s">
        <v>4626</v>
      </c>
      <c r="Z3864">
        <v>4</v>
      </c>
      <c r="AA3864">
        <v>4</v>
      </c>
      <c r="AC3864">
        <v>338.5</v>
      </c>
      <c r="AD3864">
        <v>28</v>
      </c>
      <c r="AE3864">
        <v>1132.3</v>
      </c>
      <c r="AF3864">
        <v>30</v>
      </c>
      <c r="AJ3864" t="s">
        <v>4648</v>
      </c>
      <c r="AK3864" t="s">
        <v>4630</v>
      </c>
      <c r="AN3864">
        <v>0.12</v>
      </c>
      <c r="AO3864">
        <f t="shared" si="385"/>
        <v>2E-3</v>
      </c>
      <c r="AP3864">
        <v>0.95</v>
      </c>
      <c r="AQ3864">
        <f>0.001*SQRT(4)</f>
        <v>2E-3</v>
      </c>
      <c r="AU3864" s="57" t="s">
        <v>4934</v>
      </c>
      <c r="AW3864" s="28">
        <f t="shared" si="380"/>
        <v>414.99999999999994</v>
      </c>
      <c r="AX3864">
        <f t="shared" si="381"/>
        <v>0.86956521739130432</v>
      </c>
      <c r="AY3864" s="62">
        <f t="shared" si="382"/>
        <v>360.86956521739125</v>
      </c>
      <c r="AZ3864" s="68" t="str">
        <f t="shared" si="383"/>
        <v>Yes</v>
      </c>
      <c r="BA3864" s="68" t="str">
        <f t="shared" si="384"/>
        <v>No</v>
      </c>
    </row>
    <row r="3865" spans="1:53" hidden="1">
      <c r="A3865" t="s">
        <v>3914</v>
      </c>
      <c r="G3865" t="s">
        <v>3917</v>
      </c>
      <c r="P3865" t="s">
        <v>4596</v>
      </c>
      <c r="R3865" t="s">
        <v>3942</v>
      </c>
      <c r="S3865" t="s">
        <v>1012</v>
      </c>
      <c r="V3865" t="s">
        <v>4627</v>
      </c>
      <c r="Z3865">
        <v>4</v>
      </c>
      <c r="AA3865">
        <v>4</v>
      </c>
      <c r="AC3865">
        <v>338.5</v>
      </c>
      <c r="AD3865">
        <v>28</v>
      </c>
      <c r="AE3865">
        <v>2424.9</v>
      </c>
      <c r="AF3865">
        <v>30</v>
      </c>
      <c r="AJ3865" t="s">
        <v>4648</v>
      </c>
      <c r="AK3865" t="s">
        <v>4630</v>
      </c>
      <c r="AN3865">
        <v>0.12</v>
      </c>
      <c r="AO3865">
        <f t="shared" si="385"/>
        <v>2E-3</v>
      </c>
      <c r="AP3865">
        <v>0.9</v>
      </c>
      <c r="AQ3865">
        <f>0.001*SQRT(4)</f>
        <v>2E-3</v>
      </c>
      <c r="AU3865" s="57" t="s">
        <v>4934</v>
      </c>
      <c r="AW3865" s="28">
        <f t="shared" si="380"/>
        <v>390</v>
      </c>
      <c r="AX3865">
        <f t="shared" si="381"/>
        <v>0.86956521739130432</v>
      </c>
      <c r="AY3865" s="62">
        <f t="shared" si="382"/>
        <v>339.13043478260869</v>
      </c>
      <c r="AZ3865" s="68" t="str">
        <f t="shared" si="383"/>
        <v>Yes</v>
      </c>
      <c r="BA3865" s="68" t="str">
        <f t="shared" si="384"/>
        <v>No</v>
      </c>
    </row>
    <row r="3866" spans="1:53" hidden="1">
      <c r="A3866" t="s">
        <v>3914</v>
      </c>
      <c r="G3866" t="s">
        <v>3917</v>
      </c>
      <c r="P3866" t="s">
        <v>4596</v>
      </c>
      <c r="R3866" t="s">
        <v>3942</v>
      </c>
      <c r="S3866" t="s">
        <v>1012</v>
      </c>
      <c r="V3866" t="s">
        <v>4627</v>
      </c>
      <c r="Z3866">
        <v>4</v>
      </c>
      <c r="AA3866">
        <v>4</v>
      </c>
      <c r="AC3866">
        <v>338.5</v>
      </c>
      <c r="AD3866">
        <v>28</v>
      </c>
      <c r="AE3866">
        <v>2688.1</v>
      </c>
      <c r="AF3866">
        <v>32</v>
      </c>
      <c r="AJ3866" t="s">
        <v>4648</v>
      </c>
      <c r="AK3866" t="s">
        <v>4630</v>
      </c>
      <c r="AN3866">
        <v>0.12</v>
      </c>
      <c r="AO3866">
        <f t="shared" si="385"/>
        <v>2E-3</v>
      </c>
      <c r="AP3866">
        <v>0.85</v>
      </c>
      <c r="AQ3866">
        <f>0.001*SQRT(4)</f>
        <v>2E-3</v>
      </c>
      <c r="AU3866" s="57" t="s">
        <v>4934</v>
      </c>
      <c r="AW3866" s="28">
        <f t="shared" si="380"/>
        <v>365</v>
      </c>
      <c r="AX3866">
        <f t="shared" si="381"/>
        <v>0.86956521739130432</v>
      </c>
      <c r="AY3866" s="62">
        <f t="shared" si="382"/>
        <v>317.39130434782606</v>
      </c>
      <c r="AZ3866" s="68" t="str">
        <f t="shared" si="383"/>
        <v>Yes</v>
      </c>
      <c r="BA3866" s="68" t="str">
        <f t="shared" si="384"/>
        <v>No</v>
      </c>
    </row>
    <row r="3867" spans="1:53" hidden="1">
      <c r="A3867" t="s">
        <v>3914</v>
      </c>
      <c r="G3867" t="s">
        <v>3917</v>
      </c>
      <c r="P3867" t="s">
        <v>4596</v>
      </c>
      <c r="R3867" t="s">
        <v>3942</v>
      </c>
      <c r="S3867" t="s">
        <v>1012</v>
      </c>
      <c r="V3867" t="s">
        <v>4627</v>
      </c>
      <c r="Z3867">
        <v>4</v>
      </c>
      <c r="AA3867">
        <v>4</v>
      </c>
      <c r="AC3867">
        <v>338.5</v>
      </c>
      <c r="AD3867">
        <v>28</v>
      </c>
      <c r="AE3867">
        <v>2688.1</v>
      </c>
      <c r="AF3867">
        <v>32</v>
      </c>
      <c r="AJ3867" t="s">
        <v>4647</v>
      </c>
      <c r="AK3867" t="s">
        <v>4630</v>
      </c>
      <c r="AN3867">
        <v>-0.01</v>
      </c>
      <c r="AO3867">
        <f t="shared" si="385"/>
        <v>2E-3</v>
      </c>
      <c r="AP3867">
        <v>-7.0000000000000007E-2</v>
      </c>
      <c r="AQ3867">
        <f>0.0012*SQRT(4)</f>
        <v>2.3999999999999998E-3</v>
      </c>
      <c r="AU3867" s="57" t="s">
        <v>4934</v>
      </c>
      <c r="AW3867" s="28">
        <f t="shared" si="380"/>
        <v>-27.160723812755563</v>
      </c>
      <c r="AX3867">
        <f t="shared" si="381"/>
        <v>0.86956521739130432</v>
      </c>
      <c r="AY3867" s="62">
        <f t="shared" si="382"/>
        <v>-23.618020706743966</v>
      </c>
      <c r="AZ3867" s="68" t="str">
        <f t="shared" si="383"/>
        <v>No</v>
      </c>
      <c r="BA3867" s="68" t="str">
        <f t="shared" si="384"/>
        <v>Yes</v>
      </c>
    </row>
    <row r="3868" spans="1:53" hidden="1">
      <c r="A3868" t="s">
        <v>3914</v>
      </c>
      <c r="G3868" t="s">
        <v>3917</v>
      </c>
      <c r="P3868" t="s">
        <v>4596</v>
      </c>
      <c r="R3868" t="s">
        <v>3942</v>
      </c>
      <c r="S3868" t="s">
        <v>1012</v>
      </c>
      <c r="V3868" t="s">
        <v>4645</v>
      </c>
      <c r="Z3868">
        <v>4</v>
      </c>
      <c r="AA3868">
        <v>4</v>
      </c>
      <c r="AC3868">
        <v>338.5</v>
      </c>
      <c r="AD3868">
        <v>28</v>
      </c>
      <c r="AE3868">
        <v>340.8</v>
      </c>
      <c r="AF3868">
        <v>34</v>
      </c>
      <c r="AJ3868" t="s">
        <v>4647</v>
      </c>
      <c r="AK3868" t="s">
        <v>4630</v>
      </c>
      <c r="AN3868">
        <v>-0.01</v>
      </c>
      <c r="AO3868">
        <f t="shared" si="385"/>
        <v>2E-3</v>
      </c>
      <c r="AP3868">
        <v>-9.6000000000000002E-2</v>
      </c>
      <c r="AQ3868">
        <f>0.0016*SQRT(4)</f>
        <v>3.2000000000000002E-3</v>
      </c>
      <c r="AU3868" s="57" t="s">
        <v>4934</v>
      </c>
      <c r="AW3868" s="28">
        <f t="shared" si="380"/>
        <v>-32.22986262682204</v>
      </c>
      <c r="AX3868">
        <f t="shared" si="381"/>
        <v>0.86956521739130432</v>
      </c>
      <c r="AY3868" s="62">
        <f t="shared" si="382"/>
        <v>-28.025967501584383</v>
      </c>
      <c r="AZ3868" s="68" t="str">
        <f t="shared" si="383"/>
        <v>No</v>
      </c>
      <c r="BA3868" s="68" t="str">
        <f t="shared" si="384"/>
        <v>Yes</v>
      </c>
    </row>
    <row r="3869" spans="1:53" hidden="1">
      <c r="A3869" t="s">
        <v>3914</v>
      </c>
      <c r="G3869" t="s">
        <v>3917</v>
      </c>
      <c r="P3869" t="s">
        <v>4596</v>
      </c>
      <c r="R3869" t="s">
        <v>3942</v>
      </c>
      <c r="S3869" t="s">
        <v>1012</v>
      </c>
      <c r="V3869" t="s">
        <v>4627</v>
      </c>
      <c r="Z3869">
        <v>4</v>
      </c>
      <c r="AA3869">
        <v>4</v>
      </c>
      <c r="AC3869">
        <v>338.5</v>
      </c>
      <c r="AD3869">
        <v>28</v>
      </c>
      <c r="AE3869">
        <v>2424.9</v>
      </c>
      <c r="AF3869">
        <v>30</v>
      </c>
      <c r="AJ3869" t="s">
        <v>4647</v>
      </c>
      <c r="AK3869" t="s">
        <v>4630</v>
      </c>
      <c r="AN3869">
        <v>-0.01</v>
      </c>
      <c r="AO3869">
        <f t="shared" si="385"/>
        <v>2E-3</v>
      </c>
      <c r="AP3869">
        <v>-5.5E-2</v>
      </c>
      <c r="AQ3869">
        <f>0.0017*SQRT(4)</f>
        <v>3.3999999999999998E-3</v>
      </c>
      <c r="AU3869" s="57" t="s">
        <v>4934</v>
      </c>
      <c r="AW3869" s="28">
        <f t="shared" si="380"/>
        <v>-16.133281636096683</v>
      </c>
      <c r="AX3869">
        <f t="shared" si="381"/>
        <v>0.86956521739130432</v>
      </c>
      <c r="AY3869" s="62">
        <f t="shared" si="382"/>
        <v>-14.02894055312755</v>
      </c>
      <c r="AZ3869" s="68" t="str">
        <f t="shared" si="383"/>
        <v>No</v>
      </c>
      <c r="BA3869" s="68" t="str">
        <f t="shared" si="384"/>
        <v>Yes</v>
      </c>
    </row>
    <row r="3870" spans="1:53" hidden="1">
      <c r="A3870" t="s">
        <v>3914</v>
      </c>
      <c r="G3870" t="s">
        <v>3917</v>
      </c>
      <c r="P3870" t="s">
        <v>4596</v>
      </c>
      <c r="R3870" t="s">
        <v>3942</v>
      </c>
      <c r="S3870" t="s">
        <v>1012</v>
      </c>
      <c r="V3870" t="s">
        <v>4626</v>
      </c>
      <c r="Z3870">
        <v>4</v>
      </c>
      <c r="AA3870">
        <v>4</v>
      </c>
      <c r="AC3870">
        <v>338.5</v>
      </c>
      <c r="AD3870">
        <v>28</v>
      </c>
      <c r="AE3870">
        <v>1132.3</v>
      </c>
      <c r="AF3870">
        <v>30</v>
      </c>
      <c r="AJ3870" t="s">
        <v>4647</v>
      </c>
      <c r="AK3870" t="s">
        <v>4630</v>
      </c>
      <c r="AN3870">
        <v>-0.01</v>
      </c>
      <c r="AO3870">
        <f t="shared" si="385"/>
        <v>2E-3</v>
      </c>
      <c r="AP3870">
        <v>-5.3999999999999999E-2</v>
      </c>
      <c r="AQ3870">
        <f>0.0018*SQRT(4)</f>
        <v>3.5999999999999999E-3</v>
      </c>
      <c r="AU3870" s="57" t="s">
        <v>4934</v>
      </c>
      <c r="AW3870" s="28">
        <f t="shared" si="380"/>
        <v>-15.109662034355791</v>
      </c>
      <c r="AX3870">
        <f t="shared" si="381"/>
        <v>0.86956521739130432</v>
      </c>
      <c r="AY3870" s="62">
        <f t="shared" si="382"/>
        <v>-13.138836551613732</v>
      </c>
      <c r="AZ3870" s="68" t="str">
        <f t="shared" si="383"/>
        <v>No</v>
      </c>
      <c r="BA3870" s="68" t="str">
        <f t="shared" si="384"/>
        <v>Yes</v>
      </c>
    </row>
    <row r="3871" spans="1:53" hidden="1">
      <c r="A3871" t="s">
        <v>3914</v>
      </c>
      <c r="G3871" t="s">
        <v>3917</v>
      </c>
      <c r="P3871" t="s">
        <v>4596</v>
      </c>
      <c r="R3871" t="s">
        <v>3942</v>
      </c>
      <c r="S3871" t="s">
        <v>1012</v>
      </c>
      <c r="V3871" t="s">
        <v>4628</v>
      </c>
      <c r="Z3871">
        <v>4</v>
      </c>
      <c r="AA3871">
        <v>4</v>
      </c>
      <c r="AC3871">
        <v>338.5</v>
      </c>
      <c r="AD3871">
        <v>28</v>
      </c>
      <c r="AE3871">
        <v>390.5</v>
      </c>
      <c r="AF3871">
        <v>32</v>
      </c>
      <c r="AJ3871" t="s">
        <v>4647</v>
      </c>
      <c r="AK3871" t="s">
        <v>4630</v>
      </c>
      <c r="AN3871">
        <v>-0.01</v>
      </c>
      <c r="AO3871">
        <f t="shared" si="385"/>
        <v>2E-3</v>
      </c>
      <c r="AP3871">
        <v>-7.8E-2</v>
      </c>
      <c r="AQ3871">
        <f>0.0018*SQRT(4)</f>
        <v>3.5999999999999999E-3</v>
      </c>
      <c r="AU3871" s="57" t="s">
        <v>4934</v>
      </c>
      <c r="AW3871" s="28">
        <f t="shared" si="380"/>
        <v>-23.351295871277134</v>
      </c>
      <c r="AX3871">
        <f t="shared" si="381"/>
        <v>0.86956521739130432</v>
      </c>
      <c r="AY3871" s="62">
        <f t="shared" si="382"/>
        <v>-20.305474670675768</v>
      </c>
      <c r="AZ3871" s="68" t="str">
        <f t="shared" si="383"/>
        <v>No</v>
      </c>
      <c r="BA3871" s="68" t="str">
        <f t="shared" si="384"/>
        <v>Yes</v>
      </c>
    </row>
    <row r="3872" spans="1:53" hidden="1">
      <c r="A3872" t="s">
        <v>3914</v>
      </c>
      <c r="G3872" t="s">
        <v>3917</v>
      </c>
      <c r="P3872" t="s">
        <v>4596</v>
      </c>
      <c r="R3872" t="s">
        <v>3942</v>
      </c>
      <c r="S3872" t="s">
        <v>1012</v>
      </c>
      <c r="V3872" t="s">
        <v>4626</v>
      </c>
      <c r="Z3872">
        <v>4</v>
      </c>
      <c r="AA3872">
        <v>4</v>
      </c>
      <c r="AC3872">
        <v>338.5</v>
      </c>
      <c r="AD3872">
        <v>28</v>
      </c>
      <c r="AE3872">
        <v>1071.4000000000001</v>
      </c>
      <c r="AF3872">
        <v>32</v>
      </c>
      <c r="AJ3872" t="s">
        <v>4648</v>
      </c>
      <c r="AK3872" t="s">
        <v>4630</v>
      </c>
      <c r="AN3872">
        <v>0.12</v>
      </c>
      <c r="AO3872">
        <f t="shared" si="385"/>
        <v>2E-3</v>
      </c>
      <c r="AP3872">
        <v>0.98</v>
      </c>
      <c r="AQ3872">
        <f>0.002*SQRT(4)</f>
        <v>4.0000000000000001E-3</v>
      </c>
      <c r="AU3872" s="57" t="s">
        <v>4934</v>
      </c>
      <c r="AW3872" s="28">
        <f t="shared" si="380"/>
        <v>271.9558787744806</v>
      </c>
      <c r="AX3872">
        <f t="shared" si="381"/>
        <v>0.86956521739130432</v>
      </c>
      <c r="AY3872" s="62">
        <f t="shared" si="382"/>
        <v>236.48337284737443</v>
      </c>
      <c r="AZ3872" s="68" t="str">
        <f t="shared" si="383"/>
        <v>Yes</v>
      </c>
      <c r="BA3872" s="68" t="str">
        <f t="shared" si="384"/>
        <v>No</v>
      </c>
    </row>
    <row r="3873" spans="1:55" hidden="1">
      <c r="A3873" t="s">
        <v>3914</v>
      </c>
      <c r="G3873" t="s">
        <v>3917</v>
      </c>
      <c r="P3873" t="s">
        <v>4596</v>
      </c>
      <c r="R3873" t="s">
        <v>3942</v>
      </c>
      <c r="S3873" t="s">
        <v>1012</v>
      </c>
      <c r="V3873" t="s">
        <v>4645</v>
      </c>
      <c r="Z3873">
        <v>4</v>
      </c>
      <c r="AA3873">
        <v>4</v>
      </c>
      <c r="AC3873">
        <v>338.5</v>
      </c>
      <c r="AD3873">
        <v>28</v>
      </c>
      <c r="AE3873">
        <v>340.8</v>
      </c>
      <c r="AF3873">
        <v>34</v>
      </c>
      <c r="AJ3873" t="s">
        <v>4648</v>
      </c>
      <c r="AK3873" t="s">
        <v>4630</v>
      </c>
      <c r="AN3873">
        <v>0.12</v>
      </c>
      <c r="AO3873">
        <f t="shared" si="385"/>
        <v>2E-3</v>
      </c>
      <c r="AP3873">
        <v>0.98</v>
      </c>
      <c r="AQ3873">
        <f>0.002*SQRT(4)</f>
        <v>4.0000000000000001E-3</v>
      </c>
      <c r="AU3873" s="57" t="s">
        <v>4934</v>
      </c>
      <c r="AW3873" s="28">
        <f t="shared" si="380"/>
        <v>271.9558787744806</v>
      </c>
      <c r="AX3873">
        <f t="shared" si="381"/>
        <v>0.86956521739130432</v>
      </c>
      <c r="AY3873" s="62">
        <f t="shared" si="382"/>
        <v>236.48337284737443</v>
      </c>
      <c r="AZ3873" s="68" t="str">
        <f t="shared" si="383"/>
        <v>Yes</v>
      </c>
      <c r="BA3873" s="68" t="str">
        <f t="shared" si="384"/>
        <v>No</v>
      </c>
    </row>
    <row r="3874" spans="1:55" hidden="1">
      <c r="A3874" t="s">
        <v>3914</v>
      </c>
      <c r="G3874" t="s">
        <v>3917</v>
      </c>
      <c r="P3874" t="s">
        <v>4596</v>
      </c>
      <c r="R3874" t="s">
        <v>3942</v>
      </c>
      <c r="S3874" t="s">
        <v>1012</v>
      </c>
      <c r="V3874" t="s">
        <v>4625</v>
      </c>
      <c r="Z3874">
        <v>4</v>
      </c>
      <c r="AA3874">
        <v>4</v>
      </c>
      <c r="AC3874">
        <v>338.5</v>
      </c>
      <c r="AD3874">
        <v>28</v>
      </c>
      <c r="AE3874">
        <v>386.7</v>
      </c>
      <c r="AF3874">
        <v>30</v>
      </c>
      <c r="AJ3874" t="s">
        <v>4647</v>
      </c>
      <c r="AK3874" t="s">
        <v>4630</v>
      </c>
      <c r="AN3874">
        <v>-0.01</v>
      </c>
      <c r="AO3874">
        <f t="shared" si="385"/>
        <v>2E-3</v>
      </c>
      <c r="AP3874">
        <v>-5.0000000000000001E-3</v>
      </c>
      <c r="AQ3874">
        <f>0.0025*SQRT(4)</f>
        <v>5.0000000000000001E-3</v>
      </c>
      <c r="AU3874" s="57" t="s">
        <v>4934</v>
      </c>
      <c r="AW3874" s="28">
        <f t="shared" si="380"/>
        <v>1.3130643285972257</v>
      </c>
      <c r="AX3874">
        <f t="shared" si="381"/>
        <v>0.86956521739130432</v>
      </c>
      <c r="AY3874" s="62">
        <f t="shared" si="382"/>
        <v>1.1417950683454137</v>
      </c>
      <c r="AZ3874" s="68" t="str">
        <f t="shared" si="383"/>
        <v>No</v>
      </c>
      <c r="BA3874" s="68" t="str">
        <f t="shared" si="384"/>
        <v>No</v>
      </c>
    </row>
    <row r="3875" spans="1:55" hidden="1">
      <c r="A3875" t="s">
        <v>3914</v>
      </c>
      <c r="G3875" t="s">
        <v>3917</v>
      </c>
      <c r="P3875" t="s">
        <v>4596</v>
      </c>
      <c r="R3875" t="s">
        <v>3942</v>
      </c>
      <c r="S3875" t="s">
        <v>1012</v>
      </c>
      <c r="V3875" t="s">
        <v>4626</v>
      </c>
      <c r="Z3875">
        <v>4</v>
      </c>
      <c r="AA3875">
        <v>4</v>
      </c>
      <c r="AC3875">
        <v>338.5</v>
      </c>
      <c r="AD3875">
        <v>28</v>
      </c>
      <c r="AE3875">
        <v>1191.7</v>
      </c>
      <c r="AF3875">
        <v>34</v>
      </c>
      <c r="AJ3875" t="s">
        <v>4647</v>
      </c>
      <c r="AK3875" t="s">
        <v>4630</v>
      </c>
      <c r="AN3875">
        <v>-0.01</v>
      </c>
      <c r="AO3875">
        <f t="shared" si="385"/>
        <v>2E-3</v>
      </c>
      <c r="AP3875">
        <v>-0.05</v>
      </c>
      <c r="AQ3875">
        <f>0.003*SQRT(4)</f>
        <v>6.0000000000000001E-3</v>
      </c>
      <c r="AU3875" s="57" t="s">
        <v>4934</v>
      </c>
      <c r="AW3875" s="28">
        <f t="shared" si="380"/>
        <v>-8.9442719099991574</v>
      </c>
      <c r="AX3875">
        <f t="shared" si="381"/>
        <v>0.86956521739130432</v>
      </c>
      <c r="AY3875" s="62">
        <f t="shared" si="382"/>
        <v>-7.7776277478253544</v>
      </c>
      <c r="AZ3875" s="68" t="str">
        <f t="shared" si="383"/>
        <v>No</v>
      </c>
      <c r="BA3875" s="68" t="str">
        <f t="shared" si="384"/>
        <v>No</v>
      </c>
    </row>
    <row r="3876" spans="1:55" s="56" customFormat="1" ht="15" hidden="1">
      <c r="A3876" t="s">
        <v>3914</v>
      </c>
      <c r="B3876"/>
      <c r="C3876"/>
      <c r="D3876" s="25"/>
      <c r="E3876" s="25"/>
      <c r="F3876"/>
      <c r="G3876" t="s">
        <v>3917</v>
      </c>
      <c r="H3876"/>
      <c r="I3876"/>
      <c r="J3876"/>
      <c r="K3876"/>
      <c r="L3876"/>
      <c r="M3876" s="25"/>
      <c r="N3876"/>
      <c r="O3876"/>
      <c r="P3876" t="s">
        <v>4596</v>
      </c>
      <c r="Q3876"/>
      <c r="R3876" t="s">
        <v>3942</v>
      </c>
      <c r="S3876" t="s">
        <v>1012</v>
      </c>
      <c r="T3876"/>
      <c r="U3876"/>
      <c r="V3876" t="s">
        <v>4627</v>
      </c>
      <c r="W3876" s="25"/>
      <c r="X3876"/>
      <c r="Y3876"/>
      <c r="Z3876">
        <v>4</v>
      </c>
      <c r="AA3876">
        <v>4</v>
      </c>
      <c r="AB3876"/>
      <c r="AC3876">
        <v>338.5</v>
      </c>
      <c r="AD3876">
        <v>28</v>
      </c>
      <c r="AE3876">
        <v>2411</v>
      </c>
      <c r="AF3876">
        <v>34</v>
      </c>
      <c r="AG3876"/>
      <c r="AH3876"/>
      <c r="AI3876"/>
      <c r="AJ3876" t="s">
        <v>4647</v>
      </c>
      <c r="AK3876" t="s">
        <v>4630</v>
      </c>
      <c r="AL3876" s="25"/>
      <c r="AM3876" s="35"/>
      <c r="AN3876">
        <v>-0.01</v>
      </c>
      <c r="AO3876">
        <f t="shared" si="385"/>
        <v>2E-3</v>
      </c>
      <c r="AP3876">
        <v>-0.05</v>
      </c>
      <c r="AQ3876">
        <v>6.0000000000000001E-3</v>
      </c>
      <c r="AR3876"/>
      <c r="AS3876"/>
      <c r="AT3876"/>
      <c r="AU3876" s="57" t="s">
        <v>4934</v>
      </c>
      <c r="AV3876"/>
      <c r="AW3876" s="28">
        <f t="shared" si="380"/>
        <v>-8.9442719099991574</v>
      </c>
      <c r="AX3876">
        <f t="shared" si="381"/>
        <v>0.86956521739130432</v>
      </c>
      <c r="AY3876" s="62">
        <f t="shared" si="382"/>
        <v>-7.7776277478253544</v>
      </c>
      <c r="AZ3876" s="68" t="str">
        <f t="shared" si="383"/>
        <v>No</v>
      </c>
      <c r="BA3876" s="68" t="str">
        <f t="shared" si="384"/>
        <v>No</v>
      </c>
      <c r="BB3876"/>
      <c r="BC3876"/>
    </row>
    <row r="3877" spans="1:55" s="56" customFormat="1" ht="15" hidden="1">
      <c r="A3877" t="s">
        <v>3914</v>
      </c>
      <c r="B3877"/>
      <c r="C3877"/>
      <c r="D3877" s="25"/>
      <c r="E3877" s="25"/>
      <c r="F3877"/>
      <c r="G3877" t="s">
        <v>3917</v>
      </c>
      <c r="H3877"/>
      <c r="I3877"/>
      <c r="J3877"/>
      <c r="K3877"/>
      <c r="L3877"/>
      <c r="M3877" s="25"/>
      <c r="N3877"/>
      <c r="O3877"/>
      <c r="P3877" t="s">
        <v>4596</v>
      </c>
      <c r="Q3877"/>
      <c r="R3877" t="s">
        <v>3942</v>
      </c>
      <c r="S3877" t="s">
        <v>1012</v>
      </c>
      <c r="T3877"/>
      <c r="U3877"/>
      <c r="V3877" t="s">
        <v>4627</v>
      </c>
      <c r="W3877" s="25"/>
      <c r="X3877"/>
      <c r="Y3877"/>
      <c r="Z3877">
        <v>4</v>
      </c>
      <c r="AA3877">
        <v>4</v>
      </c>
      <c r="AB3877"/>
      <c r="AC3877">
        <v>338.5</v>
      </c>
      <c r="AD3877">
        <v>28</v>
      </c>
      <c r="AE3877">
        <v>2411</v>
      </c>
      <c r="AF3877">
        <v>34</v>
      </c>
      <c r="AG3877"/>
      <c r="AH3877"/>
      <c r="AI3877"/>
      <c r="AJ3877" t="s">
        <v>4648</v>
      </c>
      <c r="AK3877" t="s">
        <v>4630</v>
      </c>
      <c r="AL3877" s="25"/>
      <c r="AM3877" s="35"/>
      <c r="AN3877">
        <v>0.12</v>
      </c>
      <c r="AO3877">
        <f t="shared" si="385"/>
        <v>2E-3</v>
      </c>
      <c r="AP3877">
        <v>0.85</v>
      </c>
      <c r="AQ3877">
        <f>0.003*SQRT(4)</f>
        <v>6.0000000000000001E-3</v>
      </c>
      <c r="AR3877"/>
      <c r="AS3877"/>
      <c r="AT3877"/>
      <c r="AU3877" s="57" t="s">
        <v>4934</v>
      </c>
      <c r="AV3877"/>
      <c r="AW3877" s="28">
        <f t="shared" si="380"/>
        <v>163.23296235748464</v>
      </c>
      <c r="AX3877">
        <f t="shared" si="381"/>
        <v>0.86956521739130432</v>
      </c>
      <c r="AY3877" s="62">
        <f t="shared" si="382"/>
        <v>141.94170639781274</v>
      </c>
      <c r="AZ3877" s="68" t="str">
        <f t="shared" si="383"/>
        <v>Yes</v>
      </c>
      <c r="BA3877" s="68" t="str">
        <f t="shared" si="384"/>
        <v>No</v>
      </c>
      <c r="BB3877"/>
      <c r="BC3877"/>
    </row>
    <row r="3878" spans="1:55" s="56" customFormat="1" ht="15" hidden="1">
      <c r="A3878" t="s">
        <v>3914</v>
      </c>
      <c r="B3878"/>
      <c r="C3878"/>
      <c r="D3878" s="25"/>
      <c r="E3878" s="25"/>
      <c r="F3878"/>
      <c r="G3878" t="s">
        <v>3917</v>
      </c>
      <c r="H3878"/>
      <c r="I3878"/>
      <c r="J3878"/>
      <c r="K3878"/>
      <c r="L3878"/>
      <c r="M3878" s="25"/>
      <c r="N3878"/>
      <c r="O3878"/>
      <c r="P3878" t="s">
        <v>4596</v>
      </c>
      <c r="Q3878"/>
      <c r="R3878" t="s">
        <v>3942</v>
      </c>
      <c r="S3878" t="s">
        <v>1012</v>
      </c>
      <c r="T3878"/>
      <c r="U3878"/>
      <c r="V3878" t="s">
        <v>4628</v>
      </c>
      <c r="W3878" s="25"/>
      <c r="X3878"/>
      <c r="Y3878"/>
      <c r="Z3878">
        <v>4</v>
      </c>
      <c r="AA3878">
        <v>4</v>
      </c>
      <c r="AB3878"/>
      <c r="AC3878">
        <v>338.5</v>
      </c>
      <c r="AD3878">
        <v>28</v>
      </c>
      <c r="AE3878">
        <v>390.5</v>
      </c>
      <c r="AF3878">
        <v>32</v>
      </c>
      <c r="AG3878"/>
      <c r="AH3878"/>
      <c r="AI3878"/>
      <c r="AJ3878" t="s">
        <v>4648</v>
      </c>
      <c r="AK3878" t="s">
        <v>4630</v>
      </c>
      <c r="AL3878" s="25"/>
      <c r="AM3878" s="35"/>
      <c r="AN3878">
        <v>0.12</v>
      </c>
      <c r="AO3878">
        <f t="shared" si="385"/>
        <v>2E-3</v>
      </c>
      <c r="AP3878">
        <v>9.5000000000000001E-2</v>
      </c>
      <c r="AQ3878">
        <f>0.005*SQRT(4)</f>
        <v>0.01</v>
      </c>
      <c r="AR3878"/>
      <c r="AS3878"/>
      <c r="AT3878"/>
      <c r="AU3878" s="57" t="s">
        <v>4934</v>
      </c>
      <c r="AV3878"/>
      <c r="AW3878" s="28">
        <f t="shared" si="380"/>
        <v>-3.4668762264076816</v>
      </c>
      <c r="AX3878">
        <f t="shared" si="381"/>
        <v>0.86956521739130432</v>
      </c>
      <c r="AY3878" s="62">
        <f t="shared" si="382"/>
        <v>-3.0146749794849406</v>
      </c>
      <c r="AZ3878" s="68" t="str">
        <f t="shared" si="383"/>
        <v>No</v>
      </c>
      <c r="BA3878" s="68" t="str">
        <f t="shared" si="384"/>
        <v>No</v>
      </c>
      <c r="BB3878"/>
      <c r="BC3878"/>
    </row>
    <row r="3879" spans="1:55" s="56" customFormat="1" ht="15" hidden="1">
      <c r="A3879" t="s">
        <v>3914</v>
      </c>
      <c r="B3879"/>
      <c r="C3879"/>
      <c r="D3879" s="25"/>
      <c r="E3879" s="25"/>
      <c r="F3879"/>
      <c r="G3879" t="s">
        <v>3917</v>
      </c>
      <c r="H3879"/>
      <c r="I3879"/>
      <c r="J3879"/>
      <c r="K3879"/>
      <c r="L3879"/>
      <c r="M3879" s="25"/>
      <c r="N3879"/>
      <c r="O3879"/>
      <c r="P3879" t="s">
        <v>4596</v>
      </c>
      <c r="Q3879"/>
      <c r="R3879" t="s">
        <v>3942</v>
      </c>
      <c r="S3879" t="s">
        <v>1012</v>
      </c>
      <c r="T3879"/>
      <c r="U3879"/>
      <c r="V3879" t="s">
        <v>4625</v>
      </c>
      <c r="W3879" s="25"/>
      <c r="X3879"/>
      <c r="Y3879"/>
      <c r="Z3879">
        <v>4</v>
      </c>
      <c r="AA3879">
        <v>4</v>
      </c>
      <c r="AB3879"/>
      <c r="AC3879">
        <v>338.5</v>
      </c>
      <c r="AD3879">
        <v>28</v>
      </c>
      <c r="AE3879">
        <v>386.7</v>
      </c>
      <c r="AF3879">
        <v>30</v>
      </c>
      <c r="AG3879"/>
      <c r="AH3879"/>
      <c r="AI3879"/>
      <c r="AJ3879" t="s">
        <v>3991</v>
      </c>
      <c r="AK3879" t="s">
        <v>4650</v>
      </c>
      <c r="AL3879" s="25"/>
      <c r="AM3879" s="35"/>
      <c r="AN3879">
        <v>0.14499999999999999</v>
      </c>
      <c r="AO3879">
        <f>0.15*SQRT(4)</f>
        <v>0.3</v>
      </c>
      <c r="AP3879">
        <v>0.19</v>
      </c>
      <c r="AQ3879">
        <f>0.01*SQRT(4)</f>
        <v>0.02</v>
      </c>
      <c r="AR3879"/>
      <c r="AS3879"/>
      <c r="AT3879"/>
      <c r="AU3879" s="57" t="s">
        <v>4934</v>
      </c>
      <c r="AV3879"/>
      <c r="AW3879" s="28">
        <f t="shared" si="380"/>
        <v>0.21166219538630948</v>
      </c>
      <c r="AX3879">
        <f t="shared" si="381"/>
        <v>0.86956521739130432</v>
      </c>
      <c r="AY3879" s="62">
        <f t="shared" si="382"/>
        <v>0.18405408294461695</v>
      </c>
      <c r="AZ3879" s="68" t="str">
        <f t="shared" si="383"/>
        <v>No</v>
      </c>
      <c r="BA3879" s="68" t="str">
        <f t="shared" si="384"/>
        <v>No</v>
      </c>
      <c r="BB3879"/>
      <c r="BC3879"/>
    </row>
    <row r="3880" spans="1:55" hidden="1">
      <c r="A3880" t="s">
        <v>3914</v>
      </c>
      <c r="G3880" t="s">
        <v>3917</v>
      </c>
      <c r="P3880" t="s">
        <v>60</v>
      </c>
      <c r="R3880" t="s">
        <v>3942</v>
      </c>
      <c r="S3880" t="s">
        <v>1012</v>
      </c>
      <c r="V3880" t="s">
        <v>3956</v>
      </c>
      <c r="Z3880">
        <v>4</v>
      </c>
      <c r="AA3880">
        <v>4</v>
      </c>
      <c r="AC3880" s="72">
        <v>346.1</v>
      </c>
      <c r="AD3880">
        <v>28</v>
      </c>
      <c r="AE3880">
        <v>1130.9000000000001</v>
      </c>
      <c r="AF3880">
        <v>28</v>
      </c>
      <c r="AJ3880" t="s">
        <v>665</v>
      </c>
      <c r="AK3880" t="s">
        <v>904</v>
      </c>
      <c r="AN3880">
        <v>-8.0000000000000002E-3</v>
      </c>
      <c r="AO3880">
        <v>2E-3</v>
      </c>
      <c r="AP3880">
        <v>-8.5000000000000006E-2</v>
      </c>
      <c r="AQ3880">
        <v>7.0000000000000007E-2</v>
      </c>
      <c r="AW3880" s="28">
        <f t="shared" si="380"/>
        <v>-1.5550003540648876</v>
      </c>
      <c r="AX3880">
        <f t="shared" si="381"/>
        <v>0.86956521739130432</v>
      </c>
      <c r="AY3880" s="62">
        <f t="shared" si="382"/>
        <v>-1.352174220925989</v>
      </c>
      <c r="AZ3880" s="68" t="str">
        <f t="shared" si="383"/>
        <v>No</v>
      </c>
      <c r="BA3880" s="68" t="str">
        <f t="shared" si="384"/>
        <v>No</v>
      </c>
    </row>
    <row r="3881" spans="1:55" ht="15" hidden="1">
      <c r="A3881" t="s">
        <v>3914</v>
      </c>
      <c r="G3881" s="50" t="s">
        <v>3917</v>
      </c>
      <c r="P3881" t="s">
        <v>60</v>
      </c>
      <c r="R3881" t="s">
        <v>3942</v>
      </c>
      <c r="S3881" t="s">
        <v>1012</v>
      </c>
      <c r="V3881" t="s">
        <v>3956</v>
      </c>
      <c r="Z3881">
        <v>4</v>
      </c>
      <c r="AA3881">
        <v>4</v>
      </c>
      <c r="AC3881">
        <v>1636.8</v>
      </c>
      <c r="AD3881">
        <v>28</v>
      </c>
      <c r="AE3881">
        <v>3642</v>
      </c>
      <c r="AF3881">
        <v>28</v>
      </c>
      <c r="AJ3881" s="50" t="s">
        <v>665</v>
      </c>
      <c r="AK3881" t="s">
        <v>904</v>
      </c>
      <c r="AN3881">
        <v>-8.0000000000000002E-3</v>
      </c>
      <c r="AO3881">
        <v>2E-3</v>
      </c>
      <c r="AP3881">
        <v>-8.6999999999999994E-2</v>
      </c>
      <c r="AQ3881">
        <v>7.3999999999999996E-2</v>
      </c>
      <c r="AW3881" s="28">
        <f t="shared" si="380"/>
        <v>-1.5092174218042183</v>
      </c>
      <c r="AX3881">
        <f t="shared" si="381"/>
        <v>0.86956521739130432</v>
      </c>
      <c r="AY3881" s="73">
        <f t="shared" si="382"/>
        <v>-1.3123629754819288</v>
      </c>
      <c r="AZ3881" s="74" t="str">
        <f t="shared" si="383"/>
        <v>No</v>
      </c>
      <c r="BA3881" s="74" t="str">
        <f t="shared" si="384"/>
        <v>No</v>
      </c>
      <c r="BB3881" s="56"/>
      <c r="BC3881" s="56"/>
    </row>
    <row r="3882" spans="1:55" hidden="1">
      <c r="A3882" t="s">
        <v>3914</v>
      </c>
      <c r="G3882" t="s">
        <v>3917</v>
      </c>
      <c r="P3882" t="s">
        <v>4596</v>
      </c>
      <c r="R3882" t="s">
        <v>3942</v>
      </c>
      <c r="S3882" t="s">
        <v>1012</v>
      </c>
      <c r="V3882" t="s">
        <v>4627</v>
      </c>
      <c r="Z3882">
        <v>4</v>
      </c>
      <c r="AA3882">
        <v>4</v>
      </c>
      <c r="AC3882">
        <v>338.5</v>
      </c>
      <c r="AD3882">
        <v>28</v>
      </c>
      <c r="AE3882">
        <v>2688.1</v>
      </c>
      <c r="AF3882">
        <v>32</v>
      </c>
      <c r="AJ3882" t="s">
        <v>3991</v>
      </c>
      <c r="AK3882" t="s">
        <v>4650</v>
      </c>
      <c r="AN3882">
        <v>0.14499999999999999</v>
      </c>
      <c r="AO3882">
        <f>0.15*SQRT(4)</f>
        <v>0.3</v>
      </c>
      <c r="AP3882">
        <v>0.05</v>
      </c>
      <c r="AQ3882">
        <f>0.04*SQRT(4)</f>
        <v>0.08</v>
      </c>
      <c r="AU3882" s="57" t="s">
        <v>4934</v>
      </c>
      <c r="AW3882" s="28">
        <f t="shared" si="380"/>
        <v>-0.43271314274056305</v>
      </c>
      <c r="AX3882">
        <f t="shared" si="381"/>
        <v>0.86956521739130432</v>
      </c>
      <c r="AY3882" s="62">
        <f t="shared" si="382"/>
        <v>-0.37627229803527223</v>
      </c>
      <c r="AZ3882" s="68" t="str">
        <f t="shared" si="383"/>
        <v>No</v>
      </c>
      <c r="BA3882" s="68" t="str">
        <f t="shared" si="384"/>
        <v>No</v>
      </c>
    </row>
    <row r="3883" spans="1:55" hidden="1">
      <c r="A3883" t="s">
        <v>3914</v>
      </c>
      <c r="G3883" t="s">
        <v>3917</v>
      </c>
      <c r="P3883" t="s">
        <v>4596</v>
      </c>
      <c r="R3883" t="s">
        <v>3942</v>
      </c>
      <c r="S3883" t="s">
        <v>1012</v>
      </c>
      <c r="V3883" t="s">
        <v>4628</v>
      </c>
      <c r="Z3883">
        <v>4</v>
      </c>
      <c r="AA3883">
        <v>4</v>
      </c>
      <c r="AC3883">
        <v>338.5</v>
      </c>
      <c r="AD3883">
        <v>28</v>
      </c>
      <c r="AE3883">
        <v>390.5</v>
      </c>
      <c r="AF3883">
        <v>32</v>
      </c>
      <c r="AJ3883" t="s">
        <v>3991</v>
      </c>
      <c r="AK3883" t="s">
        <v>4650</v>
      </c>
      <c r="AN3883">
        <v>0.14499999999999999</v>
      </c>
      <c r="AO3883">
        <f>0.15*SQRT(4)</f>
        <v>0.3</v>
      </c>
      <c r="AP3883">
        <v>0.14000000000000001</v>
      </c>
      <c r="AQ3883">
        <f>0.05*SQRT(4)</f>
        <v>0.1</v>
      </c>
      <c r="AU3883" s="57" t="s">
        <v>4934</v>
      </c>
      <c r="AW3883" s="28">
        <f t="shared" si="380"/>
        <v>-2.2360679774997793E-2</v>
      </c>
      <c r="AX3883">
        <f t="shared" si="381"/>
        <v>0.86956521739130432</v>
      </c>
      <c r="AY3883" s="62">
        <f t="shared" si="382"/>
        <v>-1.9444069369563298E-2</v>
      </c>
      <c r="AZ3883" s="68" t="str">
        <f t="shared" si="383"/>
        <v>No</v>
      </c>
      <c r="BA3883" s="68" t="str">
        <f t="shared" si="384"/>
        <v>No</v>
      </c>
    </row>
    <row r="3884" spans="1:55" hidden="1">
      <c r="A3884" t="s">
        <v>3914</v>
      </c>
      <c r="G3884" t="s">
        <v>3917</v>
      </c>
      <c r="P3884" t="s">
        <v>4596</v>
      </c>
      <c r="R3884" t="s">
        <v>3942</v>
      </c>
      <c r="S3884" t="s">
        <v>1012</v>
      </c>
      <c r="V3884" t="s">
        <v>4626</v>
      </c>
      <c r="Z3884">
        <v>4</v>
      </c>
      <c r="AA3884">
        <v>4</v>
      </c>
      <c r="AC3884">
        <v>338.5</v>
      </c>
      <c r="AD3884">
        <v>28</v>
      </c>
      <c r="AE3884">
        <v>1071.4000000000001</v>
      </c>
      <c r="AF3884">
        <v>32</v>
      </c>
      <c r="AJ3884" t="s">
        <v>3991</v>
      </c>
      <c r="AK3884" t="s">
        <v>4650</v>
      </c>
      <c r="AN3884">
        <v>0.14499999999999999</v>
      </c>
      <c r="AO3884">
        <f>0.15*SQRT(4)</f>
        <v>0.3</v>
      </c>
      <c r="AP3884">
        <v>0.18</v>
      </c>
      <c r="AQ3884">
        <f>0.06*SQRT(4)</f>
        <v>0.12</v>
      </c>
      <c r="AU3884" s="57" t="s">
        <v>4934</v>
      </c>
      <c r="AW3884" s="28">
        <f t="shared" si="380"/>
        <v>0.153190838336343</v>
      </c>
      <c r="AX3884">
        <f t="shared" si="381"/>
        <v>0.86956521739130432</v>
      </c>
      <c r="AY3884" s="62">
        <f t="shared" si="382"/>
        <v>0.13320942464029825</v>
      </c>
      <c r="AZ3884" s="68" t="str">
        <f t="shared" si="383"/>
        <v>No</v>
      </c>
      <c r="BA3884" s="68" t="str">
        <f t="shared" si="384"/>
        <v>No</v>
      </c>
    </row>
    <row r="3885" spans="1:55" hidden="1">
      <c r="A3885" t="s">
        <v>3914</v>
      </c>
      <c r="G3885" t="s">
        <v>3917</v>
      </c>
      <c r="P3885" t="s">
        <v>60</v>
      </c>
      <c r="R3885" t="s">
        <v>3942</v>
      </c>
      <c r="S3885" t="s">
        <v>1012</v>
      </c>
      <c r="V3885" t="s">
        <v>3956</v>
      </c>
      <c r="Z3885">
        <v>4</v>
      </c>
      <c r="AA3885">
        <v>4</v>
      </c>
      <c r="AC3885" s="72">
        <v>346.1</v>
      </c>
      <c r="AD3885">
        <v>28</v>
      </c>
      <c r="AE3885">
        <v>1130.9000000000001</v>
      </c>
      <c r="AF3885">
        <v>28</v>
      </c>
      <c r="AJ3885" t="s">
        <v>3991</v>
      </c>
      <c r="AK3885" t="s">
        <v>904</v>
      </c>
      <c r="AN3885">
        <v>0.14000000000000001</v>
      </c>
      <c r="AO3885">
        <f>0.01*SQRT(4)</f>
        <v>0.02</v>
      </c>
      <c r="AP3885">
        <v>0.18</v>
      </c>
      <c r="AQ3885">
        <f>0.08*SQRT(4)</f>
        <v>0.16</v>
      </c>
      <c r="AW3885" s="28">
        <f t="shared" si="380"/>
        <v>0.35082320772281156</v>
      </c>
      <c r="AX3885">
        <f t="shared" si="381"/>
        <v>0.86956521739130432</v>
      </c>
      <c r="AY3885" s="62">
        <f t="shared" si="382"/>
        <v>0.30506365888940135</v>
      </c>
      <c r="AZ3885" s="68" t="str">
        <f t="shared" si="383"/>
        <v>No</v>
      </c>
      <c r="BA3885" s="68" t="str">
        <f t="shared" si="384"/>
        <v>No</v>
      </c>
    </row>
    <row r="3886" spans="1:55" hidden="1">
      <c r="A3886" t="s">
        <v>3914</v>
      </c>
      <c r="G3886" t="s">
        <v>3917</v>
      </c>
      <c r="P3886" t="s">
        <v>4596</v>
      </c>
      <c r="R3886" t="s">
        <v>3942</v>
      </c>
      <c r="S3886" t="s">
        <v>1012</v>
      </c>
      <c r="V3886" t="s">
        <v>4626</v>
      </c>
      <c r="Z3886">
        <v>4</v>
      </c>
      <c r="AA3886">
        <v>4</v>
      </c>
      <c r="AC3886">
        <v>338.5</v>
      </c>
      <c r="AD3886">
        <v>28</v>
      </c>
      <c r="AE3886">
        <v>1132.3</v>
      </c>
      <c r="AF3886">
        <v>30</v>
      </c>
      <c r="AJ3886" t="s">
        <v>3991</v>
      </c>
      <c r="AK3886" t="s">
        <v>4650</v>
      </c>
      <c r="AN3886">
        <v>0.14499999999999999</v>
      </c>
      <c r="AO3886">
        <f>0.15*SQRT(4)</f>
        <v>0.3</v>
      </c>
      <c r="AP3886">
        <v>0.18</v>
      </c>
      <c r="AQ3886">
        <f>0.095*SQRT(4)</f>
        <v>0.19</v>
      </c>
      <c r="AU3886" s="57" t="s">
        <v>4934</v>
      </c>
      <c r="AW3886" s="28">
        <f t="shared" si="380"/>
        <v>0.13938803601336724</v>
      </c>
      <c r="AX3886">
        <f t="shared" si="381"/>
        <v>0.86956521739130432</v>
      </c>
      <c r="AY3886" s="62">
        <f t="shared" si="382"/>
        <v>0.12120698783771064</v>
      </c>
      <c r="AZ3886" s="68" t="str">
        <f t="shared" si="383"/>
        <v>No</v>
      </c>
      <c r="BA3886" s="68" t="str">
        <f t="shared" si="384"/>
        <v>No</v>
      </c>
    </row>
    <row r="3887" spans="1:55" hidden="1">
      <c r="A3887" t="s">
        <v>3914</v>
      </c>
      <c r="G3887" t="s">
        <v>3917</v>
      </c>
      <c r="P3887" t="s">
        <v>60</v>
      </c>
      <c r="R3887" t="s">
        <v>3942</v>
      </c>
      <c r="S3887" t="s">
        <v>1012</v>
      </c>
      <c r="V3887" t="s">
        <v>3956</v>
      </c>
      <c r="Z3887">
        <v>4</v>
      </c>
      <c r="AA3887">
        <v>4</v>
      </c>
      <c r="AC3887">
        <v>1636.8</v>
      </c>
      <c r="AD3887">
        <v>28</v>
      </c>
      <c r="AE3887">
        <v>3642</v>
      </c>
      <c r="AF3887">
        <v>28</v>
      </c>
      <c r="AJ3887" t="s">
        <v>3991</v>
      </c>
      <c r="AK3887" t="s">
        <v>904</v>
      </c>
      <c r="AN3887">
        <v>0.14000000000000001</v>
      </c>
      <c r="AO3887">
        <v>0.02</v>
      </c>
      <c r="AP3887">
        <v>0.12</v>
      </c>
      <c r="AQ3887">
        <v>0.2</v>
      </c>
      <c r="AW3887" s="28">
        <f t="shared" si="380"/>
        <v>-0.14071950894605847</v>
      </c>
      <c r="AX3887">
        <f t="shared" si="381"/>
        <v>0.86956521739130432</v>
      </c>
      <c r="AY3887" s="62">
        <f t="shared" si="382"/>
        <v>-0.12236479038787693</v>
      </c>
      <c r="AZ3887" s="68" t="str">
        <f t="shared" si="383"/>
        <v>No</v>
      </c>
      <c r="BA3887" s="68" t="str">
        <f t="shared" si="384"/>
        <v>No</v>
      </c>
    </row>
    <row r="3888" spans="1:55" hidden="1">
      <c r="A3888" t="s">
        <v>3914</v>
      </c>
      <c r="G3888" t="s">
        <v>3917</v>
      </c>
      <c r="P3888" t="s">
        <v>4596</v>
      </c>
      <c r="R3888" t="s">
        <v>3942</v>
      </c>
      <c r="S3888" t="s">
        <v>1012</v>
      </c>
      <c r="V3888" t="s">
        <v>4626</v>
      </c>
      <c r="Z3888">
        <v>4</v>
      </c>
      <c r="AA3888">
        <v>4</v>
      </c>
      <c r="AC3888">
        <v>338.5</v>
      </c>
      <c r="AD3888">
        <v>28</v>
      </c>
      <c r="AE3888">
        <v>1132.3</v>
      </c>
      <c r="AF3888">
        <v>30</v>
      </c>
      <c r="AJ3888" t="s">
        <v>3987</v>
      </c>
      <c r="AK3888" t="s">
        <v>4650</v>
      </c>
      <c r="AN3888">
        <v>8.4</v>
      </c>
      <c r="AO3888">
        <f>0.6*SQRT(4)</f>
        <v>1.2</v>
      </c>
      <c r="AP3888">
        <v>3.9</v>
      </c>
      <c r="AQ3888">
        <f>0.2*SQRT(4)</f>
        <v>0.4</v>
      </c>
      <c r="AU3888" s="57" t="s">
        <v>4934</v>
      </c>
      <c r="AW3888" s="28">
        <f t="shared" si="380"/>
        <v>-5.0311529493745271</v>
      </c>
      <c r="AX3888">
        <f t="shared" si="381"/>
        <v>0.86956521739130432</v>
      </c>
      <c r="AY3888" s="62">
        <f t="shared" si="382"/>
        <v>-4.3749156081517624</v>
      </c>
      <c r="AZ3888" s="68" t="str">
        <f t="shared" si="383"/>
        <v>No</v>
      </c>
      <c r="BA3888" s="68" t="str">
        <f t="shared" si="384"/>
        <v>No</v>
      </c>
    </row>
    <row r="3889" spans="1:55" hidden="1">
      <c r="A3889" t="s">
        <v>3914</v>
      </c>
      <c r="G3889" t="s">
        <v>3917</v>
      </c>
      <c r="P3889" t="s">
        <v>4596</v>
      </c>
      <c r="R3889" t="s">
        <v>3942</v>
      </c>
      <c r="S3889" t="s">
        <v>1012</v>
      </c>
      <c r="V3889" t="s">
        <v>4626</v>
      </c>
      <c r="Z3889">
        <v>4</v>
      </c>
      <c r="AA3889">
        <v>4</v>
      </c>
      <c r="AC3889">
        <v>338.5</v>
      </c>
      <c r="AD3889">
        <v>28</v>
      </c>
      <c r="AE3889">
        <v>1071.4000000000001</v>
      </c>
      <c r="AF3889">
        <v>32</v>
      </c>
      <c r="AJ3889" t="s">
        <v>3987</v>
      </c>
      <c r="AK3889" t="s">
        <v>4650</v>
      </c>
      <c r="AN3889">
        <v>8.4</v>
      </c>
      <c r="AO3889">
        <f>0.6*SQRT(4)</f>
        <v>1.2</v>
      </c>
      <c r="AP3889">
        <v>3.2</v>
      </c>
      <c r="AQ3889">
        <f>0.2*SQRT(4)</f>
        <v>0.4</v>
      </c>
      <c r="AU3889" s="57" t="s">
        <v>4934</v>
      </c>
      <c r="AW3889" s="28">
        <f t="shared" si="380"/>
        <v>-5.8137767414994537</v>
      </c>
      <c r="AX3889">
        <f t="shared" si="381"/>
        <v>0.86956521739130432</v>
      </c>
      <c r="AY3889" s="62">
        <f t="shared" si="382"/>
        <v>-5.0554580360864811</v>
      </c>
      <c r="AZ3889" s="68" t="str">
        <f t="shared" si="383"/>
        <v>No</v>
      </c>
      <c r="BA3889" s="68" t="str">
        <f t="shared" si="384"/>
        <v>No</v>
      </c>
    </row>
    <row r="3890" spans="1:55" ht="15" hidden="1">
      <c r="A3890" t="s">
        <v>3914</v>
      </c>
      <c r="G3890" t="s">
        <v>3917</v>
      </c>
      <c r="P3890" t="s">
        <v>60</v>
      </c>
      <c r="R3890" t="s">
        <v>3942</v>
      </c>
      <c r="S3890" t="s">
        <v>1012</v>
      </c>
      <c r="V3890" t="s">
        <v>3956</v>
      </c>
      <c r="Z3890">
        <v>4</v>
      </c>
      <c r="AA3890">
        <v>4</v>
      </c>
      <c r="AC3890" s="72">
        <v>346.1</v>
      </c>
      <c r="AD3890">
        <v>28</v>
      </c>
      <c r="AE3890">
        <v>1130.9000000000001</v>
      </c>
      <c r="AF3890">
        <v>28</v>
      </c>
      <c r="AJ3890" t="s">
        <v>3987</v>
      </c>
      <c r="AK3890" t="s">
        <v>904</v>
      </c>
      <c r="AN3890">
        <v>8.0500000000000007</v>
      </c>
      <c r="AO3890">
        <f>1.8*SQRT(4)</f>
        <v>3.6</v>
      </c>
      <c r="AP3890">
        <v>2.5</v>
      </c>
      <c r="AQ3890">
        <f>0.3*SQRT(4)</f>
        <v>0.6</v>
      </c>
      <c r="AW3890" s="28">
        <f t="shared" si="380"/>
        <v>-2.1505813167606567</v>
      </c>
      <c r="AX3890">
        <f t="shared" si="381"/>
        <v>0.86956521739130432</v>
      </c>
      <c r="AY3890" s="73">
        <f t="shared" si="382"/>
        <v>-1.8700707102266578</v>
      </c>
      <c r="AZ3890" s="74" t="str">
        <f t="shared" si="383"/>
        <v>No</v>
      </c>
      <c r="BA3890" s="74" t="str">
        <f t="shared" si="384"/>
        <v>No</v>
      </c>
      <c r="BB3890" s="56"/>
      <c r="BC3890" s="56"/>
    </row>
    <row r="3891" spans="1:55" hidden="1">
      <c r="A3891" t="s">
        <v>3914</v>
      </c>
      <c r="G3891" t="s">
        <v>3917</v>
      </c>
      <c r="P3891" t="s">
        <v>60</v>
      </c>
      <c r="R3891" t="s">
        <v>3942</v>
      </c>
      <c r="S3891" t="s">
        <v>1012</v>
      </c>
      <c r="V3891" t="s">
        <v>3956</v>
      </c>
      <c r="Z3891">
        <v>4</v>
      </c>
      <c r="AA3891">
        <v>4</v>
      </c>
      <c r="AC3891">
        <v>1636.8</v>
      </c>
      <c r="AD3891">
        <v>28</v>
      </c>
      <c r="AE3891">
        <v>3642</v>
      </c>
      <c r="AF3891">
        <v>28</v>
      </c>
      <c r="AJ3891" t="s">
        <v>3987</v>
      </c>
      <c r="AK3891" t="s">
        <v>904</v>
      </c>
      <c r="AN3891">
        <v>8.0500000000000007</v>
      </c>
      <c r="AO3891">
        <f>1.8*SQRT(4)</f>
        <v>3.6</v>
      </c>
      <c r="AP3891">
        <v>2.4</v>
      </c>
      <c r="AQ3891">
        <f>0.3*SQRT(4)</f>
        <v>0.6</v>
      </c>
      <c r="AW3891" s="28">
        <f t="shared" si="380"/>
        <v>-2.1893305296752632</v>
      </c>
      <c r="AX3891">
        <f t="shared" si="381"/>
        <v>0.86956521739130432</v>
      </c>
      <c r="AY3891" s="62">
        <f t="shared" si="382"/>
        <v>-1.9037656779784897</v>
      </c>
      <c r="AZ3891" s="68" t="str">
        <f t="shared" si="383"/>
        <v>No</v>
      </c>
      <c r="BA3891" s="68" t="str">
        <f t="shared" si="384"/>
        <v>No</v>
      </c>
    </row>
    <row r="3892" spans="1:55" hidden="1">
      <c r="A3892" t="s">
        <v>3914</v>
      </c>
      <c r="G3892" t="s">
        <v>3917</v>
      </c>
      <c r="P3892" t="s">
        <v>4596</v>
      </c>
      <c r="R3892" t="s">
        <v>3942</v>
      </c>
      <c r="S3892" t="s">
        <v>1012</v>
      </c>
      <c r="V3892" t="s">
        <v>4627</v>
      </c>
      <c r="Z3892">
        <v>4</v>
      </c>
      <c r="AA3892">
        <v>4</v>
      </c>
      <c r="AC3892">
        <v>338.5</v>
      </c>
      <c r="AD3892">
        <v>28</v>
      </c>
      <c r="AE3892">
        <v>2424.9</v>
      </c>
      <c r="AF3892">
        <v>30</v>
      </c>
      <c r="AJ3892" t="s">
        <v>3987</v>
      </c>
      <c r="AK3892" t="s">
        <v>4650</v>
      </c>
      <c r="AN3892">
        <v>8.4</v>
      </c>
      <c r="AO3892">
        <f>0.6*SQRT(4)</f>
        <v>1.2</v>
      </c>
      <c r="AP3892">
        <v>1.8</v>
      </c>
      <c r="AQ3892">
        <f>0.4*SQRT(4)</f>
        <v>0.8</v>
      </c>
      <c r="AU3892" s="57" t="s">
        <v>4934</v>
      </c>
      <c r="AW3892" s="28">
        <f t="shared" si="380"/>
        <v>-6.4718324595600736</v>
      </c>
      <c r="AX3892">
        <f t="shared" si="381"/>
        <v>0.86956521739130432</v>
      </c>
      <c r="AY3892" s="62">
        <f t="shared" si="382"/>
        <v>-5.6276803996174554</v>
      </c>
      <c r="AZ3892" s="68" t="str">
        <f t="shared" si="383"/>
        <v>No</v>
      </c>
      <c r="BA3892" s="68" t="str">
        <f t="shared" si="384"/>
        <v>No</v>
      </c>
    </row>
    <row r="3893" spans="1:55" hidden="1">
      <c r="A3893" t="s">
        <v>3914</v>
      </c>
      <c r="G3893" t="s">
        <v>4644</v>
      </c>
      <c r="P3893" t="s">
        <v>4596</v>
      </c>
      <c r="R3893" t="s">
        <v>3942</v>
      </c>
      <c r="S3893" t="s">
        <v>1012</v>
      </c>
      <c r="V3893" t="s">
        <v>4625</v>
      </c>
      <c r="Z3893">
        <v>4</v>
      </c>
      <c r="AA3893">
        <v>4</v>
      </c>
      <c r="AC3893">
        <v>338.5</v>
      </c>
      <c r="AD3893">
        <v>28</v>
      </c>
      <c r="AE3893">
        <v>386.7</v>
      </c>
      <c r="AF3893">
        <v>30</v>
      </c>
      <c r="AJ3893" t="s">
        <v>4646</v>
      </c>
      <c r="AK3893" t="s">
        <v>4650</v>
      </c>
      <c r="AN3893">
        <v>9.3000000000000007</v>
      </c>
      <c r="AO3893">
        <f>2.3*SQRT(4)</f>
        <v>4.5999999999999996</v>
      </c>
      <c r="AP3893">
        <v>5.4</v>
      </c>
      <c r="AQ3893">
        <f>0.5*SQRT(4)</f>
        <v>1</v>
      </c>
      <c r="AW3893" s="28">
        <f t="shared" si="380"/>
        <v>-1.1716414478459141</v>
      </c>
      <c r="AX3893">
        <f t="shared" si="381"/>
        <v>0.86956521739130432</v>
      </c>
      <c r="AY3893" s="62">
        <f t="shared" si="382"/>
        <v>-1.0188186503007948</v>
      </c>
      <c r="AZ3893" s="68" t="str">
        <f t="shared" si="383"/>
        <v>No</v>
      </c>
      <c r="BA3893" s="68" t="str">
        <f t="shared" si="384"/>
        <v>No</v>
      </c>
    </row>
    <row r="3894" spans="1:55" hidden="1">
      <c r="A3894" t="s">
        <v>3914</v>
      </c>
      <c r="G3894" t="s">
        <v>3917</v>
      </c>
      <c r="P3894" t="s">
        <v>4596</v>
      </c>
      <c r="R3894" t="s">
        <v>3942</v>
      </c>
      <c r="S3894" t="s">
        <v>1012</v>
      </c>
      <c r="V3894" t="s">
        <v>4627</v>
      </c>
      <c r="Z3894">
        <v>4</v>
      </c>
      <c r="AA3894">
        <v>4</v>
      </c>
      <c r="AC3894">
        <v>338.5</v>
      </c>
      <c r="AD3894">
        <v>28</v>
      </c>
      <c r="AE3894">
        <v>2688.1</v>
      </c>
      <c r="AF3894">
        <v>32</v>
      </c>
      <c r="AJ3894" t="s">
        <v>3987</v>
      </c>
      <c r="AK3894" t="s">
        <v>4650</v>
      </c>
      <c r="AN3894">
        <v>8.4</v>
      </c>
      <c r="AO3894">
        <f>0.6*SQRT(4)</f>
        <v>1.2</v>
      </c>
      <c r="AP3894">
        <v>2.8</v>
      </c>
      <c r="AQ3894">
        <f>0.6*SQRT(4)</f>
        <v>1.2</v>
      </c>
      <c r="AU3894" s="57" t="s">
        <v>4934</v>
      </c>
      <c r="AW3894" s="28">
        <f t="shared" si="380"/>
        <v>-4.666666666666667</v>
      </c>
      <c r="AX3894">
        <f t="shared" si="381"/>
        <v>0.86956521739130432</v>
      </c>
      <c r="AY3894" s="62">
        <f t="shared" si="382"/>
        <v>-4.0579710144927539</v>
      </c>
      <c r="AZ3894" s="68" t="str">
        <f t="shared" si="383"/>
        <v>No</v>
      </c>
      <c r="BA3894" s="68" t="str">
        <f t="shared" si="384"/>
        <v>No</v>
      </c>
    </row>
    <row r="3895" spans="1:55" hidden="1">
      <c r="A3895" t="s">
        <v>3914</v>
      </c>
      <c r="G3895" t="s">
        <v>3917</v>
      </c>
      <c r="P3895" t="s">
        <v>4596</v>
      </c>
      <c r="R3895" t="s">
        <v>3942</v>
      </c>
      <c r="S3895" t="s">
        <v>1012</v>
      </c>
      <c r="V3895" t="s">
        <v>4645</v>
      </c>
      <c r="Z3895">
        <v>4</v>
      </c>
      <c r="AA3895">
        <v>4</v>
      </c>
      <c r="AC3895">
        <v>338.5</v>
      </c>
      <c r="AD3895">
        <v>28</v>
      </c>
      <c r="AE3895">
        <v>340.8</v>
      </c>
      <c r="AF3895">
        <v>34</v>
      </c>
      <c r="AJ3895" t="s">
        <v>3987</v>
      </c>
      <c r="AK3895" t="s">
        <v>4650</v>
      </c>
      <c r="AN3895">
        <v>8.4</v>
      </c>
      <c r="AO3895">
        <f>0.6*SQRT(4)</f>
        <v>1.2</v>
      </c>
      <c r="AP3895">
        <v>4.0999999999999996</v>
      </c>
      <c r="AQ3895">
        <f>0.6*SQRT(4)</f>
        <v>1.2</v>
      </c>
      <c r="AU3895" s="57" t="s">
        <v>4934</v>
      </c>
      <c r="AW3895" s="28">
        <f t="shared" si="380"/>
        <v>-3.5833333333333339</v>
      </c>
      <c r="AX3895">
        <f t="shared" si="381"/>
        <v>0.86956521739130432</v>
      </c>
      <c r="AY3895" s="62">
        <f t="shared" si="382"/>
        <v>-3.1159420289855078</v>
      </c>
      <c r="AZ3895" s="68" t="str">
        <f t="shared" si="383"/>
        <v>No</v>
      </c>
      <c r="BA3895" s="68" t="str">
        <f t="shared" si="384"/>
        <v>No</v>
      </c>
    </row>
    <row r="3896" spans="1:55" hidden="1">
      <c r="A3896" t="s">
        <v>3914</v>
      </c>
      <c r="G3896" t="s">
        <v>3917</v>
      </c>
      <c r="P3896" t="s">
        <v>4596</v>
      </c>
      <c r="R3896" t="s">
        <v>3942</v>
      </c>
      <c r="S3896" t="s">
        <v>1012</v>
      </c>
      <c r="V3896" t="s">
        <v>4628</v>
      </c>
      <c r="Z3896">
        <v>4</v>
      </c>
      <c r="AA3896">
        <v>4</v>
      </c>
      <c r="AC3896">
        <v>338.5</v>
      </c>
      <c r="AD3896">
        <v>28</v>
      </c>
      <c r="AE3896">
        <v>390.5</v>
      </c>
      <c r="AF3896">
        <v>32</v>
      </c>
      <c r="AJ3896" t="s">
        <v>3987</v>
      </c>
      <c r="AK3896" t="s">
        <v>4650</v>
      </c>
      <c r="AN3896">
        <v>8.4</v>
      </c>
      <c r="AO3896">
        <f>0.6*SQRT(4)</f>
        <v>1.2</v>
      </c>
      <c r="AP3896">
        <v>7.6</v>
      </c>
      <c r="AQ3896">
        <f>0.8*SQRT(4)</f>
        <v>1.6</v>
      </c>
      <c r="AU3896" s="57" t="s">
        <v>4934</v>
      </c>
      <c r="AW3896" s="28">
        <f t="shared" si="380"/>
        <v>-0.56568542494923846</v>
      </c>
      <c r="AX3896">
        <f t="shared" si="381"/>
        <v>0.86956521739130432</v>
      </c>
      <c r="AY3896" s="62">
        <f t="shared" si="382"/>
        <v>-0.49190036952107691</v>
      </c>
      <c r="AZ3896" s="68" t="str">
        <f t="shared" si="383"/>
        <v>No</v>
      </c>
      <c r="BA3896" s="68" t="str">
        <f t="shared" si="384"/>
        <v>No</v>
      </c>
    </row>
    <row r="3897" spans="1:55" hidden="1">
      <c r="A3897" t="s">
        <v>3914</v>
      </c>
      <c r="G3897" t="s">
        <v>4980</v>
      </c>
      <c r="P3897" t="s">
        <v>4596</v>
      </c>
      <c r="R3897" t="s">
        <v>3942</v>
      </c>
      <c r="S3897" t="s">
        <v>1012</v>
      </c>
      <c r="V3897" t="s">
        <v>4626</v>
      </c>
      <c r="Z3897">
        <v>4</v>
      </c>
      <c r="AA3897">
        <v>4</v>
      </c>
      <c r="AC3897">
        <v>338.5</v>
      </c>
      <c r="AD3897">
        <v>28</v>
      </c>
      <c r="AE3897">
        <v>1191.7</v>
      </c>
      <c r="AF3897">
        <v>34</v>
      </c>
      <c r="AJ3897" t="s">
        <v>3987</v>
      </c>
      <c r="AK3897" t="s">
        <v>4650</v>
      </c>
      <c r="AN3897">
        <v>8.4</v>
      </c>
      <c r="AO3897">
        <f>0.6*SQRT(4)</f>
        <v>1.2</v>
      </c>
      <c r="AP3897">
        <v>2.1</v>
      </c>
      <c r="AQ3897">
        <f>0.9*SQRT(4)</f>
        <v>1.8</v>
      </c>
      <c r="AU3897" s="57" t="s">
        <v>4934</v>
      </c>
      <c r="AW3897" s="28">
        <f t="shared" si="380"/>
        <v>-4.1184388379018655</v>
      </c>
      <c r="AX3897">
        <f t="shared" si="381"/>
        <v>0.86956521739130432</v>
      </c>
      <c r="AY3897" s="62">
        <f t="shared" si="382"/>
        <v>-3.5812511633929263</v>
      </c>
      <c r="AZ3897" s="68" t="str">
        <f t="shared" si="383"/>
        <v>No</v>
      </c>
      <c r="BA3897" s="68" t="str">
        <f t="shared" si="384"/>
        <v>No</v>
      </c>
    </row>
    <row r="3898" spans="1:55" hidden="1">
      <c r="A3898" t="s">
        <v>3914</v>
      </c>
      <c r="G3898" t="s">
        <v>3917</v>
      </c>
      <c r="P3898" t="s">
        <v>4596</v>
      </c>
      <c r="R3898" t="s">
        <v>3942</v>
      </c>
      <c r="S3898" t="s">
        <v>1012</v>
      </c>
      <c r="V3898" t="s">
        <v>4626</v>
      </c>
      <c r="Z3898">
        <v>4</v>
      </c>
      <c r="AA3898">
        <v>4</v>
      </c>
      <c r="AC3898">
        <v>338.5</v>
      </c>
      <c r="AD3898">
        <v>28</v>
      </c>
      <c r="AE3898">
        <v>1132.3</v>
      </c>
      <c r="AF3898">
        <v>30</v>
      </c>
      <c r="AJ3898" t="s">
        <v>3995</v>
      </c>
      <c r="AK3898" t="s">
        <v>4650</v>
      </c>
      <c r="AN3898">
        <v>9.3000000000000007</v>
      </c>
      <c r="AO3898">
        <f>2.3*SQRT(4)</f>
        <v>4.5999999999999996</v>
      </c>
      <c r="AP3898">
        <v>1</v>
      </c>
      <c r="AQ3898">
        <v>2.2000000000000002</v>
      </c>
      <c r="AW3898" s="28">
        <f t="shared" si="380"/>
        <v>-2.3020058143347013</v>
      </c>
      <c r="AX3898">
        <f t="shared" si="381"/>
        <v>0.86956521739130432</v>
      </c>
      <c r="AY3898" s="62">
        <f t="shared" si="382"/>
        <v>-2.001744186378001</v>
      </c>
      <c r="AZ3898" s="68" t="str">
        <f t="shared" si="383"/>
        <v>No</v>
      </c>
      <c r="BA3898" s="68" t="str">
        <f t="shared" si="384"/>
        <v>No</v>
      </c>
    </row>
    <row r="3899" spans="1:55" hidden="1">
      <c r="A3899" t="s">
        <v>3914</v>
      </c>
      <c r="G3899" t="s">
        <v>3917</v>
      </c>
      <c r="P3899" t="s">
        <v>4596</v>
      </c>
      <c r="R3899" t="s">
        <v>3942</v>
      </c>
      <c r="S3899" t="s">
        <v>1012</v>
      </c>
      <c r="V3899" t="s">
        <v>4628</v>
      </c>
      <c r="Z3899">
        <v>4</v>
      </c>
      <c r="AA3899">
        <v>4</v>
      </c>
      <c r="AC3899">
        <v>338.5</v>
      </c>
      <c r="AD3899">
        <v>28</v>
      </c>
      <c r="AE3899">
        <v>390.5</v>
      </c>
      <c r="AF3899">
        <v>32</v>
      </c>
      <c r="AJ3899" t="s">
        <v>3995</v>
      </c>
      <c r="AK3899" t="s">
        <v>904</v>
      </c>
      <c r="AN3899">
        <v>9.3000000000000007</v>
      </c>
      <c r="AO3899">
        <f>2.3*SQRT(4)</f>
        <v>4.5999999999999996</v>
      </c>
      <c r="AP3899">
        <v>5.9</v>
      </c>
      <c r="AQ3899">
        <f>1.4*SQRT(4)</f>
        <v>2.8</v>
      </c>
      <c r="AW3899" s="28">
        <f t="shared" si="380"/>
        <v>-0.89288374344611354</v>
      </c>
      <c r="AX3899">
        <f t="shared" si="381"/>
        <v>0.86956521739130432</v>
      </c>
      <c r="AY3899" s="62">
        <f t="shared" si="382"/>
        <v>-0.77642064647488129</v>
      </c>
      <c r="AZ3899" s="68" t="str">
        <f t="shared" si="383"/>
        <v>No</v>
      </c>
      <c r="BA3899" s="68" t="str">
        <f t="shared" si="384"/>
        <v>No</v>
      </c>
    </row>
    <row r="3900" spans="1:55" hidden="1">
      <c r="A3900" t="s">
        <v>3914</v>
      </c>
      <c r="G3900" t="s">
        <v>3917</v>
      </c>
      <c r="P3900" t="s">
        <v>60</v>
      </c>
      <c r="R3900" t="s">
        <v>3942</v>
      </c>
      <c r="S3900" t="s">
        <v>1012</v>
      </c>
      <c r="V3900" t="s">
        <v>3956</v>
      </c>
      <c r="Z3900">
        <v>4</v>
      </c>
      <c r="AA3900">
        <v>4</v>
      </c>
      <c r="AC3900" s="72">
        <v>346.1</v>
      </c>
      <c r="AD3900">
        <v>28</v>
      </c>
      <c r="AE3900">
        <v>1130.9000000000001</v>
      </c>
      <c r="AF3900">
        <v>28</v>
      </c>
      <c r="AJ3900" t="s">
        <v>3995</v>
      </c>
      <c r="AK3900" t="s">
        <v>904</v>
      </c>
      <c r="AN3900">
        <v>9.3000000000000007</v>
      </c>
      <c r="AO3900">
        <v>4.8</v>
      </c>
      <c r="AP3900">
        <v>1.4</v>
      </c>
      <c r="AQ3900">
        <v>3</v>
      </c>
      <c r="AW3900" s="28">
        <f t="shared" si="380"/>
        <v>-1.9737667810224353</v>
      </c>
      <c r="AX3900">
        <f t="shared" si="381"/>
        <v>0.86956521739130432</v>
      </c>
      <c r="AY3900" s="62">
        <f t="shared" si="382"/>
        <v>-1.7163189400195089</v>
      </c>
      <c r="AZ3900" s="68" t="str">
        <f t="shared" si="383"/>
        <v>No</v>
      </c>
      <c r="BA3900" s="68" t="str">
        <f t="shared" si="384"/>
        <v>No</v>
      </c>
    </row>
    <row r="3901" spans="1:55" hidden="1">
      <c r="A3901" t="s">
        <v>3914</v>
      </c>
      <c r="G3901" t="s">
        <v>3917</v>
      </c>
      <c r="P3901" t="s">
        <v>60</v>
      </c>
      <c r="R3901" t="s">
        <v>3942</v>
      </c>
      <c r="S3901" t="s">
        <v>1012</v>
      </c>
      <c r="V3901" t="s">
        <v>3956</v>
      </c>
      <c r="Z3901">
        <v>4</v>
      </c>
      <c r="AA3901">
        <v>4</v>
      </c>
      <c r="AC3901">
        <v>1636.8</v>
      </c>
      <c r="AD3901">
        <v>28</v>
      </c>
      <c r="AE3901">
        <v>3642</v>
      </c>
      <c r="AF3901">
        <v>28</v>
      </c>
      <c r="AJ3901" t="s">
        <v>3995</v>
      </c>
      <c r="AK3901" t="s">
        <v>904</v>
      </c>
      <c r="AN3901">
        <v>9.3000000000000007</v>
      </c>
      <c r="AO3901">
        <v>4.8</v>
      </c>
      <c r="AP3901">
        <v>1.4</v>
      </c>
      <c r="AQ3901">
        <v>3</v>
      </c>
      <c r="AW3901" s="28">
        <f t="shared" si="380"/>
        <v>-1.9737667810224353</v>
      </c>
      <c r="AX3901">
        <f t="shared" si="381"/>
        <v>0.86956521739130432</v>
      </c>
      <c r="AY3901" s="62">
        <f t="shared" si="382"/>
        <v>-1.7163189400195089</v>
      </c>
      <c r="AZ3901" s="68" t="str">
        <f t="shared" si="383"/>
        <v>No</v>
      </c>
      <c r="BA3901" s="68" t="str">
        <f t="shared" si="384"/>
        <v>No</v>
      </c>
    </row>
    <row r="3902" spans="1:55" hidden="1">
      <c r="A3902" t="s">
        <v>3914</v>
      </c>
      <c r="G3902" t="s">
        <v>3917</v>
      </c>
      <c r="P3902" t="s">
        <v>4596</v>
      </c>
      <c r="R3902" t="s">
        <v>3942</v>
      </c>
      <c r="S3902" t="s">
        <v>1012</v>
      </c>
      <c r="V3902" t="s">
        <v>4625</v>
      </c>
      <c r="Z3902">
        <v>4</v>
      </c>
      <c r="AA3902">
        <v>4</v>
      </c>
      <c r="AC3902">
        <v>338.5</v>
      </c>
      <c r="AD3902">
        <v>28</v>
      </c>
      <c r="AE3902">
        <v>386.7</v>
      </c>
      <c r="AF3902">
        <v>30</v>
      </c>
      <c r="AJ3902" t="s">
        <v>4651</v>
      </c>
      <c r="AK3902" t="s">
        <v>4650</v>
      </c>
      <c r="AN3902">
        <v>8.4</v>
      </c>
      <c r="AO3902">
        <f>0.6*SQRT(4)</f>
        <v>1.2</v>
      </c>
      <c r="AP3902">
        <v>7.5</v>
      </c>
      <c r="AQ3902">
        <f>2.9*SQRT(4)</f>
        <v>5.8</v>
      </c>
      <c r="AU3902" s="57" t="s">
        <v>4934</v>
      </c>
      <c r="AW3902" s="28">
        <f t="shared" si="380"/>
        <v>-0.21489569478032772</v>
      </c>
      <c r="AX3902">
        <f t="shared" si="381"/>
        <v>0.86956521739130432</v>
      </c>
      <c r="AY3902" s="62">
        <f t="shared" si="382"/>
        <v>-0.18686582154811104</v>
      </c>
      <c r="AZ3902" s="68" t="str">
        <f t="shared" si="383"/>
        <v>No</v>
      </c>
      <c r="BA3902" s="68" t="str">
        <f t="shared" si="384"/>
        <v>No</v>
      </c>
    </row>
    <row r="3903" spans="1:55" hidden="1">
      <c r="A3903" t="s">
        <v>3914</v>
      </c>
      <c r="G3903" t="s">
        <v>3922</v>
      </c>
      <c r="P3903" t="s">
        <v>4596</v>
      </c>
      <c r="R3903" t="s">
        <v>3942</v>
      </c>
      <c r="S3903" t="s">
        <v>1012</v>
      </c>
      <c r="V3903" t="s">
        <v>4598</v>
      </c>
      <c r="Z3903">
        <v>4</v>
      </c>
      <c r="AA3903">
        <v>4</v>
      </c>
      <c r="AC3903">
        <v>381</v>
      </c>
      <c r="AD3903">
        <v>28</v>
      </c>
      <c r="AE3903">
        <v>427</v>
      </c>
      <c r="AF3903">
        <v>32</v>
      </c>
      <c r="AJ3903" t="s">
        <v>4752</v>
      </c>
      <c r="AK3903" t="s">
        <v>904</v>
      </c>
      <c r="AL3903" s="59"/>
      <c r="AM3903" s="60"/>
      <c r="AN3903">
        <v>0.35</v>
      </c>
      <c r="AO3903">
        <v>2E-3</v>
      </c>
      <c r="AP3903">
        <v>-0.8</v>
      </c>
      <c r="AQ3903" s="61">
        <v>3.7999999999999999E-2</v>
      </c>
      <c r="AR3903" s="37"/>
      <c r="AS3903" s="37"/>
      <c r="AT3903" s="37"/>
      <c r="AU3903" s="37"/>
      <c r="AV3903" s="37"/>
      <c r="AW3903" s="28">
        <f t="shared" si="380"/>
        <v>-42.739413409212062</v>
      </c>
      <c r="AX3903">
        <f t="shared" si="381"/>
        <v>0.86956521739130432</v>
      </c>
      <c r="AY3903" s="62">
        <f t="shared" si="382"/>
        <v>-37.164707312358317</v>
      </c>
      <c r="AZ3903" s="68" t="str">
        <f t="shared" si="383"/>
        <v>No</v>
      </c>
      <c r="BA3903" s="68" t="str">
        <f t="shared" si="384"/>
        <v>Yes</v>
      </c>
    </row>
    <row r="3904" spans="1:55" hidden="1">
      <c r="A3904" t="s">
        <v>3914</v>
      </c>
      <c r="G3904" t="s">
        <v>3922</v>
      </c>
      <c r="P3904" t="s">
        <v>4596</v>
      </c>
      <c r="R3904" t="s">
        <v>3942</v>
      </c>
      <c r="S3904" t="s">
        <v>1012</v>
      </c>
      <c r="V3904" t="s">
        <v>4600</v>
      </c>
      <c r="Z3904">
        <v>4</v>
      </c>
      <c r="AA3904">
        <v>4</v>
      </c>
      <c r="AC3904">
        <v>381</v>
      </c>
      <c r="AD3904">
        <v>28</v>
      </c>
      <c r="AE3904">
        <v>1399</v>
      </c>
      <c r="AF3904">
        <v>32</v>
      </c>
      <c r="AJ3904" t="s">
        <v>4750</v>
      </c>
      <c r="AK3904" t="s">
        <v>904</v>
      </c>
      <c r="AL3904" s="59"/>
      <c r="AM3904" s="60"/>
      <c r="AN3904">
        <v>0.35</v>
      </c>
      <c r="AO3904">
        <v>2E-3</v>
      </c>
      <c r="AP3904">
        <v>-0.5</v>
      </c>
      <c r="AQ3904" s="61">
        <v>3.7999999999999999E-2</v>
      </c>
      <c r="AR3904" s="37"/>
      <c r="AS3904" s="37"/>
      <c r="AT3904" s="37"/>
      <c r="AU3904" s="37"/>
      <c r="AV3904" s="37"/>
      <c r="AW3904" s="28">
        <f t="shared" si="380"/>
        <v>-31.590001215504568</v>
      </c>
      <c r="AX3904">
        <f t="shared" si="381"/>
        <v>0.86956521739130432</v>
      </c>
      <c r="AY3904" s="62">
        <f t="shared" si="382"/>
        <v>-27.469566274351799</v>
      </c>
      <c r="AZ3904" s="68" t="str">
        <f t="shared" si="383"/>
        <v>No</v>
      </c>
      <c r="BA3904" s="68" t="str">
        <f t="shared" si="384"/>
        <v>Yes</v>
      </c>
    </row>
    <row r="3905" spans="1:53" hidden="1">
      <c r="A3905" t="s">
        <v>3914</v>
      </c>
      <c r="G3905" t="s">
        <v>3922</v>
      </c>
      <c r="P3905" t="s">
        <v>4596</v>
      </c>
      <c r="R3905" t="s">
        <v>3942</v>
      </c>
      <c r="S3905" t="s">
        <v>1012</v>
      </c>
      <c r="V3905" t="s">
        <v>4600</v>
      </c>
      <c r="Z3905">
        <v>4</v>
      </c>
      <c r="AA3905">
        <v>4</v>
      </c>
      <c r="AC3905">
        <v>381</v>
      </c>
      <c r="AD3905">
        <v>28</v>
      </c>
      <c r="AE3905">
        <v>1399</v>
      </c>
      <c r="AF3905">
        <v>32</v>
      </c>
      <c r="AJ3905" t="s">
        <v>3993</v>
      </c>
      <c r="AK3905" t="s">
        <v>4650</v>
      </c>
      <c r="AN3905">
        <v>0.7</v>
      </c>
      <c r="AO3905">
        <v>2E-3</v>
      </c>
      <c r="AP3905">
        <v>0</v>
      </c>
      <c r="AQ3905">
        <v>0.05</v>
      </c>
      <c r="AW3905" s="28">
        <f t="shared" si="380"/>
        <v>-19.783169663047747</v>
      </c>
      <c r="AX3905">
        <f t="shared" si="381"/>
        <v>0.86956521739130432</v>
      </c>
      <c r="AY3905" s="62">
        <f t="shared" si="382"/>
        <v>-17.202756228737172</v>
      </c>
      <c r="AZ3905" s="68" t="str">
        <f t="shared" si="383"/>
        <v>No</v>
      </c>
      <c r="BA3905" s="68" t="str">
        <f t="shared" si="384"/>
        <v>Yes</v>
      </c>
    </row>
    <row r="3906" spans="1:53" hidden="1">
      <c r="A3906" t="s">
        <v>3914</v>
      </c>
      <c r="G3906" t="s">
        <v>3922</v>
      </c>
      <c r="P3906" t="s">
        <v>60</v>
      </c>
      <c r="R3906" t="s">
        <v>3942</v>
      </c>
      <c r="S3906" t="s">
        <v>1012</v>
      </c>
      <c r="V3906" t="s">
        <v>3956</v>
      </c>
      <c r="Z3906">
        <v>4</v>
      </c>
      <c r="AA3906">
        <v>4</v>
      </c>
      <c r="AC3906">
        <v>381</v>
      </c>
      <c r="AD3906">
        <v>28</v>
      </c>
      <c r="AE3906">
        <v>1237</v>
      </c>
      <c r="AF3906">
        <v>28</v>
      </c>
      <c r="AJ3906" t="s">
        <v>3935</v>
      </c>
      <c r="AK3906" t="s">
        <v>904</v>
      </c>
      <c r="AN3906">
        <v>0.11</v>
      </c>
      <c r="AO3906">
        <v>0.06</v>
      </c>
      <c r="AP3906">
        <v>-0.14000000000000001</v>
      </c>
      <c r="AQ3906">
        <v>0.06</v>
      </c>
      <c r="AW3906" s="28">
        <f t="shared" si="380"/>
        <v>-4.166666666666667</v>
      </c>
      <c r="AX3906">
        <f t="shared" si="381"/>
        <v>0.86956521739130432</v>
      </c>
      <c r="AY3906" s="62">
        <f t="shared" si="382"/>
        <v>-3.6231884057971016</v>
      </c>
      <c r="AZ3906" s="68" t="str">
        <f t="shared" si="383"/>
        <v>No</v>
      </c>
      <c r="BA3906" s="68" t="str">
        <f t="shared" si="384"/>
        <v>No</v>
      </c>
    </row>
    <row r="3907" spans="1:53" hidden="1">
      <c r="A3907" t="s">
        <v>3914</v>
      </c>
      <c r="G3907" t="s">
        <v>4943</v>
      </c>
      <c r="P3907" t="s">
        <v>4596</v>
      </c>
      <c r="R3907" t="s">
        <v>3942</v>
      </c>
      <c r="S3907" t="s">
        <v>1012</v>
      </c>
      <c r="V3907" t="s">
        <v>4598</v>
      </c>
      <c r="Z3907">
        <v>4</v>
      </c>
      <c r="AA3907">
        <v>4</v>
      </c>
      <c r="AC3907">
        <v>381</v>
      </c>
      <c r="AD3907">
        <v>28</v>
      </c>
      <c r="AE3907">
        <v>427</v>
      </c>
      <c r="AF3907">
        <v>32</v>
      </c>
      <c r="AJ3907" t="s">
        <v>4748</v>
      </c>
      <c r="AK3907" t="s">
        <v>4751</v>
      </c>
      <c r="AL3907" s="59"/>
      <c r="AM3907" s="60"/>
      <c r="AN3907">
        <v>0.11</v>
      </c>
      <c r="AO3907">
        <v>0.06</v>
      </c>
      <c r="AP3907">
        <v>0.06</v>
      </c>
      <c r="AQ3907" s="61">
        <f>0.03*SQRT(4)</f>
        <v>0.06</v>
      </c>
      <c r="AR3907" s="37"/>
      <c r="AS3907" s="37"/>
      <c r="AT3907" s="37"/>
      <c r="AU3907" s="37"/>
      <c r="AV3907" s="37"/>
      <c r="AW3907" s="28">
        <f t="shared" si="380"/>
        <v>-0.83333333333333337</v>
      </c>
      <c r="AX3907">
        <f t="shared" si="381"/>
        <v>0.86956521739130432</v>
      </c>
      <c r="AY3907" s="62">
        <f t="shared" si="382"/>
        <v>-0.72463768115942029</v>
      </c>
      <c r="AZ3907" s="68" t="str">
        <f t="shared" si="383"/>
        <v>No</v>
      </c>
      <c r="BA3907" s="68" t="str">
        <f t="shared" si="384"/>
        <v>No</v>
      </c>
    </row>
    <row r="3908" spans="1:53" hidden="1">
      <c r="A3908" t="s">
        <v>3914</v>
      </c>
      <c r="G3908" t="s">
        <v>3922</v>
      </c>
      <c r="P3908" t="s">
        <v>4596</v>
      </c>
      <c r="R3908" t="s">
        <v>3942</v>
      </c>
      <c r="S3908" t="s">
        <v>1012</v>
      </c>
      <c r="V3908" t="s">
        <v>4598</v>
      </c>
      <c r="Z3908">
        <v>4</v>
      </c>
      <c r="AA3908">
        <v>4</v>
      </c>
      <c r="AC3908">
        <v>381</v>
      </c>
      <c r="AD3908">
        <v>28</v>
      </c>
      <c r="AE3908">
        <v>427</v>
      </c>
      <c r="AF3908">
        <v>32</v>
      </c>
      <c r="AJ3908" t="s">
        <v>3993</v>
      </c>
      <c r="AK3908" t="s">
        <v>4650</v>
      </c>
      <c r="AN3908">
        <v>0.7</v>
      </c>
      <c r="AO3908">
        <v>2E-3</v>
      </c>
      <c r="AP3908">
        <v>0.06</v>
      </c>
      <c r="AQ3908">
        <v>0.1</v>
      </c>
      <c r="AW3908" s="28">
        <f t="shared" si="380"/>
        <v>-9.0491571487050209</v>
      </c>
      <c r="AX3908">
        <f t="shared" si="381"/>
        <v>0.86956521739130432</v>
      </c>
      <c r="AY3908" s="62">
        <f t="shared" si="382"/>
        <v>-7.8688323032217573</v>
      </c>
      <c r="AZ3908" s="68" t="str">
        <f t="shared" si="383"/>
        <v>No</v>
      </c>
      <c r="BA3908" s="68" t="str">
        <f t="shared" si="384"/>
        <v>No</v>
      </c>
    </row>
    <row r="3909" spans="1:53" hidden="1">
      <c r="A3909" t="s">
        <v>3914</v>
      </c>
      <c r="G3909" t="s">
        <v>3922</v>
      </c>
      <c r="P3909" t="s">
        <v>4596</v>
      </c>
      <c r="R3909" t="s">
        <v>3942</v>
      </c>
      <c r="S3909" t="s">
        <v>1012</v>
      </c>
      <c r="V3909" t="s">
        <v>4600</v>
      </c>
      <c r="Z3909">
        <v>4</v>
      </c>
      <c r="AA3909">
        <v>4</v>
      </c>
      <c r="AC3909">
        <v>381</v>
      </c>
      <c r="AD3909">
        <v>28</v>
      </c>
      <c r="AE3909">
        <v>1399</v>
      </c>
      <c r="AF3909">
        <v>32</v>
      </c>
      <c r="AJ3909" t="s">
        <v>4749</v>
      </c>
      <c r="AK3909" t="s">
        <v>4751</v>
      </c>
      <c r="AL3909" s="59"/>
      <c r="AM3909" s="60"/>
      <c r="AN3909">
        <v>0.11</v>
      </c>
      <c r="AO3909">
        <v>0.06</v>
      </c>
      <c r="AP3909">
        <v>-0.42</v>
      </c>
      <c r="AQ3909" s="61">
        <f>0.09*SQRT(4)</f>
        <v>0.18</v>
      </c>
      <c r="AR3909" s="37"/>
      <c r="AS3909" s="37"/>
      <c r="AT3909" s="37"/>
      <c r="AU3909" s="37"/>
      <c r="AV3909" s="37"/>
      <c r="AW3909" s="28">
        <f t="shared" si="380"/>
        <v>-3.9503867602496285</v>
      </c>
      <c r="AX3909">
        <f t="shared" si="381"/>
        <v>0.86956521739130432</v>
      </c>
      <c r="AY3909" s="62">
        <f t="shared" si="382"/>
        <v>-3.4351189219561986</v>
      </c>
      <c r="AZ3909" s="68" t="str">
        <f t="shared" si="383"/>
        <v>No</v>
      </c>
      <c r="BA3909" s="68" t="str">
        <f t="shared" si="384"/>
        <v>No</v>
      </c>
    </row>
    <row r="3910" spans="1:53" hidden="1">
      <c r="A3910" t="s">
        <v>3914</v>
      </c>
      <c r="G3910" t="s">
        <v>3922</v>
      </c>
      <c r="P3910" t="s">
        <v>60</v>
      </c>
      <c r="R3910" t="s">
        <v>3942</v>
      </c>
      <c r="S3910" t="s">
        <v>1012</v>
      </c>
      <c r="V3910" t="s">
        <v>3956</v>
      </c>
      <c r="Z3910">
        <v>4</v>
      </c>
      <c r="AA3910">
        <v>4</v>
      </c>
      <c r="AC3910">
        <v>381</v>
      </c>
      <c r="AD3910">
        <v>28</v>
      </c>
      <c r="AE3910">
        <v>1237</v>
      </c>
      <c r="AF3910">
        <v>28</v>
      </c>
      <c r="AJ3910" t="s">
        <v>3993</v>
      </c>
      <c r="AK3910" t="s">
        <v>904</v>
      </c>
      <c r="AN3910">
        <v>0.7</v>
      </c>
      <c r="AO3910">
        <f>0.001*SQRT(4)</f>
        <v>2E-3</v>
      </c>
      <c r="AP3910">
        <v>0.2</v>
      </c>
      <c r="AQ3910">
        <f>0.17*SQRT(4)</f>
        <v>0.34</v>
      </c>
      <c r="AW3910" s="28">
        <f t="shared" si="380"/>
        <v>-2.0796898465373115</v>
      </c>
      <c r="AX3910">
        <f t="shared" si="381"/>
        <v>0.86956521739130432</v>
      </c>
      <c r="AY3910" s="62">
        <f t="shared" si="382"/>
        <v>-1.8084259535107057</v>
      </c>
      <c r="AZ3910" s="68" t="str">
        <f t="shared" si="383"/>
        <v>No</v>
      </c>
      <c r="BA3910" s="68" t="str">
        <f t="shared" si="384"/>
        <v>No</v>
      </c>
    </row>
    <row r="3911" spans="1:53" hidden="1">
      <c r="A3911" t="s">
        <v>3914</v>
      </c>
      <c r="G3911" t="s">
        <v>3922</v>
      </c>
      <c r="P3911" t="s">
        <v>4596</v>
      </c>
      <c r="R3911" t="s">
        <v>3942</v>
      </c>
      <c r="S3911" t="s">
        <v>1012</v>
      </c>
      <c r="V3911" t="s">
        <v>4598</v>
      </c>
      <c r="Z3911">
        <v>4</v>
      </c>
      <c r="AA3911">
        <v>4</v>
      </c>
      <c r="AC3911">
        <v>381</v>
      </c>
      <c r="AD3911">
        <v>28</v>
      </c>
      <c r="AE3911">
        <v>427</v>
      </c>
      <c r="AF3911">
        <v>32</v>
      </c>
      <c r="AJ3911" t="s">
        <v>3995</v>
      </c>
      <c r="AK3911" t="s">
        <v>4650</v>
      </c>
      <c r="AL3911" s="59"/>
      <c r="AM3911" s="60"/>
      <c r="AN3911">
        <v>16.3</v>
      </c>
      <c r="AO3911">
        <v>1.4</v>
      </c>
      <c r="AP3911">
        <v>6.1</v>
      </c>
      <c r="AQ3911" s="61">
        <f>0.3*SQRT(4)</f>
        <v>0.6</v>
      </c>
      <c r="AR3911" s="37"/>
      <c r="AS3911" s="37"/>
      <c r="AT3911" s="37"/>
      <c r="AU3911" s="37"/>
      <c r="AV3911" s="37"/>
      <c r="AW3911" s="28">
        <f t="shared" si="380"/>
        <v>-9.470462247029646</v>
      </c>
      <c r="AX3911">
        <f t="shared" si="381"/>
        <v>0.86956521739130432</v>
      </c>
      <c r="AY3911" s="62">
        <f t="shared" si="382"/>
        <v>-8.2351845626344744</v>
      </c>
      <c r="AZ3911" s="68" t="str">
        <f t="shared" si="383"/>
        <v>No</v>
      </c>
      <c r="BA3911" s="68" t="str">
        <f t="shared" si="384"/>
        <v>No</v>
      </c>
    </row>
    <row r="3912" spans="1:53" hidden="1">
      <c r="A3912" t="s">
        <v>3914</v>
      </c>
      <c r="G3912" t="s">
        <v>3922</v>
      </c>
      <c r="P3912" t="s">
        <v>4596</v>
      </c>
      <c r="R3912" t="s">
        <v>3942</v>
      </c>
      <c r="S3912" t="s">
        <v>1012</v>
      </c>
      <c r="V3912" t="s">
        <v>4600</v>
      </c>
      <c r="Z3912">
        <v>4</v>
      </c>
      <c r="AA3912">
        <v>4</v>
      </c>
      <c r="AC3912">
        <v>381</v>
      </c>
      <c r="AD3912">
        <v>28</v>
      </c>
      <c r="AE3912">
        <v>1399</v>
      </c>
      <c r="AF3912">
        <v>32</v>
      </c>
      <c r="AJ3912" t="s">
        <v>3995</v>
      </c>
      <c r="AK3912" t="s">
        <v>4650</v>
      </c>
      <c r="AL3912" s="59"/>
      <c r="AM3912" s="60"/>
      <c r="AN3912">
        <v>16.3</v>
      </c>
      <c r="AO3912">
        <v>1.4</v>
      </c>
      <c r="AP3912">
        <v>5.9</v>
      </c>
      <c r="AQ3912" s="61">
        <f>0.3*SQRT(4)</f>
        <v>0.6</v>
      </c>
      <c r="AR3912" s="37"/>
      <c r="AS3912" s="37"/>
      <c r="AT3912" s="37"/>
      <c r="AU3912" s="37"/>
      <c r="AV3912" s="37"/>
      <c r="AW3912" s="28">
        <f t="shared" si="380"/>
        <v>-9.6561575852066976</v>
      </c>
      <c r="AX3912">
        <f t="shared" si="381"/>
        <v>0.86956521739130432</v>
      </c>
      <c r="AY3912" s="62">
        <f t="shared" si="382"/>
        <v>-8.3966587697449544</v>
      </c>
      <c r="AZ3912" s="68" t="str">
        <f t="shared" si="383"/>
        <v>No</v>
      </c>
      <c r="BA3912" s="68" t="str">
        <f t="shared" si="384"/>
        <v>No</v>
      </c>
    </row>
    <row r="3913" spans="1:53" hidden="1">
      <c r="A3913" t="s">
        <v>3914</v>
      </c>
      <c r="G3913" t="s">
        <v>3922</v>
      </c>
      <c r="P3913" t="s">
        <v>60</v>
      </c>
      <c r="R3913" t="s">
        <v>3942</v>
      </c>
      <c r="S3913" t="s">
        <v>1012</v>
      </c>
      <c r="V3913" t="s">
        <v>3956</v>
      </c>
      <c r="Z3913">
        <v>4</v>
      </c>
      <c r="AA3913">
        <v>4</v>
      </c>
      <c r="AC3913">
        <v>381</v>
      </c>
      <c r="AD3913">
        <v>28</v>
      </c>
      <c r="AE3913">
        <v>1237</v>
      </c>
      <c r="AF3913">
        <v>28</v>
      </c>
      <c r="AJ3913" t="s">
        <v>3995</v>
      </c>
      <c r="AK3913" t="s">
        <v>904</v>
      </c>
      <c r="AN3913">
        <v>16.3</v>
      </c>
      <c r="AO3913">
        <v>1.4</v>
      </c>
      <c r="AP3913">
        <v>6.3</v>
      </c>
      <c r="AQ3913">
        <v>1</v>
      </c>
      <c r="AW3913" s="28">
        <f t="shared" si="380"/>
        <v>-8.2199493652678655</v>
      </c>
      <c r="AX3913">
        <f t="shared" si="381"/>
        <v>0.86956521739130432</v>
      </c>
      <c r="AY3913" s="62">
        <f t="shared" si="382"/>
        <v>-7.1477820567546653</v>
      </c>
      <c r="AZ3913" s="68" t="str">
        <f t="shared" si="383"/>
        <v>No</v>
      </c>
      <c r="BA3913" s="68" t="str">
        <f t="shared" si="384"/>
        <v>No</v>
      </c>
    </row>
    <row r="3914" spans="1:53" hidden="1">
      <c r="A3914" t="s">
        <v>3914</v>
      </c>
      <c r="G3914" s="50" t="s">
        <v>4569</v>
      </c>
      <c r="P3914" t="s">
        <v>60</v>
      </c>
      <c r="R3914" t="s">
        <v>4570</v>
      </c>
      <c r="S3914" s="50" t="s">
        <v>4573</v>
      </c>
      <c r="V3914" t="s">
        <v>3956</v>
      </c>
      <c r="Z3914" s="50">
        <v>246</v>
      </c>
      <c r="AA3914" s="50">
        <v>187</v>
      </c>
      <c r="AC3914">
        <v>451</v>
      </c>
      <c r="AD3914">
        <v>28.5</v>
      </c>
      <c r="AE3914">
        <v>939</v>
      </c>
      <c r="AF3914">
        <v>28.5</v>
      </c>
      <c r="AJ3914" s="50" t="s">
        <v>4585</v>
      </c>
      <c r="AK3914" t="s">
        <v>4537</v>
      </c>
      <c r="AN3914">
        <v>1.0940000000000001</v>
      </c>
      <c r="AO3914">
        <v>0.121</v>
      </c>
      <c r="AP3914">
        <v>1.036</v>
      </c>
      <c r="AQ3914">
        <v>0.15</v>
      </c>
      <c r="AW3914" s="28">
        <f t="shared" si="380"/>
        <v>-0.43191568467917602</v>
      </c>
      <c r="AX3914">
        <f t="shared" si="381"/>
        <v>0.99825885084155541</v>
      </c>
      <c r="AY3914" s="62">
        <f t="shared" si="382"/>
        <v>-0.43116365504827786</v>
      </c>
      <c r="AZ3914" s="68" t="str">
        <f t="shared" si="383"/>
        <v>No</v>
      </c>
      <c r="BA3914" s="68" t="str">
        <f t="shared" si="384"/>
        <v>No</v>
      </c>
    </row>
    <row r="3915" spans="1:53" hidden="1">
      <c r="A3915" t="s">
        <v>3914</v>
      </c>
      <c r="G3915" t="s">
        <v>5101</v>
      </c>
      <c r="P3915" t="s">
        <v>60</v>
      </c>
      <c r="R3915" t="s">
        <v>4570</v>
      </c>
      <c r="S3915" t="s">
        <v>4573</v>
      </c>
      <c r="V3915" t="s">
        <v>3956</v>
      </c>
      <c r="Z3915">
        <v>12</v>
      </c>
      <c r="AA3915">
        <v>12</v>
      </c>
      <c r="AC3915">
        <v>451</v>
      </c>
      <c r="AD3915">
        <v>28.5</v>
      </c>
      <c r="AE3915">
        <v>939</v>
      </c>
      <c r="AF3915">
        <v>28.5</v>
      </c>
      <c r="AJ3915" t="s">
        <v>2044</v>
      </c>
      <c r="AK3915" t="s">
        <v>4525</v>
      </c>
      <c r="AN3915">
        <v>7.5</v>
      </c>
      <c r="AO3915">
        <v>1.125</v>
      </c>
      <c r="AP3915">
        <v>8.1999999999999993</v>
      </c>
      <c r="AQ3915">
        <v>1.5</v>
      </c>
      <c r="AW3915" s="28">
        <f t="shared" si="380"/>
        <v>0.52797306328595495</v>
      </c>
      <c r="AX3915">
        <f t="shared" si="381"/>
        <v>0.96551724137931039</v>
      </c>
      <c r="AY3915" s="62">
        <f t="shared" si="382"/>
        <v>0.50976709558643929</v>
      </c>
      <c r="AZ3915" s="68" t="str">
        <f t="shared" si="383"/>
        <v>No</v>
      </c>
      <c r="BA3915" s="68" t="str">
        <f t="shared" si="384"/>
        <v>No</v>
      </c>
    </row>
    <row r="3916" spans="1:53" hidden="1">
      <c r="A3916" t="s">
        <v>3914</v>
      </c>
      <c r="G3916" s="50" t="s">
        <v>4569</v>
      </c>
      <c r="P3916" t="s">
        <v>60</v>
      </c>
      <c r="R3916" t="s">
        <v>4570</v>
      </c>
      <c r="S3916" s="50" t="s">
        <v>4573</v>
      </c>
      <c r="V3916" t="s">
        <v>3956</v>
      </c>
      <c r="Z3916" s="50">
        <v>108</v>
      </c>
      <c r="AA3916" s="50">
        <v>80</v>
      </c>
      <c r="AC3916">
        <v>451</v>
      </c>
      <c r="AD3916">
        <v>28.5</v>
      </c>
      <c r="AE3916">
        <v>939</v>
      </c>
      <c r="AF3916">
        <v>28.5</v>
      </c>
      <c r="AJ3916" s="50" t="s">
        <v>4586</v>
      </c>
      <c r="AK3916" t="s">
        <v>4537</v>
      </c>
      <c r="AN3916">
        <v>570</v>
      </c>
      <c r="AO3916">
        <v>49</v>
      </c>
      <c r="AP3916">
        <v>535</v>
      </c>
      <c r="AQ3916">
        <v>48</v>
      </c>
      <c r="AW3916" s="28">
        <f t="shared" si="380"/>
        <v>-0.72049396430212065</v>
      </c>
      <c r="AX3916">
        <f t="shared" si="381"/>
        <v>0.99596231493943477</v>
      </c>
      <c r="AY3916" s="62">
        <f t="shared" si="382"/>
        <v>-0.71758483658623051</v>
      </c>
      <c r="AZ3916" s="68" t="str">
        <f t="shared" si="383"/>
        <v>No</v>
      </c>
      <c r="BA3916" s="68" t="str">
        <f t="shared" si="384"/>
        <v>No</v>
      </c>
    </row>
    <row r="3917" spans="1:53" hidden="1">
      <c r="A3917" t="s">
        <v>3914</v>
      </c>
      <c r="G3917" t="s">
        <v>5040</v>
      </c>
      <c r="P3917" t="s">
        <v>60</v>
      </c>
      <c r="R3917" t="s">
        <v>4357</v>
      </c>
      <c r="S3917" t="s">
        <v>1747</v>
      </c>
      <c r="V3917" t="s">
        <v>3956</v>
      </c>
      <c r="Z3917">
        <v>20</v>
      </c>
      <c r="AA3917">
        <v>20</v>
      </c>
      <c r="AC3917">
        <v>399</v>
      </c>
      <c r="AD3917">
        <v>16</v>
      </c>
      <c r="AE3917">
        <v>1318</v>
      </c>
      <c r="AF3917">
        <v>16</v>
      </c>
      <c r="AJ3917" t="s">
        <v>1827</v>
      </c>
      <c r="AK3917" t="s">
        <v>4244</v>
      </c>
      <c r="AN3917">
        <v>290</v>
      </c>
      <c r="AO3917">
        <v>20</v>
      </c>
      <c r="AP3917">
        <v>275</v>
      </c>
      <c r="AQ3917">
        <v>25</v>
      </c>
      <c r="AW3917" s="28">
        <f t="shared" si="380"/>
        <v>-0.66258915644907923</v>
      </c>
      <c r="AX3917">
        <f t="shared" si="381"/>
        <v>0.98013245033112584</v>
      </c>
      <c r="AY3917" s="62">
        <f t="shared" si="382"/>
        <v>-0.64942513347326969</v>
      </c>
      <c r="AZ3917" s="68" t="str">
        <f t="shared" si="383"/>
        <v>No</v>
      </c>
      <c r="BA3917" s="68" t="str">
        <f t="shared" si="384"/>
        <v>No</v>
      </c>
    </row>
    <row r="3918" spans="1:53" hidden="1">
      <c r="A3918" t="s">
        <v>3914</v>
      </c>
      <c r="G3918" t="s">
        <v>5043</v>
      </c>
      <c r="P3918" t="s">
        <v>60</v>
      </c>
      <c r="R3918" t="s">
        <v>4357</v>
      </c>
      <c r="S3918" t="s">
        <v>1747</v>
      </c>
      <c r="V3918" t="s">
        <v>3956</v>
      </c>
      <c r="Z3918">
        <v>3</v>
      </c>
      <c r="AA3918">
        <v>3</v>
      </c>
      <c r="AC3918">
        <v>375</v>
      </c>
      <c r="AD3918">
        <v>14</v>
      </c>
      <c r="AE3918">
        <v>1264</v>
      </c>
      <c r="AF3918">
        <v>14</v>
      </c>
      <c r="AJ3918" t="s">
        <v>1827</v>
      </c>
      <c r="AK3918" t="s">
        <v>4244</v>
      </c>
      <c r="AN3918">
        <v>443.33333333333331</v>
      </c>
      <c r="AO3918">
        <v>14.433756729740644</v>
      </c>
      <c r="AP3918">
        <v>411.66666666666669</v>
      </c>
      <c r="AQ3918">
        <v>2.8867513459481287</v>
      </c>
      <c r="AW3918" s="28">
        <f t="shared" ref="AW3918:AW3981" si="386">(AP3918-$AN3918)/SQRT(((AA3918-1)*AQ3918*AQ3918+($Z3918-1)*$AO3918*$AO3918)/(AA3918+$Z3918-2))</f>
        <v>-3.042434922296652</v>
      </c>
      <c r="AX3918">
        <f t="shared" ref="AX3918:AX3981" si="387">1-(3/(4*(AA3918+$Z3918-2)-1))</f>
        <v>0.8</v>
      </c>
      <c r="AY3918" s="62">
        <f t="shared" ref="AY3918:AY3981" si="388">AX3918*AW3918</f>
        <v>-2.4339479378373219</v>
      </c>
      <c r="AZ3918" s="68" t="str">
        <f t="shared" ref="AZ3918:AZ3981" si="389">IF(AY3918&gt;10,"Yes","No")</f>
        <v>No</v>
      </c>
      <c r="BA3918" s="68" t="str">
        <f t="shared" ref="BA3918:BA3981" si="390">IF(AY3918&lt;-10,"Yes","No")</f>
        <v>No</v>
      </c>
    </row>
    <row r="3919" spans="1:53" hidden="1">
      <c r="A3919" t="s">
        <v>3914</v>
      </c>
      <c r="G3919" t="s">
        <v>4407</v>
      </c>
      <c r="P3919" t="s">
        <v>60</v>
      </c>
      <c r="R3919" t="s">
        <v>4357</v>
      </c>
      <c r="S3919" t="s">
        <v>1747</v>
      </c>
      <c r="V3919" t="s">
        <v>3956</v>
      </c>
      <c r="Z3919">
        <v>3</v>
      </c>
      <c r="AA3919">
        <v>3</v>
      </c>
      <c r="AC3919">
        <v>375</v>
      </c>
      <c r="AD3919">
        <v>14</v>
      </c>
      <c r="AE3919">
        <v>1264</v>
      </c>
      <c r="AF3919">
        <v>14</v>
      </c>
      <c r="AJ3919" t="s">
        <v>108</v>
      </c>
      <c r="AK3919" t="s">
        <v>4502</v>
      </c>
      <c r="AN3919">
        <v>27.5</v>
      </c>
      <c r="AO3919">
        <v>2.1213203435596424</v>
      </c>
      <c r="AP3919">
        <v>41</v>
      </c>
      <c r="AQ3919">
        <v>4.2426406871192848</v>
      </c>
      <c r="AW3919" s="28">
        <f t="shared" si="386"/>
        <v>4.0249223594996222</v>
      </c>
      <c r="AX3919">
        <f t="shared" si="387"/>
        <v>0.8</v>
      </c>
      <c r="AY3919" s="62">
        <f t="shared" si="388"/>
        <v>3.219937887599698</v>
      </c>
      <c r="AZ3919" s="68" t="str">
        <f t="shared" si="389"/>
        <v>No</v>
      </c>
      <c r="BA3919" s="68" t="str">
        <f t="shared" si="390"/>
        <v>No</v>
      </c>
    </row>
    <row r="3920" spans="1:53" hidden="1">
      <c r="A3920" t="s">
        <v>3914</v>
      </c>
      <c r="G3920" s="50" t="s">
        <v>4407</v>
      </c>
      <c r="P3920" t="s">
        <v>60</v>
      </c>
      <c r="R3920" t="s">
        <v>4357</v>
      </c>
      <c r="S3920" s="50" t="s">
        <v>1747</v>
      </c>
      <c r="V3920" t="s">
        <v>3956</v>
      </c>
      <c r="Z3920" s="50">
        <v>3</v>
      </c>
      <c r="AA3920" s="50">
        <v>3</v>
      </c>
      <c r="AC3920">
        <v>375</v>
      </c>
      <c r="AD3920">
        <v>14</v>
      </c>
      <c r="AE3920">
        <v>1264</v>
      </c>
      <c r="AF3920">
        <v>14</v>
      </c>
      <c r="AJ3920" s="50" t="s">
        <v>4448</v>
      </c>
      <c r="AK3920" t="s">
        <v>4244</v>
      </c>
      <c r="AN3920">
        <v>221.66666666666666</v>
      </c>
      <c r="AO3920">
        <v>12.583057392117915</v>
      </c>
      <c r="AP3920">
        <v>200</v>
      </c>
      <c r="AQ3920">
        <v>5</v>
      </c>
      <c r="AW3920" s="28">
        <f t="shared" si="386"/>
        <v>-2.2630095274240709</v>
      </c>
      <c r="AX3920">
        <f t="shared" si="387"/>
        <v>0.8</v>
      </c>
      <c r="AY3920" s="62">
        <f t="shared" si="388"/>
        <v>-1.8104076219392569</v>
      </c>
      <c r="AZ3920" s="68" t="str">
        <f t="shared" si="389"/>
        <v>No</v>
      </c>
      <c r="BA3920" s="68" t="str">
        <f t="shared" si="390"/>
        <v>No</v>
      </c>
    </row>
    <row r="3921" spans="1:53" hidden="1">
      <c r="A3921" t="s">
        <v>3914</v>
      </c>
      <c r="G3921" t="s">
        <v>5051</v>
      </c>
      <c r="P3921" t="s">
        <v>60</v>
      </c>
      <c r="R3921" t="s">
        <v>4357</v>
      </c>
      <c r="S3921" t="s">
        <v>4398</v>
      </c>
      <c r="V3921" t="s">
        <v>3956</v>
      </c>
      <c r="Z3921">
        <v>4</v>
      </c>
      <c r="AA3921">
        <v>2</v>
      </c>
      <c r="AC3921">
        <v>457.6</v>
      </c>
      <c r="AD3921">
        <v>9.01</v>
      </c>
      <c r="AE3921">
        <v>1261.8</v>
      </c>
      <c r="AF3921">
        <v>9.0500000000000007</v>
      </c>
      <c r="AJ3921" t="s">
        <v>4216</v>
      </c>
      <c r="AK3921" t="s">
        <v>4244</v>
      </c>
      <c r="AN3921">
        <v>371.25</v>
      </c>
      <c r="AO3921">
        <v>33.509948771471834</v>
      </c>
      <c r="AP3921">
        <v>380</v>
      </c>
      <c r="AQ3921">
        <v>14.142135623730951</v>
      </c>
      <c r="AW3921" s="28">
        <f t="shared" si="386"/>
        <v>0.29294088272308105</v>
      </c>
      <c r="AX3921">
        <f t="shared" si="387"/>
        <v>0.8</v>
      </c>
      <c r="AY3921" s="62">
        <f t="shared" si="388"/>
        <v>0.23435270617846485</v>
      </c>
      <c r="AZ3921" s="68" t="str">
        <f t="shared" si="389"/>
        <v>No</v>
      </c>
      <c r="BA3921" s="68" t="str">
        <f t="shared" si="390"/>
        <v>No</v>
      </c>
    </row>
    <row r="3922" spans="1:53" hidden="1">
      <c r="A3922" t="s">
        <v>3914</v>
      </c>
      <c r="G3922" t="s">
        <v>4413</v>
      </c>
      <c r="P3922" t="s">
        <v>60</v>
      </c>
      <c r="R3922" t="s">
        <v>4357</v>
      </c>
      <c r="S3922" t="s">
        <v>4398</v>
      </c>
      <c r="V3922" t="s">
        <v>3956</v>
      </c>
      <c r="Z3922">
        <v>4</v>
      </c>
      <c r="AA3922">
        <v>3</v>
      </c>
      <c r="AC3922">
        <v>457.6</v>
      </c>
      <c r="AD3922">
        <v>9.01</v>
      </c>
      <c r="AE3922">
        <v>3027.2</v>
      </c>
      <c r="AF3922">
        <v>9.07</v>
      </c>
      <c r="AJ3922" t="s">
        <v>4216</v>
      </c>
      <c r="AK3922" t="s">
        <v>4244</v>
      </c>
      <c r="AN3922">
        <v>371.25</v>
      </c>
      <c r="AO3922">
        <v>33.509948771471834</v>
      </c>
      <c r="AP3922">
        <v>335</v>
      </c>
      <c r="AQ3922">
        <v>15</v>
      </c>
      <c r="AW3922" s="28">
        <f t="shared" si="386"/>
        <v>-1.3116935992066412</v>
      </c>
      <c r="AX3922">
        <f t="shared" si="387"/>
        <v>0.84210526315789469</v>
      </c>
      <c r="AY3922" s="62">
        <f t="shared" si="388"/>
        <v>-1.1045840835424345</v>
      </c>
      <c r="AZ3922" s="68" t="str">
        <f t="shared" si="389"/>
        <v>No</v>
      </c>
      <c r="BA3922" s="68" t="str">
        <f t="shared" si="390"/>
        <v>No</v>
      </c>
    </row>
    <row r="3923" spans="1:53" hidden="1">
      <c r="A3923" t="s">
        <v>3914</v>
      </c>
      <c r="G3923" s="50" t="s">
        <v>4391</v>
      </c>
      <c r="P3923" t="s">
        <v>60</v>
      </c>
      <c r="R3923" t="s">
        <v>4357</v>
      </c>
      <c r="S3923" s="50" t="s">
        <v>4399</v>
      </c>
      <c r="V3923" t="s">
        <v>3956</v>
      </c>
      <c r="Z3923" s="50">
        <v>3</v>
      </c>
      <c r="AA3923" s="50">
        <v>3</v>
      </c>
      <c r="AC3923">
        <v>537</v>
      </c>
      <c r="AD3923">
        <v>15.9</v>
      </c>
      <c r="AE3923">
        <v>862</v>
      </c>
      <c r="AF3923">
        <v>16</v>
      </c>
      <c r="AJ3923" s="50" t="s">
        <v>4444</v>
      </c>
      <c r="AK3923" t="s">
        <v>4244</v>
      </c>
      <c r="AN3923">
        <v>474.8</v>
      </c>
      <c r="AO3923">
        <v>33.255375505322441</v>
      </c>
      <c r="AP3923">
        <v>437.3</v>
      </c>
      <c r="AQ3923">
        <v>31.176914536239789</v>
      </c>
      <c r="AW3923" s="28">
        <f t="shared" si="386"/>
        <v>-1.1634074860155315</v>
      </c>
      <c r="AX3923">
        <f t="shared" si="387"/>
        <v>0.8</v>
      </c>
      <c r="AY3923" s="62">
        <f t="shared" si="388"/>
        <v>-0.93072598881242519</v>
      </c>
      <c r="AZ3923" s="68" t="str">
        <f t="shared" si="389"/>
        <v>No</v>
      </c>
      <c r="BA3923" s="68" t="str">
        <f t="shared" si="390"/>
        <v>No</v>
      </c>
    </row>
    <row r="3924" spans="1:53" hidden="1">
      <c r="A3924" t="s">
        <v>3914</v>
      </c>
      <c r="G3924" s="50" t="s">
        <v>4391</v>
      </c>
      <c r="P3924" t="s">
        <v>60</v>
      </c>
      <c r="R3924" t="s">
        <v>4357</v>
      </c>
      <c r="S3924" s="50" t="s">
        <v>4399</v>
      </c>
      <c r="V3924" t="s">
        <v>3956</v>
      </c>
      <c r="Z3924" s="50">
        <v>3</v>
      </c>
      <c r="AA3924" s="50">
        <v>3</v>
      </c>
      <c r="AC3924">
        <v>537</v>
      </c>
      <c r="AD3924">
        <v>15.9</v>
      </c>
      <c r="AE3924">
        <v>862</v>
      </c>
      <c r="AF3924">
        <v>16</v>
      </c>
      <c r="AJ3924" s="50" t="s">
        <v>4216</v>
      </c>
      <c r="AK3924" t="s">
        <v>4244</v>
      </c>
      <c r="AN3924">
        <v>1087.7</v>
      </c>
      <c r="AO3924">
        <v>39.663963493327287</v>
      </c>
      <c r="AP3924">
        <v>1036.9000000000001</v>
      </c>
      <c r="AQ3924">
        <v>35.853451716675757</v>
      </c>
      <c r="AW3924" s="28">
        <f t="shared" si="386"/>
        <v>-1.3436755643041023</v>
      </c>
      <c r="AX3924">
        <f t="shared" si="387"/>
        <v>0.8</v>
      </c>
      <c r="AY3924" s="62">
        <f t="shared" si="388"/>
        <v>-1.0749404514432819</v>
      </c>
      <c r="AZ3924" s="68" t="str">
        <f t="shared" si="389"/>
        <v>No</v>
      </c>
      <c r="BA3924" s="68" t="str">
        <f t="shared" si="390"/>
        <v>No</v>
      </c>
    </row>
    <row r="3925" spans="1:53" hidden="1">
      <c r="A3925" t="s">
        <v>3914</v>
      </c>
      <c r="G3925" t="s">
        <v>5029</v>
      </c>
      <c r="P3925" t="s">
        <v>60</v>
      </c>
      <c r="R3925" t="s">
        <v>4357</v>
      </c>
      <c r="S3925" t="s">
        <v>4399</v>
      </c>
      <c r="V3925" t="s">
        <v>3956</v>
      </c>
      <c r="Z3925">
        <v>3</v>
      </c>
      <c r="AA3925">
        <v>3</v>
      </c>
      <c r="AC3925">
        <v>537</v>
      </c>
      <c r="AD3925">
        <v>15.9</v>
      </c>
      <c r="AE3925">
        <v>862</v>
      </c>
      <c r="AF3925">
        <v>16</v>
      </c>
      <c r="AJ3925" t="s">
        <v>4059</v>
      </c>
      <c r="AK3925" t="s">
        <v>4093</v>
      </c>
      <c r="AN3925">
        <v>1800</v>
      </c>
      <c r="AO3925">
        <v>779.42286340599469</v>
      </c>
      <c r="AP3925">
        <v>1250</v>
      </c>
      <c r="AQ3925">
        <v>259.8076211353316</v>
      </c>
      <c r="AW3925" s="28">
        <f t="shared" si="386"/>
        <v>-0.94672926240625754</v>
      </c>
      <c r="AX3925">
        <f t="shared" si="387"/>
        <v>0.8</v>
      </c>
      <c r="AY3925" s="62">
        <f t="shared" si="388"/>
        <v>-0.75738340992500608</v>
      </c>
      <c r="AZ3925" s="68" t="str">
        <f t="shared" si="389"/>
        <v>No</v>
      </c>
      <c r="BA3925" s="68" t="str">
        <f t="shared" si="390"/>
        <v>No</v>
      </c>
    </row>
    <row r="3926" spans="1:53" hidden="1">
      <c r="A3926" t="s">
        <v>3914</v>
      </c>
      <c r="G3926" s="50" t="s">
        <v>4391</v>
      </c>
      <c r="P3926" t="s">
        <v>60</v>
      </c>
      <c r="R3926" t="s">
        <v>4357</v>
      </c>
      <c r="S3926" s="50" t="s">
        <v>4399</v>
      </c>
      <c r="V3926" t="s">
        <v>3956</v>
      </c>
      <c r="Z3926">
        <v>3</v>
      </c>
      <c r="AA3926">
        <v>3</v>
      </c>
      <c r="AC3926">
        <v>537</v>
      </c>
      <c r="AD3926">
        <v>15.9</v>
      </c>
      <c r="AE3926">
        <v>862</v>
      </c>
      <c r="AF3926">
        <v>16</v>
      </c>
      <c r="AJ3926" s="50" t="s">
        <v>4157</v>
      </c>
      <c r="AK3926" t="s">
        <v>4151</v>
      </c>
      <c r="AN3926">
        <v>3117</v>
      </c>
      <c r="AO3926">
        <v>384.51527928029071</v>
      </c>
      <c r="AP3926">
        <v>3035</v>
      </c>
      <c r="AQ3926">
        <v>284.05633244129587</v>
      </c>
      <c r="AW3926" s="28">
        <f t="shared" si="386"/>
        <v>-0.2425759487768773</v>
      </c>
      <c r="AX3926">
        <f t="shared" si="387"/>
        <v>0.8</v>
      </c>
      <c r="AY3926" s="62">
        <f t="shared" si="388"/>
        <v>-0.19406075902150186</v>
      </c>
      <c r="AZ3926" s="68" t="str">
        <f t="shared" si="389"/>
        <v>No</v>
      </c>
      <c r="BA3926" s="68" t="str">
        <f t="shared" si="390"/>
        <v>No</v>
      </c>
    </row>
    <row r="3927" spans="1:53" hidden="1">
      <c r="A3927" t="s">
        <v>3914</v>
      </c>
      <c r="G3927" t="s">
        <v>4391</v>
      </c>
      <c r="P3927" t="s">
        <v>60</v>
      </c>
      <c r="R3927" t="s">
        <v>4357</v>
      </c>
      <c r="S3927" t="s">
        <v>4399</v>
      </c>
      <c r="V3927" t="s">
        <v>3956</v>
      </c>
      <c r="Z3927">
        <v>3</v>
      </c>
      <c r="AA3927">
        <v>3</v>
      </c>
      <c r="AC3927">
        <v>537</v>
      </c>
      <c r="AD3927">
        <v>15.9</v>
      </c>
      <c r="AE3927">
        <v>862</v>
      </c>
      <c r="AF3927">
        <v>16</v>
      </c>
      <c r="AJ3927" t="s">
        <v>4482</v>
      </c>
      <c r="AK3927" t="s">
        <v>4151</v>
      </c>
      <c r="AN3927">
        <v>7126</v>
      </c>
      <c r="AO3927">
        <v>315.23324697753566</v>
      </c>
      <c r="AP3927">
        <v>6696</v>
      </c>
      <c r="AQ3927">
        <v>692.8203230275509</v>
      </c>
      <c r="AW3927" s="28">
        <f t="shared" si="386"/>
        <v>-0.79892259146506961</v>
      </c>
      <c r="AX3927">
        <f t="shared" si="387"/>
        <v>0.8</v>
      </c>
      <c r="AY3927" s="62">
        <f t="shared" si="388"/>
        <v>-0.63913807317205573</v>
      </c>
      <c r="AZ3927" s="68" t="str">
        <f t="shared" si="389"/>
        <v>No</v>
      </c>
      <c r="BA3927" s="68" t="str">
        <f t="shared" si="390"/>
        <v>No</v>
      </c>
    </row>
    <row r="3928" spans="1:53" hidden="1">
      <c r="A3928" t="s">
        <v>3914</v>
      </c>
      <c r="G3928" t="s">
        <v>4391</v>
      </c>
      <c r="P3928" t="s">
        <v>60</v>
      </c>
      <c r="R3928" t="s">
        <v>4357</v>
      </c>
      <c r="S3928" t="s">
        <v>4399</v>
      </c>
      <c r="V3928" t="s">
        <v>3956</v>
      </c>
      <c r="Z3928">
        <v>3</v>
      </c>
      <c r="AA3928">
        <v>3</v>
      </c>
      <c r="AC3928">
        <v>537</v>
      </c>
      <c r="AD3928">
        <v>15.9</v>
      </c>
      <c r="AE3928">
        <v>862</v>
      </c>
      <c r="AF3928">
        <v>16</v>
      </c>
      <c r="AJ3928" t="s">
        <v>4065</v>
      </c>
      <c r="AK3928" t="s">
        <v>4491</v>
      </c>
      <c r="AN3928">
        <v>9300</v>
      </c>
      <c r="AO3928">
        <v>866.02540378443859</v>
      </c>
      <c r="AP3928">
        <v>5000</v>
      </c>
      <c r="AQ3928">
        <v>1732.0508075688772</v>
      </c>
      <c r="AW3928" s="28">
        <f t="shared" si="386"/>
        <v>-3.1402759963629525</v>
      </c>
      <c r="AX3928">
        <f t="shared" si="387"/>
        <v>0.8</v>
      </c>
      <c r="AY3928" s="62">
        <f t="shared" si="388"/>
        <v>-2.5122207970903623</v>
      </c>
      <c r="AZ3928" s="68" t="str">
        <f t="shared" si="389"/>
        <v>No</v>
      </c>
      <c r="BA3928" s="68" t="str">
        <f t="shared" si="390"/>
        <v>No</v>
      </c>
    </row>
    <row r="3929" spans="1:53" hidden="1">
      <c r="A3929" t="s">
        <v>3914</v>
      </c>
      <c r="G3929" t="s">
        <v>5027</v>
      </c>
      <c r="P3929" t="s">
        <v>60</v>
      </c>
      <c r="R3929" t="s">
        <v>4357</v>
      </c>
      <c r="S3929" t="s">
        <v>948</v>
      </c>
      <c r="V3929" t="s">
        <v>3956</v>
      </c>
      <c r="Z3929">
        <v>3</v>
      </c>
      <c r="AA3929">
        <v>3</v>
      </c>
      <c r="AC3929">
        <v>392</v>
      </c>
      <c r="AD3929">
        <v>-0.3</v>
      </c>
      <c r="AE3929">
        <v>928</v>
      </c>
      <c r="AF3929">
        <v>2.1</v>
      </c>
      <c r="AJ3929" t="s">
        <v>4122</v>
      </c>
      <c r="AK3929" t="s">
        <v>4093</v>
      </c>
      <c r="AN3929">
        <v>36</v>
      </c>
      <c r="AO3929">
        <v>5.196152422706632</v>
      </c>
      <c r="AP3929">
        <v>38</v>
      </c>
      <c r="AQ3929">
        <v>5.196152422706632</v>
      </c>
      <c r="AW3929" s="28">
        <f t="shared" si="386"/>
        <v>0.38490017945975052</v>
      </c>
      <c r="AX3929">
        <f t="shared" si="387"/>
        <v>0.8</v>
      </c>
      <c r="AY3929" s="62">
        <f t="shared" si="388"/>
        <v>0.30792014356780045</v>
      </c>
      <c r="AZ3929" s="68" t="str">
        <f t="shared" si="389"/>
        <v>No</v>
      </c>
      <c r="BA3929" s="68" t="str">
        <f t="shared" si="390"/>
        <v>No</v>
      </c>
    </row>
    <row r="3930" spans="1:53" hidden="1">
      <c r="A3930" t="s">
        <v>3914</v>
      </c>
      <c r="G3930" s="50" t="s">
        <v>4387</v>
      </c>
      <c r="P3930" t="s">
        <v>60</v>
      </c>
      <c r="R3930" t="s">
        <v>4357</v>
      </c>
      <c r="S3930" s="50" t="s">
        <v>948</v>
      </c>
      <c r="V3930" t="s">
        <v>3956</v>
      </c>
      <c r="Z3930">
        <v>3</v>
      </c>
      <c r="AA3930">
        <v>3</v>
      </c>
      <c r="AC3930">
        <v>392</v>
      </c>
      <c r="AD3930">
        <v>-0.3</v>
      </c>
      <c r="AE3930">
        <v>928</v>
      </c>
      <c r="AF3930">
        <v>2.1</v>
      </c>
      <c r="AJ3930" s="50" t="s">
        <v>4163</v>
      </c>
      <c r="AK3930" t="s">
        <v>4151</v>
      </c>
      <c r="AN3930">
        <v>7</v>
      </c>
      <c r="AO3930">
        <v>5.196152422706632</v>
      </c>
      <c r="AP3930">
        <v>14</v>
      </c>
      <c r="AQ3930">
        <v>5.196152422706632</v>
      </c>
      <c r="AW3930" s="28">
        <f t="shared" si="386"/>
        <v>1.3471506281091268</v>
      </c>
      <c r="AX3930">
        <f t="shared" si="387"/>
        <v>0.8</v>
      </c>
      <c r="AY3930" s="62">
        <f t="shared" si="388"/>
        <v>1.0777205024873016</v>
      </c>
      <c r="AZ3930" s="68" t="str">
        <f t="shared" si="389"/>
        <v>No</v>
      </c>
      <c r="BA3930" s="68" t="str">
        <f t="shared" si="390"/>
        <v>No</v>
      </c>
    </row>
    <row r="3931" spans="1:53" hidden="1">
      <c r="A3931" t="s">
        <v>3914</v>
      </c>
      <c r="G3931" t="s">
        <v>4776</v>
      </c>
      <c r="P3931" t="s">
        <v>4596</v>
      </c>
      <c r="R3931" t="s">
        <v>4357</v>
      </c>
      <c r="S3931" t="s">
        <v>948</v>
      </c>
      <c r="V3931" t="s">
        <v>4598</v>
      </c>
      <c r="Z3931">
        <v>3</v>
      </c>
      <c r="AA3931">
        <v>3</v>
      </c>
      <c r="AC3931">
        <v>392</v>
      </c>
      <c r="AD3931">
        <v>0</v>
      </c>
      <c r="AE3931">
        <v>437</v>
      </c>
      <c r="AF3931">
        <v>2</v>
      </c>
      <c r="AJ3931" t="s">
        <v>4782</v>
      </c>
      <c r="AK3931" t="s">
        <v>4637</v>
      </c>
      <c r="AN3931">
        <v>34</v>
      </c>
      <c r="AO3931" s="61">
        <f>SQRT(3)*6</f>
        <v>10.392304845413264</v>
      </c>
      <c r="AP3931">
        <v>7</v>
      </c>
      <c r="AQ3931">
        <f>SQRT(3)*3</f>
        <v>5.196152422706632</v>
      </c>
      <c r="AU3931" s="57" t="s">
        <v>4786</v>
      </c>
      <c r="AW3931" s="28">
        <f t="shared" si="386"/>
        <v>-3.2863353450309969</v>
      </c>
      <c r="AX3931">
        <f t="shared" si="387"/>
        <v>0.8</v>
      </c>
      <c r="AY3931" s="62">
        <f t="shared" si="388"/>
        <v>-2.6290682760247979</v>
      </c>
      <c r="AZ3931" s="68" t="str">
        <f t="shared" si="389"/>
        <v>No</v>
      </c>
      <c r="BA3931" s="68" t="str">
        <f t="shared" si="390"/>
        <v>No</v>
      </c>
    </row>
    <row r="3932" spans="1:53" hidden="1">
      <c r="A3932" t="s">
        <v>3914</v>
      </c>
      <c r="G3932" t="s">
        <v>4387</v>
      </c>
      <c r="P3932" t="s">
        <v>4596</v>
      </c>
      <c r="R3932" t="s">
        <v>4357</v>
      </c>
      <c r="S3932" t="s">
        <v>948</v>
      </c>
      <c r="V3932" t="s">
        <v>4600</v>
      </c>
      <c r="Z3932">
        <v>3</v>
      </c>
      <c r="AA3932">
        <v>3</v>
      </c>
      <c r="AC3932">
        <v>392</v>
      </c>
      <c r="AD3932">
        <v>0</v>
      </c>
      <c r="AE3932">
        <v>938</v>
      </c>
      <c r="AF3932">
        <v>2</v>
      </c>
      <c r="AJ3932" t="s">
        <v>4163</v>
      </c>
      <c r="AK3932" t="s">
        <v>4637</v>
      </c>
      <c r="AN3932">
        <v>34</v>
      </c>
      <c r="AO3932" s="61">
        <v>10.392304845413264</v>
      </c>
      <c r="AP3932">
        <v>14</v>
      </c>
      <c r="AQ3932">
        <f>SQRT(3)*3</f>
        <v>5.196152422706632</v>
      </c>
      <c r="AU3932" s="57" t="s">
        <v>4786</v>
      </c>
      <c r="AW3932" s="28">
        <f t="shared" si="386"/>
        <v>-2.4343224778007384</v>
      </c>
      <c r="AX3932">
        <f t="shared" si="387"/>
        <v>0.8</v>
      </c>
      <c r="AY3932" s="62">
        <f t="shared" si="388"/>
        <v>-1.9474579822405909</v>
      </c>
      <c r="AZ3932" s="68" t="str">
        <f t="shared" si="389"/>
        <v>No</v>
      </c>
      <c r="BA3932" s="68" t="str">
        <f t="shared" si="390"/>
        <v>No</v>
      </c>
    </row>
    <row r="3933" spans="1:53" hidden="1">
      <c r="A3933" t="s">
        <v>3914</v>
      </c>
      <c r="G3933" s="50" t="s">
        <v>4387</v>
      </c>
      <c r="P3933" t="s">
        <v>60</v>
      </c>
      <c r="R3933" t="s">
        <v>4357</v>
      </c>
      <c r="S3933" s="50" t="s">
        <v>948</v>
      </c>
      <c r="V3933" t="s">
        <v>3956</v>
      </c>
      <c r="Z3933">
        <v>3</v>
      </c>
      <c r="AA3933">
        <v>3</v>
      </c>
      <c r="AC3933">
        <v>392</v>
      </c>
      <c r="AD3933">
        <v>-0.3</v>
      </c>
      <c r="AE3933">
        <v>1405</v>
      </c>
      <c r="AF3933">
        <v>2.4</v>
      </c>
      <c r="AJ3933" s="50" t="s">
        <v>4163</v>
      </c>
      <c r="AK3933" t="s">
        <v>4151</v>
      </c>
      <c r="AN3933">
        <v>7</v>
      </c>
      <c r="AO3933">
        <v>5.196152422706632</v>
      </c>
      <c r="AP3933">
        <v>26</v>
      </c>
      <c r="AQ3933">
        <v>6.9282032302755088</v>
      </c>
      <c r="AW3933" s="28">
        <f t="shared" si="386"/>
        <v>3.102687007525359</v>
      </c>
      <c r="AX3933">
        <f t="shared" si="387"/>
        <v>0.8</v>
      </c>
      <c r="AY3933" s="62">
        <f t="shared" si="388"/>
        <v>2.4821496060202874</v>
      </c>
      <c r="AZ3933" s="68" t="str">
        <f t="shared" si="389"/>
        <v>No</v>
      </c>
      <c r="BA3933" s="68" t="str">
        <f t="shared" si="390"/>
        <v>No</v>
      </c>
    </row>
    <row r="3934" spans="1:53" hidden="1">
      <c r="A3934" t="s">
        <v>3914</v>
      </c>
      <c r="G3934" t="s">
        <v>4387</v>
      </c>
      <c r="P3934" t="s">
        <v>60</v>
      </c>
      <c r="R3934" t="s">
        <v>4357</v>
      </c>
      <c r="S3934" t="s">
        <v>948</v>
      </c>
      <c r="V3934" t="s">
        <v>3956</v>
      </c>
      <c r="Z3934">
        <v>3</v>
      </c>
      <c r="AA3934">
        <v>3</v>
      </c>
      <c r="AC3934">
        <v>392</v>
      </c>
      <c r="AD3934">
        <v>-0.3</v>
      </c>
      <c r="AE3934">
        <v>1405</v>
      </c>
      <c r="AF3934">
        <v>2.4</v>
      </c>
      <c r="AJ3934" t="s">
        <v>4122</v>
      </c>
      <c r="AK3934" t="s">
        <v>4093</v>
      </c>
      <c r="AN3934">
        <v>36</v>
      </c>
      <c r="AO3934">
        <v>5.196152422706632</v>
      </c>
      <c r="AP3934">
        <v>47</v>
      </c>
      <c r="AQ3934">
        <v>8.6602540378443855</v>
      </c>
      <c r="AW3934" s="28">
        <f t="shared" si="386"/>
        <v>1.5403080924308108</v>
      </c>
      <c r="AX3934">
        <f t="shared" si="387"/>
        <v>0.8</v>
      </c>
      <c r="AY3934" s="62">
        <f t="shared" si="388"/>
        <v>1.2322464739446488</v>
      </c>
      <c r="AZ3934" s="68" t="str">
        <f t="shared" si="389"/>
        <v>No</v>
      </c>
      <c r="BA3934" s="68" t="str">
        <f t="shared" si="390"/>
        <v>No</v>
      </c>
    </row>
    <row r="3935" spans="1:53" hidden="1">
      <c r="A3935" t="s">
        <v>3914</v>
      </c>
      <c r="G3935" t="s">
        <v>4387</v>
      </c>
      <c r="P3935" t="s">
        <v>60</v>
      </c>
      <c r="R3935" t="s">
        <v>4357</v>
      </c>
      <c r="S3935" t="s">
        <v>948</v>
      </c>
      <c r="V3935" t="s">
        <v>3956</v>
      </c>
      <c r="Z3935">
        <v>3</v>
      </c>
      <c r="AA3935">
        <v>3</v>
      </c>
      <c r="AC3935">
        <v>392</v>
      </c>
      <c r="AD3935">
        <v>-0.3</v>
      </c>
      <c r="AE3935">
        <v>928</v>
      </c>
      <c r="AF3935">
        <v>2.1</v>
      </c>
      <c r="AJ3935" t="s">
        <v>4483</v>
      </c>
      <c r="AK3935" t="s">
        <v>4151</v>
      </c>
      <c r="AN3935">
        <v>34</v>
      </c>
      <c r="AO3935">
        <v>22.516660498395403</v>
      </c>
      <c r="AP3935">
        <v>27</v>
      </c>
      <c r="AQ3935">
        <v>8.6602540378443855</v>
      </c>
      <c r="AW3935" s="28">
        <f t="shared" si="386"/>
        <v>-0.41034726723238446</v>
      </c>
      <c r="AX3935">
        <f t="shared" si="387"/>
        <v>0.8</v>
      </c>
      <c r="AY3935" s="62">
        <f t="shared" si="388"/>
        <v>-0.32827781378590759</v>
      </c>
      <c r="AZ3935" s="68" t="str">
        <f t="shared" si="389"/>
        <v>No</v>
      </c>
      <c r="BA3935" s="68" t="str">
        <f t="shared" si="390"/>
        <v>No</v>
      </c>
    </row>
    <row r="3936" spans="1:53" hidden="1">
      <c r="A3936" t="s">
        <v>3914</v>
      </c>
      <c r="G3936" t="s">
        <v>4387</v>
      </c>
      <c r="P3936" t="s">
        <v>60</v>
      </c>
      <c r="R3936" t="s">
        <v>4357</v>
      </c>
      <c r="S3936" t="s">
        <v>948</v>
      </c>
      <c r="V3936" t="s">
        <v>3956</v>
      </c>
      <c r="Z3936">
        <v>3</v>
      </c>
      <c r="AA3936">
        <v>3</v>
      </c>
      <c r="AC3936">
        <v>392</v>
      </c>
      <c r="AD3936">
        <v>-0.3</v>
      </c>
      <c r="AE3936">
        <v>1405</v>
      </c>
      <c r="AF3936">
        <v>2.4</v>
      </c>
      <c r="AJ3936" t="s">
        <v>4483</v>
      </c>
      <c r="AK3936" t="s">
        <v>4151</v>
      </c>
      <c r="AN3936">
        <v>34</v>
      </c>
      <c r="AO3936">
        <v>22.516660498395403</v>
      </c>
      <c r="AP3936">
        <v>8</v>
      </c>
      <c r="AQ3936">
        <v>13.856406460551018</v>
      </c>
      <c r="AW3936" s="28">
        <f t="shared" si="386"/>
        <v>-1.3907522074158454</v>
      </c>
      <c r="AX3936">
        <f t="shared" si="387"/>
        <v>0.8</v>
      </c>
      <c r="AY3936" s="62">
        <f t="shared" si="388"/>
        <v>-1.1126017659326763</v>
      </c>
      <c r="AZ3936" s="68" t="str">
        <f t="shared" si="389"/>
        <v>No</v>
      </c>
      <c r="BA3936" s="68" t="str">
        <f t="shared" si="390"/>
        <v>No</v>
      </c>
    </row>
    <row r="3937" spans="1:53" hidden="1">
      <c r="A3937" t="s">
        <v>3914</v>
      </c>
      <c r="G3937" t="s">
        <v>5027</v>
      </c>
      <c r="P3937" t="s">
        <v>60</v>
      </c>
      <c r="R3937" t="s">
        <v>4357</v>
      </c>
      <c r="S3937" t="s">
        <v>948</v>
      </c>
      <c r="V3937" t="s">
        <v>3956</v>
      </c>
      <c r="Z3937">
        <v>3</v>
      </c>
      <c r="AA3937">
        <v>3</v>
      </c>
      <c r="AC3937">
        <v>392</v>
      </c>
      <c r="AD3937">
        <v>-0.3</v>
      </c>
      <c r="AE3937">
        <v>1405</v>
      </c>
      <c r="AF3937">
        <v>2.4</v>
      </c>
      <c r="AJ3937" t="s">
        <v>4065</v>
      </c>
      <c r="AK3937" t="s">
        <v>4491</v>
      </c>
      <c r="AN3937">
        <v>92</v>
      </c>
      <c r="AO3937">
        <v>13.856406460551018</v>
      </c>
      <c r="AP3937">
        <v>72</v>
      </c>
      <c r="AQ3937">
        <v>15.588457268119894</v>
      </c>
      <c r="AW3937" s="28">
        <f t="shared" si="386"/>
        <v>-1.3561270072416209</v>
      </c>
      <c r="AX3937">
        <f t="shared" si="387"/>
        <v>0.8</v>
      </c>
      <c r="AY3937" s="62">
        <f t="shared" si="388"/>
        <v>-1.0849016057932968</v>
      </c>
      <c r="AZ3937" s="68" t="str">
        <f t="shared" si="389"/>
        <v>No</v>
      </c>
      <c r="BA3937" s="68" t="str">
        <f t="shared" si="390"/>
        <v>No</v>
      </c>
    </row>
    <row r="3938" spans="1:53" hidden="1">
      <c r="A3938" t="s">
        <v>3914</v>
      </c>
      <c r="G3938" t="s">
        <v>4387</v>
      </c>
      <c r="P3938" t="s">
        <v>60</v>
      </c>
      <c r="R3938" t="s">
        <v>4357</v>
      </c>
      <c r="S3938" t="s">
        <v>948</v>
      </c>
      <c r="V3938" t="s">
        <v>3956</v>
      </c>
      <c r="Z3938">
        <v>3</v>
      </c>
      <c r="AA3938">
        <v>3</v>
      </c>
      <c r="AC3938">
        <v>392</v>
      </c>
      <c r="AD3938">
        <v>-0.3</v>
      </c>
      <c r="AE3938">
        <v>928</v>
      </c>
      <c r="AF3938">
        <v>2.1</v>
      </c>
      <c r="AJ3938" t="s">
        <v>4065</v>
      </c>
      <c r="AK3938" t="s">
        <v>4491</v>
      </c>
      <c r="AN3938">
        <v>92</v>
      </c>
      <c r="AO3938">
        <v>13.856406460551018</v>
      </c>
      <c r="AP3938">
        <v>45</v>
      </c>
      <c r="AQ3938">
        <v>29.444863728670914</v>
      </c>
      <c r="AW3938" s="28">
        <f t="shared" si="386"/>
        <v>-2.0425132179534691</v>
      </c>
      <c r="AX3938">
        <f t="shared" si="387"/>
        <v>0.8</v>
      </c>
      <c r="AY3938" s="62">
        <f t="shared" si="388"/>
        <v>-1.6340105743627753</v>
      </c>
      <c r="AZ3938" s="68" t="str">
        <f t="shared" si="389"/>
        <v>No</v>
      </c>
      <c r="BA3938" s="68" t="str">
        <f t="shared" si="390"/>
        <v>No</v>
      </c>
    </row>
    <row r="3939" spans="1:53" hidden="1">
      <c r="A3939" t="s">
        <v>3914</v>
      </c>
      <c r="G3939" t="s">
        <v>4106</v>
      </c>
      <c r="P3939" t="s">
        <v>60</v>
      </c>
      <c r="R3939" t="s">
        <v>4116</v>
      </c>
      <c r="S3939" t="s">
        <v>4114</v>
      </c>
      <c r="V3939" t="s">
        <v>3956</v>
      </c>
      <c r="Z3939">
        <v>3</v>
      </c>
      <c r="AA3939">
        <v>3</v>
      </c>
      <c r="AC3939">
        <v>368</v>
      </c>
      <c r="AD3939">
        <v>25.1</v>
      </c>
      <c r="AE3939">
        <v>872</v>
      </c>
      <c r="AF3939">
        <v>25.08</v>
      </c>
      <c r="AJ3939" t="s">
        <v>4216</v>
      </c>
      <c r="AK3939" t="s">
        <v>4244</v>
      </c>
      <c r="AN3939">
        <v>134</v>
      </c>
      <c r="AO3939">
        <v>1</v>
      </c>
      <c r="AP3939">
        <v>134</v>
      </c>
      <c r="AQ3939">
        <v>0.5</v>
      </c>
      <c r="AW3939" s="28">
        <f t="shared" si="386"/>
        <v>0</v>
      </c>
      <c r="AX3939">
        <f t="shared" si="387"/>
        <v>0.8</v>
      </c>
      <c r="AY3939" s="62">
        <f t="shared" si="388"/>
        <v>0</v>
      </c>
      <c r="AZ3939" s="68" t="str">
        <f t="shared" si="389"/>
        <v>No</v>
      </c>
      <c r="BA3939" s="68" t="str">
        <f t="shared" si="390"/>
        <v>No</v>
      </c>
    </row>
    <row r="3940" spans="1:53" hidden="1">
      <c r="A3940" t="s">
        <v>3914</v>
      </c>
      <c r="G3940" t="s">
        <v>4106</v>
      </c>
      <c r="P3940" t="s">
        <v>60</v>
      </c>
      <c r="R3940" t="s">
        <v>4116</v>
      </c>
      <c r="S3940" t="s">
        <v>4114</v>
      </c>
      <c r="V3940" t="s">
        <v>3956</v>
      </c>
      <c r="Z3940">
        <v>3</v>
      </c>
      <c r="AA3940">
        <v>3</v>
      </c>
      <c r="AC3940">
        <v>368</v>
      </c>
      <c r="AD3940">
        <v>25.1</v>
      </c>
      <c r="AE3940">
        <v>872</v>
      </c>
      <c r="AF3940">
        <v>25.08</v>
      </c>
      <c r="AJ3940" t="s">
        <v>4122</v>
      </c>
      <c r="AK3940" t="s">
        <v>4093</v>
      </c>
      <c r="AN3940">
        <v>67</v>
      </c>
      <c r="AO3940">
        <v>1</v>
      </c>
      <c r="AP3940">
        <v>65.7</v>
      </c>
      <c r="AQ3940">
        <v>1.2</v>
      </c>
      <c r="AW3940" s="28">
        <f t="shared" si="386"/>
        <v>-1.1769646985527384</v>
      </c>
      <c r="AX3940">
        <f t="shared" si="387"/>
        <v>0.8</v>
      </c>
      <c r="AY3940" s="62">
        <f t="shared" si="388"/>
        <v>-0.9415717588421908</v>
      </c>
      <c r="AZ3940" s="68" t="str">
        <f t="shared" si="389"/>
        <v>No</v>
      </c>
      <c r="BA3940" s="68" t="str">
        <f t="shared" si="390"/>
        <v>No</v>
      </c>
    </row>
    <row r="3941" spans="1:53" hidden="1">
      <c r="A3941" t="s">
        <v>3914</v>
      </c>
      <c r="G3941" t="s">
        <v>4106</v>
      </c>
      <c r="P3941" t="s">
        <v>60</v>
      </c>
      <c r="R3941" t="s">
        <v>4116</v>
      </c>
      <c r="S3941" t="s">
        <v>4114</v>
      </c>
      <c r="V3941" t="s">
        <v>3956</v>
      </c>
      <c r="Z3941">
        <v>3</v>
      </c>
      <c r="AA3941">
        <v>3</v>
      </c>
      <c r="AC3941">
        <v>368</v>
      </c>
      <c r="AD3941">
        <v>25.1</v>
      </c>
      <c r="AE3941">
        <v>872</v>
      </c>
      <c r="AF3941">
        <v>25.08</v>
      </c>
      <c r="AJ3941" t="s">
        <v>4148</v>
      </c>
      <c r="AK3941" t="s">
        <v>4151</v>
      </c>
      <c r="AN3941">
        <v>23</v>
      </c>
      <c r="AO3941">
        <v>2</v>
      </c>
      <c r="AP3941">
        <v>22</v>
      </c>
      <c r="AQ3941">
        <v>2</v>
      </c>
      <c r="AW3941" s="28">
        <f t="shared" si="386"/>
        <v>-0.5</v>
      </c>
      <c r="AX3941">
        <f t="shared" si="387"/>
        <v>0.8</v>
      </c>
      <c r="AY3941" s="62">
        <f t="shared" si="388"/>
        <v>-0.4</v>
      </c>
      <c r="AZ3941" s="68" t="str">
        <f t="shared" si="389"/>
        <v>No</v>
      </c>
      <c r="BA3941" s="68" t="str">
        <f t="shared" si="390"/>
        <v>No</v>
      </c>
    </row>
    <row r="3942" spans="1:53" hidden="1">
      <c r="A3942" t="s">
        <v>3914</v>
      </c>
      <c r="G3942" t="s">
        <v>4106</v>
      </c>
      <c r="P3942" t="s">
        <v>60</v>
      </c>
      <c r="R3942" t="s">
        <v>4116</v>
      </c>
      <c r="S3942" t="s">
        <v>4114</v>
      </c>
      <c r="V3942" t="s">
        <v>3956</v>
      </c>
      <c r="Z3942">
        <v>3</v>
      </c>
      <c r="AA3942">
        <v>3</v>
      </c>
      <c r="AC3942">
        <v>368</v>
      </c>
      <c r="AD3942">
        <v>25.1</v>
      </c>
      <c r="AE3942">
        <v>872</v>
      </c>
      <c r="AF3942">
        <v>25.08</v>
      </c>
      <c r="AJ3942" t="s">
        <v>2020</v>
      </c>
      <c r="AK3942" t="s">
        <v>4093</v>
      </c>
      <c r="AN3942">
        <v>56.5</v>
      </c>
      <c r="AO3942">
        <v>5.3</v>
      </c>
      <c r="AP3942">
        <v>53.6</v>
      </c>
      <c r="AQ3942">
        <v>2.4</v>
      </c>
      <c r="AW3942" s="28">
        <f t="shared" si="386"/>
        <v>-0.70490997990074078</v>
      </c>
      <c r="AX3942">
        <f t="shared" si="387"/>
        <v>0.8</v>
      </c>
      <c r="AY3942" s="62">
        <f t="shared" si="388"/>
        <v>-0.56392798392059262</v>
      </c>
      <c r="AZ3942" s="68" t="str">
        <f t="shared" si="389"/>
        <v>No</v>
      </c>
      <c r="BA3942" s="68" t="str">
        <f t="shared" si="390"/>
        <v>No</v>
      </c>
    </row>
    <row r="3943" spans="1:53" hidden="1">
      <c r="A3943" t="s">
        <v>3914</v>
      </c>
      <c r="G3943" t="s">
        <v>4106</v>
      </c>
      <c r="P3943" t="s">
        <v>60</v>
      </c>
      <c r="R3943" t="s">
        <v>4116</v>
      </c>
      <c r="S3943" t="s">
        <v>4114</v>
      </c>
      <c r="V3943" t="s">
        <v>3956</v>
      </c>
      <c r="Z3943">
        <v>3</v>
      </c>
      <c r="AA3943">
        <v>3</v>
      </c>
      <c r="AC3943">
        <v>368</v>
      </c>
      <c r="AD3943">
        <v>25.1</v>
      </c>
      <c r="AE3943">
        <v>2631</v>
      </c>
      <c r="AF3943">
        <v>25.06</v>
      </c>
      <c r="AJ3943" t="s">
        <v>4122</v>
      </c>
      <c r="AK3943" t="s">
        <v>4093</v>
      </c>
      <c r="AN3943">
        <v>67</v>
      </c>
      <c r="AO3943">
        <v>1</v>
      </c>
      <c r="AP3943">
        <v>53.3</v>
      </c>
      <c r="AQ3943">
        <v>2.5</v>
      </c>
      <c r="AW3943" s="28">
        <f t="shared" si="386"/>
        <v>-7.1955925207127969</v>
      </c>
      <c r="AX3943">
        <f t="shared" si="387"/>
        <v>0.8</v>
      </c>
      <c r="AY3943" s="62">
        <f t="shared" si="388"/>
        <v>-5.7564740165702375</v>
      </c>
      <c r="AZ3943" s="68" t="str">
        <f t="shared" si="389"/>
        <v>No</v>
      </c>
      <c r="BA3943" s="68" t="str">
        <f t="shared" si="390"/>
        <v>No</v>
      </c>
    </row>
    <row r="3944" spans="1:53" hidden="1">
      <c r="A3944" t="s">
        <v>3914</v>
      </c>
      <c r="G3944" t="s">
        <v>4106</v>
      </c>
      <c r="P3944" t="s">
        <v>60</v>
      </c>
      <c r="R3944" t="s">
        <v>4116</v>
      </c>
      <c r="S3944" t="s">
        <v>4114</v>
      </c>
      <c r="V3944" t="s">
        <v>3956</v>
      </c>
      <c r="Z3944">
        <v>3</v>
      </c>
      <c r="AA3944">
        <v>3</v>
      </c>
      <c r="AC3944">
        <v>368</v>
      </c>
      <c r="AD3944">
        <v>25.1</v>
      </c>
      <c r="AE3944">
        <v>2631</v>
      </c>
      <c r="AF3944">
        <v>25.06</v>
      </c>
      <c r="AJ3944" t="s">
        <v>2020</v>
      </c>
      <c r="AK3944" t="s">
        <v>4093</v>
      </c>
      <c r="AN3944">
        <v>56.5</v>
      </c>
      <c r="AO3944">
        <v>5.3</v>
      </c>
      <c r="AP3944">
        <v>53.2</v>
      </c>
      <c r="AQ3944">
        <v>2.8</v>
      </c>
      <c r="AW3944" s="28">
        <f t="shared" si="386"/>
        <v>-0.77857477532229324</v>
      </c>
      <c r="AX3944">
        <f t="shared" si="387"/>
        <v>0.8</v>
      </c>
      <c r="AY3944" s="62">
        <f t="shared" si="388"/>
        <v>-0.6228598202578346</v>
      </c>
      <c r="AZ3944" s="68" t="str">
        <f t="shared" si="389"/>
        <v>No</v>
      </c>
      <c r="BA3944" s="68" t="str">
        <f t="shared" si="390"/>
        <v>No</v>
      </c>
    </row>
    <row r="3945" spans="1:53" hidden="1">
      <c r="A3945" t="s">
        <v>3914</v>
      </c>
      <c r="G3945" t="s">
        <v>4106</v>
      </c>
      <c r="P3945" t="s">
        <v>60</v>
      </c>
      <c r="R3945" t="s">
        <v>4116</v>
      </c>
      <c r="S3945" t="s">
        <v>4114</v>
      </c>
      <c r="V3945" t="s">
        <v>3956</v>
      </c>
      <c r="Z3945">
        <v>3</v>
      </c>
      <c r="AA3945">
        <v>3</v>
      </c>
      <c r="AC3945">
        <v>368</v>
      </c>
      <c r="AD3945">
        <v>25.1</v>
      </c>
      <c r="AE3945">
        <v>2631</v>
      </c>
      <c r="AF3945">
        <v>25.06</v>
      </c>
      <c r="AJ3945" t="s">
        <v>4216</v>
      </c>
      <c r="AK3945" t="s">
        <v>4244</v>
      </c>
      <c r="AN3945">
        <v>134</v>
      </c>
      <c r="AO3945">
        <v>1</v>
      </c>
      <c r="AP3945">
        <v>128</v>
      </c>
      <c r="AQ3945">
        <v>3</v>
      </c>
      <c r="AW3945" s="28">
        <f t="shared" si="386"/>
        <v>-2.6832815729997477</v>
      </c>
      <c r="AX3945">
        <f t="shared" si="387"/>
        <v>0.8</v>
      </c>
      <c r="AY3945" s="62">
        <f t="shared" si="388"/>
        <v>-2.1466252583997982</v>
      </c>
      <c r="AZ3945" s="68" t="str">
        <f t="shared" si="389"/>
        <v>No</v>
      </c>
      <c r="BA3945" s="68" t="str">
        <f t="shared" si="390"/>
        <v>No</v>
      </c>
    </row>
    <row r="3946" spans="1:53" hidden="1">
      <c r="A3946" t="s">
        <v>3914</v>
      </c>
      <c r="G3946" t="s">
        <v>4106</v>
      </c>
      <c r="P3946" t="s">
        <v>60</v>
      </c>
      <c r="R3946" t="s">
        <v>4116</v>
      </c>
      <c r="S3946" t="s">
        <v>4114</v>
      </c>
      <c r="V3946" t="s">
        <v>3956</v>
      </c>
      <c r="Z3946">
        <v>3</v>
      </c>
      <c r="AA3946">
        <v>3</v>
      </c>
      <c r="AC3946">
        <v>368</v>
      </c>
      <c r="AD3946">
        <v>25.1</v>
      </c>
      <c r="AE3946">
        <v>2631</v>
      </c>
      <c r="AF3946">
        <v>25.06</v>
      </c>
      <c r="AJ3946" t="s">
        <v>4148</v>
      </c>
      <c r="AK3946" t="s">
        <v>4151</v>
      </c>
      <c r="AN3946">
        <v>23</v>
      </c>
      <c r="AO3946">
        <v>2</v>
      </c>
      <c r="AP3946">
        <v>8.67</v>
      </c>
      <c r="AQ3946">
        <v>3.5</v>
      </c>
      <c r="AW3946" s="28">
        <f t="shared" si="386"/>
        <v>-5.0272965666678919</v>
      </c>
      <c r="AX3946">
        <f t="shared" si="387"/>
        <v>0.8</v>
      </c>
      <c r="AY3946" s="62">
        <f t="shared" si="388"/>
        <v>-4.0218372533343141</v>
      </c>
      <c r="AZ3946" s="68" t="str">
        <f t="shared" si="389"/>
        <v>No</v>
      </c>
      <c r="BA3946" s="68" t="str">
        <f t="shared" si="390"/>
        <v>No</v>
      </c>
    </row>
    <row r="3947" spans="1:53" hidden="1">
      <c r="A3947" t="s">
        <v>3914</v>
      </c>
      <c r="G3947" t="s">
        <v>4106</v>
      </c>
      <c r="P3947" t="s">
        <v>60</v>
      </c>
      <c r="R3947" t="s">
        <v>4116</v>
      </c>
      <c r="S3947" t="s">
        <v>4114</v>
      </c>
      <c r="V3947" t="s">
        <v>3956</v>
      </c>
      <c r="Z3947">
        <v>3</v>
      </c>
      <c r="AA3947">
        <v>3</v>
      </c>
      <c r="AC3947">
        <v>368</v>
      </c>
      <c r="AD3947">
        <v>25.1</v>
      </c>
      <c r="AE3947">
        <v>2631</v>
      </c>
      <c r="AF3947">
        <v>25.06</v>
      </c>
      <c r="AJ3947" t="s">
        <v>2031</v>
      </c>
      <c r="AK3947" t="s">
        <v>4151</v>
      </c>
      <c r="AN3947">
        <v>18</v>
      </c>
      <c r="AO3947">
        <v>4</v>
      </c>
      <c r="AP3947">
        <v>30</v>
      </c>
      <c r="AQ3947">
        <v>4.5</v>
      </c>
      <c r="AW3947" s="28">
        <f t="shared" si="386"/>
        <v>2.8186570536705764</v>
      </c>
      <c r="AX3947">
        <f t="shared" si="387"/>
        <v>0.8</v>
      </c>
      <c r="AY3947" s="69">
        <f t="shared" si="388"/>
        <v>2.254925642936461</v>
      </c>
      <c r="AZ3947" s="68" t="str">
        <f t="shared" si="389"/>
        <v>No</v>
      </c>
      <c r="BA3947" s="68" t="str">
        <f t="shared" si="390"/>
        <v>No</v>
      </c>
    </row>
    <row r="3948" spans="1:53" hidden="1">
      <c r="A3948" t="s">
        <v>3914</v>
      </c>
      <c r="G3948" t="s">
        <v>4106</v>
      </c>
      <c r="P3948" t="s">
        <v>60</v>
      </c>
      <c r="R3948" t="s">
        <v>4116</v>
      </c>
      <c r="S3948" t="s">
        <v>4114</v>
      </c>
      <c r="V3948" t="s">
        <v>3956</v>
      </c>
      <c r="Z3948">
        <v>3</v>
      </c>
      <c r="AA3948">
        <v>3</v>
      </c>
      <c r="AC3948">
        <v>368</v>
      </c>
      <c r="AD3948">
        <v>25.1</v>
      </c>
      <c r="AE3948">
        <v>872</v>
      </c>
      <c r="AF3948">
        <v>25.08</v>
      </c>
      <c r="AJ3948" t="s">
        <v>2031</v>
      </c>
      <c r="AK3948" t="s">
        <v>4151</v>
      </c>
      <c r="AN3948">
        <v>18</v>
      </c>
      <c r="AO3948">
        <v>4</v>
      </c>
      <c r="AP3948">
        <v>17</v>
      </c>
      <c r="AQ3948">
        <v>5</v>
      </c>
      <c r="AW3948" s="28">
        <f t="shared" si="386"/>
        <v>-0.22086305214969307</v>
      </c>
      <c r="AX3948">
        <f t="shared" si="387"/>
        <v>0.8</v>
      </c>
      <c r="AY3948" s="62">
        <f t="shared" si="388"/>
        <v>-0.17669044171975445</v>
      </c>
      <c r="AZ3948" s="68" t="str">
        <f t="shared" si="389"/>
        <v>No</v>
      </c>
      <c r="BA3948" s="68" t="str">
        <f t="shared" si="390"/>
        <v>No</v>
      </c>
    </row>
    <row r="3949" spans="1:53" hidden="1">
      <c r="A3949" t="s">
        <v>3914</v>
      </c>
      <c r="G3949" t="s">
        <v>5016</v>
      </c>
      <c r="P3949" t="s">
        <v>60</v>
      </c>
      <c r="R3949" t="s">
        <v>4357</v>
      </c>
      <c r="S3949" t="s">
        <v>4381</v>
      </c>
      <c r="V3949" t="s">
        <v>3956</v>
      </c>
      <c r="Z3949">
        <v>3</v>
      </c>
      <c r="AA3949">
        <v>3</v>
      </c>
      <c r="AC3949">
        <v>380</v>
      </c>
      <c r="AD3949">
        <v>20</v>
      </c>
      <c r="AE3949">
        <v>1000</v>
      </c>
      <c r="AF3949">
        <v>20</v>
      </c>
      <c r="AJ3949" t="s">
        <v>2020</v>
      </c>
      <c r="AK3949" t="s">
        <v>4093</v>
      </c>
      <c r="AN3949">
        <v>83</v>
      </c>
      <c r="AO3949">
        <v>6.0621778264910704</v>
      </c>
      <c r="AP3949">
        <v>5.5</v>
      </c>
      <c r="AQ3949">
        <v>3.4641016151377544</v>
      </c>
      <c r="AW3949" s="28">
        <f t="shared" si="386"/>
        <v>-15.697460189796834</v>
      </c>
      <c r="AX3949">
        <f t="shared" si="387"/>
        <v>0.8</v>
      </c>
      <c r="AY3949" s="62">
        <f t="shared" si="388"/>
        <v>-12.557968151837468</v>
      </c>
      <c r="AZ3949" s="68" t="str">
        <f t="shared" si="389"/>
        <v>No</v>
      </c>
      <c r="BA3949" s="68" t="str">
        <f t="shared" si="390"/>
        <v>Yes</v>
      </c>
    </row>
    <row r="3950" spans="1:53" hidden="1">
      <c r="A3950" t="s">
        <v>3914</v>
      </c>
      <c r="G3950" t="s">
        <v>4369</v>
      </c>
      <c r="P3950" t="s">
        <v>60</v>
      </c>
      <c r="R3950" t="s">
        <v>4357</v>
      </c>
      <c r="S3950" t="s">
        <v>4381</v>
      </c>
      <c r="V3950" t="s">
        <v>3956</v>
      </c>
      <c r="Z3950">
        <v>3</v>
      </c>
      <c r="AA3950">
        <v>3</v>
      </c>
      <c r="AC3950">
        <v>380</v>
      </c>
      <c r="AD3950">
        <v>20</v>
      </c>
      <c r="AE3950">
        <v>1500</v>
      </c>
      <c r="AF3950">
        <v>20</v>
      </c>
      <c r="AJ3950" t="s">
        <v>2020</v>
      </c>
      <c r="AK3950" t="s">
        <v>4093</v>
      </c>
      <c r="AN3950">
        <v>83</v>
      </c>
      <c r="AO3950">
        <v>6.0621778264910704</v>
      </c>
      <c r="AP3950">
        <v>4.5</v>
      </c>
      <c r="AQ3950">
        <v>4.3301270189221928</v>
      </c>
      <c r="AW3950" s="28">
        <f t="shared" si="386"/>
        <v>-14.901780533314234</v>
      </c>
      <c r="AX3950">
        <f t="shared" si="387"/>
        <v>0.8</v>
      </c>
      <c r="AY3950" s="62">
        <f t="shared" si="388"/>
        <v>-11.921424426651388</v>
      </c>
      <c r="AZ3950" s="68" t="str">
        <f t="shared" si="389"/>
        <v>No</v>
      </c>
      <c r="BA3950" s="68" t="str">
        <f t="shared" si="390"/>
        <v>Yes</v>
      </c>
    </row>
    <row r="3951" spans="1:53" hidden="1">
      <c r="A3951" t="s">
        <v>3914</v>
      </c>
      <c r="G3951" t="s">
        <v>4369</v>
      </c>
      <c r="P3951" t="s">
        <v>60</v>
      </c>
      <c r="R3951" t="s">
        <v>4357</v>
      </c>
      <c r="S3951" t="s">
        <v>4380</v>
      </c>
      <c r="V3951" t="s">
        <v>3956</v>
      </c>
      <c r="Z3951">
        <v>3</v>
      </c>
      <c r="AA3951">
        <v>3</v>
      </c>
      <c r="AC3951">
        <v>380</v>
      </c>
      <c r="AD3951">
        <v>20</v>
      </c>
      <c r="AE3951">
        <v>1000</v>
      </c>
      <c r="AF3951">
        <v>20</v>
      </c>
      <c r="AJ3951" t="s">
        <v>2020</v>
      </c>
      <c r="AK3951" t="s">
        <v>4093</v>
      </c>
      <c r="AN3951">
        <v>76</v>
      </c>
      <c r="AO3951">
        <v>3.4641016151377544</v>
      </c>
      <c r="AP3951">
        <v>52</v>
      </c>
      <c r="AQ3951">
        <v>6.9282032302755088</v>
      </c>
      <c r="AW3951" s="28">
        <f t="shared" si="386"/>
        <v>-4.3817804600413286</v>
      </c>
      <c r="AX3951">
        <f t="shared" si="387"/>
        <v>0.8</v>
      </c>
      <c r="AY3951" s="62">
        <f t="shared" si="388"/>
        <v>-3.5054243680330632</v>
      </c>
      <c r="AZ3951" s="68" t="str">
        <f t="shared" si="389"/>
        <v>No</v>
      </c>
      <c r="BA3951" s="68" t="str">
        <f t="shared" si="390"/>
        <v>No</v>
      </c>
    </row>
    <row r="3952" spans="1:53" hidden="1">
      <c r="A3952" t="s">
        <v>3914</v>
      </c>
      <c r="G3952" t="s">
        <v>4369</v>
      </c>
      <c r="P3952" t="s">
        <v>60</v>
      </c>
      <c r="R3952" t="s">
        <v>4357</v>
      </c>
      <c r="S3952" t="s">
        <v>4380</v>
      </c>
      <c r="V3952" t="s">
        <v>3956</v>
      </c>
      <c r="Z3952">
        <v>3</v>
      </c>
      <c r="AA3952">
        <v>3</v>
      </c>
      <c r="AC3952">
        <v>380</v>
      </c>
      <c r="AD3952">
        <v>20</v>
      </c>
      <c r="AE3952">
        <v>1500</v>
      </c>
      <c r="AF3952">
        <v>20</v>
      </c>
      <c r="AJ3952" t="s">
        <v>2020</v>
      </c>
      <c r="AK3952" t="s">
        <v>4093</v>
      </c>
      <c r="AN3952">
        <v>76</v>
      </c>
      <c r="AO3952">
        <v>3.4641016151377544</v>
      </c>
      <c r="AP3952">
        <v>42</v>
      </c>
      <c r="AQ3952">
        <v>8.6602540378443855</v>
      </c>
      <c r="AW3952" s="28">
        <f t="shared" si="386"/>
        <v>-5.1550666963365437</v>
      </c>
      <c r="AX3952">
        <f t="shared" si="387"/>
        <v>0.8</v>
      </c>
      <c r="AY3952" s="62">
        <f t="shared" si="388"/>
        <v>-4.1240533570692355</v>
      </c>
      <c r="AZ3952" s="68" t="str">
        <f t="shared" si="389"/>
        <v>No</v>
      </c>
      <c r="BA3952" s="68" t="str">
        <f t="shared" si="390"/>
        <v>No</v>
      </c>
    </row>
    <row r="3953" spans="1:55" hidden="1">
      <c r="A3953" t="s">
        <v>3914</v>
      </c>
      <c r="G3953" t="s">
        <v>4061</v>
      </c>
      <c r="P3953" t="s">
        <v>60</v>
      </c>
      <c r="R3953" t="s">
        <v>4035</v>
      </c>
      <c r="S3953" t="s">
        <v>1767</v>
      </c>
      <c r="V3953" t="s">
        <v>3956</v>
      </c>
      <c r="Z3953">
        <v>10</v>
      </c>
      <c r="AA3953">
        <v>10</v>
      </c>
      <c r="AC3953">
        <v>400</v>
      </c>
      <c r="AD3953">
        <v>26.8</v>
      </c>
      <c r="AE3953">
        <v>2115</v>
      </c>
      <c r="AF3953">
        <v>26.8</v>
      </c>
      <c r="AJ3953" t="s">
        <v>4064</v>
      </c>
      <c r="AK3953" t="s">
        <v>4066</v>
      </c>
      <c r="AN3953">
        <v>72</v>
      </c>
      <c r="AO3953">
        <v>6</v>
      </c>
      <c r="AP3953">
        <v>85</v>
      </c>
      <c r="AQ3953">
        <v>4</v>
      </c>
      <c r="AW3953" s="28">
        <f t="shared" si="386"/>
        <v>2.5495097567963927</v>
      </c>
      <c r="AX3953">
        <f t="shared" si="387"/>
        <v>0.95774647887323949</v>
      </c>
      <c r="AY3953" s="62">
        <f t="shared" si="388"/>
        <v>2.4417839924247144</v>
      </c>
      <c r="AZ3953" s="68" t="str">
        <f t="shared" si="389"/>
        <v>No</v>
      </c>
      <c r="BA3953" s="68" t="str">
        <f t="shared" si="390"/>
        <v>No</v>
      </c>
    </row>
    <row r="3954" spans="1:55" hidden="1">
      <c r="A3954" t="s">
        <v>3914</v>
      </c>
      <c r="G3954" t="s">
        <v>4061</v>
      </c>
      <c r="P3954" t="s">
        <v>60</v>
      </c>
      <c r="R3954" t="s">
        <v>4035</v>
      </c>
      <c r="S3954" t="s">
        <v>1767</v>
      </c>
      <c r="V3954" t="s">
        <v>3956</v>
      </c>
      <c r="Z3954">
        <v>10</v>
      </c>
      <c r="AA3954">
        <v>10</v>
      </c>
      <c r="AC3954">
        <v>400</v>
      </c>
      <c r="AD3954">
        <v>26.8</v>
      </c>
      <c r="AE3954">
        <v>905</v>
      </c>
      <c r="AF3954">
        <v>26.8</v>
      </c>
      <c r="AJ3954" t="s">
        <v>4064</v>
      </c>
      <c r="AK3954" t="s">
        <v>4066</v>
      </c>
      <c r="AN3954">
        <v>72</v>
      </c>
      <c r="AO3954">
        <v>6</v>
      </c>
      <c r="AP3954">
        <v>62</v>
      </c>
      <c r="AQ3954">
        <v>5</v>
      </c>
      <c r="AW3954" s="28">
        <f t="shared" si="386"/>
        <v>-1.8107149208503706</v>
      </c>
      <c r="AX3954">
        <f t="shared" si="387"/>
        <v>0.95774647887323949</v>
      </c>
      <c r="AY3954" s="62">
        <f t="shared" si="388"/>
        <v>-1.7342058396876789</v>
      </c>
      <c r="AZ3954" s="68" t="str">
        <f t="shared" si="389"/>
        <v>No</v>
      </c>
      <c r="BA3954" s="68" t="str">
        <f t="shared" si="390"/>
        <v>No</v>
      </c>
    </row>
    <row r="3955" spans="1:55" s="56" customFormat="1" ht="15" hidden="1">
      <c r="A3955" t="s">
        <v>3914</v>
      </c>
      <c r="B3955"/>
      <c r="C3955"/>
      <c r="D3955" s="25"/>
      <c r="E3955" s="25"/>
      <c r="F3955"/>
      <c r="G3955" t="s">
        <v>4061</v>
      </c>
      <c r="H3955"/>
      <c r="I3955"/>
      <c r="J3955"/>
      <c r="K3955"/>
      <c r="L3955"/>
      <c r="M3955" s="25"/>
      <c r="N3955"/>
      <c r="O3955"/>
      <c r="P3955" t="s">
        <v>60</v>
      </c>
      <c r="Q3955"/>
      <c r="R3955" t="s">
        <v>4035</v>
      </c>
      <c r="S3955" t="s">
        <v>4037</v>
      </c>
      <c r="T3955"/>
      <c r="U3955"/>
      <c r="V3955" t="s">
        <v>3956</v>
      </c>
      <c r="W3955" s="25"/>
      <c r="X3955"/>
      <c r="Y3955"/>
      <c r="Z3955">
        <v>10</v>
      </c>
      <c r="AA3955">
        <v>10</v>
      </c>
      <c r="AB3955"/>
      <c r="AC3955">
        <v>400</v>
      </c>
      <c r="AD3955">
        <v>26.8</v>
      </c>
      <c r="AE3955">
        <v>2115</v>
      </c>
      <c r="AF3955">
        <v>26.8</v>
      </c>
      <c r="AG3955"/>
      <c r="AH3955"/>
      <c r="AI3955"/>
      <c r="AJ3955" t="s">
        <v>4064</v>
      </c>
      <c r="AK3955" t="s">
        <v>4066</v>
      </c>
      <c r="AL3955" s="25"/>
      <c r="AM3955" s="35"/>
      <c r="AN3955">
        <v>58</v>
      </c>
      <c r="AO3955">
        <v>7</v>
      </c>
      <c r="AP3955">
        <v>43</v>
      </c>
      <c r="AQ3955">
        <v>7</v>
      </c>
      <c r="AR3955"/>
      <c r="AS3955"/>
      <c r="AT3955"/>
      <c r="AU3955"/>
      <c r="AV3955"/>
      <c r="AW3955" s="28">
        <f t="shared" si="386"/>
        <v>-2.1428571428571428</v>
      </c>
      <c r="AX3955">
        <f t="shared" si="387"/>
        <v>0.95774647887323949</v>
      </c>
      <c r="AY3955" s="62">
        <f t="shared" si="388"/>
        <v>-2.0523138832997989</v>
      </c>
      <c r="AZ3955" s="68" t="str">
        <f t="shared" si="389"/>
        <v>No</v>
      </c>
      <c r="BA3955" s="68" t="str">
        <f t="shared" si="390"/>
        <v>No</v>
      </c>
      <c r="BB3955"/>
      <c r="BC3955"/>
    </row>
    <row r="3956" spans="1:55" s="56" customFormat="1" ht="15" hidden="1">
      <c r="A3956" t="s">
        <v>3914</v>
      </c>
      <c r="B3956"/>
      <c r="C3956"/>
      <c r="D3956" s="25"/>
      <c r="E3956" s="25"/>
      <c r="F3956"/>
      <c r="G3956" t="s">
        <v>4061</v>
      </c>
      <c r="H3956"/>
      <c r="I3956"/>
      <c r="J3956"/>
      <c r="K3956"/>
      <c r="L3956"/>
      <c r="M3956" s="25"/>
      <c r="N3956"/>
      <c r="O3956"/>
      <c r="P3956" t="s">
        <v>60</v>
      </c>
      <c r="Q3956"/>
      <c r="R3956" t="s">
        <v>4035</v>
      </c>
      <c r="S3956" t="s">
        <v>4037</v>
      </c>
      <c r="T3956"/>
      <c r="U3956"/>
      <c r="V3956" t="s">
        <v>3956</v>
      </c>
      <c r="W3956" s="25"/>
      <c r="X3956"/>
      <c r="Y3956"/>
      <c r="Z3956">
        <v>10</v>
      </c>
      <c r="AA3956">
        <v>10</v>
      </c>
      <c r="AB3956"/>
      <c r="AC3956">
        <v>400</v>
      </c>
      <c r="AD3956">
        <v>26.8</v>
      </c>
      <c r="AE3956">
        <v>905</v>
      </c>
      <c r="AF3956">
        <v>26.8</v>
      </c>
      <c r="AG3956"/>
      <c r="AH3956"/>
      <c r="AI3956"/>
      <c r="AJ3956" t="s">
        <v>4064</v>
      </c>
      <c r="AK3956" t="s">
        <v>4066</v>
      </c>
      <c r="AL3956" s="25"/>
      <c r="AM3956" s="35"/>
      <c r="AN3956">
        <v>58</v>
      </c>
      <c r="AO3956">
        <v>7</v>
      </c>
      <c r="AP3956">
        <v>32</v>
      </c>
      <c r="AQ3956">
        <v>9</v>
      </c>
      <c r="AR3956"/>
      <c r="AS3956"/>
      <c r="AT3956"/>
      <c r="AU3956"/>
      <c r="AV3956"/>
      <c r="AW3956" s="28">
        <f t="shared" si="386"/>
        <v>-3.2249030993194201</v>
      </c>
      <c r="AX3956">
        <f t="shared" si="387"/>
        <v>0.95774647887323949</v>
      </c>
      <c r="AY3956" s="62">
        <f t="shared" si="388"/>
        <v>-3.0886395880805715</v>
      </c>
      <c r="AZ3956" s="68" t="str">
        <f t="shared" si="389"/>
        <v>No</v>
      </c>
      <c r="BA3956" s="68" t="str">
        <f t="shared" si="390"/>
        <v>No</v>
      </c>
      <c r="BB3956"/>
      <c r="BC3956"/>
    </row>
    <row r="3957" spans="1:55" s="56" customFormat="1" ht="15" hidden="1">
      <c r="A3957" t="s">
        <v>3914</v>
      </c>
      <c r="B3957"/>
      <c r="C3957"/>
      <c r="D3957" s="25"/>
      <c r="E3957" s="25"/>
      <c r="F3957"/>
      <c r="G3957" t="s">
        <v>4506</v>
      </c>
      <c r="H3957"/>
      <c r="I3957"/>
      <c r="J3957"/>
      <c r="K3957"/>
      <c r="L3957"/>
      <c r="M3957" s="25"/>
      <c r="N3957"/>
      <c r="O3957"/>
      <c r="P3957" t="s">
        <v>60</v>
      </c>
      <c r="Q3957"/>
      <c r="R3957" t="s">
        <v>4509</v>
      </c>
      <c r="S3957" t="s">
        <v>4511</v>
      </c>
      <c r="T3957"/>
      <c r="U3957"/>
      <c r="V3957" t="s">
        <v>3956</v>
      </c>
      <c r="W3957" s="25"/>
      <c r="X3957"/>
      <c r="Y3957"/>
      <c r="Z3957">
        <v>12</v>
      </c>
      <c r="AA3957">
        <v>12</v>
      </c>
      <c r="AB3957"/>
      <c r="AC3957">
        <v>418.6</v>
      </c>
      <c r="AD3957">
        <v>5.03</v>
      </c>
      <c r="AE3957">
        <v>1595.5</v>
      </c>
      <c r="AF3957">
        <v>4.93</v>
      </c>
      <c r="AG3957"/>
      <c r="AH3957"/>
      <c r="AI3957"/>
      <c r="AJ3957" t="s">
        <v>4515</v>
      </c>
      <c r="AK3957" t="s">
        <v>4516</v>
      </c>
      <c r="AL3957" s="25"/>
      <c r="AM3957" s="35"/>
      <c r="AN3957">
        <v>225</v>
      </c>
      <c r="AO3957">
        <v>86.602540378443862</v>
      </c>
      <c r="AP3957">
        <v>180</v>
      </c>
      <c r="AQ3957">
        <v>34.641016151377542</v>
      </c>
      <c r="AR3957"/>
      <c r="AS3957"/>
      <c r="AT3957"/>
      <c r="AU3957"/>
      <c r="AV3957"/>
      <c r="AW3957" s="28">
        <f t="shared" si="386"/>
        <v>-0.68228823922101312</v>
      </c>
      <c r="AX3957">
        <f t="shared" si="387"/>
        <v>0.96551724137931039</v>
      </c>
      <c r="AY3957" s="62">
        <f t="shared" si="388"/>
        <v>-0.65876105855821954</v>
      </c>
      <c r="AZ3957" s="68" t="str">
        <f t="shared" si="389"/>
        <v>No</v>
      </c>
      <c r="BA3957" s="68" t="str">
        <f t="shared" si="390"/>
        <v>No</v>
      </c>
      <c r="BB3957"/>
      <c r="BC3957"/>
    </row>
    <row r="3958" spans="1:55" s="56" customFormat="1" ht="15" hidden="1">
      <c r="A3958" t="s">
        <v>3914</v>
      </c>
      <c r="B3958"/>
      <c r="C3958"/>
      <c r="D3958" s="25"/>
      <c r="E3958" s="25"/>
      <c r="F3958"/>
      <c r="G3958" t="s">
        <v>4506</v>
      </c>
      <c r="H3958"/>
      <c r="I3958"/>
      <c r="J3958"/>
      <c r="K3958"/>
      <c r="L3958"/>
      <c r="M3958" s="25"/>
      <c r="N3958"/>
      <c r="O3958"/>
      <c r="P3958" t="s">
        <v>60</v>
      </c>
      <c r="Q3958"/>
      <c r="R3958" t="s">
        <v>4509</v>
      </c>
      <c r="S3958" t="s">
        <v>4511</v>
      </c>
      <c r="T3958"/>
      <c r="U3958"/>
      <c r="V3958" t="s">
        <v>3956</v>
      </c>
      <c r="W3958" s="25"/>
      <c r="X3958"/>
      <c r="Y3958"/>
      <c r="Z3958">
        <v>10</v>
      </c>
      <c r="AA3958">
        <v>7</v>
      </c>
      <c r="AB3958"/>
      <c r="AC3958">
        <v>373.9</v>
      </c>
      <c r="AD3958">
        <v>4.97</v>
      </c>
      <c r="AE3958">
        <v>1598.2</v>
      </c>
      <c r="AF3958">
        <v>4.92</v>
      </c>
      <c r="AG3958"/>
      <c r="AH3958"/>
      <c r="AI3958"/>
      <c r="AJ3958" t="s">
        <v>4515</v>
      </c>
      <c r="AK3958" t="s">
        <v>4516</v>
      </c>
      <c r="AL3958" s="25"/>
      <c r="AM3958" s="35"/>
      <c r="AN3958">
        <v>120</v>
      </c>
      <c r="AO3958">
        <v>47.434164902525694</v>
      </c>
      <c r="AP3958">
        <v>30</v>
      </c>
      <c r="AQ3958">
        <v>39.686269665968858</v>
      </c>
      <c r="AR3958"/>
      <c r="AS3958"/>
      <c r="AT3958"/>
      <c r="AU3958"/>
      <c r="AV3958"/>
      <c r="AW3958" s="28">
        <f t="shared" si="386"/>
        <v>-2.0225995873897262</v>
      </c>
      <c r="AX3958">
        <f t="shared" si="387"/>
        <v>0.94915254237288138</v>
      </c>
      <c r="AY3958" s="62">
        <f t="shared" si="388"/>
        <v>-1.9197555405732996</v>
      </c>
      <c r="AZ3958" s="68" t="str">
        <f t="shared" si="389"/>
        <v>No</v>
      </c>
      <c r="BA3958" s="68" t="str">
        <f t="shared" si="390"/>
        <v>No</v>
      </c>
      <c r="BB3958"/>
      <c r="BC3958"/>
    </row>
    <row r="3959" spans="1:55" s="56" customFormat="1" ht="15" hidden="1">
      <c r="A3959" t="s">
        <v>3914</v>
      </c>
      <c r="B3959"/>
      <c r="C3959"/>
      <c r="D3959" s="25"/>
      <c r="E3959" s="25"/>
      <c r="F3959"/>
      <c r="G3959" t="s">
        <v>4506</v>
      </c>
      <c r="H3959"/>
      <c r="I3959"/>
      <c r="J3959"/>
      <c r="K3959"/>
      <c r="L3959"/>
      <c r="M3959" s="25"/>
      <c r="N3959"/>
      <c r="O3959"/>
      <c r="P3959" t="s">
        <v>60</v>
      </c>
      <c r="Q3959"/>
      <c r="R3959" t="s">
        <v>4509</v>
      </c>
      <c r="S3959" t="s">
        <v>4511</v>
      </c>
      <c r="T3959"/>
      <c r="U3959"/>
      <c r="V3959" t="s">
        <v>3956</v>
      </c>
      <c r="W3959" s="25"/>
      <c r="X3959"/>
      <c r="Y3959"/>
      <c r="Z3959">
        <v>10</v>
      </c>
      <c r="AA3959">
        <v>6</v>
      </c>
      <c r="AB3959"/>
      <c r="AC3959">
        <v>373.9</v>
      </c>
      <c r="AD3959">
        <v>4.97</v>
      </c>
      <c r="AE3959">
        <v>786.2</v>
      </c>
      <c r="AF3959">
        <v>4.93</v>
      </c>
      <c r="AG3959"/>
      <c r="AH3959"/>
      <c r="AI3959"/>
      <c r="AJ3959" t="s">
        <v>4515</v>
      </c>
      <c r="AK3959" t="s">
        <v>4516</v>
      </c>
      <c r="AL3959" s="25"/>
      <c r="AM3959" s="35"/>
      <c r="AN3959">
        <v>120</v>
      </c>
      <c r="AO3959">
        <v>47.434164902525694</v>
      </c>
      <c r="AP3959">
        <v>100</v>
      </c>
      <c r="AQ3959">
        <v>53.888774341229912</v>
      </c>
      <c r="AR3959"/>
      <c r="AS3959"/>
      <c r="AT3959"/>
      <c r="AU3959"/>
      <c r="AV3959"/>
      <c r="AW3959" s="28">
        <f t="shared" si="386"/>
        <v>-0.40132079894278871</v>
      </c>
      <c r="AX3959">
        <f t="shared" si="387"/>
        <v>0.94545454545454544</v>
      </c>
      <c r="AY3959" s="62">
        <f t="shared" si="388"/>
        <v>-0.37943057354590931</v>
      </c>
      <c r="AZ3959" s="68" t="str">
        <f t="shared" si="389"/>
        <v>No</v>
      </c>
      <c r="BA3959" s="68" t="str">
        <f t="shared" si="390"/>
        <v>No</v>
      </c>
      <c r="BB3959"/>
      <c r="BC3959"/>
    </row>
    <row r="3960" spans="1:55" s="56" customFormat="1" ht="15" hidden="1">
      <c r="A3960" t="s">
        <v>3914</v>
      </c>
      <c r="B3960"/>
      <c r="C3960"/>
      <c r="D3960" s="25"/>
      <c r="E3960" s="25"/>
      <c r="F3960"/>
      <c r="G3960" t="s">
        <v>5076</v>
      </c>
      <c r="H3960"/>
      <c r="I3960"/>
      <c r="J3960"/>
      <c r="K3960"/>
      <c r="L3960"/>
      <c r="M3960" s="25"/>
      <c r="N3960"/>
      <c r="O3960"/>
      <c r="P3960" t="s">
        <v>60</v>
      </c>
      <c r="Q3960"/>
      <c r="R3960" t="s">
        <v>4509</v>
      </c>
      <c r="S3960" t="s">
        <v>4511</v>
      </c>
      <c r="T3960"/>
      <c r="U3960"/>
      <c r="V3960" t="s">
        <v>3956</v>
      </c>
      <c r="W3960" s="25"/>
      <c r="X3960"/>
      <c r="Y3960"/>
      <c r="Z3960">
        <v>12</v>
      </c>
      <c r="AA3960">
        <v>11</v>
      </c>
      <c r="AB3960"/>
      <c r="AC3960">
        <v>418.6</v>
      </c>
      <c r="AD3960">
        <v>5.03</v>
      </c>
      <c r="AE3960">
        <v>773.7</v>
      </c>
      <c r="AF3960">
        <v>4.97</v>
      </c>
      <c r="AG3960"/>
      <c r="AH3960"/>
      <c r="AI3960"/>
      <c r="AJ3960" t="s">
        <v>4515</v>
      </c>
      <c r="AK3960" t="s">
        <v>4516</v>
      </c>
      <c r="AL3960" s="25"/>
      <c r="AM3960" s="35"/>
      <c r="AN3960">
        <v>225</v>
      </c>
      <c r="AO3960">
        <v>86.602540378443862</v>
      </c>
      <c r="AP3960">
        <v>220</v>
      </c>
      <c r="AQ3960">
        <v>66.332495807107989</v>
      </c>
      <c r="AR3960"/>
      <c r="AS3960"/>
      <c r="AT3960"/>
      <c r="AU3960"/>
      <c r="AV3960"/>
      <c r="AW3960" s="28">
        <f t="shared" si="386"/>
        <v>-6.4422027509684121E-2</v>
      </c>
      <c r="AX3960">
        <f t="shared" si="387"/>
        <v>0.96385542168674698</v>
      </c>
      <c r="AY3960" s="62">
        <f t="shared" si="388"/>
        <v>-6.2093520491261801E-2</v>
      </c>
      <c r="AZ3960" s="68" t="str">
        <f t="shared" si="389"/>
        <v>No</v>
      </c>
      <c r="BA3960" s="68" t="str">
        <f t="shared" si="390"/>
        <v>No</v>
      </c>
      <c r="BB3960"/>
      <c r="BC3960"/>
    </row>
    <row r="3961" spans="1:55" s="56" customFormat="1" ht="15" hidden="1">
      <c r="A3961" t="s">
        <v>3914</v>
      </c>
      <c r="B3961"/>
      <c r="C3961"/>
      <c r="D3961" s="25"/>
      <c r="E3961" s="25"/>
      <c r="F3961"/>
      <c r="G3961" t="s">
        <v>4104</v>
      </c>
      <c r="H3961"/>
      <c r="I3961"/>
      <c r="J3961"/>
      <c r="K3961"/>
      <c r="L3961"/>
      <c r="M3961" s="25"/>
      <c r="N3961"/>
      <c r="O3961"/>
      <c r="P3961" t="s">
        <v>60</v>
      </c>
      <c r="Q3961"/>
      <c r="R3961" t="s">
        <v>4116</v>
      </c>
      <c r="S3961" t="s">
        <v>4113</v>
      </c>
      <c r="T3961"/>
      <c r="U3961"/>
      <c r="V3961" t="s">
        <v>3956</v>
      </c>
      <c r="W3961" s="25"/>
      <c r="X3961"/>
      <c r="Y3961"/>
      <c r="Z3961">
        <v>7</v>
      </c>
      <c r="AA3961">
        <v>7</v>
      </c>
      <c r="AB3961"/>
      <c r="AC3961">
        <v>481</v>
      </c>
      <c r="AD3961">
        <v>24</v>
      </c>
      <c r="AE3961">
        <v>1786</v>
      </c>
      <c r="AF3961">
        <v>24</v>
      </c>
      <c r="AG3961"/>
      <c r="AH3961"/>
      <c r="AI3961"/>
      <c r="AJ3961" t="s">
        <v>2020</v>
      </c>
      <c r="AK3961" t="s">
        <v>4093</v>
      </c>
      <c r="AL3961" s="25"/>
      <c r="AM3961" s="35"/>
      <c r="AN3961">
        <v>75</v>
      </c>
      <c r="AO3961">
        <v>5</v>
      </c>
      <c r="AP3961">
        <v>69</v>
      </c>
      <c r="AQ3961">
        <v>6</v>
      </c>
      <c r="AR3961"/>
      <c r="AS3961"/>
      <c r="AT3961"/>
      <c r="AU3961"/>
      <c r="AV3961"/>
      <c r="AW3961" s="28">
        <f t="shared" si="386"/>
        <v>-1.0864289525102224</v>
      </c>
      <c r="AX3961">
        <f t="shared" si="387"/>
        <v>0.93617021276595747</v>
      </c>
      <c r="AY3961" s="62">
        <f t="shared" si="388"/>
        <v>-1.0170824236265912</v>
      </c>
      <c r="AZ3961" s="68" t="str">
        <f t="shared" si="389"/>
        <v>No</v>
      </c>
      <c r="BA3961" s="68" t="str">
        <f t="shared" si="390"/>
        <v>No</v>
      </c>
      <c r="BB3961"/>
      <c r="BC3961"/>
    </row>
    <row r="3962" spans="1:55" s="56" customFormat="1" ht="15" hidden="1">
      <c r="A3962" t="s">
        <v>3914</v>
      </c>
      <c r="B3962"/>
      <c r="C3962"/>
      <c r="D3962" s="25"/>
      <c r="E3962" s="25"/>
      <c r="F3962"/>
      <c r="G3962" t="s">
        <v>4104</v>
      </c>
      <c r="H3962"/>
      <c r="I3962"/>
      <c r="J3962"/>
      <c r="K3962"/>
      <c r="L3962"/>
      <c r="M3962" s="25"/>
      <c r="N3962"/>
      <c r="O3962"/>
      <c r="P3962" t="s">
        <v>60</v>
      </c>
      <c r="Q3962"/>
      <c r="R3962" t="s">
        <v>4116</v>
      </c>
      <c r="S3962" t="s">
        <v>4113</v>
      </c>
      <c r="T3962"/>
      <c r="U3962"/>
      <c r="V3962" t="s">
        <v>3956</v>
      </c>
      <c r="W3962" s="25"/>
      <c r="X3962"/>
      <c r="Y3962"/>
      <c r="Z3962">
        <v>30</v>
      </c>
      <c r="AA3962">
        <v>30</v>
      </c>
      <c r="AB3962"/>
      <c r="AC3962">
        <v>481</v>
      </c>
      <c r="AD3962">
        <v>24</v>
      </c>
      <c r="AE3962">
        <v>1786</v>
      </c>
      <c r="AF3962">
        <v>24</v>
      </c>
      <c r="AG3962"/>
      <c r="AH3962"/>
      <c r="AI3962"/>
      <c r="AJ3962" t="s">
        <v>4216</v>
      </c>
      <c r="AK3962" t="s">
        <v>4244</v>
      </c>
      <c r="AL3962" s="25"/>
      <c r="AM3962" s="35"/>
      <c r="AN3962">
        <v>150</v>
      </c>
      <c r="AO3962">
        <v>5</v>
      </c>
      <c r="AP3962">
        <v>130</v>
      </c>
      <c r="AQ3962">
        <v>7</v>
      </c>
      <c r="AR3962"/>
      <c r="AS3962"/>
      <c r="AT3962"/>
      <c r="AU3962"/>
      <c r="AV3962"/>
      <c r="AW3962" s="28">
        <f t="shared" si="386"/>
        <v>-3.2879797461071458</v>
      </c>
      <c r="AX3962">
        <f t="shared" si="387"/>
        <v>0.98701298701298701</v>
      </c>
      <c r="AY3962" s="62">
        <f t="shared" si="388"/>
        <v>-3.2452787104434169</v>
      </c>
      <c r="AZ3962" s="68" t="str">
        <f t="shared" si="389"/>
        <v>No</v>
      </c>
      <c r="BA3962" s="68" t="str">
        <f t="shared" si="390"/>
        <v>No</v>
      </c>
      <c r="BB3962"/>
      <c r="BC3962"/>
    </row>
    <row r="3963" spans="1:55" s="56" customFormat="1" ht="15" hidden="1">
      <c r="A3963" t="s">
        <v>3914</v>
      </c>
      <c r="B3963"/>
      <c r="C3963"/>
      <c r="D3963" s="25"/>
      <c r="E3963" s="25"/>
      <c r="F3963"/>
      <c r="G3963" t="s">
        <v>4104</v>
      </c>
      <c r="H3963"/>
      <c r="I3963"/>
      <c r="J3963"/>
      <c r="K3963"/>
      <c r="L3963"/>
      <c r="M3963" s="25"/>
      <c r="N3963"/>
      <c r="O3963"/>
      <c r="P3963" t="s">
        <v>60</v>
      </c>
      <c r="Q3963"/>
      <c r="R3963" t="s">
        <v>4116</v>
      </c>
      <c r="S3963" t="s">
        <v>4113</v>
      </c>
      <c r="T3963"/>
      <c r="U3963"/>
      <c r="V3963" t="s">
        <v>3956</v>
      </c>
      <c r="W3963" s="25"/>
      <c r="X3963"/>
      <c r="Y3963"/>
      <c r="Z3963">
        <v>3</v>
      </c>
      <c r="AA3963">
        <v>3</v>
      </c>
      <c r="AB3963"/>
      <c r="AC3963">
        <v>481</v>
      </c>
      <c r="AD3963">
        <v>24</v>
      </c>
      <c r="AE3963">
        <v>1786</v>
      </c>
      <c r="AF3963">
        <v>24</v>
      </c>
      <c r="AG3963"/>
      <c r="AH3963"/>
      <c r="AI3963"/>
      <c r="AJ3963" t="s">
        <v>4146</v>
      </c>
      <c r="AK3963" t="s">
        <v>4151</v>
      </c>
      <c r="AL3963" s="25"/>
      <c r="AM3963" s="35"/>
      <c r="AN3963">
        <v>77</v>
      </c>
      <c r="AO3963">
        <v>10.392304845413264</v>
      </c>
      <c r="AP3963">
        <v>17</v>
      </c>
      <c r="AQ3963">
        <v>10.392304845413264</v>
      </c>
      <c r="AR3963"/>
      <c r="AS3963"/>
      <c r="AT3963"/>
      <c r="AU3963"/>
      <c r="AV3963"/>
      <c r="AW3963" s="28">
        <f t="shared" si="386"/>
        <v>-5.7735026918962573</v>
      </c>
      <c r="AX3963">
        <f t="shared" si="387"/>
        <v>0.8</v>
      </c>
      <c r="AY3963" s="62">
        <f t="shared" si="388"/>
        <v>-4.6188021535170058</v>
      </c>
      <c r="AZ3963" s="68" t="str">
        <f t="shared" si="389"/>
        <v>No</v>
      </c>
      <c r="BA3963" s="68" t="str">
        <f t="shared" si="390"/>
        <v>No</v>
      </c>
      <c r="BB3963"/>
      <c r="BC3963"/>
    </row>
    <row r="3964" spans="1:55" s="56" customFormat="1" ht="15" hidden="1">
      <c r="A3964" t="s">
        <v>3914</v>
      </c>
      <c r="B3964"/>
      <c r="C3964"/>
      <c r="D3964" s="25"/>
      <c r="E3964" s="25"/>
      <c r="F3964"/>
      <c r="G3964" t="s">
        <v>4312</v>
      </c>
      <c r="H3964"/>
      <c r="I3964"/>
      <c r="J3964"/>
      <c r="K3964"/>
      <c r="L3964"/>
      <c r="M3964" s="25"/>
      <c r="N3964"/>
      <c r="O3964"/>
      <c r="P3964" t="s">
        <v>60</v>
      </c>
      <c r="Q3964"/>
      <c r="R3964" t="s">
        <v>4286</v>
      </c>
      <c r="S3964" t="s">
        <v>4296</v>
      </c>
      <c r="T3964"/>
      <c r="U3964"/>
      <c r="V3964" t="s">
        <v>3956</v>
      </c>
      <c r="W3964" s="25"/>
      <c r="X3964"/>
      <c r="Y3964"/>
      <c r="Z3964">
        <v>32</v>
      </c>
      <c r="AA3964">
        <v>32</v>
      </c>
      <c r="AB3964"/>
      <c r="AC3964">
        <v>453.5</v>
      </c>
      <c r="AD3964">
        <v>27.2</v>
      </c>
      <c r="AE3964">
        <v>1302.4000000000001</v>
      </c>
      <c r="AF3964">
        <v>26.9</v>
      </c>
      <c r="AG3964"/>
      <c r="AH3964"/>
      <c r="AI3964"/>
      <c r="AJ3964" t="s">
        <v>4059</v>
      </c>
      <c r="AK3964" t="s">
        <v>4093</v>
      </c>
      <c r="AL3964" s="25"/>
      <c r="AM3964" s="35"/>
      <c r="AN3964">
        <v>100</v>
      </c>
      <c r="AO3964">
        <v>0</v>
      </c>
      <c r="AP3964">
        <v>12.5</v>
      </c>
      <c r="AQ3964">
        <v>97.863578516218183</v>
      </c>
      <c r="AR3964"/>
      <c r="AS3964"/>
      <c r="AT3964"/>
      <c r="AU3964"/>
      <c r="AV3964"/>
      <c r="AW3964" s="28">
        <f t="shared" si="386"/>
        <v>-1.2644508670520231</v>
      </c>
      <c r="AX3964">
        <f t="shared" si="387"/>
        <v>0.98785425101214575</v>
      </c>
      <c r="AY3964" s="62">
        <f t="shared" si="388"/>
        <v>-1.2490931642133345</v>
      </c>
      <c r="AZ3964" s="68" t="str">
        <f t="shared" si="389"/>
        <v>No</v>
      </c>
      <c r="BA3964" s="68" t="str">
        <f t="shared" si="390"/>
        <v>No</v>
      </c>
      <c r="BB3964"/>
      <c r="BC3964"/>
    </row>
    <row r="3965" spans="1:55" s="56" customFormat="1" ht="15" hidden="1">
      <c r="A3965" t="s">
        <v>3914</v>
      </c>
      <c r="B3965"/>
      <c r="C3965"/>
      <c r="D3965" s="25"/>
      <c r="E3965" s="25"/>
      <c r="F3965"/>
      <c r="G3965" t="s">
        <v>4312</v>
      </c>
      <c r="H3965"/>
      <c r="I3965"/>
      <c r="J3965"/>
      <c r="K3965"/>
      <c r="L3965"/>
      <c r="M3965" s="25"/>
      <c r="N3965"/>
      <c r="O3965"/>
      <c r="P3965" t="s">
        <v>60</v>
      </c>
      <c r="Q3965"/>
      <c r="R3965" t="s">
        <v>4286</v>
      </c>
      <c r="S3965" t="s">
        <v>4296</v>
      </c>
      <c r="T3965"/>
      <c r="U3965"/>
      <c r="V3965" t="s">
        <v>3956</v>
      </c>
      <c r="W3965" s="25"/>
      <c r="X3965"/>
      <c r="Y3965"/>
      <c r="Z3965">
        <v>32</v>
      </c>
      <c r="AA3965">
        <v>32</v>
      </c>
      <c r="AB3965"/>
      <c r="AC3965">
        <v>453.5</v>
      </c>
      <c r="AD3965">
        <v>27.2</v>
      </c>
      <c r="AE3965">
        <v>800.2</v>
      </c>
      <c r="AF3965">
        <v>27</v>
      </c>
      <c r="AG3965"/>
      <c r="AH3965"/>
      <c r="AI3965"/>
      <c r="AJ3965" t="s">
        <v>4059</v>
      </c>
      <c r="AK3965" t="s">
        <v>4093</v>
      </c>
      <c r="AL3965" s="25"/>
      <c r="AM3965" s="35"/>
      <c r="AN3965">
        <v>100</v>
      </c>
      <c r="AO3965">
        <v>0</v>
      </c>
      <c r="AP3965">
        <v>75</v>
      </c>
      <c r="AQ3965">
        <v>124.45079348883237</v>
      </c>
      <c r="AR3965"/>
      <c r="AS3965"/>
      <c r="AT3965"/>
      <c r="AU3965"/>
      <c r="AV3965"/>
      <c r="AW3965" s="28">
        <f t="shared" si="386"/>
        <v>-0.28409090909090912</v>
      </c>
      <c r="AX3965">
        <f t="shared" si="387"/>
        <v>0.98785425101214575</v>
      </c>
      <c r="AY3965" s="62">
        <f t="shared" si="388"/>
        <v>-0.28064041221935959</v>
      </c>
      <c r="AZ3965" s="68" t="str">
        <f t="shared" si="389"/>
        <v>No</v>
      </c>
      <c r="BA3965" s="68" t="str">
        <f t="shared" si="390"/>
        <v>No</v>
      </c>
      <c r="BB3965"/>
      <c r="BC3965"/>
    </row>
    <row r="3966" spans="1:55" s="56" customFormat="1" ht="15" hidden="1">
      <c r="A3966" t="s">
        <v>3914</v>
      </c>
      <c r="B3966"/>
      <c r="C3966"/>
      <c r="D3966" s="25"/>
      <c r="E3966" s="25"/>
      <c r="F3966"/>
      <c r="G3966" t="s">
        <v>4293</v>
      </c>
      <c r="H3966"/>
      <c r="I3966"/>
      <c r="J3966"/>
      <c r="K3966"/>
      <c r="L3966"/>
      <c r="M3966" s="25"/>
      <c r="N3966"/>
      <c r="O3966"/>
      <c r="P3966" t="s">
        <v>60</v>
      </c>
      <c r="Q3966"/>
      <c r="R3966" t="s">
        <v>4286</v>
      </c>
      <c r="S3966" t="s">
        <v>4296</v>
      </c>
      <c r="T3966"/>
      <c r="U3966"/>
      <c r="V3966" t="s">
        <v>3956</v>
      </c>
      <c r="W3966" s="25"/>
      <c r="X3966"/>
      <c r="Y3966"/>
      <c r="Z3966">
        <v>8</v>
      </c>
      <c r="AA3966">
        <v>8</v>
      </c>
      <c r="AB3966"/>
      <c r="AC3966">
        <v>465.4</v>
      </c>
      <c r="AD3966">
        <v>26.3</v>
      </c>
      <c r="AE3966">
        <v>1179.3</v>
      </c>
      <c r="AF3966">
        <v>26</v>
      </c>
      <c r="AG3966"/>
      <c r="AH3966"/>
      <c r="AI3966"/>
      <c r="AJ3966" t="s">
        <v>4065</v>
      </c>
      <c r="AK3966" t="s">
        <v>4258</v>
      </c>
      <c r="AL3966" s="25"/>
      <c r="AM3966" s="35"/>
      <c r="AN3966">
        <v>98</v>
      </c>
      <c r="AO3966">
        <v>6</v>
      </c>
      <c r="AP3966">
        <v>24</v>
      </c>
      <c r="AQ3966">
        <v>3</v>
      </c>
      <c r="AR3966"/>
      <c r="AS3966"/>
      <c r="AT3966"/>
      <c r="AU3966"/>
      <c r="AV3966"/>
      <c r="AW3966" s="28">
        <f t="shared" si="386"/>
        <v>-15.600569790164004</v>
      </c>
      <c r="AX3966">
        <f t="shared" si="387"/>
        <v>0.94545454545454544</v>
      </c>
      <c r="AY3966" s="62">
        <f t="shared" si="388"/>
        <v>-14.749629619791421</v>
      </c>
      <c r="AZ3966" s="68" t="str">
        <f t="shared" si="389"/>
        <v>No</v>
      </c>
      <c r="BA3966" s="68" t="str">
        <f t="shared" si="390"/>
        <v>Yes</v>
      </c>
      <c r="BB3966"/>
      <c r="BC3966"/>
    </row>
    <row r="3967" spans="1:55" s="56" customFormat="1" ht="15" hidden="1">
      <c r="A3967" t="s">
        <v>3914</v>
      </c>
      <c r="B3967"/>
      <c r="C3967"/>
      <c r="D3967" s="25"/>
      <c r="E3967" s="25"/>
      <c r="F3967"/>
      <c r="G3967" t="s">
        <v>4988</v>
      </c>
      <c r="H3967"/>
      <c r="I3967"/>
      <c r="J3967"/>
      <c r="K3967"/>
      <c r="L3967"/>
      <c r="M3967" s="25"/>
      <c r="N3967"/>
      <c r="O3967"/>
      <c r="P3967" t="s">
        <v>60</v>
      </c>
      <c r="Q3967"/>
      <c r="R3967" t="s">
        <v>4286</v>
      </c>
      <c r="S3967" t="s">
        <v>4296</v>
      </c>
      <c r="T3967"/>
      <c r="U3967"/>
      <c r="V3967" t="s">
        <v>3956</v>
      </c>
      <c r="W3967" s="25"/>
      <c r="X3967"/>
      <c r="Y3967"/>
      <c r="Z3967">
        <v>8</v>
      </c>
      <c r="AA3967">
        <v>8</v>
      </c>
      <c r="AB3967"/>
      <c r="AC3967">
        <v>465.4</v>
      </c>
      <c r="AD3967">
        <v>26.3</v>
      </c>
      <c r="AE3967">
        <v>753</v>
      </c>
      <c r="AF3967">
        <v>26.1</v>
      </c>
      <c r="AG3967"/>
      <c r="AH3967"/>
      <c r="AI3967"/>
      <c r="AJ3967" t="s">
        <v>4065</v>
      </c>
      <c r="AK3967" t="s">
        <v>4258</v>
      </c>
      <c r="AL3967" s="25"/>
      <c r="AM3967" s="35"/>
      <c r="AN3967">
        <v>98</v>
      </c>
      <c r="AO3967">
        <v>6</v>
      </c>
      <c r="AP3967">
        <v>84.9</v>
      </c>
      <c r="AQ3967">
        <v>5</v>
      </c>
      <c r="AR3967"/>
      <c r="AS3967"/>
      <c r="AT3967"/>
      <c r="AU3967"/>
      <c r="AV3967"/>
      <c r="AW3967" s="28">
        <f t="shared" si="386"/>
        <v>-2.3720365463139843</v>
      </c>
      <c r="AX3967">
        <f t="shared" si="387"/>
        <v>0.94545454545454544</v>
      </c>
      <c r="AY3967" s="62">
        <f t="shared" si="388"/>
        <v>-2.2426527346968577</v>
      </c>
      <c r="AZ3967" s="68" t="str">
        <f t="shared" si="389"/>
        <v>No</v>
      </c>
      <c r="BA3967" s="68" t="str">
        <f t="shared" si="390"/>
        <v>No</v>
      </c>
      <c r="BB3967"/>
      <c r="BC3967"/>
    </row>
    <row r="3968" spans="1:55" s="56" customFormat="1" ht="15" hidden="1">
      <c r="A3968" t="s">
        <v>3914</v>
      </c>
      <c r="B3968"/>
      <c r="C3968"/>
      <c r="D3968" s="25"/>
      <c r="E3968" s="25"/>
      <c r="F3968"/>
      <c r="G3968" t="s">
        <v>4172</v>
      </c>
      <c r="H3968"/>
      <c r="I3968"/>
      <c r="J3968"/>
      <c r="K3968"/>
      <c r="L3968"/>
      <c r="M3968" s="25"/>
      <c r="N3968"/>
      <c r="O3968"/>
      <c r="P3968" t="s">
        <v>4596</v>
      </c>
      <c r="Q3968"/>
      <c r="R3968" t="s">
        <v>4635</v>
      </c>
      <c r="S3968" t="s">
        <v>1068</v>
      </c>
      <c r="T3968"/>
      <c r="U3968"/>
      <c r="V3968" t="s">
        <v>4600</v>
      </c>
      <c r="W3968" s="25"/>
      <c r="X3968"/>
      <c r="Y3968"/>
      <c r="Z3968">
        <v>4</v>
      </c>
      <c r="AA3968">
        <v>4</v>
      </c>
      <c r="AB3968"/>
      <c r="AC3968">
        <v>400</v>
      </c>
      <c r="AD3968">
        <v>24</v>
      </c>
      <c r="AE3968">
        <v>1737</v>
      </c>
      <c r="AF3968">
        <v>28</v>
      </c>
      <c r="AG3968"/>
      <c r="AH3968"/>
      <c r="AI3968"/>
      <c r="AJ3968" t="s">
        <v>1202</v>
      </c>
      <c r="AK3968" t="s">
        <v>770</v>
      </c>
      <c r="AL3968" s="25"/>
      <c r="AM3968" s="35"/>
      <c r="AN3968">
        <v>70</v>
      </c>
      <c r="AO3968">
        <v>1</v>
      </c>
      <c r="AP3968">
        <v>0.5</v>
      </c>
      <c r="AQ3968">
        <v>0</v>
      </c>
      <c r="AR3968"/>
      <c r="AS3968"/>
      <c r="AT3968"/>
      <c r="AU3968"/>
      <c r="AV3968"/>
      <c r="AW3968" s="28">
        <f t="shared" si="386"/>
        <v>-98.287842584930104</v>
      </c>
      <c r="AX3968">
        <f t="shared" si="387"/>
        <v>0.86956521739130432</v>
      </c>
      <c r="AY3968" s="62">
        <f t="shared" si="388"/>
        <v>-85.467689204287041</v>
      </c>
      <c r="AZ3968" s="68" t="str">
        <f t="shared" si="389"/>
        <v>No</v>
      </c>
      <c r="BA3968" s="68" t="str">
        <f t="shared" si="390"/>
        <v>Yes</v>
      </c>
      <c r="BB3968"/>
      <c r="BC3968"/>
    </row>
    <row r="3969" spans="1:55" s="56" customFormat="1" ht="15" hidden="1">
      <c r="A3969" t="s">
        <v>3914</v>
      </c>
      <c r="B3969"/>
      <c r="C3969"/>
      <c r="D3969" s="25"/>
      <c r="E3969" s="25"/>
      <c r="F3969"/>
      <c r="G3969" t="s">
        <v>4172</v>
      </c>
      <c r="H3969"/>
      <c r="I3969"/>
      <c r="J3969"/>
      <c r="K3969"/>
      <c r="L3969"/>
      <c r="M3969" s="25"/>
      <c r="N3969"/>
      <c r="O3969"/>
      <c r="P3969" t="s">
        <v>60</v>
      </c>
      <c r="Q3969"/>
      <c r="R3969" t="s">
        <v>4116</v>
      </c>
      <c r="S3969" t="s">
        <v>1070</v>
      </c>
      <c r="T3969"/>
      <c r="U3969"/>
      <c r="V3969" t="s">
        <v>3956</v>
      </c>
      <c r="W3969" s="25"/>
      <c r="X3969"/>
      <c r="Y3969"/>
      <c r="Z3969">
        <v>4</v>
      </c>
      <c r="AA3969">
        <v>4</v>
      </c>
      <c r="AB3969"/>
      <c r="AC3969">
        <v>375.3</v>
      </c>
      <c r="AD3969">
        <v>24.7</v>
      </c>
      <c r="AE3969">
        <v>771.6</v>
      </c>
      <c r="AF3969">
        <v>24.7</v>
      </c>
      <c r="AG3969"/>
      <c r="AH3969"/>
      <c r="AI3969"/>
      <c r="AJ3969" t="s">
        <v>4253</v>
      </c>
      <c r="AK3969" t="s">
        <v>4258</v>
      </c>
      <c r="AL3969" s="25"/>
      <c r="AM3969" s="35"/>
      <c r="AN3969">
        <v>30</v>
      </c>
      <c r="AO3969">
        <v>2.5</v>
      </c>
      <c r="AP3969">
        <v>20</v>
      </c>
      <c r="AQ3969">
        <v>0.3</v>
      </c>
      <c r="AR3969"/>
      <c r="AS3969"/>
      <c r="AT3969"/>
      <c r="AU3969"/>
      <c r="AV3969"/>
      <c r="AW3969" s="28">
        <f t="shared" si="386"/>
        <v>-5.6165595630173053</v>
      </c>
      <c r="AX3969">
        <f t="shared" si="387"/>
        <v>0.86956521739130432</v>
      </c>
      <c r="AY3969" s="62">
        <f t="shared" si="388"/>
        <v>-4.883964837406352</v>
      </c>
      <c r="AZ3969" s="68" t="str">
        <f t="shared" si="389"/>
        <v>No</v>
      </c>
      <c r="BA3969" s="68" t="str">
        <f t="shared" si="390"/>
        <v>No</v>
      </c>
      <c r="BB3969"/>
      <c r="BC3969"/>
    </row>
    <row r="3970" spans="1:55" s="56" customFormat="1" ht="15" hidden="1">
      <c r="A3970" t="s">
        <v>3914</v>
      </c>
      <c r="B3970"/>
      <c r="C3970"/>
      <c r="D3970" s="25"/>
      <c r="E3970" s="25"/>
      <c r="F3970"/>
      <c r="G3970" t="s">
        <v>4172</v>
      </c>
      <c r="H3970"/>
      <c r="I3970"/>
      <c r="J3970"/>
      <c r="K3970"/>
      <c r="L3970"/>
      <c r="M3970" s="25"/>
      <c r="N3970"/>
      <c r="O3970"/>
      <c r="P3970" t="s">
        <v>4596</v>
      </c>
      <c r="Q3970"/>
      <c r="R3970" t="s">
        <v>4635</v>
      </c>
      <c r="S3970" t="s">
        <v>1070</v>
      </c>
      <c r="T3970"/>
      <c r="U3970"/>
      <c r="V3970" t="s">
        <v>4600</v>
      </c>
      <c r="W3970" s="25"/>
      <c r="X3970"/>
      <c r="Y3970"/>
      <c r="Z3970">
        <v>4</v>
      </c>
      <c r="AA3970">
        <v>4</v>
      </c>
      <c r="AB3970"/>
      <c r="AC3970">
        <v>375.3</v>
      </c>
      <c r="AD3970">
        <v>24</v>
      </c>
      <c r="AE3970">
        <v>794.6</v>
      </c>
      <c r="AF3970">
        <v>28</v>
      </c>
      <c r="AG3970"/>
      <c r="AH3970"/>
      <c r="AI3970"/>
      <c r="AJ3970" t="s">
        <v>1202</v>
      </c>
      <c r="AK3970" t="s">
        <v>4637</v>
      </c>
      <c r="AL3970" s="25"/>
      <c r="AM3970" s="35"/>
      <c r="AN3970">
        <v>15</v>
      </c>
      <c r="AO3970">
        <v>3</v>
      </c>
      <c r="AP3970">
        <v>5</v>
      </c>
      <c r="AQ3970">
        <v>0.5</v>
      </c>
      <c r="AR3970"/>
      <c r="AS3970"/>
      <c r="AT3970"/>
      <c r="AU3970"/>
      <c r="AV3970"/>
      <c r="AW3970" s="28">
        <f t="shared" si="386"/>
        <v>-4.6499055497527717</v>
      </c>
      <c r="AX3970">
        <f t="shared" si="387"/>
        <v>0.86956521739130432</v>
      </c>
      <c r="AY3970" s="62">
        <f t="shared" si="388"/>
        <v>-4.0433961302198016</v>
      </c>
      <c r="AZ3970" s="68" t="str">
        <f t="shared" si="389"/>
        <v>No</v>
      </c>
      <c r="BA3970" s="68" t="str">
        <f t="shared" si="390"/>
        <v>No</v>
      </c>
      <c r="BB3970"/>
      <c r="BC3970"/>
    </row>
    <row r="3971" spans="1:55" s="56" customFormat="1" ht="15" hidden="1">
      <c r="A3971" t="s">
        <v>3914</v>
      </c>
      <c r="B3971"/>
      <c r="C3971"/>
      <c r="D3971" s="25"/>
      <c r="E3971" s="25"/>
      <c r="F3971"/>
      <c r="G3971" t="s">
        <v>4172</v>
      </c>
      <c r="H3971"/>
      <c r="I3971"/>
      <c r="J3971"/>
      <c r="K3971"/>
      <c r="L3971"/>
      <c r="M3971" s="25"/>
      <c r="N3971"/>
      <c r="O3971"/>
      <c r="P3971" t="s">
        <v>4596</v>
      </c>
      <c r="Q3971"/>
      <c r="R3971" t="s">
        <v>4635</v>
      </c>
      <c r="S3971" t="s">
        <v>1068</v>
      </c>
      <c r="T3971"/>
      <c r="U3971"/>
      <c r="V3971" t="s">
        <v>4598</v>
      </c>
      <c r="W3971" s="25"/>
      <c r="X3971"/>
      <c r="Y3971"/>
      <c r="Z3971">
        <v>4</v>
      </c>
      <c r="AA3971">
        <v>4</v>
      </c>
      <c r="AB3971"/>
      <c r="AC3971">
        <v>400</v>
      </c>
      <c r="AD3971">
        <v>24</v>
      </c>
      <c r="AE3971">
        <v>399.5</v>
      </c>
      <c r="AF3971">
        <v>28</v>
      </c>
      <c r="AG3971"/>
      <c r="AH3971"/>
      <c r="AI3971"/>
      <c r="AJ3971" t="s">
        <v>1202</v>
      </c>
      <c r="AK3971" t="s">
        <v>4637</v>
      </c>
      <c r="AL3971" s="25"/>
      <c r="AM3971" s="35"/>
      <c r="AN3971">
        <v>70</v>
      </c>
      <c r="AO3971">
        <v>1</v>
      </c>
      <c r="AP3971">
        <v>4</v>
      </c>
      <c r="AQ3971">
        <v>0.5</v>
      </c>
      <c r="AR3971"/>
      <c r="AS3971"/>
      <c r="AT3971"/>
      <c r="AU3971"/>
      <c r="AV3971"/>
      <c r="AW3971" s="28">
        <f t="shared" si="386"/>
        <v>-83.48413022844521</v>
      </c>
      <c r="AX3971">
        <f t="shared" si="387"/>
        <v>0.86956521739130432</v>
      </c>
      <c r="AY3971" s="62">
        <f t="shared" si="388"/>
        <v>-72.594895850821914</v>
      </c>
      <c r="AZ3971" s="68" t="str">
        <f t="shared" si="389"/>
        <v>No</v>
      </c>
      <c r="BA3971" s="68" t="str">
        <f t="shared" si="390"/>
        <v>Yes</v>
      </c>
      <c r="BB3971"/>
      <c r="BC3971"/>
    </row>
    <row r="3972" spans="1:55" s="56" customFormat="1" ht="15" hidden="1">
      <c r="A3972" t="s">
        <v>3914</v>
      </c>
      <c r="B3972"/>
      <c r="C3972"/>
      <c r="D3972" s="25"/>
      <c r="E3972" s="25"/>
      <c r="F3972"/>
      <c r="G3972" t="s">
        <v>4172</v>
      </c>
      <c r="H3972"/>
      <c r="I3972"/>
      <c r="J3972"/>
      <c r="K3972"/>
      <c r="L3972"/>
      <c r="M3972" s="25"/>
      <c r="N3972"/>
      <c r="O3972"/>
      <c r="P3972" t="s">
        <v>4596</v>
      </c>
      <c r="Q3972"/>
      <c r="R3972" t="s">
        <v>4635</v>
      </c>
      <c r="S3972" t="s">
        <v>1070</v>
      </c>
      <c r="T3972"/>
      <c r="U3972"/>
      <c r="V3972" t="s">
        <v>4600</v>
      </c>
      <c r="W3972" s="25"/>
      <c r="X3972"/>
      <c r="Y3972"/>
      <c r="Z3972">
        <v>4</v>
      </c>
      <c r="AA3972">
        <v>4</v>
      </c>
      <c r="AB3972"/>
      <c r="AC3972">
        <v>375.3</v>
      </c>
      <c r="AD3972">
        <v>24</v>
      </c>
      <c r="AE3972">
        <v>794.6</v>
      </c>
      <c r="AF3972">
        <v>28</v>
      </c>
      <c r="AG3972"/>
      <c r="AH3972"/>
      <c r="AI3972"/>
      <c r="AJ3972" t="s">
        <v>4253</v>
      </c>
      <c r="AK3972" t="s">
        <v>787</v>
      </c>
      <c r="AL3972" s="25"/>
      <c r="AM3972" s="35"/>
      <c r="AN3972">
        <v>30</v>
      </c>
      <c r="AO3972">
        <v>2</v>
      </c>
      <c r="AP3972">
        <v>8</v>
      </c>
      <c r="AQ3972">
        <v>0.5</v>
      </c>
      <c r="AR3972"/>
      <c r="AS3972"/>
      <c r="AT3972"/>
      <c r="AU3972"/>
      <c r="AV3972"/>
      <c r="AW3972" s="28">
        <f t="shared" si="386"/>
        <v>-15.091875492540778</v>
      </c>
      <c r="AX3972">
        <f t="shared" si="387"/>
        <v>0.86956521739130432</v>
      </c>
      <c r="AY3972" s="62">
        <f t="shared" si="388"/>
        <v>-13.12336999351372</v>
      </c>
      <c r="AZ3972" s="68" t="str">
        <f t="shared" si="389"/>
        <v>No</v>
      </c>
      <c r="BA3972" s="68" t="str">
        <f t="shared" si="390"/>
        <v>Yes</v>
      </c>
      <c r="BB3972"/>
      <c r="BC3972"/>
    </row>
    <row r="3973" spans="1:55" hidden="1">
      <c r="A3973" t="s">
        <v>3914</v>
      </c>
      <c r="G3973" t="s">
        <v>4634</v>
      </c>
      <c r="P3973" t="s">
        <v>4596</v>
      </c>
      <c r="R3973" t="s">
        <v>4635</v>
      </c>
      <c r="S3973" t="s">
        <v>1070</v>
      </c>
      <c r="V3973" t="s">
        <v>4598</v>
      </c>
      <c r="Z3973">
        <v>4</v>
      </c>
      <c r="AA3973">
        <v>4</v>
      </c>
      <c r="AC3973">
        <v>375.3</v>
      </c>
      <c r="AD3973">
        <v>24</v>
      </c>
      <c r="AE3973">
        <v>379</v>
      </c>
      <c r="AF3973">
        <v>28</v>
      </c>
      <c r="AJ3973" t="s">
        <v>4636</v>
      </c>
      <c r="AK3973" t="s">
        <v>4637</v>
      </c>
      <c r="AN3973">
        <v>15</v>
      </c>
      <c r="AO3973">
        <v>3</v>
      </c>
      <c r="AP3973">
        <v>13</v>
      </c>
      <c r="AQ3973">
        <v>1</v>
      </c>
      <c r="AW3973" s="28">
        <f t="shared" si="386"/>
        <v>-0.89442719099991586</v>
      </c>
      <c r="AX3973">
        <f t="shared" si="387"/>
        <v>0.86956521739130432</v>
      </c>
      <c r="AY3973" s="62">
        <f t="shared" si="388"/>
        <v>-0.77776277478253553</v>
      </c>
      <c r="AZ3973" s="68" t="str">
        <f t="shared" si="389"/>
        <v>No</v>
      </c>
      <c r="BA3973" s="68" t="str">
        <f t="shared" si="390"/>
        <v>No</v>
      </c>
    </row>
    <row r="3974" spans="1:55" hidden="1">
      <c r="A3974" t="s">
        <v>3914</v>
      </c>
      <c r="G3974" t="s">
        <v>4172</v>
      </c>
      <c r="P3974" t="s">
        <v>4596</v>
      </c>
      <c r="R3974" t="s">
        <v>4635</v>
      </c>
      <c r="S3974" t="s">
        <v>1070</v>
      </c>
      <c r="V3974" t="s">
        <v>4598</v>
      </c>
      <c r="Z3974">
        <v>4</v>
      </c>
      <c r="AA3974">
        <v>4</v>
      </c>
      <c r="AC3974">
        <v>375.3</v>
      </c>
      <c r="AD3974">
        <v>24</v>
      </c>
      <c r="AE3974">
        <v>379</v>
      </c>
      <c r="AF3974">
        <v>28</v>
      </c>
      <c r="AJ3974" t="s">
        <v>4638</v>
      </c>
      <c r="AK3974" t="s">
        <v>4639</v>
      </c>
      <c r="AN3974">
        <v>30</v>
      </c>
      <c r="AO3974">
        <v>2</v>
      </c>
      <c r="AP3974">
        <v>14</v>
      </c>
      <c r="AQ3974">
        <v>1</v>
      </c>
      <c r="AW3974" s="28">
        <f t="shared" si="386"/>
        <v>-10.119288512538814</v>
      </c>
      <c r="AX3974">
        <f t="shared" si="387"/>
        <v>0.86956521739130432</v>
      </c>
      <c r="AY3974" s="62">
        <f t="shared" si="388"/>
        <v>-8.7993813152511429</v>
      </c>
      <c r="AZ3974" s="68" t="str">
        <f t="shared" si="389"/>
        <v>No</v>
      </c>
      <c r="BA3974" s="68" t="str">
        <f t="shared" si="390"/>
        <v>No</v>
      </c>
    </row>
    <row r="3975" spans="1:55" hidden="1">
      <c r="A3975" t="s">
        <v>3914</v>
      </c>
      <c r="G3975" t="s">
        <v>4172</v>
      </c>
      <c r="P3975" t="s">
        <v>4596</v>
      </c>
      <c r="R3975" t="s">
        <v>4635</v>
      </c>
      <c r="S3975" t="s">
        <v>1068</v>
      </c>
      <c r="V3975" t="s">
        <v>4600</v>
      </c>
      <c r="Z3975">
        <v>4</v>
      </c>
      <c r="AA3975">
        <v>4</v>
      </c>
      <c r="AC3975">
        <v>400</v>
      </c>
      <c r="AD3975">
        <v>24</v>
      </c>
      <c r="AE3975">
        <v>1737</v>
      </c>
      <c r="AF3975">
        <v>28</v>
      </c>
      <c r="AJ3975" t="s">
        <v>4253</v>
      </c>
      <c r="AK3975" t="s">
        <v>4639</v>
      </c>
      <c r="AN3975">
        <v>73</v>
      </c>
      <c r="AO3975">
        <v>1</v>
      </c>
      <c r="AP3975">
        <v>27</v>
      </c>
      <c r="AQ3975">
        <v>1.5</v>
      </c>
      <c r="AW3975" s="28">
        <f t="shared" si="386"/>
        <v>-36.085368865425863</v>
      </c>
      <c r="AX3975">
        <f t="shared" si="387"/>
        <v>0.86956521739130432</v>
      </c>
      <c r="AY3975" s="62">
        <f t="shared" si="388"/>
        <v>-31.378581622109447</v>
      </c>
      <c r="AZ3975" s="68" t="str">
        <f t="shared" si="389"/>
        <v>No</v>
      </c>
      <c r="BA3975" s="68" t="str">
        <f t="shared" si="390"/>
        <v>Yes</v>
      </c>
    </row>
    <row r="3976" spans="1:55" hidden="1">
      <c r="A3976" t="s">
        <v>3914</v>
      </c>
      <c r="G3976" t="s">
        <v>4172</v>
      </c>
      <c r="P3976" t="s">
        <v>4596</v>
      </c>
      <c r="R3976" t="s">
        <v>4635</v>
      </c>
      <c r="S3976" t="s">
        <v>1068</v>
      </c>
      <c r="V3976" t="s">
        <v>4598</v>
      </c>
      <c r="Z3976">
        <v>4</v>
      </c>
      <c r="AA3976">
        <v>4</v>
      </c>
      <c r="AC3976">
        <v>400</v>
      </c>
      <c r="AD3976">
        <v>24</v>
      </c>
      <c r="AE3976">
        <v>399.5</v>
      </c>
      <c r="AF3976">
        <v>28</v>
      </c>
      <c r="AJ3976" t="s">
        <v>4253</v>
      </c>
      <c r="AK3976" t="s">
        <v>4639</v>
      </c>
      <c r="AN3976">
        <v>73</v>
      </c>
      <c r="AO3976">
        <v>1</v>
      </c>
      <c r="AP3976">
        <v>34</v>
      </c>
      <c r="AQ3976">
        <v>2</v>
      </c>
      <c r="AW3976" s="28">
        <f t="shared" si="386"/>
        <v>-24.665765749313358</v>
      </c>
      <c r="AX3976">
        <f t="shared" si="387"/>
        <v>0.86956521739130432</v>
      </c>
      <c r="AY3976" s="62">
        <f t="shared" si="388"/>
        <v>-21.448491955924659</v>
      </c>
      <c r="AZ3976" s="68" t="str">
        <f t="shared" si="389"/>
        <v>No</v>
      </c>
      <c r="BA3976" s="68" t="str">
        <f t="shared" si="390"/>
        <v>Yes</v>
      </c>
    </row>
    <row r="3977" spans="1:55" hidden="1">
      <c r="A3977" t="s">
        <v>3914</v>
      </c>
      <c r="G3977" t="s">
        <v>4172</v>
      </c>
      <c r="P3977" t="s">
        <v>60</v>
      </c>
      <c r="R3977" t="s">
        <v>4116</v>
      </c>
      <c r="S3977" t="s">
        <v>1068</v>
      </c>
      <c r="V3977" t="s">
        <v>3956</v>
      </c>
      <c r="Z3977">
        <v>4</v>
      </c>
      <c r="AA3977">
        <v>4</v>
      </c>
      <c r="AC3977">
        <v>375.3</v>
      </c>
      <c r="AD3977">
        <v>24.7</v>
      </c>
      <c r="AE3977">
        <v>771.6</v>
      </c>
      <c r="AF3977">
        <v>24.7</v>
      </c>
      <c r="AJ3977" t="s">
        <v>1202</v>
      </c>
      <c r="AK3977" t="s">
        <v>4093</v>
      </c>
      <c r="AN3977">
        <v>70</v>
      </c>
      <c r="AO3977">
        <v>1.5</v>
      </c>
      <c r="AP3977">
        <v>52</v>
      </c>
      <c r="AQ3977">
        <v>3</v>
      </c>
      <c r="AW3977" s="28">
        <f t="shared" si="386"/>
        <v>-7.5894663844041101</v>
      </c>
      <c r="AX3977">
        <f t="shared" si="387"/>
        <v>0.86956521739130432</v>
      </c>
      <c r="AY3977" s="62">
        <f t="shared" si="388"/>
        <v>-6.5995359864383563</v>
      </c>
      <c r="AZ3977" s="68" t="str">
        <f t="shared" si="389"/>
        <v>No</v>
      </c>
      <c r="BA3977" s="68" t="str">
        <f t="shared" si="390"/>
        <v>No</v>
      </c>
    </row>
    <row r="3978" spans="1:55" hidden="1">
      <c r="A3978" t="s">
        <v>3914</v>
      </c>
      <c r="G3978" t="s">
        <v>4172</v>
      </c>
      <c r="P3978" t="s">
        <v>60</v>
      </c>
      <c r="R3978" t="s">
        <v>4116</v>
      </c>
      <c r="S3978" t="s">
        <v>1069</v>
      </c>
      <c r="V3978" t="s">
        <v>3956</v>
      </c>
      <c r="Z3978">
        <v>4</v>
      </c>
      <c r="AA3978">
        <v>4</v>
      </c>
      <c r="AC3978">
        <v>375.3</v>
      </c>
      <c r="AD3978">
        <v>24.7</v>
      </c>
      <c r="AE3978">
        <v>771.6</v>
      </c>
      <c r="AF3978">
        <v>24.7</v>
      </c>
      <c r="AJ3978" t="s">
        <v>4253</v>
      </c>
      <c r="AK3978" t="s">
        <v>4258</v>
      </c>
      <c r="AN3978">
        <v>73</v>
      </c>
      <c r="AO3978">
        <v>1.5</v>
      </c>
      <c r="AP3978">
        <v>53</v>
      </c>
      <c r="AQ3978">
        <v>3</v>
      </c>
      <c r="AW3978" s="28">
        <f t="shared" si="386"/>
        <v>-8.4327404271156787</v>
      </c>
      <c r="AX3978">
        <f t="shared" si="387"/>
        <v>0.86956521739130432</v>
      </c>
      <c r="AY3978" s="62">
        <f t="shared" si="388"/>
        <v>-7.3328177627092854</v>
      </c>
      <c r="AZ3978" s="68" t="str">
        <f t="shared" si="389"/>
        <v>No</v>
      </c>
      <c r="BA3978" s="68" t="str">
        <f t="shared" si="390"/>
        <v>No</v>
      </c>
    </row>
    <row r="3979" spans="1:55" hidden="1">
      <c r="A3979" t="s">
        <v>3914</v>
      </c>
      <c r="G3979" t="s">
        <v>4172</v>
      </c>
      <c r="P3979" t="s">
        <v>60</v>
      </c>
      <c r="R3979" t="s">
        <v>4116</v>
      </c>
      <c r="S3979" t="s">
        <v>1070</v>
      </c>
      <c r="V3979" t="s">
        <v>3956</v>
      </c>
      <c r="Z3979">
        <v>4</v>
      </c>
      <c r="AA3979">
        <v>4</v>
      </c>
      <c r="AC3979">
        <v>375.3</v>
      </c>
      <c r="AD3979">
        <v>24.7</v>
      </c>
      <c r="AE3979">
        <v>771.6</v>
      </c>
      <c r="AF3979">
        <v>24.7</v>
      </c>
      <c r="AJ3979" t="s">
        <v>1202</v>
      </c>
      <c r="AK3979" t="s">
        <v>4093</v>
      </c>
      <c r="AN3979">
        <v>15</v>
      </c>
      <c r="AO3979">
        <v>2.5</v>
      </c>
      <c r="AP3979">
        <v>8.5</v>
      </c>
      <c r="AQ3979">
        <v>5</v>
      </c>
      <c r="AW3979" s="28">
        <f t="shared" si="386"/>
        <v>-1.6443843832875573</v>
      </c>
      <c r="AX3979">
        <f t="shared" si="387"/>
        <v>0.86956521739130432</v>
      </c>
      <c r="AY3979" s="62">
        <f t="shared" si="388"/>
        <v>-1.4298994637283107</v>
      </c>
      <c r="AZ3979" s="68" t="str">
        <f t="shared" si="389"/>
        <v>No</v>
      </c>
      <c r="BA3979" s="68" t="str">
        <f t="shared" si="390"/>
        <v>No</v>
      </c>
    </row>
    <row r="3980" spans="1:55" hidden="1">
      <c r="A3980" t="s">
        <v>3914</v>
      </c>
      <c r="G3980" t="s">
        <v>4172</v>
      </c>
      <c r="P3980" t="s">
        <v>4596</v>
      </c>
      <c r="R3980" t="s">
        <v>4635</v>
      </c>
      <c r="S3980" t="s">
        <v>1070</v>
      </c>
      <c r="V3980" t="s">
        <v>4600</v>
      </c>
      <c r="Z3980">
        <v>4</v>
      </c>
      <c r="AA3980">
        <v>4</v>
      </c>
      <c r="AC3980">
        <v>375.3</v>
      </c>
      <c r="AD3980">
        <v>24</v>
      </c>
      <c r="AE3980">
        <v>794.6</v>
      </c>
      <c r="AF3980">
        <v>28</v>
      </c>
      <c r="AJ3980" t="s">
        <v>4221</v>
      </c>
      <c r="AK3980" t="s">
        <v>4642</v>
      </c>
      <c r="AN3980">
        <v>455</v>
      </c>
      <c r="AO3980">
        <v>35</v>
      </c>
      <c r="AP3980">
        <v>320</v>
      </c>
      <c r="AQ3980">
        <v>20</v>
      </c>
      <c r="AW3980" s="28">
        <f t="shared" si="386"/>
        <v>-4.736113304257958</v>
      </c>
      <c r="AX3980">
        <f t="shared" si="387"/>
        <v>0.86956521739130432</v>
      </c>
      <c r="AY3980" s="62">
        <f t="shared" si="388"/>
        <v>-4.1183593950069195</v>
      </c>
      <c r="AZ3980" s="68" t="str">
        <f t="shared" si="389"/>
        <v>No</v>
      </c>
      <c r="BA3980" s="68" t="str">
        <f t="shared" si="390"/>
        <v>No</v>
      </c>
    </row>
    <row r="3981" spans="1:55" hidden="1">
      <c r="A3981" t="s">
        <v>3914</v>
      </c>
      <c r="G3981" t="s">
        <v>4172</v>
      </c>
      <c r="P3981" t="s">
        <v>4596</v>
      </c>
      <c r="R3981" t="s">
        <v>4635</v>
      </c>
      <c r="S3981" t="s">
        <v>1068</v>
      </c>
      <c r="V3981" t="s">
        <v>4598</v>
      </c>
      <c r="Z3981">
        <v>4</v>
      </c>
      <c r="AA3981">
        <v>4</v>
      </c>
      <c r="AC3981">
        <v>400</v>
      </c>
      <c r="AD3981">
        <v>24</v>
      </c>
      <c r="AE3981">
        <v>399.5</v>
      </c>
      <c r="AF3981">
        <v>28</v>
      </c>
      <c r="AJ3981" t="s">
        <v>4221</v>
      </c>
      <c r="AK3981" t="s">
        <v>4642</v>
      </c>
      <c r="AN3981">
        <v>475</v>
      </c>
      <c r="AO3981">
        <v>25</v>
      </c>
      <c r="AP3981">
        <v>460</v>
      </c>
      <c r="AQ3981">
        <v>20</v>
      </c>
      <c r="AW3981" s="28">
        <f t="shared" si="386"/>
        <v>-0.66258915644907923</v>
      </c>
      <c r="AX3981">
        <f t="shared" si="387"/>
        <v>0.86956521739130432</v>
      </c>
      <c r="AY3981" s="62">
        <f t="shared" si="388"/>
        <v>-0.57616448386876451</v>
      </c>
      <c r="AZ3981" s="68" t="str">
        <f t="shared" si="389"/>
        <v>No</v>
      </c>
      <c r="BA3981" s="68" t="str">
        <f t="shared" si="390"/>
        <v>No</v>
      </c>
    </row>
    <row r="3982" spans="1:55" hidden="1">
      <c r="A3982" t="s">
        <v>3914</v>
      </c>
      <c r="G3982" t="s">
        <v>4172</v>
      </c>
      <c r="P3982" t="s">
        <v>4596</v>
      </c>
      <c r="R3982" t="s">
        <v>4635</v>
      </c>
      <c r="S3982" t="s">
        <v>1068</v>
      </c>
      <c r="V3982" t="s">
        <v>4600</v>
      </c>
      <c r="Z3982">
        <v>4</v>
      </c>
      <c r="AA3982">
        <v>4</v>
      </c>
      <c r="AC3982">
        <v>400</v>
      </c>
      <c r="AD3982">
        <v>24</v>
      </c>
      <c r="AE3982">
        <v>1737</v>
      </c>
      <c r="AF3982">
        <v>28</v>
      </c>
      <c r="AJ3982" t="s">
        <v>4221</v>
      </c>
      <c r="AK3982" t="s">
        <v>4642</v>
      </c>
      <c r="AN3982">
        <v>475</v>
      </c>
      <c r="AO3982">
        <v>25</v>
      </c>
      <c r="AP3982">
        <v>305</v>
      </c>
      <c r="AQ3982">
        <v>30</v>
      </c>
      <c r="AW3982" s="28">
        <f t="shared" ref="AW3982:AW4045" si="391">(AP3982-$AN3982)/SQRT(((AA3982-1)*AQ3982*AQ3982+($Z3982-1)*$AO3982*$AO3982)/(AA3982+$Z3982-2))</f>
        <v>-6.1564307308912598</v>
      </c>
      <c r="AX3982">
        <f t="shared" ref="AX3982:AX4045" si="392">1-(3/(4*(AA3982+$Z3982-2)-1))</f>
        <v>0.86956521739130432</v>
      </c>
      <c r="AY3982" s="62">
        <f t="shared" ref="AY3982:AY4045" si="393">AX3982*AW3982</f>
        <v>-5.3534180268619647</v>
      </c>
      <c r="AZ3982" s="68" t="str">
        <f t="shared" ref="AZ3982:AZ4045" si="394">IF(AY3982&gt;10,"Yes","No")</f>
        <v>No</v>
      </c>
      <c r="BA3982" s="68" t="str">
        <f t="shared" ref="BA3982:BA4045" si="395">IF(AY3982&lt;-10,"Yes","No")</f>
        <v>No</v>
      </c>
    </row>
    <row r="3983" spans="1:55" hidden="1">
      <c r="A3983" t="s">
        <v>3914</v>
      </c>
      <c r="G3983" t="s">
        <v>4172</v>
      </c>
      <c r="P3983" t="s">
        <v>4596</v>
      </c>
      <c r="R3983" t="s">
        <v>4635</v>
      </c>
      <c r="S3983" t="s">
        <v>1070</v>
      </c>
      <c r="V3983" t="s">
        <v>4598</v>
      </c>
      <c r="Z3983">
        <v>4</v>
      </c>
      <c r="AA3983">
        <v>4</v>
      </c>
      <c r="AC3983">
        <v>375.3</v>
      </c>
      <c r="AD3983">
        <v>24</v>
      </c>
      <c r="AE3983">
        <v>379</v>
      </c>
      <c r="AF3983">
        <v>28</v>
      </c>
      <c r="AJ3983" t="s">
        <v>4640</v>
      </c>
      <c r="AK3983" t="s">
        <v>4642</v>
      </c>
      <c r="AN3983">
        <v>455</v>
      </c>
      <c r="AO3983">
        <v>35</v>
      </c>
      <c r="AP3983">
        <v>450</v>
      </c>
      <c r="AQ3983">
        <v>35</v>
      </c>
      <c r="AW3983" s="28">
        <f t="shared" si="391"/>
        <v>-0.14285714285714285</v>
      </c>
      <c r="AX3983">
        <f t="shared" si="392"/>
        <v>0.86956521739130432</v>
      </c>
      <c r="AY3983" s="62">
        <f t="shared" si="393"/>
        <v>-0.12422360248447203</v>
      </c>
      <c r="AZ3983" s="68" t="str">
        <f t="shared" si="394"/>
        <v>No</v>
      </c>
      <c r="BA3983" s="68" t="str">
        <f t="shared" si="395"/>
        <v>No</v>
      </c>
    </row>
    <row r="3984" spans="1:55" hidden="1">
      <c r="A3984" t="s">
        <v>3914</v>
      </c>
      <c r="G3984" t="s">
        <v>4172</v>
      </c>
      <c r="P3984" t="s">
        <v>60</v>
      </c>
      <c r="R3984" t="s">
        <v>4116</v>
      </c>
      <c r="S3984" t="s">
        <v>1070</v>
      </c>
      <c r="V3984" t="s">
        <v>3956</v>
      </c>
      <c r="Z3984">
        <v>4</v>
      </c>
      <c r="AA3984">
        <v>4</v>
      </c>
      <c r="AC3984">
        <v>375.3</v>
      </c>
      <c r="AD3984">
        <v>24.7</v>
      </c>
      <c r="AE3984">
        <v>771.6</v>
      </c>
      <c r="AF3984">
        <v>24.7</v>
      </c>
      <c r="AJ3984" t="s">
        <v>4221</v>
      </c>
      <c r="AK3984" t="s">
        <v>4244</v>
      </c>
      <c r="AN3984">
        <v>455</v>
      </c>
      <c r="AO3984">
        <v>35</v>
      </c>
      <c r="AP3984">
        <v>350</v>
      </c>
      <c r="AQ3984">
        <v>40</v>
      </c>
      <c r="AW3984" s="28">
        <f t="shared" si="391"/>
        <v>-2.7937984419985051</v>
      </c>
      <c r="AX3984">
        <f t="shared" si="392"/>
        <v>0.86956521739130432</v>
      </c>
      <c r="AY3984" s="62">
        <f t="shared" si="393"/>
        <v>-2.4293899495639173</v>
      </c>
      <c r="AZ3984" s="68" t="str">
        <f t="shared" si="394"/>
        <v>No</v>
      </c>
      <c r="BA3984" s="68" t="str">
        <f t="shared" si="395"/>
        <v>No</v>
      </c>
    </row>
    <row r="3985" spans="1:53" hidden="1">
      <c r="A3985" t="s">
        <v>3914</v>
      </c>
      <c r="G3985" t="s">
        <v>4172</v>
      </c>
      <c r="P3985" t="s">
        <v>60</v>
      </c>
      <c r="R3985" t="s">
        <v>4116</v>
      </c>
      <c r="S3985" t="s">
        <v>1068</v>
      </c>
      <c r="V3985" t="s">
        <v>3956</v>
      </c>
      <c r="Z3985">
        <v>4</v>
      </c>
      <c r="AA3985">
        <v>4</v>
      </c>
      <c r="AC3985">
        <v>375.3</v>
      </c>
      <c r="AD3985">
        <v>24.7</v>
      </c>
      <c r="AE3985">
        <v>771.6</v>
      </c>
      <c r="AF3985">
        <v>24.7</v>
      </c>
      <c r="AJ3985" t="s">
        <v>4221</v>
      </c>
      <c r="AK3985" t="s">
        <v>4244</v>
      </c>
      <c r="AN3985">
        <v>480</v>
      </c>
      <c r="AO3985">
        <v>25</v>
      </c>
      <c r="AP3985">
        <v>340</v>
      </c>
      <c r="AQ3985">
        <v>40</v>
      </c>
      <c r="AW3985" s="28">
        <f t="shared" si="391"/>
        <v>-4.197377458376824</v>
      </c>
      <c r="AX3985">
        <f t="shared" si="392"/>
        <v>0.86956521739130432</v>
      </c>
      <c r="AY3985" s="62">
        <f t="shared" si="393"/>
        <v>-3.6498934420668032</v>
      </c>
      <c r="AZ3985" s="68" t="str">
        <f t="shared" si="394"/>
        <v>No</v>
      </c>
      <c r="BA3985" s="68" t="str">
        <f t="shared" si="395"/>
        <v>No</v>
      </c>
    </row>
    <row r="3986" spans="1:53" hidden="1">
      <c r="A3986" t="s">
        <v>3914</v>
      </c>
      <c r="G3986" t="s">
        <v>4176</v>
      </c>
      <c r="P3986" t="s">
        <v>60</v>
      </c>
      <c r="R3986" t="s">
        <v>4116</v>
      </c>
      <c r="S3986" t="s">
        <v>1068</v>
      </c>
      <c r="V3986" t="s">
        <v>3956</v>
      </c>
      <c r="Z3986">
        <v>4</v>
      </c>
      <c r="AA3986">
        <v>4</v>
      </c>
      <c r="AC3986">
        <v>381</v>
      </c>
      <c r="AD3986">
        <v>24</v>
      </c>
      <c r="AE3986">
        <v>833.4</v>
      </c>
      <c r="AF3986">
        <v>24</v>
      </c>
      <c r="AJ3986" t="s">
        <v>4224</v>
      </c>
      <c r="AK3986" t="s">
        <v>4244</v>
      </c>
      <c r="AN3986">
        <v>375</v>
      </c>
      <c r="AO3986">
        <v>40</v>
      </c>
      <c r="AP3986">
        <v>260</v>
      </c>
      <c r="AQ3986">
        <v>20</v>
      </c>
      <c r="AW3986" s="28">
        <f t="shared" si="391"/>
        <v>-3.6366193091936365</v>
      </c>
      <c r="AX3986">
        <f t="shared" si="392"/>
        <v>0.86956521739130432</v>
      </c>
      <c r="AY3986" s="62">
        <f t="shared" si="393"/>
        <v>-3.1622776601683795</v>
      </c>
      <c r="AZ3986" s="68" t="str">
        <f t="shared" si="394"/>
        <v>No</v>
      </c>
      <c r="BA3986" s="68" t="str">
        <f t="shared" si="395"/>
        <v>No</v>
      </c>
    </row>
    <row r="3987" spans="1:53" ht="15" hidden="1">
      <c r="A3987" t="s">
        <v>3914</v>
      </c>
      <c r="G3987" t="s">
        <v>4171</v>
      </c>
      <c r="P3987" t="s">
        <v>60</v>
      </c>
      <c r="R3987" t="s">
        <v>4116</v>
      </c>
      <c r="S3987" t="s">
        <v>1068</v>
      </c>
      <c r="V3987" t="s">
        <v>3956</v>
      </c>
      <c r="W3987" s="56"/>
      <c r="Z3987">
        <v>15</v>
      </c>
      <c r="AA3987">
        <v>15</v>
      </c>
      <c r="AC3987" s="80">
        <v>355.3</v>
      </c>
      <c r="AD3987">
        <v>24</v>
      </c>
      <c r="AE3987" s="80">
        <v>1608.7</v>
      </c>
      <c r="AF3987">
        <v>24</v>
      </c>
      <c r="AJ3987" t="s">
        <v>1202</v>
      </c>
      <c r="AK3987" t="s">
        <v>4093</v>
      </c>
      <c r="AN3987">
        <v>89</v>
      </c>
      <c r="AO3987">
        <v>9</v>
      </c>
      <c r="AP3987">
        <v>69</v>
      </c>
      <c r="AQ3987">
        <v>12</v>
      </c>
      <c r="AW3987" s="28">
        <f t="shared" si="391"/>
        <v>-1.8856180831641267</v>
      </c>
      <c r="AX3987">
        <f t="shared" si="392"/>
        <v>0.97297297297297303</v>
      </c>
      <c r="AY3987" s="62">
        <f t="shared" si="393"/>
        <v>-1.834655432267799</v>
      </c>
      <c r="AZ3987" s="68" t="str">
        <f t="shared" si="394"/>
        <v>No</v>
      </c>
      <c r="BA3987" s="68" t="str">
        <f t="shared" si="395"/>
        <v>No</v>
      </c>
    </row>
    <row r="3988" spans="1:53" ht="15" hidden="1">
      <c r="A3988" t="s">
        <v>3914</v>
      </c>
      <c r="G3988" t="s">
        <v>4171</v>
      </c>
      <c r="P3988" t="s">
        <v>60</v>
      </c>
      <c r="R3988" t="s">
        <v>4116</v>
      </c>
      <c r="S3988" t="s">
        <v>1068</v>
      </c>
      <c r="V3988" t="s">
        <v>3956</v>
      </c>
      <c r="W3988" s="56"/>
      <c r="Z3988">
        <v>15</v>
      </c>
      <c r="AA3988">
        <v>15</v>
      </c>
      <c r="AC3988" s="80">
        <v>355.3</v>
      </c>
      <c r="AD3988">
        <v>24</v>
      </c>
      <c r="AE3988" s="80">
        <v>1608.7</v>
      </c>
      <c r="AF3988">
        <v>24</v>
      </c>
      <c r="AJ3988" t="s">
        <v>1202</v>
      </c>
      <c r="AK3988" t="s">
        <v>4093</v>
      </c>
      <c r="AN3988">
        <v>89</v>
      </c>
      <c r="AO3988">
        <v>9</v>
      </c>
      <c r="AP3988">
        <v>58</v>
      </c>
      <c r="AQ3988">
        <v>12</v>
      </c>
      <c r="AW3988" s="28">
        <f t="shared" si="391"/>
        <v>-2.9227080289043963</v>
      </c>
      <c r="AX3988">
        <f t="shared" si="392"/>
        <v>0.97297297297297303</v>
      </c>
      <c r="AY3988" s="62">
        <f t="shared" si="393"/>
        <v>-2.8437159200150885</v>
      </c>
      <c r="AZ3988" s="68" t="str">
        <f t="shared" si="394"/>
        <v>No</v>
      </c>
      <c r="BA3988" s="68" t="str">
        <f t="shared" si="395"/>
        <v>No</v>
      </c>
    </row>
    <row r="3989" spans="1:53" ht="15" hidden="1">
      <c r="A3989" t="s">
        <v>3914</v>
      </c>
      <c r="G3989" s="56" t="s">
        <v>4171</v>
      </c>
      <c r="P3989" t="s">
        <v>60</v>
      </c>
      <c r="R3989" t="s">
        <v>4116</v>
      </c>
      <c r="S3989" s="56" t="s">
        <v>1068</v>
      </c>
      <c r="V3989" t="s">
        <v>3956</v>
      </c>
      <c r="W3989" s="56"/>
      <c r="Z3989">
        <v>15</v>
      </c>
      <c r="AA3989">
        <v>15</v>
      </c>
      <c r="AC3989" s="80">
        <v>355.3</v>
      </c>
      <c r="AD3989">
        <v>24</v>
      </c>
      <c r="AE3989" s="80">
        <v>1608.7</v>
      </c>
      <c r="AF3989">
        <v>24</v>
      </c>
      <c r="AJ3989" s="56" t="s">
        <v>4253</v>
      </c>
      <c r="AK3989" t="s">
        <v>4258</v>
      </c>
      <c r="AN3989">
        <v>61</v>
      </c>
      <c r="AO3989">
        <v>16</v>
      </c>
      <c r="AP3989">
        <v>35</v>
      </c>
      <c r="AQ3989">
        <v>13</v>
      </c>
      <c r="AW3989" s="28">
        <f t="shared" si="391"/>
        <v>-1.7835852854820919</v>
      </c>
      <c r="AX3989">
        <f t="shared" si="392"/>
        <v>0.97297297297297303</v>
      </c>
      <c r="AY3989" s="62">
        <f t="shared" si="393"/>
        <v>-1.7353802777663598</v>
      </c>
      <c r="AZ3989" s="68" t="str">
        <f t="shared" si="394"/>
        <v>No</v>
      </c>
      <c r="BA3989" s="68" t="str">
        <f t="shared" si="395"/>
        <v>No</v>
      </c>
    </row>
    <row r="3990" spans="1:53" ht="15" hidden="1">
      <c r="A3990" t="s">
        <v>3914</v>
      </c>
      <c r="G3990" t="s">
        <v>4171</v>
      </c>
      <c r="P3990" t="s">
        <v>60</v>
      </c>
      <c r="R3990" t="s">
        <v>4116</v>
      </c>
      <c r="S3990" s="56" t="s">
        <v>1068</v>
      </c>
      <c r="V3990" t="s">
        <v>3956</v>
      </c>
      <c r="W3990" s="56"/>
      <c r="Z3990">
        <v>15</v>
      </c>
      <c r="AA3990">
        <v>15</v>
      </c>
      <c r="AC3990" s="80">
        <v>355.3</v>
      </c>
      <c r="AD3990">
        <v>24</v>
      </c>
      <c r="AE3990" s="80">
        <v>1608.7</v>
      </c>
      <c r="AF3990">
        <v>24</v>
      </c>
      <c r="AJ3990" s="56" t="s">
        <v>4253</v>
      </c>
      <c r="AK3990" t="s">
        <v>4258</v>
      </c>
      <c r="AN3990">
        <v>61</v>
      </c>
      <c r="AO3990">
        <v>16</v>
      </c>
      <c r="AP3990">
        <v>61</v>
      </c>
      <c r="AQ3990">
        <v>16</v>
      </c>
      <c r="AW3990" s="28">
        <f t="shared" si="391"/>
        <v>0</v>
      </c>
      <c r="AX3990">
        <f t="shared" si="392"/>
        <v>0.97297297297297303</v>
      </c>
      <c r="AY3990" s="62">
        <f t="shared" si="393"/>
        <v>0</v>
      </c>
      <c r="AZ3990" s="68" t="str">
        <f t="shared" si="394"/>
        <v>No</v>
      </c>
      <c r="BA3990" s="68" t="str">
        <f t="shared" si="395"/>
        <v>No</v>
      </c>
    </row>
    <row r="3991" spans="1:53" ht="15" hidden="1">
      <c r="A3991" t="s">
        <v>3914</v>
      </c>
      <c r="G3991" t="s">
        <v>4171</v>
      </c>
      <c r="P3991" t="s">
        <v>60</v>
      </c>
      <c r="R3991" t="s">
        <v>4116</v>
      </c>
      <c r="S3991" t="s">
        <v>1070</v>
      </c>
      <c r="V3991" t="s">
        <v>3956</v>
      </c>
      <c r="W3991" s="56"/>
      <c r="Z3991">
        <v>15</v>
      </c>
      <c r="AA3991">
        <v>15</v>
      </c>
      <c r="AC3991" s="80">
        <v>355.3</v>
      </c>
      <c r="AD3991">
        <v>24</v>
      </c>
      <c r="AE3991" s="80">
        <v>1480.4</v>
      </c>
      <c r="AF3991">
        <v>24</v>
      </c>
      <c r="AJ3991" t="s">
        <v>4216</v>
      </c>
      <c r="AK3991" t="s">
        <v>4244</v>
      </c>
      <c r="AN3991">
        <v>222</v>
      </c>
      <c r="AO3991">
        <v>36.793341788970459</v>
      </c>
      <c r="AP3991">
        <v>170</v>
      </c>
      <c r="AQ3991">
        <v>18.590320061795602</v>
      </c>
      <c r="AW3991" s="28">
        <f t="shared" si="391"/>
        <v>-1.7839263628340269</v>
      </c>
      <c r="AX3991">
        <f t="shared" si="392"/>
        <v>0.97297297297297303</v>
      </c>
      <c r="AY3991" s="62">
        <f t="shared" si="393"/>
        <v>-1.7357121368114858</v>
      </c>
      <c r="AZ3991" s="68" t="str">
        <f t="shared" si="394"/>
        <v>No</v>
      </c>
      <c r="BA3991" s="68" t="str">
        <f t="shared" si="395"/>
        <v>No</v>
      </c>
    </row>
    <row r="3992" spans="1:53" ht="15" hidden="1">
      <c r="A3992" t="s">
        <v>3914</v>
      </c>
      <c r="G3992" t="s">
        <v>4171</v>
      </c>
      <c r="P3992" t="s">
        <v>60</v>
      </c>
      <c r="R3992" t="s">
        <v>4116</v>
      </c>
      <c r="S3992" t="s">
        <v>1069</v>
      </c>
      <c r="V3992" t="s">
        <v>3956</v>
      </c>
      <c r="W3992" s="56"/>
      <c r="Z3992">
        <v>15</v>
      </c>
      <c r="AA3992">
        <v>15</v>
      </c>
      <c r="AC3992" s="80">
        <v>355.3</v>
      </c>
      <c r="AD3992">
        <v>24</v>
      </c>
      <c r="AE3992" s="80">
        <v>1480.4</v>
      </c>
      <c r="AF3992">
        <v>24</v>
      </c>
      <c r="AJ3992" t="s">
        <v>4216</v>
      </c>
      <c r="AK3992" t="s">
        <v>4244</v>
      </c>
      <c r="AN3992">
        <v>400</v>
      </c>
      <c r="AO3992">
        <v>17.815723392554116</v>
      </c>
      <c r="AP3992">
        <v>202</v>
      </c>
      <c r="AQ3992">
        <v>25.17439175034821</v>
      </c>
      <c r="AW3992" s="28">
        <f t="shared" si="391"/>
        <v>-9.0793693156086679</v>
      </c>
      <c r="AX3992">
        <f t="shared" si="392"/>
        <v>0.97297297297297303</v>
      </c>
      <c r="AY3992" s="62">
        <f t="shared" si="393"/>
        <v>-8.8339809557273536</v>
      </c>
      <c r="AZ3992" s="68" t="str">
        <f t="shared" si="394"/>
        <v>No</v>
      </c>
      <c r="BA3992" s="68" t="str">
        <f t="shared" si="395"/>
        <v>No</v>
      </c>
    </row>
    <row r="3993" spans="1:53" ht="15" hidden="1">
      <c r="A3993" t="s">
        <v>3914</v>
      </c>
      <c r="G3993" t="s">
        <v>4171</v>
      </c>
      <c r="P3993" t="s">
        <v>60</v>
      </c>
      <c r="R3993" t="s">
        <v>4116</v>
      </c>
      <c r="S3993" t="s">
        <v>1070</v>
      </c>
      <c r="V3993" t="s">
        <v>3956</v>
      </c>
      <c r="W3993" s="56"/>
      <c r="Z3993">
        <v>15</v>
      </c>
      <c r="AA3993">
        <v>15</v>
      </c>
      <c r="AC3993" s="80">
        <v>355.3</v>
      </c>
      <c r="AD3993">
        <v>24</v>
      </c>
      <c r="AE3993" s="80">
        <v>1480.4</v>
      </c>
      <c r="AF3993">
        <v>24</v>
      </c>
      <c r="AJ3993" t="s">
        <v>4216</v>
      </c>
      <c r="AK3993" t="s">
        <v>4244</v>
      </c>
      <c r="AN3993">
        <v>222</v>
      </c>
      <c r="AO3993">
        <v>36.793341788970459</v>
      </c>
      <c r="AP3993">
        <v>170</v>
      </c>
      <c r="AQ3993">
        <v>25.948988419589696</v>
      </c>
      <c r="AW3993" s="28">
        <f t="shared" si="391"/>
        <v>-1.6333556330585819</v>
      </c>
      <c r="AX3993">
        <f t="shared" si="392"/>
        <v>0.97297297297297303</v>
      </c>
      <c r="AY3993" s="62">
        <f t="shared" si="393"/>
        <v>-1.589210886219161</v>
      </c>
      <c r="AZ3993" s="68" t="str">
        <f t="shared" si="394"/>
        <v>No</v>
      </c>
      <c r="BA3993" s="68" t="str">
        <f t="shared" si="395"/>
        <v>No</v>
      </c>
    </row>
    <row r="3994" spans="1:53" ht="15" hidden="1">
      <c r="A3994" t="s">
        <v>3914</v>
      </c>
      <c r="G3994" t="s">
        <v>4171</v>
      </c>
      <c r="P3994" t="s">
        <v>60</v>
      </c>
      <c r="R3994" t="s">
        <v>4116</v>
      </c>
      <c r="S3994" t="s">
        <v>1069</v>
      </c>
      <c r="V3994" t="s">
        <v>3956</v>
      </c>
      <c r="W3994" s="56"/>
      <c r="Z3994">
        <v>15</v>
      </c>
      <c r="AA3994">
        <v>15</v>
      </c>
      <c r="AC3994" s="80">
        <v>355.3</v>
      </c>
      <c r="AD3994">
        <v>24</v>
      </c>
      <c r="AE3994" s="80">
        <v>1480.4</v>
      </c>
      <c r="AF3994">
        <v>24</v>
      </c>
      <c r="AJ3994" t="s">
        <v>4216</v>
      </c>
      <c r="AK3994" t="s">
        <v>4244</v>
      </c>
      <c r="AN3994">
        <v>400</v>
      </c>
      <c r="AO3994">
        <v>17.815723392554116</v>
      </c>
      <c r="AP3994">
        <v>200</v>
      </c>
      <c r="AQ3994">
        <v>46.475800154489008</v>
      </c>
      <c r="AW3994" s="28">
        <f t="shared" si="391"/>
        <v>-5.6825979047688602</v>
      </c>
      <c r="AX3994">
        <f t="shared" si="392"/>
        <v>0.97297297297297303</v>
      </c>
      <c r="AY3994" s="62">
        <f t="shared" si="393"/>
        <v>-5.5290141776129458</v>
      </c>
      <c r="AZ3994" s="68" t="str">
        <f t="shared" si="394"/>
        <v>No</v>
      </c>
      <c r="BA3994" s="68" t="str">
        <f t="shared" si="395"/>
        <v>No</v>
      </c>
    </row>
    <row r="3995" spans="1:53" ht="15" hidden="1">
      <c r="A3995" t="s">
        <v>3914</v>
      </c>
      <c r="G3995" t="s">
        <v>4171</v>
      </c>
      <c r="P3995" t="s">
        <v>60</v>
      </c>
      <c r="R3995" t="s">
        <v>4116</v>
      </c>
      <c r="S3995" t="s">
        <v>1068</v>
      </c>
      <c r="V3995" t="s">
        <v>3956</v>
      </c>
      <c r="W3995" s="56"/>
      <c r="Z3995">
        <v>15</v>
      </c>
      <c r="AA3995">
        <v>15</v>
      </c>
      <c r="AC3995" s="80">
        <v>355.3</v>
      </c>
      <c r="AD3995">
        <v>24</v>
      </c>
      <c r="AE3995" s="80">
        <v>1608.7</v>
      </c>
      <c r="AF3995">
        <v>24</v>
      </c>
      <c r="AJ3995" t="s">
        <v>4216</v>
      </c>
      <c r="AK3995" t="s">
        <v>4244</v>
      </c>
      <c r="AN3995">
        <v>360</v>
      </c>
      <c r="AO3995">
        <v>54.22176684690384</v>
      </c>
      <c r="AP3995">
        <v>260</v>
      </c>
      <c r="AQ3995">
        <v>46.475800154489008</v>
      </c>
      <c r="AW3995" s="28">
        <f t="shared" si="391"/>
        <v>-1.9802950859533484</v>
      </c>
      <c r="AX3995">
        <f t="shared" si="392"/>
        <v>0.97297297297297303</v>
      </c>
      <c r="AY3995" s="62">
        <f t="shared" si="393"/>
        <v>-1.9267735971437985</v>
      </c>
      <c r="AZ3995" s="68" t="str">
        <f t="shared" si="394"/>
        <v>No</v>
      </c>
      <c r="BA3995" s="68" t="str">
        <f t="shared" si="395"/>
        <v>No</v>
      </c>
    </row>
    <row r="3996" spans="1:53" ht="15" hidden="1">
      <c r="A3996" t="s">
        <v>3914</v>
      </c>
      <c r="G3996" t="s">
        <v>4171</v>
      </c>
      <c r="P3996" t="s">
        <v>60</v>
      </c>
      <c r="R3996" t="s">
        <v>4116</v>
      </c>
      <c r="S3996" t="s">
        <v>1068</v>
      </c>
      <c r="V3996" t="s">
        <v>3956</v>
      </c>
      <c r="W3996" s="56"/>
      <c r="Z3996">
        <v>15</v>
      </c>
      <c r="AA3996">
        <v>15</v>
      </c>
      <c r="AC3996" s="80">
        <v>355.3</v>
      </c>
      <c r="AD3996">
        <v>24</v>
      </c>
      <c r="AE3996" s="80">
        <v>1608.7</v>
      </c>
      <c r="AF3996">
        <v>24</v>
      </c>
      <c r="AJ3996" t="s">
        <v>4216</v>
      </c>
      <c r="AK3996" t="s">
        <v>4244</v>
      </c>
      <c r="AN3996">
        <v>360</v>
      </c>
      <c r="AO3996">
        <v>54.22176684690384</v>
      </c>
      <c r="AP3996">
        <v>300</v>
      </c>
      <c r="AQ3996">
        <v>65.840716885526092</v>
      </c>
      <c r="AW3996" s="28">
        <f t="shared" si="391"/>
        <v>-0.99483200674761385</v>
      </c>
      <c r="AX3996">
        <f t="shared" si="392"/>
        <v>0.97297297297297303</v>
      </c>
      <c r="AY3996" s="62">
        <f t="shared" si="393"/>
        <v>-0.96794465521389461</v>
      </c>
      <c r="AZ3996" s="68" t="str">
        <f t="shared" si="394"/>
        <v>No</v>
      </c>
      <c r="BA3996" s="68" t="str">
        <f t="shared" si="395"/>
        <v>No</v>
      </c>
    </row>
    <row r="3997" spans="1:53" hidden="1">
      <c r="A3997" t="s">
        <v>3914</v>
      </c>
      <c r="G3997" t="s">
        <v>4175</v>
      </c>
      <c r="P3997" t="s">
        <v>60</v>
      </c>
      <c r="R3997" t="s">
        <v>4116</v>
      </c>
      <c r="S3997" t="s">
        <v>4110</v>
      </c>
      <c r="V3997" t="s">
        <v>3956</v>
      </c>
      <c r="Z3997">
        <v>4</v>
      </c>
      <c r="AA3997">
        <v>4</v>
      </c>
      <c r="AC3997">
        <v>564</v>
      </c>
      <c r="AD3997">
        <v>24.8</v>
      </c>
      <c r="AE3997">
        <v>2052</v>
      </c>
      <c r="AF3997">
        <v>24.8</v>
      </c>
      <c r="AJ3997" t="s">
        <v>4223</v>
      </c>
      <c r="AK3997" t="s">
        <v>4244</v>
      </c>
      <c r="AN3997">
        <v>3.4</v>
      </c>
      <c r="AO3997">
        <v>0.2</v>
      </c>
      <c r="AP3997">
        <v>3.1</v>
      </c>
      <c r="AQ3997">
        <v>0.2</v>
      </c>
      <c r="AW3997" s="28">
        <f t="shared" si="391"/>
        <v>-1.4999999999999991</v>
      </c>
      <c r="AX3997">
        <f t="shared" si="392"/>
        <v>0.86956521739130432</v>
      </c>
      <c r="AY3997" s="62">
        <f t="shared" si="393"/>
        <v>-1.3043478260869557</v>
      </c>
      <c r="AZ3997" s="68" t="str">
        <f t="shared" si="394"/>
        <v>No</v>
      </c>
      <c r="BA3997" s="68" t="str">
        <f t="shared" si="395"/>
        <v>No</v>
      </c>
    </row>
    <row r="3998" spans="1:53" hidden="1">
      <c r="A3998" t="s">
        <v>3914</v>
      </c>
      <c r="G3998" t="s">
        <v>4175</v>
      </c>
      <c r="P3998" t="s">
        <v>60</v>
      </c>
      <c r="R3998" t="s">
        <v>4116</v>
      </c>
      <c r="S3998" t="s">
        <v>4110</v>
      </c>
      <c r="V3998" t="s">
        <v>3956</v>
      </c>
      <c r="Z3998">
        <v>4</v>
      </c>
      <c r="AA3998">
        <v>4</v>
      </c>
      <c r="AC3998">
        <v>564</v>
      </c>
      <c r="AD3998">
        <v>24.6</v>
      </c>
      <c r="AE3998">
        <v>736</v>
      </c>
      <c r="AF3998">
        <v>24.6</v>
      </c>
      <c r="AJ3998" t="s">
        <v>4223</v>
      </c>
      <c r="AK3998" t="s">
        <v>4244</v>
      </c>
      <c r="AN3998">
        <v>3.4</v>
      </c>
      <c r="AO3998">
        <v>0.2</v>
      </c>
      <c r="AP3998">
        <v>3.2</v>
      </c>
      <c r="AQ3998">
        <v>0.45</v>
      </c>
      <c r="AW3998" s="28">
        <f t="shared" si="391"/>
        <v>-0.57436652689418966</v>
      </c>
      <c r="AX3998">
        <f t="shared" si="392"/>
        <v>0.86956521739130432</v>
      </c>
      <c r="AY3998" s="62">
        <f t="shared" si="393"/>
        <v>-0.49944915382103444</v>
      </c>
      <c r="AZ3998" s="68" t="str">
        <f t="shared" si="394"/>
        <v>No</v>
      </c>
      <c r="BA3998" s="68" t="str">
        <f t="shared" si="395"/>
        <v>No</v>
      </c>
    </row>
    <row r="3999" spans="1:53" hidden="1">
      <c r="A3999" t="s">
        <v>3914</v>
      </c>
      <c r="G3999" t="s">
        <v>4175</v>
      </c>
      <c r="P3999" t="s">
        <v>4596</v>
      </c>
      <c r="R3999" t="s">
        <v>4664</v>
      </c>
      <c r="S3999" t="s">
        <v>4110</v>
      </c>
      <c r="V3999" t="s">
        <v>4600</v>
      </c>
      <c r="Z3999">
        <v>4</v>
      </c>
      <c r="AA3999">
        <v>4</v>
      </c>
      <c r="AC3999">
        <v>696</v>
      </c>
      <c r="AD3999">
        <v>24</v>
      </c>
      <c r="AE3999">
        <v>1922</v>
      </c>
      <c r="AF3999">
        <v>30</v>
      </c>
      <c r="AJ3999" t="s">
        <v>4223</v>
      </c>
      <c r="AK3999" t="s">
        <v>4681</v>
      </c>
      <c r="AN3999">
        <v>7.2</v>
      </c>
      <c r="AO3999">
        <v>0.5</v>
      </c>
      <c r="AP3999">
        <v>6.1</v>
      </c>
      <c r="AQ3999">
        <v>0.5</v>
      </c>
      <c r="AW3999" s="28">
        <f t="shared" si="391"/>
        <v>-2.2000000000000011</v>
      </c>
      <c r="AX3999">
        <f t="shared" si="392"/>
        <v>0.86956521739130432</v>
      </c>
      <c r="AY3999" s="62">
        <f t="shared" si="393"/>
        <v>-1.9130434782608705</v>
      </c>
      <c r="AZ3999" s="68" t="str">
        <f t="shared" si="394"/>
        <v>No</v>
      </c>
      <c r="BA3999" s="68" t="str">
        <f t="shared" si="395"/>
        <v>No</v>
      </c>
    </row>
    <row r="4000" spans="1:53" hidden="1">
      <c r="A4000" t="s">
        <v>3914</v>
      </c>
      <c r="G4000" t="s">
        <v>4175</v>
      </c>
      <c r="P4000" t="s">
        <v>60</v>
      </c>
      <c r="R4000" t="s">
        <v>4116</v>
      </c>
      <c r="S4000" t="s">
        <v>4110</v>
      </c>
      <c r="V4000" t="s">
        <v>3956</v>
      </c>
      <c r="Z4000">
        <v>4</v>
      </c>
      <c r="AA4000">
        <v>4</v>
      </c>
      <c r="AC4000">
        <v>564</v>
      </c>
      <c r="AD4000">
        <v>24.6</v>
      </c>
      <c r="AE4000">
        <v>736</v>
      </c>
      <c r="AF4000">
        <v>24.6</v>
      </c>
      <c r="AJ4000" t="s">
        <v>4223</v>
      </c>
      <c r="AK4000" t="s">
        <v>4244</v>
      </c>
      <c r="AN4000">
        <v>7.2</v>
      </c>
      <c r="AO4000">
        <v>0.5</v>
      </c>
      <c r="AP4000">
        <v>7.6</v>
      </c>
      <c r="AQ4000">
        <v>0.7</v>
      </c>
      <c r="AW4000" s="28">
        <f t="shared" si="391"/>
        <v>0.65759594922142839</v>
      </c>
      <c r="AX4000">
        <f t="shared" si="392"/>
        <v>0.86956521739130432</v>
      </c>
      <c r="AY4000" s="62">
        <f t="shared" si="393"/>
        <v>0.5718225645403725</v>
      </c>
      <c r="AZ4000" s="68" t="str">
        <f t="shared" si="394"/>
        <v>No</v>
      </c>
      <c r="BA4000" s="68" t="str">
        <f t="shared" si="395"/>
        <v>No</v>
      </c>
    </row>
    <row r="4001" spans="1:53" hidden="1">
      <c r="A4001" t="s">
        <v>3914</v>
      </c>
      <c r="G4001" t="s">
        <v>4960</v>
      </c>
      <c r="P4001" t="s">
        <v>4596</v>
      </c>
      <c r="R4001" t="s">
        <v>4664</v>
      </c>
      <c r="S4001" t="s">
        <v>4110</v>
      </c>
      <c r="V4001" t="s">
        <v>4598</v>
      </c>
      <c r="Z4001">
        <v>4</v>
      </c>
      <c r="AA4001">
        <v>4</v>
      </c>
      <c r="AC4001">
        <v>696</v>
      </c>
      <c r="AD4001">
        <v>24</v>
      </c>
      <c r="AE4001">
        <v>475.7</v>
      </c>
      <c r="AF4001">
        <v>30</v>
      </c>
      <c r="AJ4001" t="s">
        <v>4680</v>
      </c>
      <c r="AK4001" t="s">
        <v>4681</v>
      </c>
      <c r="AN4001">
        <v>7.2</v>
      </c>
      <c r="AO4001">
        <v>0.5</v>
      </c>
      <c r="AP4001">
        <v>6.4</v>
      </c>
      <c r="AQ4001">
        <v>1.2</v>
      </c>
      <c r="AW4001" s="28">
        <f t="shared" si="391"/>
        <v>-0.87028526915267368</v>
      </c>
      <c r="AX4001">
        <f t="shared" si="392"/>
        <v>0.86956521739130432</v>
      </c>
      <c r="AY4001" s="62">
        <f t="shared" si="393"/>
        <v>-0.75676979926319443</v>
      </c>
      <c r="AZ4001" s="68" t="str">
        <f t="shared" si="394"/>
        <v>No</v>
      </c>
      <c r="BA4001" s="68" t="str">
        <f t="shared" si="395"/>
        <v>No</v>
      </c>
    </row>
    <row r="4002" spans="1:53" hidden="1">
      <c r="A4002" t="s">
        <v>3914</v>
      </c>
      <c r="G4002" t="s">
        <v>4199</v>
      </c>
      <c r="P4002" t="s">
        <v>60</v>
      </c>
      <c r="R4002" t="s">
        <v>4116</v>
      </c>
      <c r="S4002" t="s">
        <v>1083</v>
      </c>
      <c r="V4002" t="s">
        <v>3956</v>
      </c>
      <c r="Z4002">
        <v>48</v>
      </c>
      <c r="AA4002">
        <v>48</v>
      </c>
      <c r="AC4002">
        <v>390</v>
      </c>
      <c r="AD4002">
        <v>15.5</v>
      </c>
      <c r="AE4002">
        <v>2400</v>
      </c>
      <c r="AF4002">
        <v>15.5</v>
      </c>
      <c r="AJ4002" t="s">
        <v>4065</v>
      </c>
      <c r="AK4002" t="s">
        <v>4258</v>
      </c>
      <c r="AN4002">
        <v>17.5</v>
      </c>
      <c r="AO4002">
        <v>11</v>
      </c>
      <c r="AP4002">
        <v>0.5</v>
      </c>
      <c r="AQ4002">
        <v>1.5</v>
      </c>
      <c r="AW4002" s="28">
        <f t="shared" si="391"/>
        <v>-2.1655611680148388</v>
      </c>
      <c r="AX4002">
        <f t="shared" si="392"/>
        <v>0.99199999999999999</v>
      </c>
      <c r="AY4002" s="62">
        <f t="shared" si="393"/>
        <v>-2.1482366786707199</v>
      </c>
      <c r="AZ4002" s="68" t="str">
        <f t="shared" si="394"/>
        <v>No</v>
      </c>
      <c r="BA4002" s="68" t="str">
        <f t="shared" si="395"/>
        <v>No</v>
      </c>
    </row>
    <row r="4003" spans="1:53" hidden="1">
      <c r="A4003" t="s">
        <v>3914</v>
      </c>
      <c r="G4003" t="s">
        <v>4199</v>
      </c>
      <c r="P4003" t="s">
        <v>60</v>
      </c>
      <c r="R4003" t="s">
        <v>4116</v>
      </c>
      <c r="S4003" t="s">
        <v>1083</v>
      </c>
      <c r="V4003" t="s">
        <v>3956</v>
      </c>
      <c r="Z4003">
        <v>48</v>
      </c>
      <c r="AA4003">
        <v>48</v>
      </c>
      <c r="AC4003">
        <v>390</v>
      </c>
      <c r="AD4003">
        <v>15.5</v>
      </c>
      <c r="AE4003">
        <v>2400</v>
      </c>
      <c r="AF4003">
        <v>15.5</v>
      </c>
      <c r="AJ4003" t="s">
        <v>4237</v>
      </c>
      <c r="AK4003" t="s">
        <v>4244</v>
      </c>
      <c r="AN4003">
        <v>4</v>
      </c>
      <c r="AO4003">
        <v>1.7</v>
      </c>
      <c r="AP4003">
        <v>3.65</v>
      </c>
      <c r="AQ4003">
        <v>1.6</v>
      </c>
      <c r="AW4003" s="28">
        <f t="shared" si="391"/>
        <v>-0.21202388648538398</v>
      </c>
      <c r="AX4003">
        <f t="shared" si="392"/>
        <v>0.99199999999999999</v>
      </c>
      <c r="AY4003" s="62">
        <f t="shared" si="393"/>
        <v>-0.21032769539350091</v>
      </c>
      <c r="AZ4003" s="68" t="str">
        <f t="shared" si="394"/>
        <v>No</v>
      </c>
      <c r="BA4003" s="68" t="str">
        <f t="shared" si="395"/>
        <v>No</v>
      </c>
    </row>
    <row r="4004" spans="1:53" hidden="1">
      <c r="A4004" t="s">
        <v>3914</v>
      </c>
      <c r="G4004" t="s">
        <v>4199</v>
      </c>
      <c r="P4004" t="s">
        <v>60</v>
      </c>
      <c r="R4004" t="s">
        <v>4116</v>
      </c>
      <c r="S4004" t="s">
        <v>1083</v>
      </c>
      <c r="V4004" t="s">
        <v>3956</v>
      </c>
      <c r="Z4004">
        <v>48</v>
      </c>
      <c r="AA4004">
        <v>48</v>
      </c>
      <c r="AC4004">
        <v>390</v>
      </c>
      <c r="AD4004">
        <v>15.5</v>
      </c>
      <c r="AE4004">
        <v>2400</v>
      </c>
      <c r="AF4004">
        <v>15.5</v>
      </c>
      <c r="AJ4004" t="s">
        <v>4216</v>
      </c>
      <c r="AK4004" t="s">
        <v>4244</v>
      </c>
      <c r="AN4004">
        <v>102</v>
      </c>
      <c r="AO4004">
        <v>7</v>
      </c>
      <c r="AP4004">
        <v>77.5</v>
      </c>
      <c r="AQ4004">
        <v>2.5</v>
      </c>
      <c r="AW4004" s="28">
        <f t="shared" si="391"/>
        <v>-4.661384642714042</v>
      </c>
      <c r="AX4004">
        <f t="shared" si="392"/>
        <v>0.99199999999999999</v>
      </c>
      <c r="AY4004" s="62">
        <f t="shared" si="393"/>
        <v>-4.6240935655723296</v>
      </c>
      <c r="AZ4004" s="68" t="str">
        <f t="shared" si="394"/>
        <v>No</v>
      </c>
      <c r="BA4004" s="68" t="str">
        <f t="shared" si="395"/>
        <v>No</v>
      </c>
    </row>
    <row r="4005" spans="1:53" hidden="1">
      <c r="A4005" t="s">
        <v>3914</v>
      </c>
      <c r="G4005" t="s">
        <v>4199</v>
      </c>
      <c r="P4005" t="s">
        <v>60</v>
      </c>
      <c r="R4005" t="s">
        <v>4116</v>
      </c>
      <c r="S4005" t="s">
        <v>1083</v>
      </c>
      <c r="V4005" t="s">
        <v>3956</v>
      </c>
      <c r="Z4005">
        <v>48</v>
      </c>
      <c r="AA4005">
        <v>48</v>
      </c>
      <c r="AC4005">
        <v>390</v>
      </c>
      <c r="AD4005">
        <v>15.5</v>
      </c>
      <c r="AE4005">
        <v>2400</v>
      </c>
      <c r="AF4005">
        <v>15.5</v>
      </c>
      <c r="AJ4005" t="s">
        <v>4065</v>
      </c>
      <c r="AK4005" t="s">
        <v>4258</v>
      </c>
      <c r="AN4005">
        <v>9</v>
      </c>
      <c r="AO4005">
        <v>6</v>
      </c>
      <c r="AP4005">
        <v>6.5</v>
      </c>
      <c r="AQ4005">
        <v>5.5</v>
      </c>
      <c r="AW4005" s="28">
        <f t="shared" si="391"/>
        <v>-0.4343722427630694</v>
      </c>
      <c r="AX4005">
        <f t="shared" si="392"/>
        <v>0.99199999999999999</v>
      </c>
      <c r="AY4005" s="62">
        <f t="shared" si="393"/>
        <v>-0.43089726482096485</v>
      </c>
      <c r="AZ4005" s="68" t="str">
        <f t="shared" si="394"/>
        <v>No</v>
      </c>
      <c r="BA4005" s="68" t="str">
        <f t="shared" si="395"/>
        <v>No</v>
      </c>
    </row>
    <row r="4006" spans="1:53" hidden="1">
      <c r="A4006" t="s">
        <v>3914</v>
      </c>
      <c r="G4006" t="s">
        <v>4199</v>
      </c>
      <c r="P4006" t="s">
        <v>60</v>
      </c>
      <c r="R4006" t="s">
        <v>4116</v>
      </c>
      <c r="S4006" t="s">
        <v>1083</v>
      </c>
      <c r="V4006" t="s">
        <v>3956</v>
      </c>
      <c r="Z4006">
        <v>48</v>
      </c>
      <c r="AA4006">
        <v>48</v>
      </c>
      <c r="AC4006">
        <v>390</v>
      </c>
      <c r="AD4006">
        <v>15.5</v>
      </c>
      <c r="AE4006">
        <v>2400</v>
      </c>
      <c r="AF4006">
        <v>15.5</v>
      </c>
      <c r="AJ4006" t="s">
        <v>4216</v>
      </c>
      <c r="AK4006" t="s">
        <v>4244</v>
      </c>
      <c r="AN4006">
        <v>105</v>
      </c>
      <c r="AO4006">
        <v>6.5</v>
      </c>
      <c r="AP4006">
        <v>66</v>
      </c>
      <c r="AQ4006">
        <v>6</v>
      </c>
      <c r="AW4006" s="28">
        <f t="shared" si="391"/>
        <v>-6.2350139824239657</v>
      </c>
      <c r="AX4006">
        <f t="shared" si="392"/>
        <v>0.99199999999999999</v>
      </c>
      <c r="AY4006" s="62">
        <f t="shared" si="393"/>
        <v>-6.1851338705645738</v>
      </c>
      <c r="AZ4006" s="68" t="str">
        <f t="shared" si="394"/>
        <v>No</v>
      </c>
      <c r="BA4006" s="68" t="str">
        <f t="shared" si="395"/>
        <v>No</v>
      </c>
    </row>
    <row r="4007" spans="1:53" hidden="1">
      <c r="A4007" t="s">
        <v>3914</v>
      </c>
      <c r="G4007" t="s">
        <v>4182</v>
      </c>
      <c r="P4007" t="s">
        <v>60</v>
      </c>
      <c r="R4007" t="s">
        <v>4116</v>
      </c>
      <c r="S4007" t="s">
        <v>1759</v>
      </c>
      <c r="V4007" t="s">
        <v>3956</v>
      </c>
      <c r="Z4007">
        <v>6</v>
      </c>
      <c r="AA4007">
        <v>6</v>
      </c>
      <c r="AC4007">
        <v>468</v>
      </c>
      <c r="AD4007">
        <v>20.46</v>
      </c>
      <c r="AE4007">
        <v>1065</v>
      </c>
      <c r="AF4007">
        <v>20.309999999999999</v>
      </c>
      <c r="AJ4007" t="s">
        <v>4229</v>
      </c>
      <c r="AK4007" t="s">
        <v>4244</v>
      </c>
      <c r="AN4007">
        <v>74</v>
      </c>
      <c r="AO4007">
        <v>3</v>
      </c>
      <c r="AP4007">
        <v>55</v>
      </c>
      <c r="AQ4007">
        <v>10.5</v>
      </c>
      <c r="AW4007" s="28">
        <f t="shared" si="391"/>
        <v>-2.4605908513050689</v>
      </c>
      <c r="AX4007">
        <f t="shared" si="392"/>
        <v>0.92307692307692313</v>
      </c>
      <c r="AY4007" s="62">
        <f t="shared" si="393"/>
        <v>-2.2713146319739099</v>
      </c>
      <c r="AZ4007" s="68" t="str">
        <f t="shared" si="394"/>
        <v>No</v>
      </c>
      <c r="BA4007" s="68" t="str">
        <f t="shared" si="395"/>
        <v>No</v>
      </c>
    </row>
    <row r="4008" spans="1:53" hidden="1">
      <c r="A4008" t="s">
        <v>3914</v>
      </c>
      <c r="G4008" t="s">
        <v>5095</v>
      </c>
      <c r="P4008" t="s">
        <v>60</v>
      </c>
      <c r="R4008" t="s">
        <v>4509</v>
      </c>
      <c r="S4008" t="s">
        <v>4530</v>
      </c>
      <c r="V4008" t="s">
        <v>3956</v>
      </c>
      <c r="Z4008">
        <v>4</v>
      </c>
      <c r="AA4008">
        <v>4</v>
      </c>
      <c r="AC4008">
        <v>600</v>
      </c>
      <c r="AD4008">
        <v>25.5</v>
      </c>
      <c r="AE4008">
        <v>3270</v>
      </c>
      <c r="AF4008">
        <v>25.5</v>
      </c>
      <c r="AJ4008" t="s">
        <v>4065</v>
      </c>
      <c r="AK4008" t="s">
        <v>4491</v>
      </c>
      <c r="AN4008">
        <v>20</v>
      </c>
      <c r="AO4008">
        <v>3</v>
      </c>
      <c r="AP4008">
        <v>12</v>
      </c>
      <c r="AQ4008">
        <v>3</v>
      </c>
      <c r="AW4008" s="28">
        <f t="shared" si="391"/>
        <v>-2.6666666666666665</v>
      </c>
      <c r="AX4008">
        <f t="shared" si="392"/>
        <v>0.86956521739130432</v>
      </c>
      <c r="AY4008" s="62">
        <f t="shared" si="393"/>
        <v>-2.3188405797101446</v>
      </c>
      <c r="AZ4008" s="68" t="str">
        <f t="shared" si="394"/>
        <v>No</v>
      </c>
      <c r="BA4008" s="68" t="str">
        <f t="shared" si="395"/>
        <v>No</v>
      </c>
    </row>
    <row r="4009" spans="1:53" hidden="1">
      <c r="A4009" s="77" t="s">
        <v>3914</v>
      </c>
      <c r="G4009" s="77" t="s">
        <v>4545</v>
      </c>
      <c r="P4009" s="77" t="s">
        <v>60</v>
      </c>
      <c r="Q4009" s="77"/>
      <c r="R4009" s="77" t="s">
        <v>4509</v>
      </c>
      <c r="S4009" s="77" t="s">
        <v>4548</v>
      </c>
      <c r="T4009" s="77"/>
      <c r="U4009" s="77"/>
      <c r="V4009" s="77" t="s">
        <v>3956</v>
      </c>
      <c r="W4009" s="77"/>
      <c r="X4009" s="77"/>
      <c r="Y4009" s="77"/>
      <c r="Z4009" s="77">
        <v>4</v>
      </c>
      <c r="AA4009" s="77">
        <v>4</v>
      </c>
      <c r="AB4009" s="77"/>
      <c r="AC4009" s="77">
        <v>504.4</v>
      </c>
      <c r="AD4009" s="77">
        <v>20</v>
      </c>
      <c r="AE4009" s="77">
        <v>1089.4000000000001</v>
      </c>
      <c r="AF4009" s="77">
        <v>20</v>
      </c>
      <c r="AG4009" s="77"/>
      <c r="AH4009" s="77"/>
      <c r="AI4009" s="77"/>
      <c r="AJ4009" s="77" t="s">
        <v>4065</v>
      </c>
      <c r="AK4009" s="77" t="s">
        <v>4491</v>
      </c>
      <c r="AN4009" s="77">
        <v>12</v>
      </c>
      <c r="AO4009" s="77">
        <v>9</v>
      </c>
      <c r="AP4009" s="77">
        <v>0</v>
      </c>
      <c r="AQ4009" s="77">
        <v>0</v>
      </c>
      <c r="AW4009" s="28">
        <f t="shared" si="391"/>
        <v>-1.8856180831641267</v>
      </c>
      <c r="AX4009">
        <f t="shared" si="392"/>
        <v>0.86956521739130432</v>
      </c>
      <c r="AY4009" s="62">
        <f t="shared" si="393"/>
        <v>-1.6396678984035884</v>
      </c>
      <c r="AZ4009" s="68" t="str">
        <f t="shared" si="394"/>
        <v>No</v>
      </c>
      <c r="BA4009" s="68" t="str">
        <f t="shared" si="395"/>
        <v>No</v>
      </c>
    </row>
    <row r="4010" spans="1:53" hidden="1">
      <c r="A4010" s="77" t="s">
        <v>3914</v>
      </c>
      <c r="G4010" s="77" t="s">
        <v>5094</v>
      </c>
      <c r="P4010" s="77" t="s">
        <v>60</v>
      </c>
      <c r="Q4010" s="77"/>
      <c r="R4010" s="77" t="s">
        <v>4509</v>
      </c>
      <c r="S4010" s="77" t="s">
        <v>4547</v>
      </c>
      <c r="T4010" s="77"/>
      <c r="U4010" s="77"/>
      <c r="V4010" s="77" t="s">
        <v>3956</v>
      </c>
      <c r="W4010" s="77"/>
      <c r="X4010" s="77"/>
      <c r="Y4010" s="77"/>
      <c r="Z4010" s="77">
        <v>6</v>
      </c>
      <c r="AA4010" s="77">
        <v>6</v>
      </c>
      <c r="AB4010" s="77"/>
      <c r="AC4010" s="77">
        <v>504.4</v>
      </c>
      <c r="AD4010" s="77">
        <v>20</v>
      </c>
      <c r="AE4010" s="77">
        <v>1089.4000000000001</v>
      </c>
      <c r="AF4010" s="77">
        <v>20</v>
      </c>
      <c r="AG4010" s="77"/>
      <c r="AH4010" s="77"/>
      <c r="AI4010" s="77"/>
      <c r="AJ4010" s="77" t="s">
        <v>4065</v>
      </c>
      <c r="AK4010" s="77" t="s">
        <v>4491</v>
      </c>
      <c r="AN4010" s="77">
        <v>15</v>
      </c>
      <c r="AO4010" s="77">
        <v>10</v>
      </c>
      <c r="AP4010" s="77">
        <v>9</v>
      </c>
      <c r="AQ4010" s="77">
        <v>4</v>
      </c>
      <c r="AW4010" s="28">
        <f t="shared" si="391"/>
        <v>-0.78783859715833526</v>
      </c>
      <c r="AX4010">
        <f t="shared" si="392"/>
        <v>0.92307692307692313</v>
      </c>
      <c r="AY4010" s="62">
        <f t="shared" si="393"/>
        <v>-0.72723562814615572</v>
      </c>
      <c r="AZ4010" s="68" t="str">
        <f t="shared" si="394"/>
        <v>No</v>
      </c>
      <c r="BA4010" s="68" t="str">
        <f t="shared" si="395"/>
        <v>No</v>
      </c>
    </row>
    <row r="4011" spans="1:53" ht="15" hidden="1">
      <c r="A4011" s="56" t="s">
        <v>3914</v>
      </c>
      <c r="G4011" s="56" t="s">
        <v>3918</v>
      </c>
      <c r="P4011" s="56" t="s">
        <v>60</v>
      </c>
      <c r="Q4011" s="56"/>
      <c r="R4011" s="56" t="s">
        <v>3942</v>
      </c>
      <c r="S4011" s="56" t="s">
        <v>1012</v>
      </c>
      <c r="T4011" s="56"/>
      <c r="U4011" s="56"/>
      <c r="V4011" s="56" t="s">
        <v>3956</v>
      </c>
      <c r="W4011" s="56"/>
      <c r="X4011" s="56"/>
      <c r="Y4011" s="56"/>
      <c r="Z4011" s="56">
        <v>8</v>
      </c>
      <c r="AA4011" s="56">
        <v>8</v>
      </c>
      <c r="AB4011" s="56"/>
      <c r="AC4011" s="56">
        <v>373</v>
      </c>
      <c r="AD4011" s="56">
        <v>28.7</v>
      </c>
      <c r="AE4011" s="56">
        <v>726</v>
      </c>
      <c r="AF4011" s="56">
        <v>28.7</v>
      </c>
      <c r="AG4011" s="56"/>
      <c r="AH4011" s="56"/>
      <c r="AI4011" s="56"/>
      <c r="AJ4011" s="56" t="s">
        <v>108</v>
      </c>
      <c r="AK4011" s="56" t="s">
        <v>904</v>
      </c>
      <c r="AN4011" s="56">
        <v>0.11</v>
      </c>
      <c r="AO4011" s="56">
        <v>2.8861501272920313E-2</v>
      </c>
      <c r="AP4011" s="56">
        <v>0.15</v>
      </c>
      <c r="AQ4011" s="56">
        <v>2.1646125954690232E-2</v>
      </c>
      <c r="AW4011" s="28">
        <f t="shared" si="391"/>
        <v>1.5679999999999996</v>
      </c>
      <c r="AX4011">
        <f t="shared" si="392"/>
        <v>0.94545454545454544</v>
      </c>
      <c r="AY4011" s="62">
        <f t="shared" si="393"/>
        <v>1.4824727272727269</v>
      </c>
      <c r="AZ4011" s="68" t="str">
        <f t="shared" si="394"/>
        <v>No</v>
      </c>
      <c r="BA4011" s="68" t="str">
        <f t="shared" si="395"/>
        <v>No</v>
      </c>
    </row>
    <row r="4012" spans="1:53" hidden="1">
      <c r="A4012" t="s">
        <v>3914</v>
      </c>
      <c r="G4012" t="s">
        <v>3918</v>
      </c>
      <c r="P4012" t="s">
        <v>60</v>
      </c>
      <c r="R4012" t="s">
        <v>3942</v>
      </c>
      <c r="S4012" t="s">
        <v>1012</v>
      </c>
      <c r="V4012" t="s">
        <v>3956</v>
      </c>
      <c r="Z4012">
        <v>8</v>
      </c>
      <c r="AA4012">
        <v>8</v>
      </c>
      <c r="AC4012">
        <v>2641</v>
      </c>
      <c r="AD4012">
        <v>28.7</v>
      </c>
      <c r="AE4012">
        <v>4610</v>
      </c>
      <c r="AF4012">
        <v>28.7</v>
      </c>
      <c r="AJ4012" t="s">
        <v>108</v>
      </c>
      <c r="AK4012" t="s">
        <v>904</v>
      </c>
      <c r="AN4012">
        <v>0.11</v>
      </c>
      <c r="AO4012">
        <f>(0.02/1.96)*SQRT(8)</f>
        <v>2.8861501272920313E-2</v>
      </c>
      <c r="AP4012">
        <v>0.17</v>
      </c>
      <c r="AQ4012">
        <f>(0.02/1.96)*SQRT(8)</f>
        <v>2.8861501272920313E-2</v>
      </c>
      <c r="AW4012" s="28">
        <f t="shared" si="391"/>
        <v>2.0788939366884498</v>
      </c>
      <c r="AX4012">
        <f t="shared" si="392"/>
        <v>0.94545454545454544</v>
      </c>
      <c r="AY4012" s="62">
        <f t="shared" si="393"/>
        <v>1.9654997219599888</v>
      </c>
      <c r="AZ4012" s="68" t="str">
        <f t="shared" si="394"/>
        <v>No</v>
      </c>
      <c r="BA4012" s="68" t="str">
        <f t="shared" si="395"/>
        <v>No</v>
      </c>
    </row>
    <row r="4013" spans="1:53" hidden="1">
      <c r="A4013" t="s">
        <v>3914</v>
      </c>
      <c r="G4013" s="50" t="s">
        <v>3918</v>
      </c>
      <c r="P4013" t="s">
        <v>60</v>
      </c>
      <c r="R4013" t="s">
        <v>3942</v>
      </c>
      <c r="S4013" t="s">
        <v>1012</v>
      </c>
      <c r="V4013" t="s">
        <v>3956</v>
      </c>
      <c r="Z4013">
        <v>12</v>
      </c>
      <c r="AA4013">
        <v>12</v>
      </c>
      <c r="AC4013">
        <v>417</v>
      </c>
      <c r="AD4013">
        <v>28.5</v>
      </c>
      <c r="AE4013">
        <v>1278</v>
      </c>
      <c r="AF4013">
        <v>28.5</v>
      </c>
      <c r="AJ4013" s="50" t="s">
        <v>665</v>
      </c>
      <c r="AK4013" t="s">
        <v>904</v>
      </c>
      <c r="AN4013">
        <v>0.45</v>
      </c>
      <c r="AO4013">
        <v>8.2500000000000004E-2</v>
      </c>
      <c r="AP4013">
        <v>0.3</v>
      </c>
      <c r="AQ4013">
        <v>0.13500000000000001</v>
      </c>
      <c r="AW4013" s="28">
        <f t="shared" si="391"/>
        <v>-1.3408030463079819</v>
      </c>
      <c r="AX4013">
        <f t="shared" si="392"/>
        <v>0.96551724137931039</v>
      </c>
      <c r="AY4013" s="62">
        <f t="shared" si="393"/>
        <v>-1.2945684585042585</v>
      </c>
      <c r="AZ4013" s="68" t="str">
        <f t="shared" si="394"/>
        <v>No</v>
      </c>
      <c r="BA4013" s="68" t="str">
        <f t="shared" si="395"/>
        <v>No</v>
      </c>
    </row>
    <row r="4014" spans="1:53" hidden="1">
      <c r="A4014" t="s">
        <v>3914</v>
      </c>
      <c r="G4014" t="s">
        <v>3918</v>
      </c>
      <c r="P4014" t="s">
        <v>60</v>
      </c>
      <c r="R4014" t="s">
        <v>3942</v>
      </c>
      <c r="S4014" t="s">
        <v>1012</v>
      </c>
      <c r="V4014" t="s">
        <v>3956</v>
      </c>
      <c r="Z4014">
        <v>12</v>
      </c>
      <c r="AA4014">
        <v>12</v>
      </c>
      <c r="AC4014">
        <v>417</v>
      </c>
      <c r="AD4014">
        <v>28.5</v>
      </c>
      <c r="AE4014">
        <v>1278</v>
      </c>
      <c r="AF4014">
        <v>28.5</v>
      </c>
      <c r="AJ4014" t="s">
        <v>3985</v>
      </c>
      <c r="AK4014" t="s">
        <v>904</v>
      </c>
      <c r="AN4014">
        <v>1.3</v>
      </c>
      <c r="AO4014">
        <f>1*0.75</f>
        <v>0.75</v>
      </c>
      <c r="AP4014">
        <v>2.1</v>
      </c>
      <c r="AQ4014">
        <f>0.4*0.75</f>
        <v>0.30000000000000004</v>
      </c>
      <c r="AW4014" s="28">
        <f t="shared" si="391"/>
        <v>1.4006019505037075</v>
      </c>
      <c r="AX4014">
        <f t="shared" si="392"/>
        <v>0.96551724137931039</v>
      </c>
      <c r="AY4014" s="62">
        <f t="shared" si="393"/>
        <v>1.3523053315208211</v>
      </c>
      <c r="AZ4014" s="68" t="str">
        <f t="shared" si="394"/>
        <v>No</v>
      </c>
      <c r="BA4014" s="68" t="str">
        <f t="shared" si="395"/>
        <v>No</v>
      </c>
    </row>
    <row r="4015" spans="1:53" hidden="1">
      <c r="A4015" t="s">
        <v>3914</v>
      </c>
      <c r="G4015" t="s">
        <v>4386</v>
      </c>
      <c r="P4015" t="s">
        <v>60</v>
      </c>
      <c r="R4015" t="s">
        <v>4357</v>
      </c>
      <c r="S4015" t="s">
        <v>1647</v>
      </c>
      <c r="V4015" t="s">
        <v>3956</v>
      </c>
      <c r="Z4015">
        <v>6</v>
      </c>
      <c r="AA4015">
        <v>6</v>
      </c>
      <c r="AC4015">
        <v>487</v>
      </c>
      <c r="AD4015" s="55">
        <v>27</v>
      </c>
      <c r="AE4015">
        <v>1261</v>
      </c>
      <c r="AF4015" s="55">
        <v>27</v>
      </c>
      <c r="AJ4015" t="s">
        <v>4434</v>
      </c>
      <c r="AK4015" t="s">
        <v>4244</v>
      </c>
      <c r="AN4015">
        <v>0.36</v>
      </c>
      <c r="AO4015">
        <v>2.0625000000000001E-2</v>
      </c>
      <c r="AP4015">
        <v>0.3</v>
      </c>
      <c r="AQ4015">
        <v>1.4999999999999999E-2</v>
      </c>
      <c r="AW4015" s="28">
        <f t="shared" si="391"/>
        <v>-3.3272015674242321</v>
      </c>
      <c r="AX4015">
        <f t="shared" si="392"/>
        <v>0.92307692307692313</v>
      </c>
      <c r="AY4015" s="62">
        <f t="shared" si="393"/>
        <v>-3.071262985314676</v>
      </c>
      <c r="AZ4015" s="68" t="str">
        <f t="shared" si="394"/>
        <v>No</v>
      </c>
      <c r="BA4015" s="68" t="str">
        <f t="shared" si="395"/>
        <v>No</v>
      </c>
    </row>
    <row r="4016" spans="1:53" hidden="1">
      <c r="A4016" t="s">
        <v>3914</v>
      </c>
      <c r="G4016" t="s">
        <v>4386</v>
      </c>
      <c r="P4016" t="s">
        <v>60</v>
      </c>
      <c r="R4016" t="s">
        <v>4357</v>
      </c>
      <c r="S4016" t="s">
        <v>1647</v>
      </c>
      <c r="V4016" t="s">
        <v>3956</v>
      </c>
      <c r="Z4016">
        <v>6</v>
      </c>
      <c r="AA4016">
        <v>6</v>
      </c>
      <c r="AC4016">
        <v>487</v>
      </c>
      <c r="AD4016" s="55">
        <v>27</v>
      </c>
      <c r="AE4016">
        <v>1768</v>
      </c>
      <c r="AF4016" s="55">
        <v>27</v>
      </c>
      <c r="AJ4016" t="s">
        <v>4434</v>
      </c>
      <c r="AK4016" t="s">
        <v>4244</v>
      </c>
      <c r="AN4016">
        <v>0.36</v>
      </c>
      <c r="AO4016">
        <v>2.0625000000000001E-2</v>
      </c>
      <c r="AP4016">
        <v>0.30499999999999999</v>
      </c>
      <c r="AQ4016">
        <v>2.6250000000000002E-2</v>
      </c>
      <c r="AW4016" s="28">
        <f t="shared" si="391"/>
        <v>-2.3299509809826433</v>
      </c>
      <c r="AX4016">
        <f t="shared" si="392"/>
        <v>0.92307692307692313</v>
      </c>
      <c r="AY4016" s="62">
        <f t="shared" si="393"/>
        <v>-2.1507239824455171</v>
      </c>
      <c r="AZ4016" s="68" t="str">
        <f t="shared" si="394"/>
        <v>No</v>
      </c>
      <c r="BA4016" s="68" t="str">
        <f t="shared" si="395"/>
        <v>No</v>
      </c>
    </row>
    <row r="4017" spans="1:53" hidden="1">
      <c r="A4017" t="s">
        <v>3914</v>
      </c>
      <c r="G4017" t="s">
        <v>4386</v>
      </c>
      <c r="P4017" t="s">
        <v>60</v>
      </c>
      <c r="R4017" t="s">
        <v>4357</v>
      </c>
      <c r="S4017" t="s">
        <v>1647</v>
      </c>
      <c r="V4017" t="s">
        <v>3956</v>
      </c>
      <c r="Z4017">
        <v>6</v>
      </c>
      <c r="AA4017">
        <v>6</v>
      </c>
      <c r="AC4017">
        <v>487</v>
      </c>
      <c r="AD4017" s="55">
        <v>27</v>
      </c>
      <c r="AE4017">
        <v>1261</v>
      </c>
      <c r="AF4017" s="55">
        <v>27</v>
      </c>
      <c r="AJ4017" t="s">
        <v>4146</v>
      </c>
      <c r="AK4017" t="s">
        <v>4151</v>
      </c>
      <c r="AN4017">
        <v>97.7</v>
      </c>
      <c r="AO4017">
        <v>1.7249999999999999</v>
      </c>
      <c r="AP4017">
        <v>93</v>
      </c>
      <c r="AQ4017">
        <v>1.5</v>
      </c>
      <c r="AW4017" s="28">
        <f t="shared" si="391"/>
        <v>-2.9076607590265064</v>
      </c>
      <c r="AX4017">
        <f t="shared" si="392"/>
        <v>0.92307692307692313</v>
      </c>
      <c r="AY4017" s="62">
        <f t="shared" si="393"/>
        <v>-2.6839945467936985</v>
      </c>
      <c r="AZ4017" s="68" t="str">
        <f t="shared" si="394"/>
        <v>No</v>
      </c>
      <c r="BA4017" s="68" t="str">
        <f t="shared" si="395"/>
        <v>No</v>
      </c>
    </row>
    <row r="4018" spans="1:53" hidden="1">
      <c r="A4018" t="s">
        <v>3914</v>
      </c>
      <c r="G4018" t="s">
        <v>5026</v>
      </c>
      <c r="P4018" t="s">
        <v>60</v>
      </c>
      <c r="R4018" t="s">
        <v>4357</v>
      </c>
      <c r="S4018" t="s">
        <v>1647</v>
      </c>
      <c r="V4018" t="s">
        <v>3956</v>
      </c>
      <c r="Z4018">
        <v>6</v>
      </c>
      <c r="AA4018">
        <v>6</v>
      </c>
      <c r="AC4018">
        <v>487</v>
      </c>
      <c r="AD4018" s="55">
        <v>27</v>
      </c>
      <c r="AE4018">
        <v>1261</v>
      </c>
      <c r="AF4018" s="55">
        <v>27</v>
      </c>
      <c r="AJ4018" t="s">
        <v>4388</v>
      </c>
      <c r="AK4018" t="s">
        <v>4093</v>
      </c>
      <c r="AN4018">
        <v>96</v>
      </c>
      <c r="AO4018">
        <v>4.5</v>
      </c>
      <c r="AP4018">
        <v>99</v>
      </c>
      <c r="AQ4018">
        <v>2.25</v>
      </c>
      <c r="AW4018" s="28">
        <f t="shared" si="391"/>
        <v>0.84327404271156781</v>
      </c>
      <c r="AX4018">
        <f t="shared" si="392"/>
        <v>0.92307692307692313</v>
      </c>
      <c r="AY4018" s="62">
        <f t="shared" si="393"/>
        <v>0.77840680865683187</v>
      </c>
      <c r="AZ4018" s="68" t="str">
        <f t="shared" si="394"/>
        <v>No</v>
      </c>
      <c r="BA4018" s="68" t="str">
        <f t="shared" si="395"/>
        <v>No</v>
      </c>
    </row>
    <row r="4019" spans="1:53" hidden="1">
      <c r="A4019" t="s">
        <v>3914</v>
      </c>
      <c r="G4019" t="s">
        <v>4386</v>
      </c>
      <c r="P4019" t="s">
        <v>60</v>
      </c>
      <c r="R4019" t="s">
        <v>4357</v>
      </c>
      <c r="S4019" t="s">
        <v>1647</v>
      </c>
      <c r="V4019" t="s">
        <v>3956</v>
      </c>
      <c r="Z4019">
        <v>6</v>
      </c>
      <c r="AA4019">
        <v>6</v>
      </c>
      <c r="AC4019">
        <v>487</v>
      </c>
      <c r="AD4019" s="55">
        <v>27</v>
      </c>
      <c r="AE4019">
        <v>1768</v>
      </c>
      <c r="AF4019" s="55">
        <v>27</v>
      </c>
      <c r="AJ4019" t="s">
        <v>4388</v>
      </c>
      <c r="AK4019" t="s">
        <v>4093</v>
      </c>
      <c r="AN4019">
        <v>96</v>
      </c>
      <c r="AO4019">
        <v>4.5</v>
      </c>
      <c r="AP4019">
        <v>97.5</v>
      </c>
      <c r="AQ4019">
        <v>2.25</v>
      </c>
      <c r="AW4019" s="28">
        <f t="shared" si="391"/>
        <v>0.4216370213557839</v>
      </c>
      <c r="AX4019">
        <f t="shared" si="392"/>
        <v>0.92307692307692313</v>
      </c>
      <c r="AY4019" s="62">
        <f t="shared" si="393"/>
        <v>0.38920340432841594</v>
      </c>
      <c r="AZ4019" s="68" t="str">
        <f t="shared" si="394"/>
        <v>No</v>
      </c>
      <c r="BA4019" s="68" t="str">
        <f t="shared" si="395"/>
        <v>No</v>
      </c>
    </row>
    <row r="4020" spans="1:53" hidden="1">
      <c r="A4020" t="s">
        <v>3914</v>
      </c>
      <c r="G4020" t="s">
        <v>4386</v>
      </c>
      <c r="P4020" t="s">
        <v>60</v>
      </c>
      <c r="R4020" t="s">
        <v>4357</v>
      </c>
      <c r="S4020" t="s">
        <v>1647</v>
      </c>
      <c r="V4020" t="s">
        <v>3956</v>
      </c>
      <c r="Z4020">
        <v>6</v>
      </c>
      <c r="AA4020">
        <v>6</v>
      </c>
      <c r="AC4020">
        <v>487</v>
      </c>
      <c r="AD4020" s="55">
        <v>27</v>
      </c>
      <c r="AE4020">
        <v>1768</v>
      </c>
      <c r="AF4020" s="55">
        <v>27</v>
      </c>
      <c r="AJ4020" t="s">
        <v>4496</v>
      </c>
      <c r="AK4020" t="s">
        <v>4123</v>
      </c>
      <c r="AN4020">
        <v>6.7</v>
      </c>
      <c r="AO4020">
        <v>1.2247448713915889</v>
      </c>
      <c r="AP4020">
        <v>13.5</v>
      </c>
      <c r="AQ4020">
        <v>3.4292856398964489</v>
      </c>
      <c r="AW4020" s="28">
        <f t="shared" si="391"/>
        <v>2.6409011670940994</v>
      </c>
      <c r="AX4020">
        <f t="shared" si="392"/>
        <v>0.92307692307692313</v>
      </c>
      <c r="AY4020" s="62">
        <f t="shared" si="393"/>
        <v>2.4377549234714766</v>
      </c>
      <c r="AZ4020" s="68" t="str">
        <f t="shared" si="394"/>
        <v>No</v>
      </c>
      <c r="BA4020" s="68" t="str">
        <f t="shared" si="395"/>
        <v>No</v>
      </c>
    </row>
    <row r="4021" spans="1:53" hidden="1">
      <c r="A4021" t="s">
        <v>3914</v>
      </c>
      <c r="G4021" t="s">
        <v>4386</v>
      </c>
      <c r="P4021" t="s">
        <v>60</v>
      </c>
      <c r="R4021" t="s">
        <v>4357</v>
      </c>
      <c r="S4021" t="s">
        <v>1647</v>
      </c>
      <c r="V4021" t="s">
        <v>3956</v>
      </c>
      <c r="Z4021">
        <v>6</v>
      </c>
      <c r="AA4021">
        <v>6</v>
      </c>
      <c r="AC4021">
        <v>487</v>
      </c>
      <c r="AD4021" s="55">
        <v>27</v>
      </c>
      <c r="AE4021">
        <v>1768</v>
      </c>
      <c r="AF4021" s="55">
        <v>27</v>
      </c>
      <c r="AJ4021" t="s">
        <v>4146</v>
      </c>
      <c r="AK4021" t="s">
        <v>4151</v>
      </c>
      <c r="AN4021">
        <v>97.7</v>
      </c>
      <c r="AO4021">
        <v>1.7249999999999999</v>
      </c>
      <c r="AP4021">
        <v>88</v>
      </c>
      <c r="AQ4021">
        <v>4.5</v>
      </c>
      <c r="AW4021" s="28">
        <f t="shared" si="391"/>
        <v>-2.8464465115882764</v>
      </c>
      <c r="AX4021">
        <f t="shared" si="392"/>
        <v>0.92307692307692313</v>
      </c>
      <c r="AY4021" s="62">
        <f t="shared" si="393"/>
        <v>-2.6274890876199475</v>
      </c>
      <c r="AZ4021" s="68" t="str">
        <f t="shared" si="394"/>
        <v>No</v>
      </c>
      <c r="BA4021" s="68" t="str">
        <f t="shared" si="395"/>
        <v>No</v>
      </c>
    </row>
    <row r="4022" spans="1:53" hidden="1">
      <c r="A4022" t="s">
        <v>3914</v>
      </c>
      <c r="G4022" t="s">
        <v>4386</v>
      </c>
      <c r="P4022" t="s">
        <v>60</v>
      </c>
      <c r="R4022" t="s">
        <v>4357</v>
      </c>
      <c r="S4022" t="s">
        <v>1647</v>
      </c>
      <c r="V4022" t="s">
        <v>3956</v>
      </c>
      <c r="Z4022">
        <v>6</v>
      </c>
      <c r="AA4022">
        <v>6</v>
      </c>
      <c r="AC4022">
        <v>487</v>
      </c>
      <c r="AD4022" s="55">
        <v>27</v>
      </c>
      <c r="AE4022">
        <v>1261</v>
      </c>
      <c r="AF4022" s="55">
        <v>27</v>
      </c>
      <c r="AJ4022" t="s">
        <v>4496</v>
      </c>
      <c r="AK4022" t="s">
        <v>4123</v>
      </c>
      <c r="AN4022">
        <v>6.7</v>
      </c>
      <c r="AO4022">
        <v>1.2247448713915889</v>
      </c>
      <c r="AP4022">
        <v>8</v>
      </c>
      <c r="AQ4022">
        <v>4.8989794855663558</v>
      </c>
      <c r="AW4022" s="28">
        <f t="shared" si="391"/>
        <v>0.36407282184728251</v>
      </c>
      <c r="AX4022">
        <f t="shared" si="392"/>
        <v>0.92307692307692313</v>
      </c>
      <c r="AY4022" s="62">
        <f t="shared" si="393"/>
        <v>0.33606722016672236</v>
      </c>
      <c r="AZ4022" s="68" t="str">
        <f t="shared" si="394"/>
        <v>No</v>
      </c>
      <c r="BA4022" s="68" t="str">
        <f t="shared" si="395"/>
        <v>No</v>
      </c>
    </row>
    <row r="4023" spans="1:53" hidden="1">
      <c r="A4023" t="s">
        <v>3914</v>
      </c>
      <c r="G4023" s="50" t="s">
        <v>4347</v>
      </c>
      <c r="P4023" t="s">
        <v>60</v>
      </c>
      <c r="R4023" t="s">
        <v>4346</v>
      </c>
      <c r="S4023" t="s">
        <v>1771</v>
      </c>
      <c r="V4023" t="s">
        <v>3956</v>
      </c>
      <c r="Z4023">
        <v>4</v>
      </c>
      <c r="AA4023">
        <v>4</v>
      </c>
      <c r="AC4023">
        <v>536</v>
      </c>
      <c r="AD4023">
        <v>28</v>
      </c>
      <c r="AE4023">
        <v>2056</v>
      </c>
      <c r="AF4023">
        <v>28</v>
      </c>
      <c r="AJ4023" s="50" t="s">
        <v>4356</v>
      </c>
      <c r="AK4023" t="s">
        <v>4244</v>
      </c>
      <c r="AN4023">
        <v>0.46400000000000002</v>
      </c>
      <c r="AO4023">
        <v>0.02</v>
      </c>
      <c r="AP4023">
        <v>0.38500000000000001</v>
      </c>
      <c r="AQ4023">
        <v>0.02</v>
      </c>
      <c r="AW4023" s="28">
        <f t="shared" si="391"/>
        <v>-3.9500000000000006</v>
      </c>
      <c r="AX4023">
        <f t="shared" si="392"/>
        <v>0.86956521739130432</v>
      </c>
      <c r="AY4023" s="62">
        <f t="shared" si="393"/>
        <v>-3.4347826086956528</v>
      </c>
      <c r="AZ4023" s="68" t="str">
        <f t="shared" si="394"/>
        <v>No</v>
      </c>
      <c r="BA4023" s="68" t="str">
        <f t="shared" si="395"/>
        <v>No</v>
      </c>
    </row>
    <row r="4024" spans="1:53" hidden="1">
      <c r="A4024" t="s">
        <v>3914</v>
      </c>
      <c r="G4024" s="50" t="s">
        <v>4347</v>
      </c>
      <c r="P4024" t="s">
        <v>60</v>
      </c>
      <c r="R4024" t="s">
        <v>4346</v>
      </c>
      <c r="S4024" t="s">
        <v>1771</v>
      </c>
      <c r="V4024" t="s">
        <v>3956</v>
      </c>
      <c r="Z4024">
        <v>4</v>
      </c>
      <c r="AA4024">
        <v>4</v>
      </c>
      <c r="AC4024">
        <v>536</v>
      </c>
      <c r="AD4024">
        <v>28</v>
      </c>
      <c r="AE4024">
        <v>1211</v>
      </c>
      <c r="AF4024">
        <v>28</v>
      </c>
      <c r="AJ4024" t="s">
        <v>4356</v>
      </c>
      <c r="AK4024" t="s">
        <v>4244</v>
      </c>
      <c r="AN4024">
        <v>0.46400000000000002</v>
      </c>
      <c r="AO4024">
        <v>0.02</v>
      </c>
      <c r="AP4024">
        <v>0.38</v>
      </c>
      <c r="AQ4024">
        <v>0.03</v>
      </c>
      <c r="AW4024" s="28">
        <f t="shared" si="391"/>
        <v>-3.2947510703214924</v>
      </c>
      <c r="AX4024">
        <f t="shared" si="392"/>
        <v>0.86956521739130432</v>
      </c>
      <c r="AY4024" s="62">
        <f t="shared" si="393"/>
        <v>-2.8650009307143409</v>
      </c>
      <c r="AZ4024" s="68" t="str">
        <f t="shared" si="394"/>
        <v>No</v>
      </c>
      <c r="BA4024" s="68" t="str">
        <f t="shared" si="395"/>
        <v>No</v>
      </c>
    </row>
    <row r="4025" spans="1:53" hidden="1">
      <c r="A4025" t="s">
        <v>3914</v>
      </c>
      <c r="G4025" t="s">
        <v>4347</v>
      </c>
      <c r="P4025" t="s">
        <v>60</v>
      </c>
      <c r="R4025" t="s">
        <v>4346</v>
      </c>
      <c r="S4025" t="s">
        <v>1771</v>
      </c>
      <c r="V4025" t="s">
        <v>3956</v>
      </c>
      <c r="Z4025">
        <v>9</v>
      </c>
      <c r="AA4025">
        <v>9</v>
      </c>
      <c r="AC4025">
        <v>536</v>
      </c>
      <c r="AD4025">
        <v>28</v>
      </c>
      <c r="AE4025">
        <v>2056</v>
      </c>
      <c r="AF4025">
        <v>28</v>
      </c>
      <c r="AJ4025" t="s">
        <v>2020</v>
      </c>
      <c r="AK4025" t="s">
        <v>4093</v>
      </c>
      <c r="AN4025">
        <v>49.722222222222221</v>
      </c>
      <c r="AO4025">
        <v>13.141325825214302</v>
      </c>
      <c r="AP4025">
        <v>20.277777777777779</v>
      </c>
      <c r="AQ4025">
        <v>5.5739971693968826</v>
      </c>
      <c r="AW4025" s="28">
        <f t="shared" si="391"/>
        <v>-2.9171230707753937</v>
      </c>
      <c r="AX4025">
        <f t="shared" si="392"/>
        <v>0.95238095238095233</v>
      </c>
      <c r="AY4025" s="62">
        <f t="shared" si="393"/>
        <v>-2.7782124483575177</v>
      </c>
      <c r="AZ4025" s="68" t="str">
        <f t="shared" si="394"/>
        <v>No</v>
      </c>
      <c r="BA4025" s="68" t="str">
        <f t="shared" si="395"/>
        <v>No</v>
      </c>
    </row>
    <row r="4026" spans="1:53" hidden="1">
      <c r="A4026" t="s">
        <v>3914</v>
      </c>
      <c r="G4026" t="s">
        <v>4998</v>
      </c>
      <c r="P4026" t="s">
        <v>60</v>
      </c>
      <c r="R4026" t="s">
        <v>4346</v>
      </c>
      <c r="S4026" t="s">
        <v>1771</v>
      </c>
      <c r="V4026" t="s">
        <v>3956</v>
      </c>
      <c r="Z4026">
        <v>9</v>
      </c>
      <c r="AA4026">
        <v>10</v>
      </c>
      <c r="AC4026">
        <v>536</v>
      </c>
      <c r="AD4026">
        <v>28</v>
      </c>
      <c r="AE4026">
        <v>1211</v>
      </c>
      <c r="AF4026">
        <v>28</v>
      </c>
      <c r="AJ4026" t="s">
        <v>2020</v>
      </c>
      <c r="AK4026" t="s">
        <v>4093</v>
      </c>
      <c r="AN4026">
        <v>49.722222222222221</v>
      </c>
      <c r="AO4026">
        <v>13.141325825214302</v>
      </c>
      <c r="AP4026">
        <v>36.799999999999997</v>
      </c>
      <c r="AQ4026">
        <v>9.8381344211638488</v>
      </c>
      <c r="AW4026" s="28">
        <f t="shared" si="391"/>
        <v>-1.1225721684040066</v>
      </c>
      <c r="AX4026">
        <f t="shared" si="392"/>
        <v>0.95522388059701491</v>
      </c>
      <c r="AY4026" s="62">
        <f t="shared" si="393"/>
        <v>-1.072307742953081</v>
      </c>
      <c r="AZ4026" s="68" t="str">
        <f t="shared" si="394"/>
        <v>No</v>
      </c>
      <c r="BA4026" s="68" t="str">
        <f t="shared" si="395"/>
        <v>No</v>
      </c>
    </row>
    <row r="4027" spans="1:53" hidden="1">
      <c r="A4027" t="s">
        <v>3914</v>
      </c>
      <c r="G4027" t="s">
        <v>4097</v>
      </c>
      <c r="P4027" t="s">
        <v>60</v>
      </c>
      <c r="R4027" t="s">
        <v>4116</v>
      </c>
      <c r="S4027" s="50" t="s">
        <v>1074</v>
      </c>
      <c r="V4027" t="s">
        <v>3956</v>
      </c>
      <c r="Z4027">
        <v>3</v>
      </c>
      <c r="AA4027">
        <v>3</v>
      </c>
      <c r="AC4027">
        <v>694.3</v>
      </c>
      <c r="AD4027">
        <v>14.4</v>
      </c>
      <c r="AE4027">
        <v>1575.6</v>
      </c>
      <c r="AF4027">
        <v>14.3</v>
      </c>
      <c r="AJ4027" s="50" t="s">
        <v>4065</v>
      </c>
      <c r="AK4027" t="s">
        <v>4258</v>
      </c>
      <c r="AN4027">
        <v>0.81500000000000006</v>
      </c>
      <c r="AO4027">
        <v>1.5620499351813323E-2</v>
      </c>
      <c r="AP4027">
        <v>0.77433333333333332</v>
      </c>
      <c r="AQ4027">
        <v>2.0647840887931427E-2</v>
      </c>
      <c r="AW4027" s="28">
        <f t="shared" si="391"/>
        <v>-2.2213048551260619</v>
      </c>
      <c r="AX4027">
        <f t="shared" si="392"/>
        <v>0.8</v>
      </c>
      <c r="AY4027" s="62">
        <f t="shared" si="393"/>
        <v>-1.7770438841008496</v>
      </c>
      <c r="AZ4027" s="68" t="str">
        <f t="shared" si="394"/>
        <v>No</v>
      </c>
      <c r="BA4027" s="68" t="str">
        <f t="shared" si="395"/>
        <v>No</v>
      </c>
    </row>
    <row r="4028" spans="1:53" hidden="1">
      <c r="A4028" t="s">
        <v>3914</v>
      </c>
      <c r="G4028" s="50" t="s">
        <v>4097</v>
      </c>
      <c r="P4028" t="s">
        <v>60</v>
      </c>
      <c r="R4028" t="s">
        <v>4116</v>
      </c>
      <c r="S4028" s="50" t="s">
        <v>1074</v>
      </c>
      <c r="V4028" t="s">
        <v>3956</v>
      </c>
      <c r="Z4028">
        <v>3</v>
      </c>
      <c r="AA4028">
        <v>3</v>
      </c>
      <c r="AC4028">
        <v>694.3</v>
      </c>
      <c r="AD4028">
        <v>14.4</v>
      </c>
      <c r="AE4028">
        <v>2740.4</v>
      </c>
      <c r="AF4028">
        <v>14.3</v>
      </c>
      <c r="AJ4028" s="50" t="s">
        <v>4065</v>
      </c>
      <c r="AK4028" t="s">
        <v>4258</v>
      </c>
      <c r="AN4028">
        <v>0.81500000000000006</v>
      </c>
      <c r="AO4028">
        <v>1.5620499351813323E-2</v>
      </c>
      <c r="AP4028">
        <v>0.7350000000000001</v>
      </c>
      <c r="AQ4028">
        <v>3.905124837953361E-2</v>
      </c>
      <c r="AW4028" s="28">
        <f t="shared" si="391"/>
        <v>-2.6899305565563241</v>
      </c>
      <c r="AX4028">
        <f t="shared" si="392"/>
        <v>0.8</v>
      </c>
      <c r="AY4028" s="62">
        <f t="shared" si="393"/>
        <v>-2.1519444452450593</v>
      </c>
      <c r="AZ4028" s="68" t="str">
        <f t="shared" si="394"/>
        <v>No</v>
      </c>
      <c r="BA4028" s="68" t="str">
        <f t="shared" si="395"/>
        <v>No</v>
      </c>
    </row>
    <row r="4029" spans="1:53" hidden="1">
      <c r="A4029" t="s">
        <v>3914</v>
      </c>
      <c r="G4029" t="s">
        <v>4097</v>
      </c>
      <c r="P4029" t="s">
        <v>60</v>
      </c>
      <c r="R4029" t="s">
        <v>4116</v>
      </c>
      <c r="S4029" t="s">
        <v>1074</v>
      </c>
      <c r="V4029" t="s">
        <v>3956</v>
      </c>
      <c r="Z4029">
        <v>5</v>
      </c>
      <c r="AA4029">
        <v>5</v>
      </c>
      <c r="AC4029">
        <v>694.3</v>
      </c>
      <c r="AD4029">
        <v>14.4</v>
      </c>
      <c r="AE4029">
        <v>2740.4</v>
      </c>
      <c r="AF4029">
        <v>14.3</v>
      </c>
      <c r="AJ4029" t="s">
        <v>2020</v>
      </c>
      <c r="AK4029" t="s">
        <v>4093</v>
      </c>
      <c r="AN4029">
        <v>85</v>
      </c>
      <c r="AO4029">
        <v>5.3665631459994954</v>
      </c>
      <c r="AP4029">
        <v>76.19</v>
      </c>
      <c r="AQ4029">
        <v>4.4721359549995794E-2</v>
      </c>
      <c r="AW4029" s="28">
        <f t="shared" si="391"/>
        <v>-2.3215582405785793</v>
      </c>
      <c r="AX4029">
        <f t="shared" si="392"/>
        <v>0.90322580645161288</v>
      </c>
      <c r="AY4029" s="62">
        <f t="shared" si="393"/>
        <v>-2.0968913140709748</v>
      </c>
      <c r="AZ4029" s="68" t="str">
        <f t="shared" si="394"/>
        <v>No</v>
      </c>
      <c r="BA4029" s="68" t="str">
        <f t="shared" si="395"/>
        <v>No</v>
      </c>
    </row>
    <row r="4030" spans="1:53" hidden="1">
      <c r="A4030" t="s">
        <v>3914</v>
      </c>
      <c r="G4030" t="s">
        <v>4097</v>
      </c>
      <c r="P4030" t="s">
        <v>60</v>
      </c>
      <c r="R4030" t="s">
        <v>4116</v>
      </c>
      <c r="S4030" t="s">
        <v>1074</v>
      </c>
      <c r="V4030" t="s">
        <v>3956</v>
      </c>
      <c r="Z4030">
        <v>3</v>
      </c>
      <c r="AA4030">
        <v>3</v>
      </c>
      <c r="AC4030">
        <v>694.3</v>
      </c>
      <c r="AD4030">
        <v>14.4</v>
      </c>
      <c r="AE4030">
        <v>1575.6</v>
      </c>
      <c r="AF4030">
        <v>14.3</v>
      </c>
      <c r="AJ4030" t="s">
        <v>4225</v>
      </c>
      <c r="AK4030" t="s">
        <v>4244</v>
      </c>
      <c r="AN4030">
        <v>155.4</v>
      </c>
      <c r="AO4030">
        <v>0.69282032302755092</v>
      </c>
      <c r="AP4030">
        <v>148.4</v>
      </c>
      <c r="AQ4030">
        <v>1.7320508075688772</v>
      </c>
      <c r="AW4030" s="28">
        <f t="shared" si="391"/>
        <v>-5.3066863050523239</v>
      </c>
      <c r="AX4030">
        <f t="shared" si="392"/>
        <v>0.8</v>
      </c>
      <c r="AY4030" s="62">
        <f t="shared" si="393"/>
        <v>-4.2453490440418591</v>
      </c>
      <c r="AZ4030" s="68" t="str">
        <f t="shared" si="394"/>
        <v>No</v>
      </c>
      <c r="BA4030" s="68" t="str">
        <f t="shared" si="395"/>
        <v>No</v>
      </c>
    </row>
    <row r="4031" spans="1:53" hidden="1">
      <c r="A4031" t="s">
        <v>3914</v>
      </c>
      <c r="G4031" t="s">
        <v>4097</v>
      </c>
      <c r="P4031" t="s">
        <v>60</v>
      </c>
      <c r="R4031" t="s">
        <v>4116</v>
      </c>
      <c r="S4031" t="s">
        <v>1074</v>
      </c>
      <c r="V4031" t="s">
        <v>3956</v>
      </c>
      <c r="Z4031">
        <v>3</v>
      </c>
      <c r="AA4031">
        <v>3</v>
      </c>
      <c r="AC4031">
        <v>694.3</v>
      </c>
      <c r="AD4031">
        <v>14.4</v>
      </c>
      <c r="AE4031">
        <v>2740.4</v>
      </c>
      <c r="AF4031">
        <v>14.3</v>
      </c>
      <c r="AJ4031" t="s">
        <v>4225</v>
      </c>
      <c r="AK4031" t="s">
        <v>4244</v>
      </c>
      <c r="AN4031">
        <v>308.39999999999998</v>
      </c>
      <c r="AO4031">
        <v>5.8889727457341827</v>
      </c>
      <c r="AP4031">
        <v>256.10000000000002</v>
      </c>
      <c r="AQ4031">
        <v>3.9837168574084174</v>
      </c>
      <c r="AW4031" s="28">
        <f t="shared" si="391"/>
        <v>-10.402940313258858</v>
      </c>
      <c r="AX4031">
        <f t="shared" si="392"/>
        <v>0.8</v>
      </c>
      <c r="AY4031" s="62">
        <f t="shared" si="393"/>
        <v>-8.3223522506070875</v>
      </c>
      <c r="AZ4031" s="68" t="str">
        <f t="shared" si="394"/>
        <v>No</v>
      </c>
      <c r="BA4031" s="68" t="str">
        <f t="shared" si="395"/>
        <v>No</v>
      </c>
    </row>
    <row r="4032" spans="1:53" hidden="1">
      <c r="A4032" t="s">
        <v>3914</v>
      </c>
      <c r="G4032" t="s">
        <v>4097</v>
      </c>
      <c r="P4032" t="s">
        <v>60</v>
      </c>
      <c r="R4032" t="s">
        <v>4116</v>
      </c>
      <c r="S4032" t="s">
        <v>1074</v>
      </c>
      <c r="V4032" t="s">
        <v>3956</v>
      </c>
      <c r="Z4032">
        <v>3</v>
      </c>
      <c r="AA4032">
        <v>3</v>
      </c>
      <c r="AC4032">
        <v>694.3</v>
      </c>
      <c r="AD4032">
        <v>14.4</v>
      </c>
      <c r="AE4032">
        <v>2740.4</v>
      </c>
      <c r="AF4032">
        <v>14.3</v>
      </c>
      <c r="AJ4032" t="s">
        <v>4225</v>
      </c>
      <c r="AK4032" t="s">
        <v>4244</v>
      </c>
      <c r="AN4032">
        <v>155.4</v>
      </c>
      <c r="AO4032">
        <v>0.69282032302755092</v>
      </c>
      <c r="AP4032">
        <v>138.69999999999999</v>
      </c>
      <c r="AQ4032">
        <v>4.3301270189221928</v>
      </c>
      <c r="AW4032" s="28">
        <f t="shared" si="391"/>
        <v>-5.3856958908584147</v>
      </c>
      <c r="AX4032">
        <f t="shared" si="392"/>
        <v>0.8</v>
      </c>
      <c r="AY4032" s="62">
        <f t="shared" si="393"/>
        <v>-4.3085567126867321</v>
      </c>
      <c r="AZ4032" s="68" t="str">
        <f t="shared" si="394"/>
        <v>No</v>
      </c>
      <c r="BA4032" s="68" t="str">
        <f t="shared" si="395"/>
        <v>No</v>
      </c>
    </row>
    <row r="4033" spans="1:55" hidden="1">
      <c r="A4033" t="s">
        <v>3914</v>
      </c>
      <c r="G4033" t="s">
        <v>4097</v>
      </c>
      <c r="P4033" t="s">
        <v>60</v>
      </c>
      <c r="R4033" t="s">
        <v>4116</v>
      </c>
      <c r="S4033" t="s">
        <v>1074</v>
      </c>
      <c r="V4033" t="s">
        <v>3956</v>
      </c>
      <c r="Z4033">
        <v>5</v>
      </c>
      <c r="AA4033">
        <v>5</v>
      </c>
      <c r="AC4033">
        <v>694.3</v>
      </c>
      <c r="AD4033">
        <v>14.4</v>
      </c>
      <c r="AE4033">
        <v>1575.6</v>
      </c>
      <c r="AF4033">
        <v>14.3</v>
      </c>
      <c r="AJ4033" t="s">
        <v>2020</v>
      </c>
      <c r="AK4033" t="s">
        <v>4093</v>
      </c>
      <c r="AN4033">
        <v>85</v>
      </c>
      <c r="AO4033">
        <v>5.3665631459994954</v>
      </c>
      <c r="AP4033">
        <v>84</v>
      </c>
      <c r="AQ4033">
        <v>4.4721359549995796</v>
      </c>
      <c r="AW4033" s="28">
        <f t="shared" si="391"/>
        <v>-0.20244408254472901</v>
      </c>
      <c r="AX4033">
        <f t="shared" si="392"/>
        <v>0.90322580645161288</v>
      </c>
      <c r="AY4033" s="62">
        <f t="shared" si="393"/>
        <v>-0.18285271971781974</v>
      </c>
      <c r="AZ4033" s="68" t="str">
        <f t="shared" si="394"/>
        <v>No</v>
      </c>
      <c r="BA4033" s="68" t="str">
        <f t="shared" si="395"/>
        <v>No</v>
      </c>
    </row>
    <row r="4034" spans="1:55" hidden="1">
      <c r="A4034" t="s">
        <v>3914</v>
      </c>
      <c r="G4034" t="s">
        <v>4097</v>
      </c>
      <c r="P4034" t="s">
        <v>60</v>
      </c>
      <c r="R4034" t="s">
        <v>4116</v>
      </c>
      <c r="S4034" t="s">
        <v>1074</v>
      </c>
      <c r="V4034" t="s">
        <v>3956</v>
      </c>
      <c r="Z4034">
        <v>3</v>
      </c>
      <c r="AA4034">
        <v>3</v>
      </c>
      <c r="AC4034">
        <v>694.3</v>
      </c>
      <c r="AD4034">
        <v>14.4</v>
      </c>
      <c r="AE4034">
        <v>1575.6</v>
      </c>
      <c r="AF4034">
        <v>14.3</v>
      </c>
      <c r="AJ4034" t="s">
        <v>4225</v>
      </c>
      <c r="AK4034" t="s">
        <v>4244</v>
      </c>
      <c r="AN4034">
        <v>308.39999999999998</v>
      </c>
      <c r="AO4034">
        <v>5.8889727457341827</v>
      </c>
      <c r="AP4034">
        <v>257.60000000000002</v>
      </c>
      <c r="AQ4034">
        <v>5.5425625842204074</v>
      </c>
      <c r="AW4034" s="28">
        <f t="shared" si="391"/>
        <v>-8.8836171931398891</v>
      </c>
      <c r="AX4034">
        <f t="shared" si="392"/>
        <v>0.8</v>
      </c>
      <c r="AY4034" s="62">
        <f t="shared" si="393"/>
        <v>-7.106893754511912</v>
      </c>
      <c r="AZ4034" s="68" t="str">
        <f t="shared" si="394"/>
        <v>No</v>
      </c>
      <c r="BA4034" s="68" t="str">
        <f t="shared" si="395"/>
        <v>No</v>
      </c>
    </row>
    <row r="4035" spans="1:55" hidden="1">
      <c r="A4035" t="s">
        <v>3914</v>
      </c>
      <c r="G4035" t="s">
        <v>4097</v>
      </c>
      <c r="P4035" t="s">
        <v>60</v>
      </c>
      <c r="R4035" t="s">
        <v>4116</v>
      </c>
      <c r="S4035" t="s">
        <v>1074</v>
      </c>
      <c r="V4035" t="s">
        <v>3956</v>
      </c>
      <c r="Z4035">
        <v>3</v>
      </c>
      <c r="AA4035">
        <v>3</v>
      </c>
      <c r="AC4035">
        <v>694.3</v>
      </c>
      <c r="AD4035">
        <v>14.4</v>
      </c>
      <c r="AE4035">
        <v>1575.6</v>
      </c>
      <c r="AF4035">
        <v>14.3</v>
      </c>
      <c r="AJ4035" t="s">
        <v>677</v>
      </c>
      <c r="AK4035" t="s">
        <v>4093</v>
      </c>
      <c r="AN4035">
        <v>55</v>
      </c>
      <c r="AO4035">
        <v>1.7320508075688772</v>
      </c>
      <c r="AP4035">
        <v>36</v>
      </c>
      <c r="AQ4035">
        <v>10.392304845413264</v>
      </c>
      <c r="AW4035" s="28">
        <f t="shared" si="391"/>
        <v>-2.5503930098132925</v>
      </c>
      <c r="AX4035">
        <f t="shared" si="392"/>
        <v>0.8</v>
      </c>
      <c r="AY4035" s="62">
        <f t="shared" si="393"/>
        <v>-2.0403144078506341</v>
      </c>
      <c r="AZ4035" s="68" t="str">
        <f t="shared" si="394"/>
        <v>No</v>
      </c>
      <c r="BA4035" s="68" t="str">
        <f t="shared" si="395"/>
        <v>No</v>
      </c>
    </row>
    <row r="4036" spans="1:55" hidden="1">
      <c r="A4036" t="s">
        <v>3914</v>
      </c>
      <c r="G4036" t="s">
        <v>4097</v>
      </c>
      <c r="P4036" t="s">
        <v>60</v>
      </c>
      <c r="R4036" t="s">
        <v>4116</v>
      </c>
      <c r="S4036" t="s">
        <v>1074</v>
      </c>
      <c r="V4036" t="s">
        <v>3956</v>
      </c>
      <c r="Z4036">
        <v>3</v>
      </c>
      <c r="AA4036">
        <v>3</v>
      </c>
      <c r="AC4036">
        <v>694.3</v>
      </c>
      <c r="AD4036">
        <v>14.4</v>
      </c>
      <c r="AE4036">
        <v>2740.4</v>
      </c>
      <c r="AF4036">
        <v>14.3</v>
      </c>
      <c r="AJ4036" t="s">
        <v>677</v>
      </c>
      <c r="AK4036" t="s">
        <v>4093</v>
      </c>
      <c r="AN4036">
        <v>55</v>
      </c>
      <c r="AO4036">
        <v>1.7320508075688772</v>
      </c>
      <c r="AP4036">
        <v>7</v>
      </c>
      <c r="AQ4036">
        <v>12.124355652982141</v>
      </c>
      <c r="AW4036" s="28">
        <f t="shared" si="391"/>
        <v>-5.5425625842204065</v>
      </c>
      <c r="AX4036">
        <f t="shared" si="392"/>
        <v>0.8</v>
      </c>
      <c r="AY4036" s="62">
        <f t="shared" si="393"/>
        <v>-4.434050067376325</v>
      </c>
      <c r="AZ4036" s="68" t="str">
        <f t="shared" si="394"/>
        <v>No</v>
      </c>
      <c r="BA4036" s="68" t="str">
        <f t="shared" si="395"/>
        <v>No</v>
      </c>
    </row>
    <row r="4037" spans="1:55" hidden="1">
      <c r="A4037" t="s">
        <v>3914</v>
      </c>
      <c r="G4037" t="s">
        <v>4329</v>
      </c>
      <c r="P4037" t="s">
        <v>60</v>
      </c>
      <c r="R4037" t="s">
        <v>4286</v>
      </c>
      <c r="S4037" t="s">
        <v>4295</v>
      </c>
      <c r="V4037" t="s">
        <v>3956</v>
      </c>
      <c r="Z4037">
        <v>3</v>
      </c>
      <c r="AA4037">
        <v>3</v>
      </c>
      <c r="AC4037">
        <v>434.12</v>
      </c>
      <c r="AD4037">
        <v>15.42</v>
      </c>
      <c r="AE4037">
        <v>1028</v>
      </c>
      <c r="AF4037">
        <v>16.059999999999999</v>
      </c>
      <c r="AJ4037" t="s">
        <v>4272</v>
      </c>
      <c r="AK4037" t="s">
        <v>4266</v>
      </c>
      <c r="AN4037">
        <v>2.8</v>
      </c>
      <c r="AO4037">
        <v>0.4</v>
      </c>
      <c r="AP4037">
        <v>2.6</v>
      </c>
      <c r="AQ4037">
        <v>1.8</v>
      </c>
      <c r="AW4037" s="28">
        <f t="shared" si="391"/>
        <v>-0.15339299776947388</v>
      </c>
      <c r="AX4037">
        <f t="shared" si="392"/>
        <v>0.8</v>
      </c>
      <c r="AY4037" s="62">
        <f t="shared" si="393"/>
        <v>-0.12271439821557911</v>
      </c>
      <c r="AZ4037" s="68" t="str">
        <f t="shared" si="394"/>
        <v>No</v>
      </c>
      <c r="BA4037" s="68" t="str">
        <f t="shared" si="395"/>
        <v>No</v>
      </c>
    </row>
    <row r="4038" spans="1:55" hidden="1">
      <c r="A4038" t="s">
        <v>3914</v>
      </c>
      <c r="G4038" t="s">
        <v>4329</v>
      </c>
      <c r="P4038" t="s">
        <v>60</v>
      </c>
      <c r="R4038" t="s">
        <v>4286</v>
      </c>
      <c r="S4038" t="s">
        <v>4295</v>
      </c>
      <c r="V4038" t="s">
        <v>3956</v>
      </c>
      <c r="Z4038">
        <v>3</v>
      </c>
      <c r="AA4038">
        <v>3</v>
      </c>
      <c r="AC4038">
        <v>353.64</v>
      </c>
      <c r="AD4038">
        <v>12.98</v>
      </c>
      <c r="AE4038">
        <v>648.82000000000005</v>
      </c>
      <c r="AF4038">
        <v>13</v>
      </c>
      <c r="AJ4038" t="s">
        <v>4071</v>
      </c>
      <c r="AK4038" t="s">
        <v>4244</v>
      </c>
      <c r="AN4038">
        <v>252</v>
      </c>
      <c r="AO4038">
        <v>8</v>
      </c>
      <c r="AP4038">
        <v>257</v>
      </c>
      <c r="AQ4038">
        <v>9</v>
      </c>
      <c r="AW4038" s="28">
        <f t="shared" si="391"/>
        <v>0.58722021951470349</v>
      </c>
      <c r="AX4038">
        <f t="shared" si="392"/>
        <v>0.8</v>
      </c>
      <c r="AY4038" s="62">
        <f t="shared" si="393"/>
        <v>0.46977617561176283</v>
      </c>
      <c r="AZ4038" s="68" t="str">
        <f t="shared" si="394"/>
        <v>No</v>
      </c>
      <c r="BA4038" s="68" t="str">
        <f t="shared" si="395"/>
        <v>No</v>
      </c>
    </row>
    <row r="4039" spans="1:55" hidden="1">
      <c r="A4039" t="s">
        <v>3914</v>
      </c>
      <c r="G4039" t="s">
        <v>4267</v>
      </c>
      <c r="P4039" t="s">
        <v>60</v>
      </c>
      <c r="R4039" t="s">
        <v>4116</v>
      </c>
      <c r="S4039" t="s">
        <v>4268</v>
      </c>
      <c r="V4039" t="s">
        <v>3956</v>
      </c>
      <c r="Z4039">
        <v>2</v>
      </c>
      <c r="AA4039">
        <v>2</v>
      </c>
      <c r="AC4039">
        <v>410.1</v>
      </c>
      <c r="AD4039">
        <v>10.9</v>
      </c>
      <c r="AE4039">
        <v>785.1</v>
      </c>
      <c r="AF4039">
        <v>11</v>
      </c>
      <c r="AJ4039" t="s">
        <v>4270</v>
      </c>
      <c r="AK4039" t="s">
        <v>4266</v>
      </c>
      <c r="AN4039">
        <v>2.5149999999999997</v>
      </c>
      <c r="AO4039">
        <v>0.16263455967290591</v>
      </c>
      <c r="AP4039">
        <v>1.3399999999999999</v>
      </c>
      <c r="AQ4039">
        <v>5.6568542494923699E-2</v>
      </c>
      <c r="AW4039" s="28">
        <f t="shared" si="391"/>
        <v>-9.6502933576498879</v>
      </c>
      <c r="AX4039">
        <f t="shared" si="392"/>
        <v>0.5714285714285714</v>
      </c>
      <c r="AY4039" s="62">
        <f t="shared" si="393"/>
        <v>-5.5144533472285069</v>
      </c>
      <c r="AZ4039" s="68" t="str">
        <f t="shared" si="394"/>
        <v>No</v>
      </c>
      <c r="BA4039" s="68" t="str">
        <f t="shared" si="395"/>
        <v>No</v>
      </c>
    </row>
    <row r="4040" spans="1:55" hidden="1">
      <c r="A4040" t="s">
        <v>3914</v>
      </c>
      <c r="G4040" t="s">
        <v>4267</v>
      </c>
      <c r="P4040" t="s">
        <v>60</v>
      </c>
      <c r="R4040" t="s">
        <v>4116</v>
      </c>
      <c r="S4040" t="s">
        <v>4268</v>
      </c>
      <c r="V4040" t="s">
        <v>3956</v>
      </c>
      <c r="Z4040">
        <v>2</v>
      </c>
      <c r="AA4040">
        <v>2</v>
      </c>
      <c r="AC4040">
        <v>392.3</v>
      </c>
      <c r="AD4040">
        <v>15.6</v>
      </c>
      <c r="AE4040">
        <v>718.2</v>
      </c>
      <c r="AF4040">
        <v>15.6</v>
      </c>
      <c r="AJ4040" t="s">
        <v>4270</v>
      </c>
      <c r="AK4040" t="s">
        <v>4266</v>
      </c>
      <c r="AN4040">
        <v>2.25</v>
      </c>
      <c r="AO4040">
        <v>0.35355339059327379</v>
      </c>
      <c r="AP4040">
        <v>1.45</v>
      </c>
      <c r="AQ4040">
        <v>7.0710678118654821E-2</v>
      </c>
      <c r="AW4040" s="28">
        <f t="shared" si="391"/>
        <v>-3.1378581622109443</v>
      </c>
      <c r="AX4040">
        <f t="shared" si="392"/>
        <v>0.5714285714285714</v>
      </c>
      <c r="AY4040" s="62">
        <f t="shared" si="393"/>
        <v>-1.7930618069776822</v>
      </c>
      <c r="AZ4040" s="68" t="str">
        <f t="shared" si="394"/>
        <v>No</v>
      </c>
      <c r="BA4040" s="68" t="str">
        <f t="shared" si="395"/>
        <v>No</v>
      </c>
    </row>
    <row r="4041" spans="1:55" hidden="1">
      <c r="A4041" t="s">
        <v>3914</v>
      </c>
      <c r="G4041" t="s">
        <v>4267</v>
      </c>
      <c r="P4041" t="s">
        <v>60</v>
      </c>
      <c r="R4041" t="s">
        <v>4286</v>
      </c>
      <c r="S4041" t="s">
        <v>4295</v>
      </c>
      <c r="V4041" t="s">
        <v>3956</v>
      </c>
      <c r="Z4041">
        <v>3</v>
      </c>
      <c r="AA4041">
        <v>3</v>
      </c>
      <c r="AC4041">
        <v>381.2</v>
      </c>
      <c r="AD4041">
        <v>13.5</v>
      </c>
      <c r="AE4041">
        <v>1067.7</v>
      </c>
      <c r="AF4041">
        <v>13.4</v>
      </c>
      <c r="AJ4041" t="s">
        <v>4340</v>
      </c>
      <c r="AK4041" t="s">
        <v>4266</v>
      </c>
      <c r="AN4041">
        <v>3.2</v>
      </c>
      <c r="AO4041">
        <v>0.17320508075688773</v>
      </c>
      <c r="AP4041">
        <v>2.6</v>
      </c>
      <c r="AQ4041">
        <v>0.17320508075688773</v>
      </c>
      <c r="AW4041" s="28">
        <f t="shared" si="391"/>
        <v>-3.4641016151377553</v>
      </c>
      <c r="AX4041">
        <f t="shared" si="392"/>
        <v>0.8</v>
      </c>
      <c r="AY4041" s="62">
        <f t="shared" si="393"/>
        <v>-2.7712812921102046</v>
      </c>
      <c r="AZ4041" s="68" t="str">
        <f t="shared" si="394"/>
        <v>No</v>
      </c>
      <c r="BA4041" s="68" t="str">
        <f t="shared" si="395"/>
        <v>No</v>
      </c>
    </row>
    <row r="4042" spans="1:55" hidden="1">
      <c r="A4042" t="s">
        <v>3914</v>
      </c>
      <c r="G4042" t="s">
        <v>4267</v>
      </c>
      <c r="P4042" t="s">
        <v>60</v>
      </c>
      <c r="R4042" t="s">
        <v>4116</v>
      </c>
      <c r="S4042" t="s">
        <v>4268</v>
      </c>
      <c r="V4042" t="s">
        <v>3956</v>
      </c>
      <c r="Z4042">
        <v>2</v>
      </c>
      <c r="AA4042">
        <v>2</v>
      </c>
      <c r="AC4042">
        <v>381.2</v>
      </c>
      <c r="AD4042">
        <v>13.5</v>
      </c>
      <c r="AE4042">
        <v>712.6</v>
      </c>
      <c r="AF4042">
        <v>13.4</v>
      </c>
      <c r="AJ4042" t="s">
        <v>4270</v>
      </c>
      <c r="AK4042" t="s">
        <v>4266</v>
      </c>
      <c r="AN4042">
        <v>2.9050000000000002</v>
      </c>
      <c r="AO4042">
        <v>0.43133513652379174</v>
      </c>
      <c r="AP4042">
        <v>2.4500000000000002</v>
      </c>
      <c r="AQ4042">
        <v>0.21213203435596445</v>
      </c>
      <c r="AW4042" s="28">
        <f t="shared" si="391"/>
        <v>-1.3386696215897202</v>
      </c>
      <c r="AX4042">
        <f t="shared" si="392"/>
        <v>0.5714285714285714</v>
      </c>
      <c r="AY4042" s="62">
        <f t="shared" si="393"/>
        <v>-0.76495406947984013</v>
      </c>
      <c r="AZ4042" s="68" t="str">
        <f t="shared" si="394"/>
        <v>No</v>
      </c>
      <c r="BA4042" s="68" t="str">
        <f t="shared" si="395"/>
        <v>No</v>
      </c>
    </row>
    <row r="4043" spans="1:55" hidden="1">
      <c r="A4043" t="s">
        <v>3914</v>
      </c>
      <c r="G4043" t="s">
        <v>4267</v>
      </c>
      <c r="P4043" t="s">
        <v>60</v>
      </c>
      <c r="R4043" t="s">
        <v>4286</v>
      </c>
      <c r="S4043" t="s">
        <v>4295</v>
      </c>
      <c r="V4043" t="s">
        <v>3956</v>
      </c>
      <c r="Z4043">
        <v>3</v>
      </c>
      <c r="AA4043">
        <v>3</v>
      </c>
      <c r="AC4043">
        <v>382.3</v>
      </c>
      <c r="AD4043">
        <v>15.6</v>
      </c>
      <c r="AE4043">
        <v>980.6</v>
      </c>
      <c r="AF4043">
        <v>15.7</v>
      </c>
      <c r="AJ4043" t="s">
        <v>4340</v>
      </c>
      <c r="AK4043" t="s">
        <v>4266</v>
      </c>
      <c r="AN4043">
        <v>2.5</v>
      </c>
      <c r="AO4043">
        <v>0.8660254037844386</v>
      </c>
      <c r="AP4043">
        <v>1.4</v>
      </c>
      <c r="AQ4043">
        <v>0.34641016151377546</v>
      </c>
      <c r="AW4043" s="28">
        <f t="shared" si="391"/>
        <v>-1.6678156958735877</v>
      </c>
      <c r="AX4043">
        <f t="shared" si="392"/>
        <v>0.8</v>
      </c>
      <c r="AY4043" s="62">
        <f t="shared" si="393"/>
        <v>-1.3342525566988703</v>
      </c>
      <c r="AZ4043" s="68" t="str">
        <f t="shared" si="394"/>
        <v>No</v>
      </c>
      <c r="BA4043" s="68" t="str">
        <f t="shared" si="395"/>
        <v>No</v>
      </c>
    </row>
    <row r="4044" spans="1:55" hidden="1">
      <c r="A4044" t="s">
        <v>3914</v>
      </c>
      <c r="G4044" t="s">
        <v>4267</v>
      </c>
      <c r="P4044" t="s">
        <v>60</v>
      </c>
      <c r="R4044" t="s">
        <v>4286</v>
      </c>
      <c r="S4044" t="s">
        <v>4295</v>
      </c>
      <c r="V4044" t="s">
        <v>3956</v>
      </c>
      <c r="Z4044">
        <v>3</v>
      </c>
      <c r="AA4044">
        <v>3</v>
      </c>
      <c r="AC4044">
        <v>410.1</v>
      </c>
      <c r="AD4044">
        <v>10.9</v>
      </c>
      <c r="AE4044">
        <v>1098.0999999999999</v>
      </c>
      <c r="AF4044">
        <v>11.1</v>
      </c>
      <c r="AJ4044" t="s">
        <v>4340</v>
      </c>
      <c r="AK4044" t="s">
        <v>4266</v>
      </c>
      <c r="AN4044">
        <v>2.4</v>
      </c>
      <c r="AO4044">
        <v>0.51961524227066314</v>
      </c>
      <c r="AP4044">
        <v>1.4</v>
      </c>
      <c r="AQ4044">
        <v>0.8660254037844386</v>
      </c>
      <c r="AW4044" s="28">
        <f t="shared" si="391"/>
        <v>-1.4002800840280099</v>
      </c>
      <c r="AX4044">
        <f t="shared" si="392"/>
        <v>0.8</v>
      </c>
      <c r="AY4044" s="62">
        <f t="shared" si="393"/>
        <v>-1.120224067222408</v>
      </c>
      <c r="AZ4044" s="68" t="str">
        <f t="shared" si="394"/>
        <v>No</v>
      </c>
      <c r="BA4044" s="68" t="str">
        <f t="shared" si="395"/>
        <v>No</v>
      </c>
    </row>
    <row r="4045" spans="1:55" hidden="1">
      <c r="A4045" t="s">
        <v>3914</v>
      </c>
      <c r="G4045" t="s">
        <v>4130</v>
      </c>
      <c r="P4045" t="s">
        <v>60</v>
      </c>
      <c r="R4045" t="s">
        <v>4116</v>
      </c>
      <c r="S4045" t="s">
        <v>1083</v>
      </c>
      <c r="V4045" t="s">
        <v>3956</v>
      </c>
      <c r="Z4045">
        <v>3</v>
      </c>
      <c r="AA4045">
        <v>3</v>
      </c>
      <c r="AC4045">
        <v>340</v>
      </c>
      <c r="AD4045">
        <v>9.1999999999999993</v>
      </c>
      <c r="AE4045">
        <v>683</v>
      </c>
      <c r="AF4045">
        <v>10.050000000000001</v>
      </c>
      <c r="AJ4045" t="s">
        <v>4271</v>
      </c>
      <c r="AK4045" t="s">
        <v>4266</v>
      </c>
      <c r="AN4045">
        <v>0.45</v>
      </c>
      <c r="AO4045">
        <v>8.6602540378443865E-2</v>
      </c>
      <c r="AP4045">
        <v>0.56999999999999995</v>
      </c>
      <c r="AQ4045">
        <v>0.10392304845413262</v>
      </c>
      <c r="AW4045" s="28">
        <f t="shared" si="391"/>
        <v>1.2545000963743596</v>
      </c>
      <c r="AX4045">
        <f t="shared" si="392"/>
        <v>0.8</v>
      </c>
      <c r="AY4045" s="62">
        <f t="shared" si="393"/>
        <v>1.0036000770994877</v>
      </c>
      <c r="AZ4045" s="68" t="str">
        <f t="shared" si="394"/>
        <v>No</v>
      </c>
      <c r="BA4045" s="68" t="str">
        <f t="shared" si="395"/>
        <v>No</v>
      </c>
    </row>
    <row r="4046" spans="1:55" hidden="1">
      <c r="A4046" t="s">
        <v>3914</v>
      </c>
      <c r="G4046" t="s">
        <v>4130</v>
      </c>
      <c r="P4046" t="s">
        <v>60</v>
      </c>
      <c r="R4046" t="s">
        <v>4116</v>
      </c>
      <c r="S4046" t="s">
        <v>1083</v>
      </c>
      <c r="V4046" t="s">
        <v>3956</v>
      </c>
      <c r="Z4046">
        <v>3</v>
      </c>
      <c r="AA4046">
        <v>3</v>
      </c>
      <c r="AC4046">
        <v>340</v>
      </c>
      <c r="AD4046">
        <v>9.1999999999999993</v>
      </c>
      <c r="AE4046">
        <v>683</v>
      </c>
      <c r="AF4046">
        <v>10.050000000000001</v>
      </c>
      <c r="AJ4046" t="s">
        <v>4144</v>
      </c>
      <c r="AK4046" t="s">
        <v>4151</v>
      </c>
      <c r="AN4046">
        <v>84.01</v>
      </c>
      <c r="AO4046">
        <v>3.117691453623979</v>
      </c>
      <c r="AP4046">
        <v>83.77</v>
      </c>
      <c r="AQ4046">
        <v>5.5772036003717851</v>
      </c>
      <c r="AW4046" s="28">
        <f t="shared" ref="AW4046:AW4109" si="396">(AP4046-$AN4046)/SQRT(((AA4046-1)*AQ4046*AQ4046+($Z4046-1)*$AO4046*$AO4046)/(AA4046+$Z4046-2))</f>
        <v>-5.3120490807273553E-2</v>
      </c>
      <c r="AX4046">
        <f t="shared" ref="AX4046:AX4109" si="397">1-(3/(4*(AA4046+$Z4046-2)-1))</f>
        <v>0.8</v>
      </c>
      <c r="AY4046" s="62">
        <f t="shared" ref="AY4046:AY4109" si="398">AX4046*AW4046</f>
        <v>-4.2496392645818844E-2</v>
      </c>
      <c r="AZ4046" s="68" t="str">
        <f t="shared" ref="AZ4046:AZ4109" si="399">IF(AY4046&gt;10,"Yes","No")</f>
        <v>No</v>
      </c>
      <c r="BA4046" s="68" t="str">
        <f t="shared" ref="BA4046:BA4109" si="400">IF(AY4046&lt;-10,"Yes","No")</f>
        <v>No</v>
      </c>
    </row>
    <row r="4047" spans="1:55" hidden="1">
      <c r="A4047" t="s">
        <v>3914</v>
      </c>
      <c r="G4047" t="s">
        <v>4130</v>
      </c>
      <c r="P4047" t="s">
        <v>60</v>
      </c>
      <c r="R4047" t="s">
        <v>4116</v>
      </c>
      <c r="S4047" t="s">
        <v>1083</v>
      </c>
      <c r="V4047" t="s">
        <v>3956</v>
      </c>
      <c r="Z4047">
        <v>3</v>
      </c>
      <c r="AA4047">
        <v>3</v>
      </c>
      <c r="AC4047">
        <v>340</v>
      </c>
      <c r="AD4047">
        <v>9.1999999999999993</v>
      </c>
      <c r="AE4047">
        <v>683</v>
      </c>
      <c r="AF4047">
        <v>10.050000000000001</v>
      </c>
      <c r="AJ4047" t="s">
        <v>2031</v>
      </c>
      <c r="AK4047" t="s">
        <v>4151</v>
      </c>
      <c r="AN4047">
        <v>14.2</v>
      </c>
      <c r="AO4047">
        <v>5.7330881730529839</v>
      </c>
      <c r="AP4047">
        <v>15.76</v>
      </c>
      <c r="AQ4047">
        <v>5.6811266488259164</v>
      </c>
      <c r="AW4047" s="28">
        <f t="shared" si="396"/>
        <v>0.27334054246322598</v>
      </c>
      <c r="AX4047">
        <f t="shared" si="397"/>
        <v>0.8</v>
      </c>
      <c r="AY4047" s="62">
        <f t="shared" si="398"/>
        <v>0.21867243397058078</v>
      </c>
      <c r="AZ4047" s="68" t="str">
        <f t="shared" si="399"/>
        <v>No</v>
      </c>
      <c r="BA4047" s="68" t="str">
        <f t="shared" si="400"/>
        <v>No</v>
      </c>
    </row>
    <row r="4048" spans="1:55" s="56" customFormat="1" ht="15" hidden="1">
      <c r="A4048" t="s">
        <v>3914</v>
      </c>
      <c r="B4048"/>
      <c r="C4048"/>
      <c r="D4048" s="25"/>
      <c r="E4048" s="25"/>
      <c r="F4048"/>
      <c r="G4048" t="s">
        <v>4130</v>
      </c>
      <c r="H4048"/>
      <c r="I4048"/>
      <c r="J4048"/>
      <c r="K4048"/>
      <c r="L4048"/>
      <c r="M4048" s="25"/>
      <c r="N4048"/>
      <c r="O4048"/>
      <c r="P4048" t="s">
        <v>60</v>
      </c>
      <c r="Q4048"/>
      <c r="R4048" t="s">
        <v>4116</v>
      </c>
      <c r="S4048" t="s">
        <v>1083</v>
      </c>
      <c r="T4048"/>
      <c r="U4048"/>
      <c r="V4048" t="s">
        <v>3956</v>
      </c>
      <c r="W4048" s="25"/>
      <c r="X4048"/>
      <c r="Y4048"/>
      <c r="Z4048">
        <v>48</v>
      </c>
      <c r="AA4048">
        <v>29</v>
      </c>
      <c r="AB4048"/>
      <c r="AC4048">
        <v>340</v>
      </c>
      <c r="AD4048">
        <v>9.1999999999999993</v>
      </c>
      <c r="AE4048">
        <v>1195</v>
      </c>
      <c r="AF4048">
        <v>9.4</v>
      </c>
      <c r="AG4048"/>
      <c r="AH4048"/>
      <c r="AI4048"/>
      <c r="AJ4048" t="s">
        <v>1106</v>
      </c>
      <c r="AK4048" t="s">
        <v>4244</v>
      </c>
      <c r="AL4048" s="25"/>
      <c r="AM4048" s="35"/>
      <c r="AN4048">
        <v>146</v>
      </c>
      <c r="AO4048">
        <v>13.856406460551018</v>
      </c>
      <c r="AP4048">
        <v>138</v>
      </c>
      <c r="AQ4048">
        <v>10.770329614269007</v>
      </c>
      <c r="AR4048"/>
      <c r="AS4048"/>
      <c r="AT4048"/>
      <c r="AU4048"/>
      <c r="AV4048"/>
      <c r="AW4048" s="28">
        <f t="shared" si="396"/>
        <v>-0.6254072988376248</v>
      </c>
      <c r="AX4048">
        <f t="shared" si="397"/>
        <v>0.98996655518394649</v>
      </c>
      <c r="AY4048" s="62">
        <f t="shared" si="398"/>
        <v>-0.61913230921718043</v>
      </c>
      <c r="AZ4048" s="68" t="str">
        <f t="shared" si="399"/>
        <v>No</v>
      </c>
      <c r="BA4048" s="68" t="str">
        <f t="shared" si="400"/>
        <v>No</v>
      </c>
      <c r="BB4048"/>
      <c r="BC4048"/>
    </row>
    <row r="4049" spans="1:55" s="56" customFormat="1" ht="15" hidden="1">
      <c r="A4049" t="s">
        <v>3914</v>
      </c>
      <c r="B4049"/>
      <c r="C4049"/>
      <c r="D4049" s="25"/>
      <c r="E4049" s="25"/>
      <c r="F4049"/>
      <c r="G4049" t="s">
        <v>4130</v>
      </c>
      <c r="H4049"/>
      <c r="I4049"/>
      <c r="J4049"/>
      <c r="K4049"/>
      <c r="L4049"/>
      <c r="M4049" s="25"/>
      <c r="N4049"/>
      <c r="O4049"/>
      <c r="P4049" t="s">
        <v>60</v>
      </c>
      <c r="Q4049"/>
      <c r="R4049" t="s">
        <v>4116</v>
      </c>
      <c r="S4049" t="s">
        <v>1083</v>
      </c>
      <c r="T4049"/>
      <c r="U4049"/>
      <c r="V4049" t="s">
        <v>3956</v>
      </c>
      <c r="W4049" s="25"/>
      <c r="X4049"/>
      <c r="Y4049"/>
      <c r="Z4049">
        <v>48</v>
      </c>
      <c r="AA4049">
        <v>55</v>
      </c>
      <c r="AB4049"/>
      <c r="AC4049">
        <v>340</v>
      </c>
      <c r="AD4049">
        <v>9.1999999999999993</v>
      </c>
      <c r="AE4049">
        <v>683</v>
      </c>
      <c r="AF4049">
        <v>10.050000000000001</v>
      </c>
      <c r="AG4049"/>
      <c r="AH4049"/>
      <c r="AI4049"/>
      <c r="AJ4049" t="s">
        <v>1106</v>
      </c>
      <c r="AK4049" t="s">
        <v>4244</v>
      </c>
      <c r="AL4049" s="25"/>
      <c r="AM4049" s="35"/>
      <c r="AN4049">
        <v>146</v>
      </c>
      <c r="AO4049">
        <v>13.856406460551018</v>
      </c>
      <c r="AP4049">
        <v>155</v>
      </c>
      <c r="AQ4049">
        <v>14.832396974191326</v>
      </c>
      <c r="AR4049"/>
      <c r="AS4049"/>
      <c r="AT4049"/>
      <c r="AU4049"/>
      <c r="AV4049"/>
      <c r="AW4049" s="28">
        <f t="shared" si="396"/>
        <v>0.62558812741809233</v>
      </c>
      <c r="AX4049">
        <f t="shared" si="397"/>
        <v>0.99255583126550873</v>
      </c>
      <c r="AY4049" s="62">
        <f t="shared" si="398"/>
        <v>0.62093114383929759</v>
      </c>
      <c r="AZ4049" s="68" t="str">
        <f t="shared" si="399"/>
        <v>No</v>
      </c>
      <c r="BA4049" s="68" t="str">
        <f t="shared" si="400"/>
        <v>No</v>
      </c>
      <c r="BB4049"/>
      <c r="BC4049"/>
    </row>
    <row r="4050" spans="1:55" hidden="1">
      <c r="A4050" t="s">
        <v>3914</v>
      </c>
      <c r="G4050" t="s">
        <v>4130</v>
      </c>
      <c r="P4050" t="s">
        <v>60</v>
      </c>
      <c r="R4050" t="s">
        <v>4116</v>
      </c>
      <c r="S4050" t="s">
        <v>1083</v>
      </c>
      <c r="V4050" t="s">
        <v>3956</v>
      </c>
      <c r="Z4050">
        <v>3</v>
      </c>
      <c r="AA4050">
        <v>3</v>
      </c>
      <c r="AC4050">
        <v>340</v>
      </c>
      <c r="AD4050">
        <v>9.1999999999999993</v>
      </c>
      <c r="AE4050">
        <v>1195</v>
      </c>
      <c r="AF4050">
        <v>9.4</v>
      </c>
      <c r="AJ4050" t="s">
        <v>2031</v>
      </c>
      <c r="AK4050" t="s">
        <v>4151</v>
      </c>
      <c r="AN4050">
        <v>14.2</v>
      </c>
      <c r="AO4050">
        <v>5.7330881730529839</v>
      </c>
      <c r="AP4050">
        <v>27.39</v>
      </c>
      <c r="AQ4050">
        <v>19.347007520544359</v>
      </c>
      <c r="AW4050" s="28">
        <f t="shared" si="396"/>
        <v>0.92441980396731427</v>
      </c>
      <c r="AX4050">
        <f t="shared" si="397"/>
        <v>0.8</v>
      </c>
      <c r="AY4050" s="62">
        <f t="shared" si="398"/>
        <v>0.73953584317385146</v>
      </c>
      <c r="AZ4050" s="68" t="str">
        <f t="shared" si="399"/>
        <v>No</v>
      </c>
      <c r="BA4050" s="68" t="str">
        <f t="shared" si="400"/>
        <v>No</v>
      </c>
    </row>
    <row r="4051" spans="1:55" hidden="1">
      <c r="A4051" t="s">
        <v>3914</v>
      </c>
      <c r="G4051" t="s">
        <v>4130</v>
      </c>
      <c r="P4051" t="s">
        <v>60</v>
      </c>
      <c r="R4051" t="s">
        <v>4116</v>
      </c>
      <c r="S4051" t="s">
        <v>1083</v>
      </c>
      <c r="V4051" t="s">
        <v>3956</v>
      </c>
      <c r="Z4051">
        <v>48</v>
      </c>
      <c r="AA4051">
        <v>7</v>
      </c>
      <c r="AC4051">
        <v>340</v>
      </c>
      <c r="AD4051">
        <v>9.1999999999999993</v>
      </c>
      <c r="AE4051">
        <v>1956</v>
      </c>
      <c r="AF4051">
        <v>7.42</v>
      </c>
      <c r="AJ4051" t="s">
        <v>1106</v>
      </c>
      <c r="AK4051" t="s">
        <v>4244</v>
      </c>
      <c r="AN4051">
        <v>146</v>
      </c>
      <c r="AO4051">
        <v>13.856406460551018</v>
      </c>
      <c r="AP4051">
        <v>130</v>
      </c>
      <c r="AQ4051">
        <v>21.166010488516726</v>
      </c>
      <c r="AW4051" s="28">
        <f t="shared" si="396"/>
        <v>-1.0763224170085799</v>
      </c>
      <c r="AX4051">
        <f t="shared" si="397"/>
        <v>0.98578199052132698</v>
      </c>
      <c r="AY4051" s="62">
        <f t="shared" si="398"/>
        <v>-1.0610192546814436</v>
      </c>
      <c r="AZ4051" s="68" t="str">
        <f t="shared" si="399"/>
        <v>No</v>
      </c>
      <c r="BA4051" s="68" t="str">
        <f t="shared" si="400"/>
        <v>No</v>
      </c>
    </row>
    <row r="4052" spans="1:55" hidden="1">
      <c r="A4052" t="s">
        <v>3914</v>
      </c>
      <c r="G4052" t="s">
        <v>4130</v>
      </c>
      <c r="P4052" t="s">
        <v>60</v>
      </c>
      <c r="R4052" t="s">
        <v>4116</v>
      </c>
      <c r="S4052" t="s">
        <v>1083</v>
      </c>
      <c r="V4052" t="s">
        <v>3956</v>
      </c>
      <c r="Z4052">
        <v>3</v>
      </c>
      <c r="AA4052">
        <v>3</v>
      </c>
      <c r="AC4052">
        <v>340</v>
      </c>
      <c r="AD4052">
        <v>9.1999999999999993</v>
      </c>
      <c r="AE4052">
        <v>1195</v>
      </c>
      <c r="AF4052">
        <v>9.4</v>
      </c>
      <c r="AJ4052" t="s">
        <v>4144</v>
      </c>
      <c r="AK4052" t="s">
        <v>4151</v>
      </c>
      <c r="AN4052">
        <v>84.01</v>
      </c>
      <c r="AO4052">
        <v>3.117691453623979</v>
      </c>
      <c r="AP4052">
        <v>42.06</v>
      </c>
      <c r="AQ4052">
        <v>31.28083758469392</v>
      </c>
      <c r="AW4052" s="28">
        <f t="shared" si="396"/>
        <v>-1.8872184124151192</v>
      </c>
      <c r="AX4052">
        <f t="shared" si="397"/>
        <v>0.8</v>
      </c>
      <c r="AY4052" s="62">
        <f t="shared" si="398"/>
        <v>-1.5097747299320954</v>
      </c>
      <c r="AZ4052" s="68" t="str">
        <f t="shared" si="399"/>
        <v>No</v>
      </c>
      <c r="BA4052" s="68" t="str">
        <f t="shared" si="400"/>
        <v>No</v>
      </c>
    </row>
    <row r="4053" spans="1:55" ht="15" hidden="1">
      <c r="A4053" t="s">
        <v>3914</v>
      </c>
      <c r="G4053" t="s">
        <v>4178</v>
      </c>
      <c r="P4053" t="s">
        <v>4596</v>
      </c>
      <c r="R4053" t="s">
        <v>4690</v>
      </c>
      <c r="S4053" s="56" t="s">
        <v>4689</v>
      </c>
      <c r="V4053" t="s">
        <v>4598</v>
      </c>
      <c r="Z4053">
        <v>3</v>
      </c>
      <c r="AA4053">
        <v>3</v>
      </c>
      <c r="AC4053">
        <v>490</v>
      </c>
      <c r="AD4053">
        <v>17</v>
      </c>
      <c r="AE4053">
        <v>504</v>
      </c>
      <c r="AF4053">
        <v>20</v>
      </c>
      <c r="AJ4053" s="56" t="s">
        <v>4683</v>
      </c>
      <c r="AK4053" t="s">
        <v>904</v>
      </c>
      <c r="AN4053">
        <v>0.12</v>
      </c>
      <c r="AO4053">
        <v>0.10678463189759101</v>
      </c>
      <c r="AP4053">
        <v>0.6</v>
      </c>
      <c r="AQ4053">
        <v>0.14257393768275337</v>
      </c>
      <c r="AW4053" s="28">
        <f t="shared" si="396"/>
        <v>3.8108271141960333</v>
      </c>
      <c r="AX4053">
        <f t="shared" si="397"/>
        <v>0.8</v>
      </c>
      <c r="AY4053" s="62">
        <f t="shared" si="398"/>
        <v>3.048661691356827</v>
      </c>
      <c r="AZ4053" s="68" t="str">
        <f t="shared" si="399"/>
        <v>No</v>
      </c>
      <c r="BA4053" s="68" t="str">
        <f t="shared" si="400"/>
        <v>No</v>
      </c>
    </row>
    <row r="4054" spans="1:55" hidden="1">
      <c r="A4054" t="s">
        <v>3914</v>
      </c>
      <c r="G4054" t="s">
        <v>4178</v>
      </c>
      <c r="P4054" t="s">
        <v>4596</v>
      </c>
      <c r="R4054" t="s">
        <v>4690</v>
      </c>
      <c r="S4054" t="s">
        <v>1077</v>
      </c>
      <c r="V4054" t="s">
        <v>4600</v>
      </c>
      <c r="Z4054">
        <v>3</v>
      </c>
      <c r="AA4054">
        <v>3</v>
      </c>
      <c r="AC4054">
        <v>490</v>
      </c>
      <c r="AD4054">
        <v>17</v>
      </c>
      <c r="AE4054">
        <v>1293</v>
      </c>
      <c r="AF4054">
        <v>20</v>
      </c>
      <c r="AJ4054" t="s">
        <v>4078</v>
      </c>
      <c r="AK4054" t="s">
        <v>904</v>
      </c>
      <c r="AN4054">
        <v>0.12</v>
      </c>
      <c r="AO4054">
        <v>0.10678463189759058</v>
      </c>
      <c r="AP4054">
        <v>0.6</v>
      </c>
      <c r="AQ4054">
        <v>0.38827996073360938</v>
      </c>
      <c r="AW4054" s="28">
        <f t="shared" si="396"/>
        <v>1.685693564239733</v>
      </c>
      <c r="AX4054">
        <f t="shared" si="397"/>
        <v>0.8</v>
      </c>
      <c r="AY4054" s="62">
        <f t="shared" si="398"/>
        <v>1.3485548513917864</v>
      </c>
      <c r="AZ4054" s="68" t="str">
        <f t="shared" si="399"/>
        <v>No</v>
      </c>
      <c r="BA4054" s="68" t="str">
        <f t="shared" si="400"/>
        <v>No</v>
      </c>
    </row>
    <row r="4055" spans="1:55" hidden="1">
      <c r="A4055" t="s">
        <v>3914</v>
      </c>
      <c r="G4055" t="s">
        <v>4178</v>
      </c>
      <c r="P4055" t="s">
        <v>60</v>
      </c>
      <c r="R4055" t="s">
        <v>4116</v>
      </c>
      <c r="S4055" t="s">
        <v>1077</v>
      </c>
      <c r="V4055" t="s">
        <v>3956</v>
      </c>
      <c r="Z4055">
        <v>3</v>
      </c>
      <c r="AA4055">
        <v>3</v>
      </c>
      <c r="AC4055">
        <v>549</v>
      </c>
      <c r="AD4055">
        <v>16.8</v>
      </c>
      <c r="AE4055">
        <v>651</v>
      </c>
      <c r="AF4055">
        <v>16.8</v>
      </c>
      <c r="AJ4055" t="s">
        <v>665</v>
      </c>
      <c r="AK4055" t="s">
        <v>4266</v>
      </c>
      <c r="AN4055">
        <v>2.25</v>
      </c>
      <c r="AO4055">
        <v>1.6889345754054539</v>
      </c>
      <c r="AP4055">
        <v>2.6666666666666665</v>
      </c>
      <c r="AQ4055">
        <v>2.8867513459481291</v>
      </c>
      <c r="AW4055" s="28">
        <f t="shared" si="396"/>
        <v>0.17618526501902451</v>
      </c>
      <c r="AX4055">
        <f t="shared" si="397"/>
        <v>0.8</v>
      </c>
      <c r="AY4055" s="62">
        <f t="shared" si="398"/>
        <v>0.14094821201521962</v>
      </c>
      <c r="AZ4055" s="68" t="str">
        <f t="shared" si="399"/>
        <v>No</v>
      </c>
      <c r="BA4055" s="68" t="str">
        <f t="shared" si="400"/>
        <v>No</v>
      </c>
    </row>
    <row r="4056" spans="1:55" hidden="1">
      <c r="A4056" t="s">
        <v>3914</v>
      </c>
      <c r="G4056" t="s">
        <v>4178</v>
      </c>
      <c r="P4056" t="s">
        <v>4596</v>
      </c>
      <c r="R4056" t="s">
        <v>4690</v>
      </c>
      <c r="S4056" t="s">
        <v>1077</v>
      </c>
      <c r="V4056" t="s">
        <v>4598</v>
      </c>
      <c r="Z4056">
        <v>3</v>
      </c>
      <c r="AA4056">
        <v>3</v>
      </c>
      <c r="AC4056">
        <v>490</v>
      </c>
      <c r="AD4056">
        <v>17</v>
      </c>
      <c r="AE4056">
        <v>504</v>
      </c>
      <c r="AF4056">
        <v>20</v>
      </c>
      <c r="AJ4056" t="s">
        <v>665</v>
      </c>
      <c r="AK4056" t="s">
        <v>4630</v>
      </c>
      <c r="AN4056">
        <v>2.2999999999999998</v>
      </c>
      <c r="AO4056">
        <v>1.7296110255950556</v>
      </c>
      <c r="AP4056">
        <v>9.8000000000000007</v>
      </c>
      <c r="AQ4056">
        <v>3.1192636146725166</v>
      </c>
      <c r="AW4056" s="28">
        <f t="shared" si="396"/>
        <v>2.9737844984400676</v>
      </c>
      <c r="AX4056">
        <f t="shared" si="397"/>
        <v>0.8</v>
      </c>
      <c r="AY4056" s="62">
        <f t="shared" si="398"/>
        <v>2.3790275987520544</v>
      </c>
      <c r="AZ4056" s="68" t="str">
        <f t="shared" si="399"/>
        <v>No</v>
      </c>
      <c r="BA4056" s="68" t="str">
        <f t="shared" si="400"/>
        <v>No</v>
      </c>
    </row>
    <row r="4057" spans="1:55" hidden="1">
      <c r="A4057" t="s">
        <v>3914</v>
      </c>
      <c r="G4057" t="s">
        <v>4178</v>
      </c>
      <c r="P4057" t="s">
        <v>4596</v>
      </c>
      <c r="R4057" t="s">
        <v>4690</v>
      </c>
      <c r="S4057" t="s">
        <v>1077</v>
      </c>
      <c r="V4057" t="s">
        <v>4598</v>
      </c>
      <c r="Z4057">
        <v>3</v>
      </c>
      <c r="AA4057">
        <v>3</v>
      </c>
      <c r="AC4057">
        <v>490</v>
      </c>
      <c r="AD4057">
        <v>17</v>
      </c>
      <c r="AE4057">
        <v>504</v>
      </c>
      <c r="AF4057">
        <v>20</v>
      </c>
      <c r="AJ4057" t="s">
        <v>4071</v>
      </c>
      <c r="AK4057" t="s">
        <v>4642</v>
      </c>
      <c r="AN4057">
        <v>74.7</v>
      </c>
      <c r="AO4057">
        <v>1.7213712162517885</v>
      </c>
      <c r="AP4057">
        <v>65.2</v>
      </c>
      <c r="AQ4057">
        <v>3.2036593416696393</v>
      </c>
      <c r="AW4057" s="28">
        <f t="shared" si="396"/>
        <v>-3.6941564196778569</v>
      </c>
      <c r="AX4057">
        <f t="shared" si="397"/>
        <v>0.8</v>
      </c>
      <c r="AY4057" s="62">
        <f t="shared" si="398"/>
        <v>-2.9553251357422856</v>
      </c>
      <c r="AZ4057" s="68" t="str">
        <f t="shared" si="399"/>
        <v>No</v>
      </c>
      <c r="BA4057" s="68" t="str">
        <f t="shared" si="400"/>
        <v>No</v>
      </c>
    </row>
    <row r="4058" spans="1:55" hidden="1">
      <c r="A4058" t="s">
        <v>3914</v>
      </c>
      <c r="G4058" t="s">
        <v>4178</v>
      </c>
      <c r="P4058" t="s">
        <v>4596</v>
      </c>
      <c r="R4058" t="s">
        <v>4690</v>
      </c>
      <c r="S4058" t="s">
        <v>1077</v>
      </c>
      <c r="V4058" t="s">
        <v>4600</v>
      </c>
      <c r="Z4058">
        <v>3</v>
      </c>
      <c r="AA4058">
        <v>3</v>
      </c>
      <c r="AC4058">
        <v>490</v>
      </c>
      <c r="AD4058">
        <v>17</v>
      </c>
      <c r="AE4058">
        <v>1293</v>
      </c>
      <c r="AF4058">
        <v>20</v>
      </c>
      <c r="AJ4058" t="s">
        <v>4071</v>
      </c>
      <c r="AK4058" t="s">
        <v>4642</v>
      </c>
      <c r="AN4058">
        <v>74.7</v>
      </c>
      <c r="AO4058">
        <v>1.7213712162517885</v>
      </c>
      <c r="AP4058">
        <v>66.5</v>
      </c>
      <c r="AQ4058">
        <v>3.3231997803308575</v>
      </c>
      <c r="AW4058" s="28">
        <f t="shared" si="396"/>
        <v>-3.0985589574899204</v>
      </c>
      <c r="AX4058">
        <f t="shared" si="397"/>
        <v>0.8</v>
      </c>
      <c r="AY4058" s="62">
        <f t="shared" si="398"/>
        <v>-2.4788471659919367</v>
      </c>
      <c r="AZ4058" s="68" t="str">
        <f t="shared" si="399"/>
        <v>No</v>
      </c>
      <c r="BA4058" s="68" t="str">
        <f t="shared" si="400"/>
        <v>No</v>
      </c>
    </row>
    <row r="4059" spans="1:55" hidden="1">
      <c r="A4059" t="s">
        <v>3914</v>
      </c>
      <c r="G4059" t="s">
        <v>4178</v>
      </c>
      <c r="P4059" t="s">
        <v>60</v>
      </c>
      <c r="R4059" t="s">
        <v>4116</v>
      </c>
      <c r="S4059" t="s">
        <v>1077</v>
      </c>
      <c r="V4059" t="s">
        <v>3956</v>
      </c>
      <c r="Z4059">
        <v>3</v>
      </c>
      <c r="AA4059">
        <v>3</v>
      </c>
      <c r="AC4059">
        <v>549</v>
      </c>
      <c r="AD4059">
        <v>16.8</v>
      </c>
      <c r="AE4059">
        <v>651</v>
      </c>
      <c r="AF4059">
        <v>16.8</v>
      </c>
      <c r="AJ4059" t="s">
        <v>4071</v>
      </c>
      <c r="AK4059" t="s">
        <v>4244</v>
      </c>
      <c r="AN4059">
        <v>75.033333333333331</v>
      </c>
      <c r="AO4059">
        <v>1.7214335111567158</v>
      </c>
      <c r="AP4059">
        <v>71.899999999999991</v>
      </c>
      <c r="AQ4059">
        <v>3.9153543900903789</v>
      </c>
      <c r="AW4059" s="28">
        <f t="shared" si="396"/>
        <v>-1.0360367783169049</v>
      </c>
      <c r="AX4059">
        <f t="shared" si="397"/>
        <v>0.8</v>
      </c>
      <c r="AY4059" s="62">
        <f t="shared" si="398"/>
        <v>-0.828829422653524</v>
      </c>
      <c r="AZ4059" s="68" t="str">
        <f t="shared" si="399"/>
        <v>No</v>
      </c>
      <c r="BA4059" s="68" t="str">
        <f t="shared" si="400"/>
        <v>No</v>
      </c>
    </row>
    <row r="4060" spans="1:55" hidden="1">
      <c r="A4060" t="s">
        <v>3914</v>
      </c>
      <c r="G4060" t="s">
        <v>4178</v>
      </c>
      <c r="P4060" t="s">
        <v>60</v>
      </c>
      <c r="R4060" t="s">
        <v>4116</v>
      </c>
      <c r="S4060" t="s">
        <v>1077</v>
      </c>
      <c r="V4060" t="s">
        <v>3956</v>
      </c>
      <c r="Z4060">
        <v>3</v>
      </c>
      <c r="AA4060">
        <v>3</v>
      </c>
      <c r="AC4060">
        <v>549</v>
      </c>
      <c r="AD4060">
        <v>16.8</v>
      </c>
      <c r="AE4060">
        <v>651</v>
      </c>
      <c r="AF4060">
        <v>16.8</v>
      </c>
      <c r="AJ4060" t="s">
        <v>4065</v>
      </c>
      <c r="AK4060" t="s">
        <v>4258</v>
      </c>
      <c r="AN4060">
        <v>45.166666666666664</v>
      </c>
      <c r="AO4060">
        <v>8.6071675557835796</v>
      </c>
      <c r="AP4060">
        <v>42</v>
      </c>
      <c r="AQ4060">
        <v>4.5825756949558398</v>
      </c>
      <c r="AW4060" s="28">
        <f t="shared" si="396"/>
        <v>-0.45926690303863726</v>
      </c>
      <c r="AX4060">
        <f t="shared" si="397"/>
        <v>0.8</v>
      </c>
      <c r="AY4060" s="62">
        <f t="shared" si="398"/>
        <v>-0.36741352243090986</v>
      </c>
      <c r="AZ4060" s="68" t="str">
        <f t="shared" si="399"/>
        <v>No</v>
      </c>
      <c r="BA4060" s="68" t="str">
        <f t="shared" si="400"/>
        <v>No</v>
      </c>
    </row>
    <row r="4061" spans="1:55" hidden="1">
      <c r="A4061" t="s">
        <v>3914</v>
      </c>
      <c r="G4061" t="s">
        <v>4178</v>
      </c>
      <c r="P4061" t="s">
        <v>4596</v>
      </c>
      <c r="R4061" t="s">
        <v>4690</v>
      </c>
      <c r="S4061" t="s">
        <v>1077</v>
      </c>
      <c r="V4061" t="s">
        <v>4598</v>
      </c>
      <c r="Z4061">
        <v>3</v>
      </c>
      <c r="AA4061">
        <v>3</v>
      </c>
      <c r="AC4061">
        <v>490</v>
      </c>
      <c r="AD4061">
        <v>17</v>
      </c>
      <c r="AE4061">
        <v>504</v>
      </c>
      <c r="AF4061">
        <v>20</v>
      </c>
      <c r="AJ4061" t="s">
        <v>4065</v>
      </c>
      <c r="AK4061" t="s">
        <v>4672</v>
      </c>
      <c r="AN4061">
        <v>45</v>
      </c>
      <c r="AO4061">
        <v>9.0468938577825604</v>
      </c>
      <c r="AP4061">
        <v>23</v>
      </c>
      <c r="AQ4061">
        <v>9.6898881141279176</v>
      </c>
      <c r="AW4061" s="28">
        <f t="shared" si="396"/>
        <v>-2.3469405874275857</v>
      </c>
      <c r="AX4061">
        <f t="shared" si="397"/>
        <v>0.8</v>
      </c>
      <c r="AY4061" s="62">
        <f t="shared" si="398"/>
        <v>-1.8775524699420687</v>
      </c>
      <c r="AZ4061" s="68" t="str">
        <f t="shared" si="399"/>
        <v>No</v>
      </c>
      <c r="BA4061" s="68" t="str">
        <f t="shared" si="400"/>
        <v>No</v>
      </c>
    </row>
    <row r="4062" spans="1:55" hidden="1">
      <c r="A4062" t="s">
        <v>3914</v>
      </c>
      <c r="G4062" t="s">
        <v>4178</v>
      </c>
      <c r="P4062" t="s">
        <v>4596</v>
      </c>
      <c r="R4062" t="s">
        <v>4690</v>
      </c>
      <c r="S4062" t="s">
        <v>1077</v>
      </c>
      <c r="V4062" t="s">
        <v>4600</v>
      </c>
      <c r="Z4062">
        <v>3</v>
      </c>
      <c r="AA4062">
        <v>3</v>
      </c>
      <c r="AC4062">
        <v>490</v>
      </c>
      <c r="AD4062">
        <v>17</v>
      </c>
      <c r="AE4062">
        <v>1293</v>
      </c>
      <c r="AF4062">
        <v>20</v>
      </c>
      <c r="AJ4062" t="s">
        <v>665</v>
      </c>
      <c r="AK4062" t="s">
        <v>4630</v>
      </c>
      <c r="AN4062">
        <v>2.2999999999999998</v>
      </c>
      <c r="AO4062">
        <v>1.7296110255950556</v>
      </c>
      <c r="AP4062">
        <v>9.5</v>
      </c>
      <c r="AQ4062">
        <v>10.707207481368533</v>
      </c>
      <c r="AW4062" s="28">
        <f t="shared" si="396"/>
        <v>0.93880988453857694</v>
      </c>
      <c r="AX4062">
        <f t="shared" si="397"/>
        <v>0.8</v>
      </c>
      <c r="AY4062" s="62">
        <f t="shared" si="398"/>
        <v>0.7510479076308616</v>
      </c>
      <c r="AZ4062" s="68" t="str">
        <f t="shared" si="399"/>
        <v>No</v>
      </c>
      <c r="BA4062" s="68" t="str">
        <f t="shared" si="400"/>
        <v>No</v>
      </c>
    </row>
    <row r="4063" spans="1:55" hidden="1">
      <c r="A4063" t="s">
        <v>3914</v>
      </c>
      <c r="G4063" t="s">
        <v>4178</v>
      </c>
      <c r="P4063" t="s">
        <v>4596</v>
      </c>
      <c r="R4063" t="s">
        <v>4690</v>
      </c>
      <c r="S4063" t="s">
        <v>1077</v>
      </c>
      <c r="V4063" t="s">
        <v>4600</v>
      </c>
      <c r="Z4063">
        <v>3</v>
      </c>
      <c r="AA4063">
        <v>3</v>
      </c>
      <c r="AC4063">
        <v>490</v>
      </c>
      <c r="AD4063">
        <v>17</v>
      </c>
      <c r="AE4063">
        <v>1293</v>
      </c>
      <c r="AF4063">
        <v>20</v>
      </c>
      <c r="AJ4063" t="s">
        <v>4065</v>
      </c>
      <c r="AK4063" t="s">
        <v>4672</v>
      </c>
      <c r="AN4063">
        <v>45</v>
      </c>
      <c r="AO4063">
        <v>9.0468938577825604</v>
      </c>
      <c r="AP4063">
        <v>23</v>
      </c>
      <c r="AQ4063">
        <v>11.226578424755207</v>
      </c>
      <c r="AW4063" s="28">
        <f t="shared" si="396"/>
        <v>-2.1578878421889316</v>
      </c>
      <c r="AX4063">
        <f t="shared" si="397"/>
        <v>0.8</v>
      </c>
      <c r="AY4063" s="62">
        <f t="shared" si="398"/>
        <v>-1.7263102737511453</v>
      </c>
      <c r="AZ4063" s="68" t="str">
        <f t="shared" si="399"/>
        <v>No</v>
      </c>
      <c r="BA4063" s="68" t="str">
        <f t="shared" si="400"/>
        <v>No</v>
      </c>
    </row>
    <row r="4064" spans="1:55" hidden="1">
      <c r="A4064" t="s">
        <v>3914</v>
      </c>
      <c r="G4064" s="50" t="s">
        <v>4417</v>
      </c>
      <c r="P4064" t="s">
        <v>60</v>
      </c>
      <c r="R4064" t="s">
        <v>4357</v>
      </c>
      <c r="S4064" s="50" t="s">
        <v>1754</v>
      </c>
      <c r="V4064" t="s">
        <v>3956</v>
      </c>
      <c r="Z4064" s="50">
        <v>25</v>
      </c>
      <c r="AA4064" s="50">
        <v>25</v>
      </c>
      <c r="AC4064">
        <v>417.56</v>
      </c>
      <c r="AD4064">
        <v>20</v>
      </c>
      <c r="AE4064">
        <v>920.79</v>
      </c>
      <c r="AF4064">
        <v>20</v>
      </c>
      <c r="AJ4064" s="50" t="s">
        <v>4452</v>
      </c>
      <c r="AK4064" t="s">
        <v>4244</v>
      </c>
      <c r="AN4064">
        <v>45</v>
      </c>
      <c r="AO4064">
        <v>10</v>
      </c>
      <c r="AP4064">
        <v>52</v>
      </c>
      <c r="AQ4064">
        <v>7.5</v>
      </c>
      <c r="AW4064" s="28">
        <f t="shared" si="396"/>
        <v>0.7919595949289332</v>
      </c>
      <c r="AX4064">
        <f t="shared" si="397"/>
        <v>0.98429319371727753</v>
      </c>
      <c r="AY4064" s="62">
        <f t="shared" si="398"/>
        <v>0.77952043898764112</v>
      </c>
      <c r="AZ4064" s="68" t="str">
        <f t="shared" si="399"/>
        <v>No</v>
      </c>
      <c r="BA4064" s="68" t="str">
        <f t="shared" si="400"/>
        <v>No</v>
      </c>
    </row>
    <row r="4065" spans="1:53" hidden="1">
      <c r="A4065" t="s">
        <v>3914</v>
      </c>
      <c r="G4065" s="50" t="s">
        <v>5057</v>
      </c>
      <c r="P4065" t="s">
        <v>60</v>
      </c>
      <c r="R4065" t="s">
        <v>4357</v>
      </c>
      <c r="S4065" s="50" t="s">
        <v>1754</v>
      </c>
      <c r="V4065" t="s">
        <v>3956</v>
      </c>
      <c r="Z4065" s="50">
        <v>25</v>
      </c>
      <c r="AA4065" s="50">
        <v>25</v>
      </c>
      <c r="AC4065">
        <v>417.56</v>
      </c>
      <c r="AD4065">
        <v>20</v>
      </c>
      <c r="AE4065">
        <v>920.79</v>
      </c>
      <c r="AF4065">
        <v>20</v>
      </c>
      <c r="AJ4065" s="50" t="s">
        <v>1827</v>
      </c>
      <c r="AK4065" t="s">
        <v>4244</v>
      </c>
      <c r="AN4065">
        <v>97</v>
      </c>
      <c r="AO4065">
        <v>10</v>
      </c>
      <c r="AP4065">
        <v>118</v>
      </c>
      <c r="AQ4065">
        <v>10</v>
      </c>
      <c r="AW4065" s="28">
        <f t="shared" si="396"/>
        <v>2.1</v>
      </c>
      <c r="AX4065">
        <f t="shared" si="397"/>
        <v>0.98429319371727753</v>
      </c>
      <c r="AY4065" s="62">
        <f t="shared" si="398"/>
        <v>2.0670157068062829</v>
      </c>
      <c r="AZ4065" s="68" t="str">
        <f t="shared" si="399"/>
        <v>No</v>
      </c>
      <c r="BA4065" s="68" t="str">
        <f t="shared" si="400"/>
        <v>No</v>
      </c>
    </row>
    <row r="4066" spans="1:53" hidden="1">
      <c r="A4066" t="s">
        <v>3914</v>
      </c>
      <c r="G4066" t="s">
        <v>4417</v>
      </c>
      <c r="P4066" t="s">
        <v>60</v>
      </c>
      <c r="R4066" t="s">
        <v>4357</v>
      </c>
      <c r="S4066" t="s">
        <v>1754</v>
      </c>
      <c r="V4066" t="s">
        <v>3956</v>
      </c>
      <c r="Z4066">
        <v>25</v>
      </c>
      <c r="AA4066">
        <v>25</v>
      </c>
      <c r="AC4066">
        <v>417.56</v>
      </c>
      <c r="AD4066">
        <v>20</v>
      </c>
      <c r="AE4066">
        <v>920.79</v>
      </c>
      <c r="AF4066">
        <v>20</v>
      </c>
      <c r="AJ4066" t="s">
        <v>4498</v>
      </c>
      <c r="AK4066" t="s">
        <v>4123</v>
      </c>
      <c r="AN4066">
        <v>17.5</v>
      </c>
      <c r="AO4066">
        <v>25</v>
      </c>
      <c r="AP4066">
        <v>22.5</v>
      </c>
      <c r="AQ4066">
        <v>12.5</v>
      </c>
      <c r="AW4066" s="28">
        <f t="shared" si="396"/>
        <v>0.25298221281347033</v>
      </c>
      <c r="AX4066">
        <f t="shared" si="397"/>
        <v>0.98429319371727753</v>
      </c>
      <c r="AY4066" s="62">
        <f t="shared" si="398"/>
        <v>0.24900867020383469</v>
      </c>
      <c r="AZ4066" s="68" t="str">
        <f t="shared" si="399"/>
        <v>No</v>
      </c>
      <c r="BA4066" s="68" t="str">
        <f t="shared" si="400"/>
        <v>No</v>
      </c>
    </row>
    <row r="4067" spans="1:53" hidden="1">
      <c r="A4067" s="77" t="s">
        <v>3914</v>
      </c>
      <c r="G4067" s="77" t="s">
        <v>4052</v>
      </c>
      <c r="P4067" s="77" t="s">
        <v>60</v>
      </c>
      <c r="Q4067" s="77"/>
      <c r="R4067" s="77" t="s">
        <v>4035</v>
      </c>
      <c r="S4067" s="77" t="s">
        <v>1749</v>
      </c>
      <c r="T4067" s="77"/>
      <c r="U4067" s="77"/>
      <c r="V4067" s="77" t="s">
        <v>3956</v>
      </c>
      <c r="W4067" s="77"/>
      <c r="X4067" s="77"/>
      <c r="Y4067" s="77"/>
      <c r="Z4067" s="77">
        <v>3</v>
      </c>
      <c r="AA4067" s="77">
        <v>3</v>
      </c>
      <c r="AB4067" s="77"/>
      <c r="AC4067" s="77">
        <v>337.5</v>
      </c>
      <c r="AD4067" s="77">
        <v>28</v>
      </c>
      <c r="AE4067" s="77">
        <v>1283.8</v>
      </c>
      <c r="AF4067" s="77">
        <v>28</v>
      </c>
      <c r="AG4067" s="77"/>
      <c r="AH4067" s="77"/>
      <c r="AI4067" s="77"/>
      <c r="AJ4067" s="77" t="s">
        <v>1791</v>
      </c>
      <c r="AK4067" s="77" t="s">
        <v>4041</v>
      </c>
      <c r="AN4067" s="77">
        <v>26.67</v>
      </c>
      <c r="AO4067" s="77">
        <v>15.276688122757497</v>
      </c>
      <c r="AP4067" s="77">
        <v>3.33</v>
      </c>
      <c r="AQ4067" s="77">
        <v>5.7677291892043616</v>
      </c>
      <c r="AW4067" s="28">
        <f t="shared" si="396"/>
        <v>-2.0213895823424659</v>
      </c>
      <c r="AX4067">
        <f t="shared" si="397"/>
        <v>0.8</v>
      </c>
      <c r="AY4067" s="62">
        <f t="shared" si="398"/>
        <v>-1.6171116658739728</v>
      </c>
      <c r="AZ4067" s="68" t="str">
        <f t="shared" si="399"/>
        <v>No</v>
      </c>
      <c r="BA4067" s="68" t="str">
        <f t="shared" si="400"/>
        <v>No</v>
      </c>
    </row>
    <row r="4068" spans="1:53" hidden="1">
      <c r="A4068" s="77" t="s">
        <v>3914</v>
      </c>
      <c r="G4068" s="77" t="s">
        <v>4052</v>
      </c>
      <c r="P4068" s="77" t="s">
        <v>60</v>
      </c>
      <c r="Q4068" s="77"/>
      <c r="R4068" s="77" t="s">
        <v>4035</v>
      </c>
      <c r="S4068" s="77" t="s">
        <v>1749</v>
      </c>
      <c r="T4068" s="77"/>
      <c r="U4068" s="77"/>
      <c r="V4068" s="77" t="s">
        <v>3956</v>
      </c>
      <c r="W4068" s="77"/>
      <c r="X4068" s="77"/>
      <c r="Y4068" s="77"/>
      <c r="Z4068" s="77">
        <v>3</v>
      </c>
      <c r="AA4068" s="77">
        <v>3</v>
      </c>
      <c r="AB4068" s="77"/>
      <c r="AC4068" s="77">
        <v>337.5</v>
      </c>
      <c r="AD4068" s="77">
        <v>28</v>
      </c>
      <c r="AE4068" s="77">
        <v>588.6</v>
      </c>
      <c r="AF4068" s="77">
        <v>28</v>
      </c>
      <c r="AG4068" s="77"/>
      <c r="AH4068" s="77"/>
      <c r="AI4068" s="77"/>
      <c r="AJ4068" s="77" t="s">
        <v>1791</v>
      </c>
      <c r="AK4068" s="77" t="s">
        <v>4041</v>
      </c>
      <c r="AN4068" s="77">
        <v>26.67</v>
      </c>
      <c r="AO4068" s="77">
        <v>15.276688122757497</v>
      </c>
      <c r="AP4068" s="77">
        <v>13</v>
      </c>
      <c r="AQ4068" s="77">
        <v>6.0621778264910704</v>
      </c>
      <c r="AW4068" s="28">
        <f t="shared" si="396"/>
        <v>-1.1762492348644855</v>
      </c>
      <c r="AX4068">
        <f t="shared" si="397"/>
        <v>0.8</v>
      </c>
      <c r="AY4068" s="62">
        <f t="shared" si="398"/>
        <v>-0.94099938789158843</v>
      </c>
      <c r="AZ4068" s="68" t="str">
        <f t="shared" si="399"/>
        <v>No</v>
      </c>
      <c r="BA4068" s="68" t="str">
        <f t="shared" si="400"/>
        <v>No</v>
      </c>
    </row>
    <row r="4069" spans="1:53" hidden="1">
      <c r="A4069" t="s">
        <v>3914</v>
      </c>
      <c r="G4069" t="s">
        <v>3960</v>
      </c>
      <c r="P4069" t="s">
        <v>60</v>
      </c>
      <c r="R4069" t="s">
        <v>3942</v>
      </c>
      <c r="S4069" t="s">
        <v>3971</v>
      </c>
      <c r="V4069" t="s">
        <v>3956</v>
      </c>
      <c r="Z4069">
        <v>9</v>
      </c>
      <c r="AA4069">
        <v>9</v>
      </c>
      <c r="AC4069">
        <v>467</v>
      </c>
      <c r="AD4069">
        <v>27.3</v>
      </c>
      <c r="AE4069">
        <v>784</v>
      </c>
      <c r="AF4069">
        <v>27.3</v>
      </c>
      <c r="AJ4069" t="s">
        <v>3986</v>
      </c>
      <c r="AK4069" t="s">
        <v>904</v>
      </c>
      <c r="AN4069">
        <v>7.4999999999999997E-2</v>
      </c>
      <c r="AO4069">
        <f>0.035*0.75</f>
        <v>2.6250000000000002E-2</v>
      </c>
      <c r="AP4069">
        <v>6.25E-2</v>
      </c>
      <c r="AQ4069">
        <f>0.012*0.75</f>
        <v>9.0000000000000011E-3</v>
      </c>
      <c r="AW4069" s="28">
        <f t="shared" si="396"/>
        <v>-0.63703313620409663</v>
      </c>
      <c r="AX4069">
        <f t="shared" si="397"/>
        <v>0.95238095238095233</v>
      </c>
      <c r="AY4069" s="62">
        <f t="shared" si="398"/>
        <v>-0.60669822495628245</v>
      </c>
      <c r="AZ4069" s="68" t="str">
        <f t="shared" si="399"/>
        <v>No</v>
      </c>
      <c r="BA4069" s="68" t="str">
        <f t="shared" si="400"/>
        <v>No</v>
      </c>
    </row>
    <row r="4070" spans="1:53" hidden="1">
      <c r="A4070" t="s">
        <v>3914</v>
      </c>
      <c r="G4070" t="s">
        <v>3960</v>
      </c>
      <c r="P4070" t="s">
        <v>60</v>
      </c>
      <c r="R4070" t="s">
        <v>3942</v>
      </c>
      <c r="S4070" t="s">
        <v>3971</v>
      </c>
      <c r="V4070" t="s">
        <v>3956</v>
      </c>
      <c r="Z4070">
        <v>9</v>
      </c>
      <c r="AA4070">
        <v>9</v>
      </c>
      <c r="AC4070">
        <v>467</v>
      </c>
      <c r="AD4070">
        <v>27.3</v>
      </c>
      <c r="AE4070">
        <v>784</v>
      </c>
      <c r="AF4070">
        <v>27.3</v>
      </c>
      <c r="AJ4070" t="s">
        <v>108</v>
      </c>
      <c r="AK4070" t="s">
        <v>904</v>
      </c>
      <c r="AN4070">
        <v>3.7499999999999999E-2</v>
      </c>
      <c r="AO4070">
        <v>1.8750000000000003E-2</v>
      </c>
      <c r="AP4070">
        <v>0.02</v>
      </c>
      <c r="AQ4070">
        <v>1.125E-2</v>
      </c>
      <c r="AW4070" s="28">
        <f t="shared" si="396"/>
        <v>-1.1318329168362202</v>
      </c>
      <c r="AX4070">
        <f t="shared" si="397"/>
        <v>0.95238095238095233</v>
      </c>
      <c r="AY4070" s="62">
        <f t="shared" si="398"/>
        <v>-1.0779361112725907</v>
      </c>
      <c r="AZ4070" s="68" t="str">
        <f t="shared" si="399"/>
        <v>No</v>
      </c>
      <c r="BA4070" s="68" t="str">
        <f t="shared" si="400"/>
        <v>No</v>
      </c>
    </row>
    <row r="4071" spans="1:53" hidden="1">
      <c r="A4071" t="s">
        <v>3914</v>
      </c>
      <c r="G4071" t="s">
        <v>3960</v>
      </c>
      <c r="P4071" t="s">
        <v>60</v>
      </c>
      <c r="R4071" t="s">
        <v>3942</v>
      </c>
      <c r="S4071" t="s">
        <v>3971</v>
      </c>
      <c r="V4071" t="s">
        <v>3956</v>
      </c>
      <c r="Z4071">
        <v>55</v>
      </c>
      <c r="AA4071">
        <v>55</v>
      </c>
      <c r="AC4071">
        <v>467</v>
      </c>
      <c r="AD4071">
        <v>27.3</v>
      </c>
      <c r="AE4071">
        <v>1662</v>
      </c>
      <c r="AF4071">
        <v>27.5</v>
      </c>
      <c r="AJ4071" t="s">
        <v>3992</v>
      </c>
      <c r="AK4071" t="s">
        <v>904</v>
      </c>
      <c r="AN4071">
        <v>0.70499999999999996</v>
      </c>
      <c r="AO4071">
        <v>1.125E-2</v>
      </c>
      <c r="AP4071">
        <v>0.7</v>
      </c>
      <c r="AQ4071">
        <v>1.4999999999999999E-2</v>
      </c>
      <c r="AW4071" s="28">
        <f t="shared" si="396"/>
        <v>-0.37712361663282573</v>
      </c>
      <c r="AX4071">
        <f t="shared" si="397"/>
        <v>0.99303944315545245</v>
      </c>
      <c r="AY4071" s="62">
        <f t="shared" si="398"/>
        <v>-0.37449862626183161</v>
      </c>
      <c r="AZ4071" s="68" t="str">
        <f t="shared" si="399"/>
        <v>No</v>
      </c>
      <c r="BA4071" s="68" t="str">
        <f t="shared" si="400"/>
        <v>No</v>
      </c>
    </row>
    <row r="4072" spans="1:53" hidden="1">
      <c r="A4072" t="s">
        <v>3914</v>
      </c>
      <c r="G4072" t="s">
        <v>3960</v>
      </c>
      <c r="P4072" t="s">
        <v>60</v>
      </c>
      <c r="R4072" t="s">
        <v>3942</v>
      </c>
      <c r="S4072" t="s">
        <v>1012</v>
      </c>
      <c r="V4072" t="s">
        <v>3956</v>
      </c>
      <c r="Z4072">
        <v>55</v>
      </c>
      <c r="AA4072">
        <v>55</v>
      </c>
      <c r="AC4072">
        <v>467</v>
      </c>
      <c r="AD4072">
        <v>27.3</v>
      </c>
      <c r="AE4072">
        <v>1662</v>
      </c>
      <c r="AF4072">
        <v>27.5</v>
      </c>
      <c r="AJ4072" t="s">
        <v>3992</v>
      </c>
      <c r="AK4072" t="s">
        <v>904</v>
      </c>
      <c r="AN4072">
        <v>0.64</v>
      </c>
      <c r="AO4072">
        <v>1.4999999999999999E-2</v>
      </c>
      <c r="AP4072">
        <v>0.64</v>
      </c>
      <c r="AQ4072">
        <v>1.4999999999999999E-2</v>
      </c>
      <c r="AW4072" s="28">
        <f t="shared" si="396"/>
        <v>0</v>
      </c>
      <c r="AX4072">
        <f t="shared" si="397"/>
        <v>0.99303944315545245</v>
      </c>
      <c r="AY4072" s="62">
        <f t="shared" si="398"/>
        <v>0</v>
      </c>
      <c r="AZ4072" s="68" t="str">
        <f t="shared" si="399"/>
        <v>No</v>
      </c>
      <c r="BA4072" s="68" t="str">
        <f t="shared" si="400"/>
        <v>No</v>
      </c>
    </row>
    <row r="4073" spans="1:53" hidden="1">
      <c r="A4073" t="s">
        <v>3914</v>
      </c>
      <c r="G4073" t="s">
        <v>3960</v>
      </c>
      <c r="P4073" t="s">
        <v>60</v>
      </c>
      <c r="R4073" t="s">
        <v>3942</v>
      </c>
      <c r="S4073" t="s">
        <v>1012</v>
      </c>
      <c r="V4073" t="s">
        <v>3956</v>
      </c>
      <c r="Z4073">
        <v>9</v>
      </c>
      <c r="AA4073">
        <v>9</v>
      </c>
      <c r="AC4073">
        <v>467</v>
      </c>
      <c r="AD4073">
        <v>27.3</v>
      </c>
      <c r="AE4073">
        <v>1662</v>
      </c>
      <c r="AF4073">
        <v>27.5</v>
      </c>
      <c r="AJ4073" t="s">
        <v>108</v>
      </c>
      <c r="AK4073" t="s">
        <v>904</v>
      </c>
      <c r="AN4073">
        <v>0.1</v>
      </c>
      <c r="AO4073">
        <f>0.03*0.75</f>
        <v>2.2499999999999999E-2</v>
      </c>
      <c r="AP4073">
        <v>0.115</v>
      </c>
      <c r="AQ4073">
        <f>0.025*0.75</f>
        <v>1.8750000000000003E-2</v>
      </c>
      <c r="AW4073" s="28">
        <f t="shared" si="396"/>
        <v>0.72428596834014825</v>
      </c>
      <c r="AX4073">
        <f t="shared" si="397"/>
        <v>0.95238095238095233</v>
      </c>
      <c r="AY4073" s="62">
        <f t="shared" si="398"/>
        <v>0.68979616032395064</v>
      </c>
      <c r="AZ4073" s="68" t="str">
        <f t="shared" si="399"/>
        <v>No</v>
      </c>
      <c r="BA4073" s="68" t="str">
        <f t="shared" si="400"/>
        <v>No</v>
      </c>
    </row>
    <row r="4074" spans="1:53" hidden="1">
      <c r="A4074" t="s">
        <v>3914</v>
      </c>
      <c r="G4074" t="s">
        <v>3960</v>
      </c>
      <c r="P4074" t="s">
        <v>60</v>
      </c>
      <c r="R4074" t="s">
        <v>3942</v>
      </c>
      <c r="S4074" t="s">
        <v>1012</v>
      </c>
      <c r="V4074" t="s">
        <v>3956</v>
      </c>
      <c r="Z4074">
        <v>55</v>
      </c>
      <c r="AA4074">
        <v>55</v>
      </c>
      <c r="AC4074">
        <v>467</v>
      </c>
      <c r="AD4074">
        <v>27.3</v>
      </c>
      <c r="AE4074">
        <v>784</v>
      </c>
      <c r="AF4074">
        <v>27.3</v>
      </c>
      <c r="AJ4074" t="s">
        <v>3992</v>
      </c>
      <c r="AK4074" t="s">
        <v>904</v>
      </c>
      <c r="AN4074">
        <v>0.64</v>
      </c>
      <c r="AO4074">
        <f>0.02*0.75</f>
        <v>1.4999999999999999E-2</v>
      </c>
      <c r="AP4074">
        <v>0.64300000000000002</v>
      </c>
      <c r="AQ4074">
        <f>0.03*0.75</f>
        <v>2.2499999999999999E-2</v>
      </c>
      <c r="AW4074" s="28">
        <f t="shared" si="396"/>
        <v>0.15689290811054735</v>
      </c>
      <c r="AX4074">
        <f t="shared" si="397"/>
        <v>0.99303944315545245</v>
      </c>
      <c r="AY4074" s="62">
        <f t="shared" si="398"/>
        <v>0.1558008461051375</v>
      </c>
      <c r="AZ4074" s="68" t="str">
        <f t="shared" si="399"/>
        <v>No</v>
      </c>
      <c r="BA4074" s="68" t="str">
        <f t="shared" si="400"/>
        <v>No</v>
      </c>
    </row>
    <row r="4075" spans="1:53" hidden="1">
      <c r="A4075" t="s">
        <v>3914</v>
      </c>
      <c r="G4075" t="s">
        <v>3960</v>
      </c>
      <c r="P4075" t="s">
        <v>60</v>
      </c>
      <c r="R4075" t="s">
        <v>3942</v>
      </c>
      <c r="S4075" t="s">
        <v>3971</v>
      </c>
      <c r="V4075" t="s">
        <v>3956</v>
      </c>
      <c r="Z4075">
        <v>9</v>
      </c>
      <c r="AA4075">
        <v>9</v>
      </c>
      <c r="AC4075">
        <v>467</v>
      </c>
      <c r="AD4075">
        <v>27.3</v>
      </c>
      <c r="AE4075">
        <v>1662</v>
      </c>
      <c r="AF4075">
        <v>27.5</v>
      </c>
      <c r="AJ4075" t="s">
        <v>108</v>
      </c>
      <c r="AK4075" t="s">
        <v>904</v>
      </c>
      <c r="AN4075">
        <v>3.7499999999999999E-2</v>
      </c>
      <c r="AO4075">
        <f>0.025*0.75</f>
        <v>1.8750000000000003E-2</v>
      </c>
      <c r="AP4075">
        <v>0.03</v>
      </c>
      <c r="AQ4075">
        <f>0.035*0.75</f>
        <v>2.6250000000000002E-2</v>
      </c>
      <c r="AW4075" s="28">
        <f t="shared" si="396"/>
        <v>-0.32879797461071447</v>
      </c>
      <c r="AX4075">
        <f t="shared" si="397"/>
        <v>0.95238095238095233</v>
      </c>
      <c r="AY4075" s="62">
        <f t="shared" si="398"/>
        <v>-0.31314092820068046</v>
      </c>
      <c r="AZ4075" s="68" t="str">
        <f t="shared" si="399"/>
        <v>No</v>
      </c>
      <c r="BA4075" s="68" t="str">
        <f t="shared" si="400"/>
        <v>No</v>
      </c>
    </row>
    <row r="4076" spans="1:53" hidden="1">
      <c r="A4076" t="s">
        <v>3914</v>
      </c>
      <c r="G4076" t="s">
        <v>3960</v>
      </c>
      <c r="P4076" t="s">
        <v>60</v>
      </c>
      <c r="R4076" t="s">
        <v>3942</v>
      </c>
      <c r="S4076" t="s">
        <v>1012</v>
      </c>
      <c r="V4076" t="s">
        <v>3956</v>
      </c>
      <c r="Z4076">
        <v>9</v>
      </c>
      <c r="AA4076">
        <v>9</v>
      </c>
      <c r="AC4076">
        <v>467</v>
      </c>
      <c r="AD4076">
        <v>27.3</v>
      </c>
      <c r="AE4076">
        <v>784</v>
      </c>
      <c r="AF4076">
        <v>27.3</v>
      </c>
      <c r="AJ4076" t="s">
        <v>108</v>
      </c>
      <c r="AK4076" t="s">
        <v>904</v>
      </c>
      <c r="AN4076">
        <v>0.1</v>
      </c>
      <c r="AO4076">
        <v>2.2499999999999999E-2</v>
      </c>
      <c r="AP4076">
        <v>0.125</v>
      </c>
      <c r="AQ4076">
        <v>0.03</v>
      </c>
      <c r="AW4076" s="28">
        <f t="shared" si="396"/>
        <v>0.94280904158206313</v>
      </c>
      <c r="AX4076">
        <f t="shared" si="397"/>
        <v>0.95238095238095233</v>
      </c>
      <c r="AY4076" s="62">
        <f t="shared" si="398"/>
        <v>0.89791337293529816</v>
      </c>
      <c r="AZ4076" s="68" t="str">
        <f t="shared" si="399"/>
        <v>No</v>
      </c>
      <c r="BA4076" s="68" t="str">
        <f t="shared" si="400"/>
        <v>No</v>
      </c>
    </row>
    <row r="4077" spans="1:53" hidden="1">
      <c r="A4077" t="s">
        <v>3914</v>
      </c>
      <c r="G4077" t="s">
        <v>3960</v>
      </c>
      <c r="P4077" t="s">
        <v>60</v>
      </c>
      <c r="R4077" t="s">
        <v>3942</v>
      </c>
      <c r="S4077" t="s">
        <v>3971</v>
      </c>
      <c r="V4077" t="s">
        <v>3956</v>
      </c>
      <c r="Z4077">
        <v>9</v>
      </c>
      <c r="AA4077">
        <v>9</v>
      </c>
      <c r="AC4077">
        <v>467</v>
      </c>
      <c r="AD4077">
        <v>27.3</v>
      </c>
      <c r="AE4077">
        <v>1662</v>
      </c>
      <c r="AF4077">
        <v>27.5</v>
      </c>
      <c r="AJ4077" t="s">
        <v>3986</v>
      </c>
      <c r="AK4077" t="s">
        <v>904</v>
      </c>
      <c r="AN4077">
        <v>7.4999999999999997E-2</v>
      </c>
      <c r="AO4077">
        <f>0.035*0.75</f>
        <v>2.6250000000000002E-2</v>
      </c>
      <c r="AP4077">
        <v>0.04</v>
      </c>
      <c r="AQ4077">
        <f>0.045*0.75</f>
        <v>3.3750000000000002E-2</v>
      </c>
      <c r="AW4077" s="28">
        <f t="shared" si="396"/>
        <v>-1.157657522832612</v>
      </c>
      <c r="AX4077">
        <f t="shared" si="397"/>
        <v>0.95238095238095233</v>
      </c>
      <c r="AY4077" s="62">
        <f t="shared" si="398"/>
        <v>-1.1025309741262972</v>
      </c>
      <c r="AZ4077" s="68" t="str">
        <f t="shared" si="399"/>
        <v>No</v>
      </c>
      <c r="BA4077" s="68" t="str">
        <f t="shared" si="400"/>
        <v>No</v>
      </c>
    </row>
    <row r="4078" spans="1:53" hidden="1">
      <c r="A4078" t="s">
        <v>3914</v>
      </c>
      <c r="G4078" t="s">
        <v>3960</v>
      </c>
      <c r="P4078" t="s">
        <v>60</v>
      </c>
      <c r="R4078" t="s">
        <v>3942</v>
      </c>
      <c r="S4078" t="s">
        <v>1012</v>
      </c>
      <c r="V4078" t="s">
        <v>3956</v>
      </c>
      <c r="Z4078">
        <v>9</v>
      </c>
      <c r="AA4078">
        <v>9</v>
      </c>
      <c r="AC4078">
        <v>467</v>
      </c>
      <c r="AD4078">
        <v>27.3</v>
      </c>
      <c r="AE4078">
        <v>1662</v>
      </c>
      <c r="AF4078">
        <v>27.5</v>
      </c>
      <c r="AJ4078" t="s">
        <v>3986</v>
      </c>
      <c r="AK4078" t="s">
        <v>904</v>
      </c>
      <c r="AN4078">
        <v>7.0000000000000007E-2</v>
      </c>
      <c r="AO4078">
        <f>0.06*0.75</f>
        <v>4.4999999999999998E-2</v>
      </c>
      <c r="AP4078">
        <v>8.5000000000000006E-2</v>
      </c>
      <c r="AQ4078">
        <f>0.045*0.75</f>
        <v>3.3750000000000002E-2</v>
      </c>
      <c r="AW4078" s="28">
        <f t="shared" si="396"/>
        <v>0.37712361663282534</v>
      </c>
      <c r="AX4078">
        <f t="shared" si="397"/>
        <v>0.95238095238095233</v>
      </c>
      <c r="AY4078" s="62">
        <f t="shared" si="398"/>
        <v>0.35916534917411935</v>
      </c>
      <c r="AZ4078" s="68" t="str">
        <f t="shared" si="399"/>
        <v>No</v>
      </c>
      <c r="BA4078" s="68" t="str">
        <f t="shared" si="400"/>
        <v>No</v>
      </c>
    </row>
    <row r="4079" spans="1:53" hidden="1">
      <c r="A4079" t="s">
        <v>3914</v>
      </c>
      <c r="G4079" t="s">
        <v>3960</v>
      </c>
      <c r="P4079" t="s">
        <v>60</v>
      </c>
      <c r="R4079" t="s">
        <v>3942</v>
      </c>
      <c r="S4079" t="s">
        <v>3971</v>
      </c>
      <c r="V4079" t="s">
        <v>3956</v>
      </c>
      <c r="Z4079">
        <v>55</v>
      </c>
      <c r="AA4079">
        <v>55</v>
      </c>
      <c r="AC4079">
        <v>467</v>
      </c>
      <c r="AD4079">
        <v>27.3</v>
      </c>
      <c r="AE4079">
        <v>784</v>
      </c>
      <c r="AF4079">
        <v>27.3</v>
      </c>
      <c r="AJ4079" t="s">
        <v>3992</v>
      </c>
      <c r="AK4079" t="s">
        <v>904</v>
      </c>
      <c r="AN4079">
        <v>0.70499999999999996</v>
      </c>
      <c r="AO4079">
        <f>0.015*0.75</f>
        <v>1.125E-2</v>
      </c>
      <c r="AP4079">
        <v>0.66</v>
      </c>
      <c r="AQ4079">
        <f>0.05*0.75</f>
        <v>3.7500000000000006E-2</v>
      </c>
      <c r="AW4079" s="28">
        <f t="shared" si="396"/>
        <v>-1.6254851075486285</v>
      </c>
      <c r="AX4079">
        <f t="shared" si="397"/>
        <v>0.99303944315545245</v>
      </c>
      <c r="AY4079" s="62">
        <f t="shared" si="398"/>
        <v>-1.6141708260575709</v>
      </c>
      <c r="AZ4079" s="68" t="str">
        <f t="shared" si="399"/>
        <v>No</v>
      </c>
      <c r="BA4079" s="68" t="str">
        <f t="shared" si="400"/>
        <v>No</v>
      </c>
    </row>
    <row r="4080" spans="1:53" hidden="1">
      <c r="A4080" t="s">
        <v>3914</v>
      </c>
      <c r="G4080" t="s">
        <v>3960</v>
      </c>
      <c r="P4080" t="s">
        <v>60</v>
      </c>
      <c r="R4080" t="s">
        <v>3942</v>
      </c>
      <c r="S4080" t="s">
        <v>3970</v>
      </c>
      <c r="V4080" t="s">
        <v>3956</v>
      </c>
      <c r="Z4080">
        <v>55</v>
      </c>
      <c r="AA4080">
        <v>55</v>
      </c>
      <c r="AC4080">
        <v>467</v>
      </c>
      <c r="AD4080">
        <v>27.3</v>
      </c>
      <c r="AE4080">
        <v>1662</v>
      </c>
      <c r="AF4080">
        <v>27.5</v>
      </c>
      <c r="AJ4080" t="s">
        <v>3992</v>
      </c>
      <c r="AK4080" t="s">
        <v>904</v>
      </c>
      <c r="AN4080">
        <v>0.67</v>
      </c>
      <c r="AO4080">
        <v>0.03</v>
      </c>
      <c r="AP4080">
        <v>0.66</v>
      </c>
      <c r="AQ4080">
        <v>3.7500000000000006E-2</v>
      </c>
      <c r="AW4080" s="28">
        <f t="shared" si="396"/>
        <v>-0.29448406953292433</v>
      </c>
      <c r="AX4080">
        <f t="shared" si="397"/>
        <v>0.99303944315545245</v>
      </c>
      <c r="AY4080" s="62">
        <f t="shared" si="398"/>
        <v>-0.29243429642712671</v>
      </c>
      <c r="AZ4080" s="68" t="str">
        <f t="shared" si="399"/>
        <v>No</v>
      </c>
      <c r="BA4080" s="68" t="str">
        <f t="shared" si="400"/>
        <v>No</v>
      </c>
    </row>
    <row r="4081" spans="1:53" hidden="1">
      <c r="A4081" t="s">
        <v>3914</v>
      </c>
      <c r="G4081" t="s">
        <v>3960</v>
      </c>
      <c r="P4081" t="s">
        <v>60</v>
      </c>
      <c r="R4081" t="s">
        <v>3942</v>
      </c>
      <c r="S4081" t="s">
        <v>3970</v>
      </c>
      <c r="V4081" t="s">
        <v>3956</v>
      </c>
      <c r="Z4081">
        <v>55</v>
      </c>
      <c r="AA4081">
        <v>55</v>
      </c>
      <c r="AC4081">
        <v>467</v>
      </c>
      <c r="AD4081">
        <v>27.3</v>
      </c>
      <c r="AE4081">
        <v>784</v>
      </c>
      <c r="AF4081">
        <v>27.3</v>
      </c>
      <c r="AJ4081" t="s">
        <v>3992</v>
      </c>
      <c r="AK4081" t="s">
        <v>904</v>
      </c>
      <c r="AN4081">
        <v>0.67</v>
      </c>
      <c r="AO4081">
        <f>0.04*0.75</f>
        <v>0.03</v>
      </c>
      <c r="AP4081">
        <v>0.64</v>
      </c>
      <c r="AQ4081">
        <f>0.06*0.75</f>
        <v>4.4999999999999998E-2</v>
      </c>
      <c r="AW4081" s="28">
        <f t="shared" si="396"/>
        <v>-0.78446454055273684</v>
      </c>
      <c r="AX4081">
        <f t="shared" si="397"/>
        <v>0.99303944315545245</v>
      </c>
      <c r="AY4081" s="62">
        <f t="shared" si="398"/>
        <v>-0.77900423052568768</v>
      </c>
      <c r="AZ4081" s="68" t="str">
        <f t="shared" si="399"/>
        <v>No</v>
      </c>
      <c r="BA4081" s="68" t="str">
        <f t="shared" si="400"/>
        <v>No</v>
      </c>
    </row>
    <row r="4082" spans="1:53" hidden="1">
      <c r="A4082" t="s">
        <v>3914</v>
      </c>
      <c r="G4082" t="s">
        <v>3960</v>
      </c>
      <c r="P4082" t="s">
        <v>60</v>
      </c>
      <c r="R4082" t="s">
        <v>3942</v>
      </c>
      <c r="S4082" t="s">
        <v>1012</v>
      </c>
      <c r="V4082" t="s">
        <v>3956</v>
      </c>
      <c r="Z4082">
        <v>9</v>
      </c>
      <c r="AA4082">
        <v>9</v>
      </c>
      <c r="AC4082">
        <v>467</v>
      </c>
      <c r="AD4082">
        <v>27.3</v>
      </c>
      <c r="AE4082">
        <v>784</v>
      </c>
      <c r="AF4082">
        <v>27.3</v>
      </c>
      <c r="AJ4082" t="s">
        <v>3986</v>
      </c>
      <c r="AK4082" t="s">
        <v>904</v>
      </c>
      <c r="AN4082">
        <v>7.0000000000000007E-2</v>
      </c>
      <c r="AO4082">
        <f>0.06*0.75</f>
        <v>4.4999999999999998E-2</v>
      </c>
      <c r="AP4082">
        <v>0.1</v>
      </c>
      <c r="AQ4082">
        <f>0.065*0.75</f>
        <v>4.8750000000000002E-2</v>
      </c>
      <c r="AW4082" s="28">
        <f t="shared" si="396"/>
        <v>0.6394886135819452</v>
      </c>
      <c r="AX4082">
        <f t="shared" si="397"/>
        <v>0.95238095238095233</v>
      </c>
      <c r="AY4082" s="62">
        <f t="shared" si="398"/>
        <v>0.60903677483994778</v>
      </c>
      <c r="AZ4082" s="68" t="str">
        <f t="shared" si="399"/>
        <v>No</v>
      </c>
      <c r="BA4082" s="68" t="str">
        <f t="shared" si="400"/>
        <v>No</v>
      </c>
    </row>
    <row r="4083" spans="1:53" hidden="1">
      <c r="A4083" t="s">
        <v>3914</v>
      </c>
      <c r="G4083" t="s">
        <v>3960</v>
      </c>
      <c r="P4083" t="s">
        <v>60</v>
      </c>
      <c r="R4083" t="s">
        <v>3942</v>
      </c>
      <c r="S4083" t="s">
        <v>1012</v>
      </c>
      <c r="V4083" t="s">
        <v>3956</v>
      </c>
      <c r="Z4083">
        <v>50</v>
      </c>
      <c r="AA4083">
        <v>50</v>
      </c>
      <c r="AC4083">
        <v>467</v>
      </c>
      <c r="AD4083">
        <v>27.3</v>
      </c>
      <c r="AE4083">
        <v>1662</v>
      </c>
      <c r="AF4083">
        <v>27.5</v>
      </c>
      <c r="AJ4083" t="s">
        <v>50</v>
      </c>
      <c r="AK4083" t="s">
        <v>40</v>
      </c>
      <c r="AN4083">
        <v>5.1999999999999998E-2</v>
      </c>
      <c r="AO4083">
        <v>2.6250000000000002E-2</v>
      </c>
      <c r="AP4083">
        <v>6.6000000000000003E-2</v>
      </c>
      <c r="AQ4083">
        <v>0.06</v>
      </c>
      <c r="AW4083" s="28">
        <f t="shared" si="396"/>
        <v>0.30231649660012871</v>
      </c>
      <c r="AX4083">
        <f t="shared" si="397"/>
        <v>0.99232736572890023</v>
      </c>
      <c r="AY4083" s="62">
        <f t="shared" si="398"/>
        <v>0.29999693268759575</v>
      </c>
      <c r="AZ4083" s="68" t="str">
        <f t="shared" si="399"/>
        <v>No</v>
      </c>
      <c r="BA4083" s="68" t="str">
        <f t="shared" si="400"/>
        <v>No</v>
      </c>
    </row>
    <row r="4084" spans="1:53" hidden="1">
      <c r="A4084" t="s">
        <v>3914</v>
      </c>
      <c r="G4084" t="s">
        <v>3960</v>
      </c>
      <c r="P4084" t="s">
        <v>60</v>
      </c>
      <c r="R4084" t="s">
        <v>3942</v>
      </c>
      <c r="S4084" t="s">
        <v>1012</v>
      </c>
      <c r="V4084" t="s">
        <v>3956</v>
      </c>
      <c r="Z4084">
        <v>50</v>
      </c>
      <c r="AA4084">
        <v>50</v>
      </c>
      <c r="AC4084">
        <v>467</v>
      </c>
      <c r="AD4084">
        <v>27.3</v>
      </c>
      <c r="AE4084">
        <v>784</v>
      </c>
      <c r="AF4084">
        <v>27.3</v>
      </c>
      <c r="AJ4084" t="s">
        <v>50</v>
      </c>
      <c r="AK4084" t="s">
        <v>40</v>
      </c>
      <c r="AN4084">
        <v>5.1999999999999998E-2</v>
      </c>
      <c r="AO4084">
        <v>2.6250000000000002E-2</v>
      </c>
      <c r="AP4084">
        <v>7.4999999999999997E-2</v>
      </c>
      <c r="AQ4084">
        <v>6.7500000000000004E-2</v>
      </c>
      <c r="AW4084" s="28">
        <f t="shared" si="396"/>
        <v>0.4491145759087703</v>
      </c>
      <c r="AX4084">
        <f t="shared" si="397"/>
        <v>0.99232736572890023</v>
      </c>
      <c r="AY4084" s="62">
        <f t="shared" si="398"/>
        <v>0.44566868402200221</v>
      </c>
      <c r="AZ4084" s="68" t="str">
        <f t="shared" si="399"/>
        <v>No</v>
      </c>
      <c r="BA4084" s="68" t="str">
        <f t="shared" si="400"/>
        <v>No</v>
      </c>
    </row>
    <row r="4085" spans="1:53" hidden="1">
      <c r="A4085" t="s">
        <v>3914</v>
      </c>
      <c r="G4085" t="s">
        <v>3960</v>
      </c>
      <c r="P4085" t="s">
        <v>60</v>
      </c>
      <c r="R4085" t="s">
        <v>3942</v>
      </c>
      <c r="S4085" t="s">
        <v>3970</v>
      </c>
      <c r="V4085" t="s">
        <v>3956</v>
      </c>
      <c r="Z4085">
        <v>50</v>
      </c>
      <c r="AA4085">
        <v>50</v>
      </c>
      <c r="AC4085">
        <v>467</v>
      </c>
      <c r="AD4085">
        <v>27.3</v>
      </c>
      <c r="AE4085">
        <v>1662</v>
      </c>
      <c r="AF4085">
        <v>27.5</v>
      </c>
      <c r="AJ4085" t="s">
        <v>50</v>
      </c>
      <c r="AK4085" t="s">
        <v>40</v>
      </c>
      <c r="AN4085">
        <v>0.17499999999999999</v>
      </c>
      <c r="AO4085">
        <v>0.11249999999999999</v>
      </c>
      <c r="AP4085">
        <v>0.13</v>
      </c>
      <c r="AQ4085">
        <v>9.7500000000000003E-2</v>
      </c>
      <c r="AW4085" s="28">
        <f t="shared" si="396"/>
        <v>-0.42748229992745773</v>
      </c>
      <c r="AX4085">
        <f t="shared" si="397"/>
        <v>0.99232736572890023</v>
      </c>
      <c r="AY4085" s="62">
        <f t="shared" si="398"/>
        <v>-0.42420238458274578</v>
      </c>
      <c r="AZ4085" s="68" t="str">
        <f t="shared" si="399"/>
        <v>No</v>
      </c>
      <c r="BA4085" s="68" t="str">
        <f t="shared" si="400"/>
        <v>No</v>
      </c>
    </row>
    <row r="4086" spans="1:53" hidden="1">
      <c r="A4086" t="s">
        <v>3914</v>
      </c>
      <c r="G4086" t="s">
        <v>3960</v>
      </c>
      <c r="P4086" t="s">
        <v>60</v>
      </c>
      <c r="R4086" t="s">
        <v>3942</v>
      </c>
      <c r="S4086" t="s">
        <v>3971</v>
      </c>
      <c r="V4086" t="s">
        <v>3956</v>
      </c>
      <c r="Z4086">
        <v>50</v>
      </c>
      <c r="AA4086">
        <v>50</v>
      </c>
      <c r="AC4086">
        <v>467</v>
      </c>
      <c r="AD4086">
        <v>27.3</v>
      </c>
      <c r="AE4086">
        <v>1662</v>
      </c>
      <c r="AF4086">
        <v>27.5</v>
      </c>
      <c r="AJ4086" t="s">
        <v>50</v>
      </c>
      <c r="AK4086" t="s">
        <v>40</v>
      </c>
      <c r="AN4086">
        <v>0.18</v>
      </c>
      <c r="AO4086">
        <v>0.1275</v>
      </c>
      <c r="AP4086">
        <v>0.15</v>
      </c>
      <c r="AQ4086">
        <v>9.7500000000000003E-2</v>
      </c>
      <c r="AW4086" s="28">
        <f t="shared" si="396"/>
        <v>-0.26432744018203591</v>
      </c>
      <c r="AX4086">
        <f t="shared" si="397"/>
        <v>0.99232736572890023</v>
      </c>
      <c r="AY4086" s="62">
        <f t="shared" si="398"/>
        <v>-0.26229935240570312</v>
      </c>
      <c r="AZ4086" s="68" t="str">
        <f t="shared" si="399"/>
        <v>No</v>
      </c>
      <c r="BA4086" s="68" t="str">
        <f t="shared" si="400"/>
        <v>No</v>
      </c>
    </row>
    <row r="4087" spans="1:53" hidden="1">
      <c r="A4087" t="s">
        <v>3914</v>
      </c>
      <c r="G4087" t="s">
        <v>3960</v>
      </c>
      <c r="P4087" t="s">
        <v>60</v>
      </c>
      <c r="R4087" t="s">
        <v>3942</v>
      </c>
      <c r="S4087" t="s">
        <v>3970</v>
      </c>
      <c r="V4087" t="s">
        <v>3956</v>
      </c>
      <c r="Z4087">
        <v>50</v>
      </c>
      <c r="AA4087">
        <v>50</v>
      </c>
      <c r="AC4087">
        <v>467</v>
      </c>
      <c r="AD4087">
        <v>27.3</v>
      </c>
      <c r="AE4087">
        <v>784</v>
      </c>
      <c r="AF4087">
        <v>27.3</v>
      </c>
      <c r="AJ4087" t="s">
        <v>50</v>
      </c>
      <c r="AK4087" t="s">
        <v>40</v>
      </c>
      <c r="AN4087">
        <v>0.17499999999999999</v>
      </c>
      <c r="AO4087">
        <v>0.11249999999999999</v>
      </c>
      <c r="AP4087">
        <v>0.2</v>
      </c>
      <c r="AQ4087">
        <v>0.13500000000000001</v>
      </c>
      <c r="AW4087" s="28">
        <f t="shared" si="396"/>
        <v>0.20119054676115247</v>
      </c>
      <c r="AX4087">
        <f t="shared" si="397"/>
        <v>0.99232736572890023</v>
      </c>
      <c r="AY4087" s="62">
        <f t="shared" si="398"/>
        <v>0.19964688527705154</v>
      </c>
      <c r="AZ4087" s="68" t="str">
        <f t="shared" si="399"/>
        <v>No</v>
      </c>
      <c r="BA4087" s="68" t="str">
        <f t="shared" si="400"/>
        <v>No</v>
      </c>
    </row>
    <row r="4088" spans="1:53" hidden="1">
      <c r="A4088" t="s">
        <v>3914</v>
      </c>
      <c r="G4088" t="s">
        <v>3960</v>
      </c>
      <c r="P4088" t="s">
        <v>60</v>
      </c>
      <c r="R4088" t="s">
        <v>3942</v>
      </c>
      <c r="S4088" t="s">
        <v>3971</v>
      </c>
      <c r="V4088" t="s">
        <v>3956</v>
      </c>
      <c r="Z4088">
        <v>50</v>
      </c>
      <c r="AA4088">
        <v>50</v>
      </c>
      <c r="AC4088">
        <v>467</v>
      </c>
      <c r="AD4088">
        <v>27.3</v>
      </c>
      <c r="AE4088">
        <v>784</v>
      </c>
      <c r="AF4088">
        <v>27.3</v>
      </c>
      <c r="AJ4088" t="s">
        <v>50</v>
      </c>
      <c r="AK4088" t="s">
        <v>40</v>
      </c>
      <c r="AN4088">
        <v>0.18</v>
      </c>
      <c r="AO4088">
        <v>0.1275</v>
      </c>
      <c r="AP4088">
        <v>0.17</v>
      </c>
      <c r="AQ4088">
        <v>0.14250000000000002</v>
      </c>
      <c r="AW4088" s="28">
        <f t="shared" si="396"/>
        <v>-7.3960026163363737E-2</v>
      </c>
      <c r="AX4088">
        <f t="shared" si="397"/>
        <v>0.99232736572890023</v>
      </c>
      <c r="AY4088" s="62">
        <f t="shared" si="398"/>
        <v>-7.3392557931931279E-2</v>
      </c>
      <c r="AZ4088" s="68" t="str">
        <f t="shared" si="399"/>
        <v>No</v>
      </c>
      <c r="BA4088" s="68" t="str">
        <f t="shared" si="400"/>
        <v>No</v>
      </c>
    </row>
    <row r="4089" spans="1:53" hidden="1">
      <c r="A4089" t="s">
        <v>3914</v>
      </c>
      <c r="G4089" t="s">
        <v>3960</v>
      </c>
      <c r="P4089" t="s">
        <v>60</v>
      </c>
      <c r="R4089" t="s">
        <v>3942</v>
      </c>
      <c r="S4089" t="s">
        <v>3971</v>
      </c>
      <c r="V4089" t="s">
        <v>3956</v>
      </c>
      <c r="Z4089">
        <v>28</v>
      </c>
      <c r="AA4089">
        <v>28</v>
      </c>
      <c r="AC4089">
        <v>467</v>
      </c>
      <c r="AD4089">
        <v>27.3</v>
      </c>
      <c r="AE4089">
        <v>1662</v>
      </c>
      <c r="AF4089">
        <v>27.5</v>
      </c>
      <c r="AJ4089" t="s">
        <v>3995</v>
      </c>
      <c r="AK4089" t="s">
        <v>904</v>
      </c>
      <c r="AN4089">
        <v>220</v>
      </c>
      <c r="AO4089">
        <v>52.5</v>
      </c>
      <c r="AP4089">
        <v>215</v>
      </c>
      <c r="AQ4089">
        <v>26.25</v>
      </c>
      <c r="AW4089" s="28">
        <f t="shared" si="396"/>
        <v>-0.12046772038736682</v>
      </c>
      <c r="AX4089">
        <f t="shared" si="397"/>
        <v>0.98604651162790702</v>
      </c>
      <c r="AY4089" s="62">
        <f t="shared" si="398"/>
        <v>-0.11878677545172915</v>
      </c>
      <c r="AZ4089" s="68" t="str">
        <f t="shared" si="399"/>
        <v>No</v>
      </c>
      <c r="BA4089" s="68" t="str">
        <f t="shared" si="400"/>
        <v>No</v>
      </c>
    </row>
    <row r="4090" spans="1:53" hidden="1">
      <c r="A4090" t="s">
        <v>3914</v>
      </c>
      <c r="G4090" t="s">
        <v>3960</v>
      </c>
      <c r="P4090" t="s">
        <v>60</v>
      </c>
      <c r="R4090" t="s">
        <v>3942</v>
      </c>
      <c r="S4090" t="s">
        <v>3971</v>
      </c>
      <c r="V4090" t="s">
        <v>3956</v>
      </c>
      <c r="Z4090">
        <v>28</v>
      </c>
      <c r="AA4090">
        <v>28</v>
      </c>
      <c r="AC4090">
        <v>467</v>
      </c>
      <c r="AD4090">
        <v>27.3</v>
      </c>
      <c r="AE4090">
        <v>784</v>
      </c>
      <c r="AF4090">
        <v>27.3</v>
      </c>
      <c r="AJ4090" t="s">
        <v>3995</v>
      </c>
      <c r="AK4090" t="s">
        <v>904</v>
      </c>
      <c r="AN4090">
        <v>220</v>
      </c>
      <c r="AO4090">
        <v>52.5</v>
      </c>
      <c r="AP4090">
        <v>210</v>
      </c>
      <c r="AQ4090">
        <v>41.25</v>
      </c>
      <c r="AW4090" s="28">
        <f t="shared" si="396"/>
        <v>-0.2118137255438767</v>
      </c>
      <c r="AX4090">
        <f t="shared" si="397"/>
        <v>0.98604651162790702</v>
      </c>
      <c r="AY4090" s="62">
        <f t="shared" si="398"/>
        <v>-0.20885818518745053</v>
      </c>
      <c r="AZ4090" s="68" t="str">
        <f t="shared" si="399"/>
        <v>No</v>
      </c>
      <c r="BA4090" s="68" t="str">
        <f t="shared" si="400"/>
        <v>No</v>
      </c>
    </row>
    <row r="4091" spans="1:53" hidden="1">
      <c r="A4091" t="s">
        <v>3914</v>
      </c>
      <c r="G4091" t="s">
        <v>3960</v>
      </c>
      <c r="P4091" t="s">
        <v>60</v>
      </c>
      <c r="R4091" t="s">
        <v>3942</v>
      </c>
      <c r="S4091" t="s">
        <v>3970</v>
      </c>
      <c r="V4091" t="s">
        <v>3956</v>
      </c>
      <c r="Z4091">
        <v>28</v>
      </c>
      <c r="AA4091">
        <v>28</v>
      </c>
      <c r="AC4091">
        <v>467</v>
      </c>
      <c r="AD4091">
        <v>27.3</v>
      </c>
      <c r="AE4091">
        <v>1662</v>
      </c>
      <c r="AF4091">
        <v>27.5</v>
      </c>
      <c r="AJ4091" t="s">
        <v>3995</v>
      </c>
      <c r="AK4091" t="s">
        <v>904</v>
      </c>
      <c r="AN4091">
        <v>150</v>
      </c>
      <c r="AO4091">
        <v>52.5</v>
      </c>
      <c r="AP4091">
        <v>140</v>
      </c>
      <c r="AQ4091">
        <v>41.25</v>
      </c>
      <c r="AW4091" s="28">
        <f t="shared" si="396"/>
        <v>-0.2118137255438767</v>
      </c>
      <c r="AX4091">
        <f t="shared" si="397"/>
        <v>0.98604651162790702</v>
      </c>
      <c r="AY4091" s="62">
        <f t="shared" si="398"/>
        <v>-0.20885818518745053</v>
      </c>
      <c r="AZ4091" s="68" t="str">
        <f t="shared" si="399"/>
        <v>No</v>
      </c>
      <c r="BA4091" s="68" t="str">
        <f t="shared" si="400"/>
        <v>No</v>
      </c>
    </row>
    <row r="4092" spans="1:53" hidden="1">
      <c r="A4092" t="s">
        <v>3914</v>
      </c>
      <c r="G4092" t="s">
        <v>3960</v>
      </c>
      <c r="P4092" t="s">
        <v>60</v>
      </c>
      <c r="R4092" t="s">
        <v>3942</v>
      </c>
      <c r="S4092" t="s">
        <v>1012</v>
      </c>
      <c r="V4092" t="s">
        <v>3956</v>
      </c>
      <c r="Z4092">
        <v>28</v>
      </c>
      <c r="AA4092">
        <v>28</v>
      </c>
      <c r="AC4092">
        <v>467</v>
      </c>
      <c r="AD4092">
        <v>27.3</v>
      </c>
      <c r="AE4092">
        <v>1662</v>
      </c>
      <c r="AF4092">
        <v>27.5</v>
      </c>
      <c r="AJ4092" t="s">
        <v>3995</v>
      </c>
      <c r="AK4092" t="s">
        <v>904</v>
      </c>
      <c r="AN4092">
        <v>200</v>
      </c>
      <c r="AO4092">
        <v>48.75</v>
      </c>
      <c r="AP4092">
        <v>205</v>
      </c>
      <c r="AQ4092">
        <v>45</v>
      </c>
      <c r="AW4092" s="28">
        <f t="shared" si="396"/>
        <v>0.10658143559699088</v>
      </c>
      <c r="AX4092">
        <f t="shared" si="397"/>
        <v>0.98604651162790702</v>
      </c>
      <c r="AY4092" s="62">
        <f t="shared" si="398"/>
        <v>0.10509425277470728</v>
      </c>
      <c r="AZ4092" s="68" t="str">
        <f t="shared" si="399"/>
        <v>No</v>
      </c>
      <c r="BA4092" s="68" t="str">
        <f t="shared" si="400"/>
        <v>No</v>
      </c>
    </row>
    <row r="4093" spans="1:53" hidden="1">
      <c r="A4093" t="s">
        <v>3914</v>
      </c>
      <c r="G4093" t="s">
        <v>3960</v>
      </c>
      <c r="P4093" t="s">
        <v>60</v>
      </c>
      <c r="R4093" t="s">
        <v>3942</v>
      </c>
      <c r="S4093" t="s">
        <v>1012</v>
      </c>
      <c r="V4093" t="s">
        <v>3956</v>
      </c>
      <c r="Z4093">
        <v>28</v>
      </c>
      <c r="AA4093">
        <v>28</v>
      </c>
      <c r="AC4093">
        <v>467</v>
      </c>
      <c r="AD4093">
        <v>27.3</v>
      </c>
      <c r="AE4093">
        <v>784</v>
      </c>
      <c r="AF4093">
        <v>27.3</v>
      </c>
      <c r="AJ4093" t="s">
        <v>3995</v>
      </c>
      <c r="AK4093" t="s">
        <v>904</v>
      </c>
      <c r="AN4093">
        <v>200</v>
      </c>
      <c r="AO4093">
        <v>48.75</v>
      </c>
      <c r="AP4093">
        <v>230</v>
      </c>
      <c r="AQ4093">
        <v>60</v>
      </c>
      <c r="AW4093" s="28">
        <f t="shared" si="396"/>
        <v>0.54879547245602833</v>
      </c>
      <c r="AX4093">
        <f t="shared" si="397"/>
        <v>0.98604651162790702</v>
      </c>
      <c r="AY4093" s="62">
        <f t="shared" si="398"/>
        <v>0.54113786121245588</v>
      </c>
      <c r="AZ4093" s="68" t="str">
        <f t="shared" si="399"/>
        <v>No</v>
      </c>
      <c r="BA4093" s="68" t="str">
        <f t="shared" si="400"/>
        <v>No</v>
      </c>
    </row>
    <row r="4094" spans="1:53" hidden="1">
      <c r="A4094" t="s">
        <v>3914</v>
      </c>
      <c r="G4094" t="s">
        <v>3960</v>
      </c>
      <c r="P4094" t="s">
        <v>60</v>
      </c>
      <c r="R4094" t="s">
        <v>3942</v>
      </c>
      <c r="S4094" t="s">
        <v>3970</v>
      </c>
      <c r="V4094" t="s">
        <v>3956</v>
      </c>
      <c r="Z4094">
        <v>28</v>
      </c>
      <c r="AA4094">
        <v>28</v>
      </c>
      <c r="AC4094">
        <v>467</v>
      </c>
      <c r="AD4094">
        <v>27.3</v>
      </c>
      <c r="AE4094">
        <v>784</v>
      </c>
      <c r="AF4094">
        <v>27.3</v>
      </c>
      <c r="AJ4094" t="s">
        <v>3995</v>
      </c>
      <c r="AK4094" t="s">
        <v>904</v>
      </c>
      <c r="AN4094">
        <v>150</v>
      </c>
      <c r="AO4094">
        <v>52.5</v>
      </c>
      <c r="AP4094">
        <v>150</v>
      </c>
      <c r="AQ4094">
        <v>67.5</v>
      </c>
      <c r="AW4094" s="28">
        <f t="shared" si="396"/>
        <v>0</v>
      </c>
      <c r="AX4094">
        <f t="shared" si="397"/>
        <v>0.98604651162790702</v>
      </c>
      <c r="AY4094" s="62">
        <f t="shared" si="398"/>
        <v>0</v>
      </c>
      <c r="AZ4094" s="68" t="str">
        <f t="shared" si="399"/>
        <v>No</v>
      </c>
      <c r="BA4094" s="68" t="str">
        <f t="shared" si="400"/>
        <v>No</v>
      </c>
    </row>
    <row r="4095" spans="1:53" hidden="1">
      <c r="A4095" t="s">
        <v>3914</v>
      </c>
      <c r="G4095" s="50" t="s">
        <v>4517</v>
      </c>
      <c r="P4095" t="s">
        <v>60</v>
      </c>
      <c r="R4095" t="s">
        <v>4509</v>
      </c>
      <c r="S4095" t="s">
        <v>1750</v>
      </c>
      <c r="V4095" t="s">
        <v>3956</v>
      </c>
      <c r="Z4095">
        <v>3</v>
      </c>
      <c r="AA4095">
        <v>3</v>
      </c>
      <c r="AC4095">
        <v>360</v>
      </c>
      <c r="AD4095">
        <v>16.2</v>
      </c>
      <c r="AE4095">
        <v>593</v>
      </c>
      <c r="AF4095">
        <v>16.100000000000001</v>
      </c>
      <c r="AJ4095" t="s">
        <v>4533</v>
      </c>
      <c r="AK4095" t="s">
        <v>4537</v>
      </c>
      <c r="AN4095">
        <v>3.55</v>
      </c>
      <c r="AO4095">
        <v>0.1</v>
      </c>
      <c r="AP4095">
        <v>3.77</v>
      </c>
      <c r="AQ4095">
        <v>0.2</v>
      </c>
      <c r="AW4095" s="28">
        <f t="shared" si="396"/>
        <v>1.3914021704740882</v>
      </c>
      <c r="AX4095">
        <f t="shared" si="397"/>
        <v>0.8</v>
      </c>
      <c r="AY4095" s="62">
        <f t="shared" si="398"/>
        <v>1.1131217363792707</v>
      </c>
      <c r="AZ4095" s="68" t="str">
        <f t="shared" si="399"/>
        <v>No</v>
      </c>
      <c r="BA4095" s="68" t="str">
        <f t="shared" si="400"/>
        <v>No</v>
      </c>
    </row>
    <row r="4096" spans="1:53" hidden="1">
      <c r="A4096" t="s">
        <v>3914</v>
      </c>
      <c r="G4096" t="s">
        <v>4517</v>
      </c>
      <c r="P4096" t="s">
        <v>4596</v>
      </c>
      <c r="R4096" t="s">
        <v>4824</v>
      </c>
      <c r="S4096" t="s">
        <v>1750</v>
      </c>
      <c r="V4096" t="s">
        <v>4600</v>
      </c>
      <c r="Z4096">
        <v>3</v>
      </c>
      <c r="AA4096">
        <v>3</v>
      </c>
      <c r="AC4096">
        <v>360</v>
      </c>
      <c r="AD4096">
        <v>16</v>
      </c>
      <c r="AE4096">
        <v>647</v>
      </c>
      <c r="AF4096">
        <v>19</v>
      </c>
      <c r="AJ4096" t="s">
        <v>4827</v>
      </c>
      <c r="AK4096" t="s">
        <v>3983</v>
      </c>
      <c r="AN4096">
        <v>3</v>
      </c>
      <c r="AO4096">
        <v>0.2</v>
      </c>
      <c r="AP4096">
        <v>3.2</v>
      </c>
      <c r="AQ4096">
        <v>0.2</v>
      </c>
      <c r="AW4096" s="28">
        <f t="shared" si="396"/>
        <v>1.0000000000000009</v>
      </c>
      <c r="AX4096">
        <f t="shared" si="397"/>
        <v>0.8</v>
      </c>
      <c r="AY4096" s="62">
        <f t="shared" si="398"/>
        <v>0.80000000000000071</v>
      </c>
      <c r="AZ4096" s="68" t="str">
        <f t="shared" si="399"/>
        <v>No</v>
      </c>
      <c r="BA4096" s="68" t="str">
        <f t="shared" si="400"/>
        <v>No</v>
      </c>
    </row>
    <row r="4097" spans="1:53" hidden="1">
      <c r="A4097" t="s">
        <v>3914</v>
      </c>
      <c r="G4097" t="s">
        <v>4517</v>
      </c>
      <c r="P4097" t="s">
        <v>4596</v>
      </c>
      <c r="R4097" t="s">
        <v>4824</v>
      </c>
      <c r="S4097" t="s">
        <v>1750</v>
      </c>
      <c r="V4097" t="s">
        <v>4598</v>
      </c>
      <c r="Z4097">
        <v>3</v>
      </c>
      <c r="AA4097">
        <v>3</v>
      </c>
      <c r="AC4097">
        <v>360</v>
      </c>
      <c r="AD4097">
        <v>16</v>
      </c>
      <c r="AE4097">
        <v>347</v>
      </c>
      <c r="AF4097">
        <v>19</v>
      </c>
      <c r="AJ4097" t="s">
        <v>4826</v>
      </c>
      <c r="AK4097" t="s">
        <v>3983</v>
      </c>
      <c r="AN4097">
        <v>3</v>
      </c>
      <c r="AO4097">
        <v>0.2</v>
      </c>
      <c r="AP4097">
        <v>2.8</v>
      </c>
      <c r="AQ4097">
        <v>0.4</v>
      </c>
      <c r="AW4097" s="28">
        <f t="shared" si="396"/>
        <v>-0.63245553203367644</v>
      </c>
      <c r="AX4097">
        <f t="shared" si="397"/>
        <v>0.8</v>
      </c>
      <c r="AY4097" s="62">
        <f t="shared" si="398"/>
        <v>-0.50596442562694122</v>
      </c>
      <c r="AZ4097" s="68" t="str">
        <f t="shared" si="399"/>
        <v>No</v>
      </c>
      <c r="BA4097" s="68" t="str">
        <f t="shared" si="400"/>
        <v>No</v>
      </c>
    </row>
    <row r="4098" spans="1:53" hidden="1">
      <c r="A4098" t="s">
        <v>3914</v>
      </c>
      <c r="G4098" t="s">
        <v>5081</v>
      </c>
      <c r="P4098" t="s">
        <v>60</v>
      </c>
      <c r="R4098" t="s">
        <v>4509</v>
      </c>
      <c r="S4098" t="s">
        <v>1750</v>
      </c>
      <c r="V4098" t="s">
        <v>3956</v>
      </c>
      <c r="Z4098">
        <v>3</v>
      </c>
      <c r="AA4098">
        <v>3</v>
      </c>
      <c r="AC4098">
        <v>360</v>
      </c>
      <c r="AD4098">
        <v>16.2</v>
      </c>
      <c r="AE4098">
        <v>593</v>
      </c>
      <c r="AF4098">
        <v>16.100000000000001</v>
      </c>
      <c r="AJ4098" t="s">
        <v>4521</v>
      </c>
      <c r="AK4098" t="s">
        <v>4525</v>
      </c>
      <c r="AN4098">
        <v>26</v>
      </c>
      <c r="AO4098">
        <v>6</v>
      </c>
      <c r="AP4098">
        <v>25.5</v>
      </c>
      <c r="AQ4098">
        <v>0.5</v>
      </c>
      <c r="AW4098" s="28">
        <f t="shared" si="396"/>
        <v>-0.11744404390294069</v>
      </c>
      <c r="AX4098">
        <f t="shared" si="397"/>
        <v>0.8</v>
      </c>
      <c r="AY4098" s="62">
        <f t="shared" si="398"/>
        <v>-9.3955235122352557E-2</v>
      </c>
      <c r="AZ4098" s="68" t="str">
        <f t="shared" si="399"/>
        <v>No</v>
      </c>
      <c r="BA4098" s="68" t="str">
        <f t="shared" si="400"/>
        <v>No</v>
      </c>
    </row>
    <row r="4099" spans="1:53" hidden="1">
      <c r="A4099" t="s">
        <v>3914</v>
      </c>
      <c r="G4099" t="s">
        <v>4517</v>
      </c>
      <c r="P4099" t="s">
        <v>4596</v>
      </c>
      <c r="R4099" t="s">
        <v>4824</v>
      </c>
      <c r="S4099" t="s">
        <v>1750</v>
      </c>
      <c r="V4099" t="s">
        <v>4600</v>
      </c>
      <c r="Z4099">
        <v>3</v>
      </c>
      <c r="AA4099">
        <v>3</v>
      </c>
      <c r="AC4099">
        <v>360</v>
      </c>
      <c r="AD4099">
        <v>16</v>
      </c>
      <c r="AE4099">
        <v>647</v>
      </c>
      <c r="AF4099">
        <v>19</v>
      </c>
      <c r="AJ4099" t="s">
        <v>4825</v>
      </c>
      <c r="AK4099" t="s">
        <v>4123</v>
      </c>
      <c r="AN4099">
        <v>26</v>
      </c>
      <c r="AO4099">
        <v>7</v>
      </c>
      <c r="AP4099">
        <v>10.5</v>
      </c>
      <c r="AQ4099">
        <v>0.5</v>
      </c>
      <c r="AW4099" s="28">
        <f t="shared" si="396"/>
        <v>-3.1235148755312458</v>
      </c>
      <c r="AX4099">
        <f t="shared" si="397"/>
        <v>0.8</v>
      </c>
      <c r="AY4099" s="62">
        <f t="shared" si="398"/>
        <v>-2.4988119004249967</v>
      </c>
      <c r="AZ4099" s="68" t="str">
        <f t="shared" si="399"/>
        <v>No</v>
      </c>
      <c r="BA4099" s="68" t="str">
        <f t="shared" si="400"/>
        <v>No</v>
      </c>
    </row>
    <row r="4100" spans="1:53" hidden="1">
      <c r="A4100" t="s">
        <v>3914</v>
      </c>
      <c r="G4100" s="50" t="s">
        <v>4517</v>
      </c>
      <c r="P4100" t="s">
        <v>60</v>
      </c>
      <c r="R4100" t="s">
        <v>4509</v>
      </c>
      <c r="S4100" s="50" t="s">
        <v>1750</v>
      </c>
      <c r="V4100" t="s">
        <v>3956</v>
      </c>
      <c r="Z4100" s="50">
        <v>3</v>
      </c>
      <c r="AA4100" s="50">
        <v>3</v>
      </c>
      <c r="AC4100">
        <v>360</v>
      </c>
      <c r="AD4100">
        <v>16.2</v>
      </c>
      <c r="AE4100">
        <v>593</v>
      </c>
      <c r="AF4100">
        <v>16.100000000000001</v>
      </c>
      <c r="AJ4100" s="50" t="s">
        <v>4021</v>
      </c>
      <c r="AK4100" t="s">
        <v>4537</v>
      </c>
      <c r="AN4100">
        <v>3</v>
      </c>
      <c r="AO4100">
        <v>0.15</v>
      </c>
      <c r="AP4100">
        <v>3.7</v>
      </c>
      <c r="AQ4100">
        <v>0.6</v>
      </c>
      <c r="AW4100" s="28">
        <f t="shared" si="396"/>
        <v>1.6006534613300829</v>
      </c>
      <c r="AX4100">
        <f t="shared" si="397"/>
        <v>0.8</v>
      </c>
      <c r="AY4100" s="62">
        <f t="shared" si="398"/>
        <v>1.2805227690640664</v>
      </c>
      <c r="AZ4100" s="68" t="str">
        <f t="shared" si="399"/>
        <v>No</v>
      </c>
      <c r="BA4100" s="68" t="str">
        <f t="shared" si="400"/>
        <v>No</v>
      </c>
    </row>
    <row r="4101" spans="1:53" hidden="1">
      <c r="A4101" t="s">
        <v>3914</v>
      </c>
      <c r="G4101" t="s">
        <v>4823</v>
      </c>
      <c r="P4101" t="s">
        <v>4596</v>
      </c>
      <c r="R4101" t="s">
        <v>4824</v>
      </c>
      <c r="S4101" t="s">
        <v>1750</v>
      </c>
      <c r="V4101" t="s">
        <v>4598</v>
      </c>
      <c r="Z4101">
        <v>3</v>
      </c>
      <c r="AA4101">
        <v>3</v>
      </c>
      <c r="AC4101">
        <v>360</v>
      </c>
      <c r="AD4101">
        <v>16</v>
      </c>
      <c r="AE4101">
        <v>347</v>
      </c>
      <c r="AF4101">
        <v>19</v>
      </c>
      <c r="AJ4101" t="s">
        <v>4825</v>
      </c>
      <c r="AK4101" t="s">
        <v>4123</v>
      </c>
      <c r="AN4101">
        <v>26</v>
      </c>
      <c r="AO4101">
        <v>7</v>
      </c>
      <c r="AP4101">
        <v>13.5</v>
      </c>
      <c r="AQ4101">
        <v>1.5</v>
      </c>
      <c r="AW4101" s="28">
        <f t="shared" si="396"/>
        <v>-2.4693239916239742</v>
      </c>
      <c r="AX4101">
        <f t="shared" si="397"/>
        <v>0.8</v>
      </c>
      <c r="AY4101" s="62">
        <f t="shared" si="398"/>
        <v>-1.9754591932991794</v>
      </c>
      <c r="AZ4101" s="68" t="str">
        <f t="shared" si="399"/>
        <v>No</v>
      </c>
      <c r="BA4101" s="68" t="str">
        <f t="shared" si="400"/>
        <v>No</v>
      </c>
    </row>
    <row r="4102" spans="1:53" hidden="1">
      <c r="A4102" t="s">
        <v>3914</v>
      </c>
      <c r="G4102" t="s">
        <v>4517</v>
      </c>
      <c r="P4102" t="s">
        <v>4596</v>
      </c>
      <c r="R4102" t="s">
        <v>4824</v>
      </c>
      <c r="S4102" t="s">
        <v>1750</v>
      </c>
      <c r="V4102" t="s">
        <v>4598</v>
      </c>
      <c r="Z4102">
        <v>3</v>
      </c>
      <c r="AA4102">
        <v>3</v>
      </c>
      <c r="AC4102">
        <v>360</v>
      </c>
      <c r="AD4102">
        <v>16</v>
      </c>
      <c r="AE4102">
        <v>347</v>
      </c>
      <c r="AF4102">
        <v>19</v>
      </c>
      <c r="AJ4102" t="s">
        <v>4829</v>
      </c>
      <c r="AK4102" t="s">
        <v>4957</v>
      </c>
      <c r="AN4102">
        <v>9.3000000000000007</v>
      </c>
      <c r="AO4102">
        <v>2.8</v>
      </c>
      <c r="AP4102">
        <v>10</v>
      </c>
      <c r="AQ4102">
        <v>2</v>
      </c>
      <c r="AW4102" s="28">
        <f t="shared" si="396"/>
        <v>0.28769822778437498</v>
      </c>
      <c r="AX4102">
        <f t="shared" si="397"/>
        <v>0.8</v>
      </c>
      <c r="AY4102" s="62">
        <f t="shared" si="398"/>
        <v>0.23015858222749999</v>
      </c>
      <c r="AZ4102" s="68" t="str">
        <f t="shared" si="399"/>
        <v>No</v>
      </c>
      <c r="BA4102" s="68" t="str">
        <f t="shared" si="400"/>
        <v>No</v>
      </c>
    </row>
    <row r="4103" spans="1:53" hidden="1">
      <c r="A4103" t="s">
        <v>3914</v>
      </c>
      <c r="G4103" t="s">
        <v>4517</v>
      </c>
      <c r="P4103" t="s">
        <v>4596</v>
      </c>
      <c r="R4103" t="s">
        <v>4824</v>
      </c>
      <c r="S4103" t="s">
        <v>1750</v>
      </c>
      <c r="V4103" t="s">
        <v>4600</v>
      </c>
      <c r="Z4103">
        <v>3</v>
      </c>
      <c r="AA4103">
        <v>3</v>
      </c>
      <c r="AC4103">
        <v>360</v>
      </c>
      <c r="AD4103">
        <v>16</v>
      </c>
      <c r="AE4103">
        <v>647</v>
      </c>
      <c r="AF4103">
        <v>19</v>
      </c>
      <c r="AJ4103" t="s">
        <v>4830</v>
      </c>
      <c r="AK4103" t="s">
        <v>4957</v>
      </c>
      <c r="AN4103">
        <v>9.3000000000000007</v>
      </c>
      <c r="AO4103">
        <v>2.8</v>
      </c>
      <c r="AP4103">
        <v>14</v>
      </c>
      <c r="AQ4103">
        <v>2.4</v>
      </c>
      <c r="AW4103" s="28">
        <f t="shared" si="396"/>
        <v>1.8023677237913203</v>
      </c>
      <c r="AX4103">
        <f t="shared" si="397"/>
        <v>0.8</v>
      </c>
      <c r="AY4103" s="62">
        <f t="shared" si="398"/>
        <v>1.4418941790330564</v>
      </c>
      <c r="AZ4103" s="68" t="str">
        <f t="shared" si="399"/>
        <v>No</v>
      </c>
      <c r="BA4103" s="68" t="str">
        <f t="shared" si="400"/>
        <v>No</v>
      </c>
    </row>
    <row r="4104" spans="1:53" hidden="1">
      <c r="A4104" t="s">
        <v>3914</v>
      </c>
      <c r="G4104" t="s">
        <v>4517</v>
      </c>
      <c r="P4104" t="s">
        <v>4596</v>
      </c>
      <c r="R4104" t="s">
        <v>4824</v>
      </c>
      <c r="S4104" t="s">
        <v>1750</v>
      </c>
      <c r="V4104" t="s">
        <v>4598</v>
      </c>
      <c r="Z4104">
        <v>3</v>
      </c>
      <c r="AA4104">
        <v>3</v>
      </c>
      <c r="AC4104">
        <v>360</v>
      </c>
      <c r="AD4104">
        <v>16</v>
      </c>
      <c r="AE4104">
        <v>347</v>
      </c>
      <c r="AF4104">
        <v>19</v>
      </c>
      <c r="AJ4104" t="s">
        <v>4828</v>
      </c>
      <c r="AK4104" t="s">
        <v>904</v>
      </c>
      <c r="AN4104">
        <v>910</v>
      </c>
      <c r="AO4104">
        <v>70</v>
      </c>
      <c r="AP4104">
        <v>1180</v>
      </c>
      <c r="AQ4104">
        <v>30</v>
      </c>
      <c r="AW4104" s="28">
        <f t="shared" si="396"/>
        <v>5.0137741307804005</v>
      </c>
      <c r="AX4104">
        <f t="shared" si="397"/>
        <v>0.8</v>
      </c>
      <c r="AY4104" s="62">
        <f t="shared" si="398"/>
        <v>4.0110193046243205</v>
      </c>
      <c r="AZ4104" s="68" t="str">
        <f t="shared" si="399"/>
        <v>No</v>
      </c>
      <c r="BA4104" s="68" t="str">
        <f t="shared" si="400"/>
        <v>No</v>
      </c>
    </row>
    <row r="4105" spans="1:53" hidden="1">
      <c r="A4105" t="s">
        <v>3914</v>
      </c>
      <c r="G4105" t="s">
        <v>4517</v>
      </c>
      <c r="P4105" t="s">
        <v>4596</v>
      </c>
      <c r="R4105" t="s">
        <v>4824</v>
      </c>
      <c r="S4105" t="s">
        <v>1750</v>
      </c>
      <c r="V4105" t="s">
        <v>4600</v>
      </c>
      <c r="Z4105">
        <v>3</v>
      </c>
      <c r="AA4105">
        <v>3</v>
      </c>
      <c r="AC4105">
        <v>360</v>
      </c>
      <c r="AD4105">
        <v>16</v>
      </c>
      <c r="AE4105">
        <v>647</v>
      </c>
      <c r="AF4105">
        <v>19</v>
      </c>
      <c r="AJ4105" t="s">
        <v>4562</v>
      </c>
      <c r="AK4105" t="s">
        <v>904</v>
      </c>
      <c r="AN4105">
        <v>910</v>
      </c>
      <c r="AO4105">
        <v>70</v>
      </c>
      <c r="AP4105">
        <v>1120</v>
      </c>
      <c r="AQ4105">
        <v>80</v>
      </c>
      <c r="AW4105" s="28">
        <f t="shared" si="396"/>
        <v>2.7937984419985051</v>
      </c>
      <c r="AX4105">
        <f t="shared" si="397"/>
        <v>0.8</v>
      </c>
      <c r="AY4105" s="62">
        <f t="shared" si="398"/>
        <v>2.2350387535988041</v>
      </c>
      <c r="AZ4105" s="68" t="str">
        <f t="shared" si="399"/>
        <v>No</v>
      </c>
      <c r="BA4105" s="68" t="str">
        <f t="shared" si="400"/>
        <v>No</v>
      </c>
    </row>
    <row r="4106" spans="1:53" hidden="1">
      <c r="A4106" t="s">
        <v>3914</v>
      </c>
      <c r="G4106" t="s">
        <v>4517</v>
      </c>
      <c r="P4106" t="s">
        <v>60</v>
      </c>
      <c r="R4106" t="s">
        <v>4509</v>
      </c>
      <c r="S4106" t="s">
        <v>1750</v>
      </c>
      <c r="V4106" t="s">
        <v>3956</v>
      </c>
      <c r="Z4106">
        <v>3</v>
      </c>
      <c r="AA4106">
        <v>3</v>
      </c>
      <c r="AC4106">
        <v>360</v>
      </c>
      <c r="AD4106">
        <v>16.2</v>
      </c>
      <c r="AE4106">
        <v>593</v>
      </c>
      <c r="AF4106">
        <v>16.100000000000001</v>
      </c>
      <c r="AJ4106" t="s">
        <v>4562</v>
      </c>
      <c r="AK4106" t="s">
        <v>4502</v>
      </c>
      <c r="AN4106">
        <v>910</v>
      </c>
      <c r="AO4106">
        <v>100</v>
      </c>
      <c r="AP4106">
        <v>660</v>
      </c>
      <c r="AQ4106">
        <v>110</v>
      </c>
      <c r="AW4106" s="28">
        <f t="shared" si="396"/>
        <v>-2.3782574707724704</v>
      </c>
      <c r="AX4106">
        <f t="shared" si="397"/>
        <v>0.8</v>
      </c>
      <c r="AY4106" s="62">
        <f t="shared" si="398"/>
        <v>-1.9026059766179764</v>
      </c>
      <c r="AZ4106" s="68" t="str">
        <f t="shared" si="399"/>
        <v>No</v>
      </c>
      <c r="BA4106" s="68" t="str">
        <f t="shared" si="400"/>
        <v>No</v>
      </c>
    </row>
    <row r="4107" spans="1:53" hidden="1">
      <c r="A4107" t="s">
        <v>3914</v>
      </c>
      <c r="G4107" t="s">
        <v>4518</v>
      </c>
      <c r="P4107" t="s">
        <v>60</v>
      </c>
      <c r="R4107" t="s">
        <v>4509</v>
      </c>
      <c r="S4107" t="s">
        <v>1751</v>
      </c>
      <c r="V4107" t="s">
        <v>3956</v>
      </c>
      <c r="Z4107">
        <v>7</v>
      </c>
      <c r="AA4107">
        <v>7</v>
      </c>
      <c r="AC4107">
        <v>354</v>
      </c>
      <c r="AD4107">
        <v>3</v>
      </c>
      <c r="AE4107">
        <v>2378</v>
      </c>
      <c r="AF4107">
        <v>3</v>
      </c>
      <c r="AJ4107" t="s">
        <v>4522</v>
      </c>
      <c r="AK4107" t="s">
        <v>4525</v>
      </c>
      <c r="AN4107">
        <v>59</v>
      </c>
      <c r="AO4107">
        <v>3</v>
      </c>
      <c r="AP4107">
        <v>69</v>
      </c>
      <c r="AQ4107">
        <v>2</v>
      </c>
      <c r="AW4107" s="28">
        <f t="shared" si="396"/>
        <v>3.9223227027636809</v>
      </c>
      <c r="AX4107">
        <f t="shared" si="397"/>
        <v>0.93617021276595747</v>
      </c>
      <c r="AY4107" s="62">
        <f t="shared" si="398"/>
        <v>3.6719616791830205</v>
      </c>
      <c r="AZ4107" s="68" t="str">
        <f t="shared" si="399"/>
        <v>No</v>
      </c>
      <c r="BA4107" s="68" t="str">
        <f t="shared" si="400"/>
        <v>No</v>
      </c>
    </row>
    <row r="4108" spans="1:53" hidden="1">
      <c r="A4108" t="s">
        <v>3914</v>
      </c>
      <c r="G4108" t="s">
        <v>5082</v>
      </c>
      <c r="P4108" t="s">
        <v>60</v>
      </c>
      <c r="R4108" t="s">
        <v>4509</v>
      </c>
      <c r="S4108" t="s">
        <v>1751</v>
      </c>
      <c r="V4108" t="s">
        <v>3956</v>
      </c>
      <c r="Z4108">
        <v>7</v>
      </c>
      <c r="AA4108">
        <v>7</v>
      </c>
      <c r="AC4108">
        <v>354</v>
      </c>
      <c r="AD4108">
        <v>3</v>
      </c>
      <c r="AE4108">
        <v>754</v>
      </c>
      <c r="AF4108">
        <v>3</v>
      </c>
      <c r="AJ4108" t="s">
        <v>4522</v>
      </c>
      <c r="AK4108" t="s">
        <v>4525</v>
      </c>
      <c r="AN4108">
        <v>59</v>
      </c>
      <c r="AO4108">
        <v>3</v>
      </c>
      <c r="AP4108">
        <v>62.5</v>
      </c>
      <c r="AQ4108">
        <v>2.5</v>
      </c>
      <c r="AW4108" s="28">
        <f t="shared" si="396"/>
        <v>1.2675004445952593</v>
      </c>
      <c r="AX4108">
        <f t="shared" si="397"/>
        <v>0.93617021276595747</v>
      </c>
      <c r="AY4108" s="62">
        <f t="shared" si="398"/>
        <v>1.1865961608976896</v>
      </c>
      <c r="AZ4108" s="68" t="str">
        <f t="shared" si="399"/>
        <v>No</v>
      </c>
      <c r="BA4108" s="68" t="str">
        <f t="shared" si="400"/>
        <v>No</v>
      </c>
    </row>
    <row r="4109" spans="1:53" hidden="1">
      <c r="A4109" t="s">
        <v>3914</v>
      </c>
      <c r="G4109" t="s">
        <v>4518</v>
      </c>
      <c r="P4109" t="s">
        <v>60</v>
      </c>
      <c r="R4109" t="s">
        <v>4509</v>
      </c>
      <c r="S4109" t="s">
        <v>1751</v>
      </c>
      <c r="V4109" t="s">
        <v>3956</v>
      </c>
      <c r="Z4109">
        <v>7</v>
      </c>
      <c r="AA4109">
        <v>7</v>
      </c>
      <c r="AC4109">
        <v>354</v>
      </c>
      <c r="AD4109">
        <v>3</v>
      </c>
      <c r="AE4109">
        <v>754</v>
      </c>
      <c r="AF4109">
        <v>3</v>
      </c>
      <c r="AJ4109" t="s">
        <v>4522</v>
      </c>
      <c r="AK4109" t="s">
        <v>4525</v>
      </c>
      <c r="AN4109">
        <v>72</v>
      </c>
      <c r="AO4109">
        <v>8</v>
      </c>
      <c r="AP4109">
        <v>73</v>
      </c>
      <c r="AQ4109">
        <v>6</v>
      </c>
      <c r="AW4109" s="28">
        <f t="shared" si="396"/>
        <v>0.1414213562373095</v>
      </c>
      <c r="AX4109">
        <f t="shared" si="397"/>
        <v>0.93617021276595747</v>
      </c>
      <c r="AY4109" s="62">
        <f t="shared" si="398"/>
        <v>0.13239446115833231</v>
      </c>
      <c r="AZ4109" s="68" t="str">
        <f t="shared" si="399"/>
        <v>No</v>
      </c>
      <c r="BA4109" s="68" t="str">
        <f t="shared" si="400"/>
        <v>No</v>
      </c>
    </row>
    <row r="4110" spans="1:53" hidden="1">
      <c r="A4110" t="s">
        <v>3914</v>
      </c>
      <c r="G4110" t="s">
        <v>4518</v>
      </c>
      <c r="P4110" t="s">
        <v>60</v>
      </c>
      <c r="R4110" t="s">
        <v>4509</v>
      </c>
      <c r="S4110" t="s">
        <v>1751</v>
      </c>
      <c r="V4110" t="s">
        <v>3956</v>
      </c>
      <c r="Z4110">
        <v>10</v>
      </c>
      <c r="AA4110">
        <v>10</v>
      </c>
      <c r="AC4110">
        <v>354</v>
      </c>
      <c r="AD4110">
        <v>3</v>
      </c>
      <c r="AE4110">
        <v>754</v>
      </c>
      <c r="AF4110">
        <v>3</v>
      </c>
      <c r="AJ4110" t="s">
        <v>4020</v>
      </c>
      <c r="AK4110" t="s">
        <v>4537</v>
      </c>
      <c r="AN4110">
        <v>350</v>
      </c>
      <c r="AO4110">
        <v>80</v>
      </c>
      <c r="AP4110">
        <v>250</v>
      </c>
      <c r="AQ4110">
        <v>70</v>
      </c>
      <c r="AW4110" s="28">
        <f t="shared" ref="AW4110:AW4173" si="401">(AP4110-$AN4110)/SQRT(((AA4110-1)*AQ4110*AQ4110+($Z4110-1)*$AO4110*$AO4110)/(AA4110+$Z4110-2))</f>
        <v>-1.3303802104754787</v>
      </c>
      <c r="AX4110">
        <f t="shared" ref="AX4110:AX4173" si="402">1-(3/(4*(AA4110+$Z4110-2)-1))</f>
        <v>0.95774647887323949</v>
      </c>
      <c r="AY4110" s="62">
        <f t="shared" ref="AY4110:AY4173" si="403">AX4110*AW4110</f>
        <v>-1.2741669621455289</v>
      </c>
      <c r="AZ4110" s="68" t="str">
        <f t="shared" ref="AZ4110:AZ4173" si="404">IF(AY4110&gt;10,"Yes","No")</f>
        <v>No</v>
      </c>
      <c r="BA4110" s="68" t="str">
        <f t="shared" ref="BA4110:BA4173" si="405">IF(AY4110&lt;-10,"Yes","No")</f>
        <v>No</v>
      </c>
    </row>
    <row r="4111" spans="1:53" hidden="1">
      <c r="A4111" t="s">
        <v>3914</v>
      </c>
      <c r="G4111" t="s">
        <v>4518</v>
      </c>
      <c r="P4111" t="s">
        <v>60</v>
      </c>
      <c r="R4111" t="s">
        <v>4509</v>
      </c>
      <c r="S4111" t="s">
        <v>1751</v>
      </c>
      <c r="V4111" t="s">
        <v>3956</v>
      </c>
      <c r="Z4111">
        <v>7</v>
      </c>
      <c r="AA4111">
        <v>7</v>
      </c>
      <c r="AC4111">
        <v>354</v>
      </c>
      <c r="AD4111">
        <v>3</v>
      </c>
      <c r="AE4111">
        <v>2378</v>
      </c>
      <c r="AF4111">
        <v>3</v>
      </c>
      <c r="AJ4111" t="s">
        <v>4522</v>
      </c>
      <c r="AK4111" t="s">
        <v>4525</v>
      </c>
      <c r="AN4111">
        <v>72</v>
      </c>
      <c r="AO4111">
        <v>8</v>
      </c>
      <c r="AP4111">
        <v>76</v>
      </c>
      <c r="AQ4111">
        <v>83</v>
      </c>
      <c r="AW4111" s="28">
        <f t="shared" si="401"/>
        <v>6.7840474125162351E-2</v>
      </c>
      <c r="AX4111">
        <f t="shared" si="402"/>
        <v>0.93617021276595747</v>
      </c>
      <c r="AY4111" s="62">
        <f t="shared" si="403"/>
        <v>6.3510231095896666E-2</v>
      </c>
      <c r="AZ4111" s="68" t="str">
        <f t="shared" si="404"/>
        <v>No</v>
      </c>
      <c r="BA4111" s="68" t="str">
        <f t="shared" si="405"/>
        <v>No</v>
      </c>
    </row>
    <row r="4112" spans="1:53" hidden="1">
      <c r="A4112" t="s">
        <v>3914</v>
      </c>
      <c r="G4112" t="s">
        <v>4518</v>
      </c>
      <c r="P4112" t="s">
        <v>60</v>
      </c>
      <c r="R4112" t="s">
        <v>4509</v>
      </c>
      <c r="S4112" t="s">
        <v>1751</v>
      </c>
      <c r="V4112" t="s">
        <v>3956</v>
      </c>
      <c r="Z4112">
        <v>10</v>
      </c>
      <c r="AA4112">
        <v>10</v>
      </c>
      <c r="AC4112">
        <v>354</v>
      </c>
      <c r="AD4112">
        <v>3</v>
      </c>
      <c r="AE4112">
        <v>754</v>
      </c>
      <c r="AF4112">
        <v>3</v>
      </c>
      <c r="AJ4112" t="s">
        <v>4020</v>
      </c>
      <c r="AK4112" t="s">
        <v>4537</v>
      </c>
      <c r="AN4112">
        <v>350</v>
      </c>
      <c r="AO4112">
        <v>80</v>
      </c>
      <c r="AP4112">
        <v>390</v>
      </c>
      <c r="AQ4112">
        <v>85</v>
      </c>
      <c r="AW4112" s="28">
        <f t="shared" si="401"/>
        <v>0.48462602625230616</v>
      </c>
      <c r="AX4112">
        <f t="shared" si="402"/>
        <v>0.95774647887323949</v>
      </c>
      <c r="AY4112" s="62">
        <f t="shared" si="403"/>
        <v>0.46414887021347634</v>
      </c>
      <c r="AZ4112" s="68" t="str">
        <f t="shared" si="404"/>
        <v>No</v>
      </c>
      <c r="BA4112" s="68" t="str">
        <f t="shared" si="405"/>
        <v>No</v>
      </c>
    </row>
    <row r="4113" spans="1:53" hidden="1">
      <c r="A4113" t="s">
        <v>3914</v>
      </c>
      <c r="G4113" t="s">
        <v>5125</v>
      </c>
      <c r="P4113" t="s">
        <v>4596</v>
      </c>
      <c r="R4113" t="s">
        <v>4662</v>
      </c>
      <c r="S4113" t="s">
        <v>1751</v>
      </c>
      <c r="V4113" t="s">
        <v>4598</v>
      </c>
      <c r="Z4113">
        <v>10</v>
      </c>
      <c r="AA4113">
        <v>10</v>
      </c>
      <c r="AC4113">
        <v>354</v>
      </c>
      <c r="AD4113">
        <v>3</v>
      </c>
      <c r="AE4113">
        <v>346</v>
      </c>
      <c r="AF4113">
        <v>9</v>
      </c>
      <c r="AJ4113" t="s">
        <v>4020</v>
      </c>
      <c r="AK4113" t="s">
        <v>4642</v>
      </c>
      <c r="AN4113">
        <v>350</v>
      </c>
      <c r="AO4113">
        <v>65.345268542200017</v>
      </c>
      <c r="AP4113">
        <v>560</v>
      </c>
      <c r="AQ4113">
        <v>95.392728281987047</v>
      </c>
      <c r="AW4113" s="28">
        <f t="shared" si="401"/>
        <v>2.5684565022041297</v>
      </c>
      <c r="AX4113">
        <f t="shared" si="402"/>
        <v>0.95774647887323949</v>
      </c>
      <c r="AY4113" s="62">
        <f t="shared" si="403"/>
        <v>2.4599301711250821</v>
      </c>
      <c r="AZ4113" s="68" t="str">
        <f t="shared" si="404"/>
        <v>No</v>
      </c>
      <c r="BA4113" s="68" t="str">
        <f t="shared" si="405"/>
        <v>No</v>
      </c>
    </row>
    <row r="4114" spans="1:53" hidden="1">
      <c r="A4114" t="s">
        <v>3914</v>
      </c>
      <c r="G4114" t="s">
        <v>4518</v>
      </c>
      <c r="P4114" t="s">
        <v>4596</v>
      </c>
      <c r="R4114" t="s">
        <v>4662</v>
      </c>
      <c r="S4114" t="s">
        <v>1751</v>
      </c>
      <c r="V4114" t="s">
        <v>4626</v>
      </c>
      <c r="Z4114">
        <v>10</v>
      </c>
      <c r="AA4114">
        <v>10</v>
      </c>
      <c r="AC4114">
        <v>354</v>
      </c>
      <c r="AD4114">
        <v>3</v>
      </c>
      <c r="AE4114">
        <v>786</v>
      </c>
      <c r="AF4114">
        <v>9</v>
      </c>
      <c r="AJ4114" t="s">
        <v>4020</v>
      </c>
      <c r="AK4114" t="s">
        <v>4642</v>
      </c>
      <c r="AN4114">
        <v>350</v>
      </c>
      <c r="AO4114">
        <v>65.345268542200017</v>
      </c>
      <c r="AP4114">
        <v>500</v>
      </c>
      <c r="AQ4114">
        <v>130.94643352761597</v>
      </c>
      <c r="AW4114" s="28">
        <f t="shared" si="401"/>
        <v>1.4495300284239794</v>
      </c>
      <c r="AX4114">
        <f t="shared" si="402"/>
        <v>0.95774647887323949</v>
      </c>
      <c r="AY4114" s="62">
        <f t="shared" si="403"/>
        <v>1.3882822807440931</v>
      </c>
      <c r="AZ4114" s="68" t="str">
        <f t="shared" si="404"/>
        <v>No</v>
      </c>
      <c r="BA4114" s="68" t="str">
        <f t="shared" si="405"/>
        <v>No</v>
      </c>
    </row>
    <row r="4115" spans="1:53" hidden="1">
      <c r="A4115" t="s">
        <v>3914</v>
      </c>
      <c r="G4115" t="s">
        <v>4518</v>
      </c>
      <c r="P4115" t="s">
        <v>4596</v>
      </c>
      <c r="R4115" t="s">
        <v>4662</v>
      </c>
      <c r="S4115" t="s">
        <v>1751</v>
      </c>
      <c r="V4115" t="s">
        <v>4627</v>
      </c>
      <c r="Z4115">
        <v>10</v>
      </c>
      <c r="AA4115">
        <v>10</v>
      </c>
      <c r="AC4115">
        <v>354</v>
      </c>
      <c r="AD4115">
        <v>3</v>
      </c>
      <c r="AE4115">
        <v>2443</v>
      </c>
      <c r="AF4115">
        <v>9</v>
      </c>
      <c r="AJ4115" t="s">
        <v>4020</v>
      </c>
      <c r="AK4115" t="s">
        <v>4642</v>
      </c>
      <c r="AN4115">
        <v>350</v>
      </c>
      <c r="AO4115">
        <v>65.345268542200017</v>
      </c>
      <c r="AP4115">
        <v>400</v>
      </c>
      <c r="AQ4115">
        <v>174.27144046627802</v>
      </c>
      <c r="AW4115" s="28">
        <f t="shared" si="401"/>
        <v>0.37992045892463644</v>
      </c>
      <c r="AX4115">
        <f t="shared" si="402"/>
        <v>0.95774647887323949</v>
      </c>
      <c r="AY4115" s="62">
        <f t="shared" si="403"/>
        <v>0.36386748178697575</v>
      </c>
      <c r="AZ4115" s="68" t="str">
        <f t="shared" si="404"/>
        <v>No</v>
      </c>
      <c r="BA4115" s="68" t="str">
        <f t="shared" si="405"/>
        <v>No</v>
      </c>
    </row>
    <row r="4116" spans="1:53" hidden="1">
      <c r="A4116" t="s">
        <v>3914</v>
      </c>
      <c r="G4116" t="s">
        <v>4555</v>
      </c>
      <c r="P4116" t="s">
        <v>4596</v>
      </c>
      <c r="R4116" t="s">
        <v>4623</v>
      </c>
      <c r="S4116" t="s">
        <v>4932</v>
      </c>
      <c r="V4116" t="s">
        <v>4625</v>
      </c>
      <c r="Z4116" s="55">
        <v>10</v>
      </c>
      <c r="AA4116" s="55">
        <v>10</v>
      </c>
      <c r="AC4116">
        <v>354</v>
      </c>
      <c r="AD4116">
        <v>3</v>
      </c>
      <c r="AE4116">
        <v>346</v>
      </c>
      <c r="AF4116">
        <v>9</v>
      </c>
      <c r="AJ4116" t="s">
        <v>4624</v>
      </c>
      <c r="AK4116" t="s">
        <v>4630</v>
      </c>
      <c r="AN4116">
        <v>2.25</v>
      </c>
      <c r="AO4116">
        <v>0.25</v>
      </c>
      <c r="AP4116">
        <v>3.1</v>
      </c>
      <c r="AQ4116">
        <v>0.1</v>
      </c>
      <c r="AW4116" s="28">
        <f t="shared" si="401"/>
        <v>4.4644187172305676</v>
      </c>
      <c r="AX4116">
        <f t="shared" si="402"/>
        <v>0.95774647887323949</v>
      </c>
      <c r="AY4116" s="62">
        <f t="shared" si="403"/>
        <v>4.2757813066433608</v>
      </c>
      <c r="AZ4116" s="68" t="str">
        <f t="shared" si="404"/>
        <v>No</v>
      </c>
      <c r="BA4116" s="68" t="str">
        <f t="shared" si="405"/>
        <v>No</v>
      </c>
    </row>
    <row r="4117" spans="1:53" hidden="1">
      <c r="A4117" t="s">
        <v>3914</v>
      </c>
      <c r="G4117" t="s">
        <v>4555</v>
      </c>
      <c r="P4117" t="s">
        <v>4596</v>
      </c>
      <c r="R4117" t="s">
        <v>4623</v>
      </c>
      <c r="S4117" t="s">
        <v>4932</v>
      </c>
      <c r="V4117" t="s">
        <v>4626</v>
      </c>
      <c r="Z4117" s="55">
        <v>10</v>
      </c>
      <c r="AA4117" s="55">
        <v>10</v>
      </c>
      <c r="AC4117">
        <v>354</v>
      </c>
      <c r="AD4117">
        <v>3</v>
      </c>
      <c r="AE4117">
        <v>846</v>
      </c>
      <c r="AF4117">
        <v>15</v>
      </c>
      <c r="AJ4117" t="s">
        <v>4624</v>
      </c>
      <c r="AK4117" t="s">
        <v>4630</v>
      </c>
      <c r="AN4117">
        <v>2.25</v>
      </c>
      <c r="AO4117">
        <v>0.25</v>
      </c>
      <c r="AP4117">
        <v>4.5</v>
      </c>
      <c r="AQ4117">
        <v>0.1</v>
      </c>
      <c r="AW4117" s="28">
        <f t="shared" si="401"/>
        <v>11.81757895737503</v>
      </c>
      <c r="AX4117">
        <f t="shared" si="402"/>
        <v>0.95774647887323949</v>
      </c>
      <c r="AY4117" s="62">
        <f t="shared" si="403"/>
        <v>11.318244635232423</v>
      </c>
      <c r="AZ4117" s="68" t="str">
        <f t="shared" si="404"/>
        <v>Yes</v>
      </c>
      <c r="BA4117" s="68" t="str">
        <f t="shared" si="405"/>
        <v>No</v>
      </c>
    </row>
    <row r="4118" spans="1:53" hidden="1">
      <c r="A4118" t="s">
        <v>3914</v>
      </c>
      <c r="G4118" t="s">
        <v>4555</v>
      </c>
      <c r="P4118" t="s">
        <v>4596</v>
      </c>
      <c r="R4118" t="s">
        <v>4623</v>
      </c>
      <c r="S4118" t="s">
        <v>1751</v>
      </c>
      <c r="V4118" t="s">
        <v>4627</v>
      </c>
      <c r="Z4118" s="55">
        <v>10</v>
      </c>
      <c r="AA4118" s="55">
        <v>10</v>
      </c>
      <c r="AC4118">
        <v>354</v>
      </c>
      <c r="AD4118">
        <v>3</v>
      </c>
      <c r="AE4118">
        <v>2443</v>
      </c>
      <c r="AF4118">
        <v>9</v>
      </c>
      <c r="AJ4118" t="s">
        <v>4624</v>
      </c>
      <c r="AK4118" t="s">
        <v>4630</v>
      </c>
      <c r="AN4118">
        <v>4.2</v>
      </c>
      <c r="AO4118">
        <v>0.3</v>
      </c>
      <c r="AP4118">
        <v>3.7</v>
      </c>
      <c r="AQ4118">
        <v>0.15</v>
      </c>
      <c r="AW4118" s="28">
        <f t="shared" si="401"/>
        <v>-2.1081851067789197</v>
      </c>
      <c r="AX4118">
        <f t="shared" si="402"/>
        <v>0.95774647887323949</v>
      </c>
      <c r="AY4118" s="62">
        <f t="shared" si="403"/>
        <v>-2.0191068628305149</v>
      </c>
      <c r="AZ4118" s="68" t="str">
        <f t="shared" si="404"/>
        <v>No</v>
      </c>
      <c r="BA4118" s="68" t="str">
        <f t="shared" si="405"/>
        <v>No</v>
      </c>
    </row>
    <row r="4119" spans="1:53" hidden="1">
      <c r="A4119" t="s">
        <v>3914</v>
      </c>
      <c r="G4119" t="s">
        <v>4555</v>
      </c>
      <c r="P4119" t="s">
        <v>4596</v>
      </c>
      <c r="R4119" t="s">
        <v>4623</v>
      </c>
      <c r="S4119" t="s">
        <v>1751</v>
      </c>
      <c r="V4119" t="s">
        <v>4627</v>
      </c>
      <c r="Z4119" s="55">
        <v>10</v>
      </c>
      <c r="AA4119" s="55">
        <v>10</v>
      </c>
      <c r="AC4119">
        <v>354</v>
      </c>
      <c r="AD4119">
        <v>3</v>
      </c>
      <c r="AE4119">
        <v>2637</v>
      </c>
      <c r="AF4119">
        <v>15</v>
      </c>
      <c r="AJ4119" t="s">
        <v>4624</v>
      </c>
      <c r="AK4119" t="s">
        <v>4630</v>
      </c>
      <c r="AN4119">
        <v>4.2</v>
      </c>
      <c r="AO4119">
        <v>0.3</v>
      </c>
      <c r="AP4119">
        <v>3.2</v>
      </c>
      <c r="AQ4119">
        <v>0.15</v>
      </c>
      <c r="AW4119" s="28">
        <f t="shared" si="401"/>
        <v>-4.2163702135578394</v>
      </c>
      <c r="AX4119">
        <f t="shared" si="402"/>
        <v>0.95774647887323949</v>
      </c>
      <c r="AY4119" s="62">
        <f t="shared" si="403"/>
        <v>-4.0382137256610298</v>
      </c>
      <c r="AZ4119" s="68" t="str">
        <f t="shared" si="404"/>
        <v>No</v>
      </c>
      <c r="BA4119" s="68" t="str">
        <f t="shared" si="405"/>
        <v>No</v>
      </c>
    </row>
    <row r="4120" spans="1:53" hidden="1">
      <c r="A4120" t="s">
        <v>3914</v>
      </c>
      <c r="G4120" t="s">
        <v>4555</v>
      </c>
      <c r="P4120" t="s">
        <v>4596</v>
      </c>
      <c r="R4120" t="s">
        <v>4623</v>
      </c>
      <c r="S4120" t="s">
        <v>4932</v>
      </c>
      <c r="V4120" t="s">
        <v>4627</v>
      </c>
      <c r="Z4120" s="55">
        <v>10</v>
      </c>
      <c r="AA4120" s="55">
        <v>10</v>
      </c>
      <c r="AC4120">
        <v>354</v>
      </c>
      <c r="AD4120">
        <v>3</v>
      </c>
      <c r="AE4120">
        <v>2443</v>
      </c>
      <c r="AF4120">
        <v>9</v>
      </c>
      <c r="AJ4120" t="s">
        <v>4624</v>
      </c>
      <c r="AK4120" t="s">
        <v>4630</v>
      </c>
      <c r="AN4120">
        <v>2.25</v>
      </c>
      <c r="AO4120">
        <v>0.25</v>
      </c>
      <c r="AP4120">
        <v>1.65</v>
      </c>
      <c r="AQ4120">
        <v>0.15</v>
      </c>
      <c r="AW4120" s="28">
        <f t="shared" si="401"/>
        <v>-2.9104275004359961</v>
      </c>
      <c r="AX4120">
        <f t="shared" si="402"/>
        <v>0.95774647887323949</v>
      </c>
      <c r="AY4120" s="62">
        <f t="shared" si="403"/>
        <v>-2.7874516905584188</v>
      </c>
      <c r="AZ4120" s="68" t="str">
        <f t="shared" si="404"/>
        <v>No</v>
      </c>
      <c r="BA4120" s="68" t="str">
        <f t="shared" si="405"/>
        <v>No</v>
      </c>
    </row>
    <row r="4121" spans="1:53" hidden="1">
      <c r="A4121" t="s">
        <v>3914</v>
      </c>
      <c r="G4121" t="s">
        <v>4555</v>
      </c>
      <c r="P4121" t="s">
        <v>4596</v>
      </c>
      <c r="R4121" t="s">
        <v>4623</v>
      </c>
      <c r="S4121" t="s">
        <v>4932</v>
      </c>
      <c r="V4121" t="s">
        <v>4627</v>
      </c>
      <c r="Z4121" s="55">
        <v>10</v>
      </c>
      <c r="AA4121" s="55">
        <v>10</v>
      </c>
      <c r="AC4121">
        <v>354</v>
      </c>
      <c r="AD4121">
        <v>3</v>
      </c>
      <c r="AE4121">
        <v>2637</v>
      </c>
      <c r="AF4121">
        <v>15</v>
      </c>
      <c r="AJ4121" t="s">
        <v>4624</v>
      </c>
      <c r="AK4121" t="s">
        <v>4630</v>
      </c>
      <c r="AN4121">
        <v>2.25</v>
      </c>
      <c r="AO4121">
        <v>0.25</v>
      </c>
      <c r="AP4121">
        <v>4.2</v>
      </c>
      <c r="AQ4121">
        <v>0.15</v>
      </c>
      <c r="AW4121" s="28">
        <f t="shared" si="401"/>
        <v>9.4588893764169857</v>
      </c>
      <c r="AX4121">
        <f t="shared" si="402"/>
        <v>0.95774647887323949</v>
      </c>
      <c r="AY4121" s="62">
        <f t="shared" si="403"/>
        <v>9.0592179943148601</v>
      </c>
      <c r="AZ4121" s="68" t="str">
        <f t="shared" si="404"/>
        <v>No</v>
      </c>
      <c r="BA4121" s="68" t="str">
        <f t="shared" si="405"/>
        <v>No</v>
      </c>
    </row>
    <row r="4122" spans="1:53" hidden="1">
      <c r="A4122" t="s">
        <v>3914</v>
      </c>
      <c r="G4122" t="s">
        <v>4622</v>
      </c>
      <c r="P4122" t="s">
        <v>4596</v>
      </c>
      <c r="R4122" t="s">
        <v>4623</v>
      </c>
      <c r="S4122" t="s">
        <v>1751</v>
      </c>
      <c r="V4122" t="s">
        <v>4625</v>
      </c>
      <c r="Z4122" s="55">
        <v>10</v>
      </c>
      <c r="AA4122" s="55">
        <v>10</v>
      </c>
      <c r="AC4122">
        <v>354</v>
      </c>
      <c r="AD4122">
        <v>3</v>
      </c>
      <c r="AE4122">
        <v>346</v>
      </c>
      <c r="AF4122">
        <v>9</v>
      </c>
      <c r="AJ4122" t="s">
        <v>4624</v>
      </c>
      <c r="AK4122" t="s">
        <v>4630</v>
      </c>
      <c r="AN4122">
        <v>4.2</v>
      </c>
      <c r="AO4122">
        <v>0.3</v>
      </c>
      <c r="AP4122">
        <v>4.3</v>
      </c>
      <c r="AQ4122">
        <v>0.2</v>
      </c>
      <c r="AW4122" s="28">
        <f t="shared" si="401"/>
        <v>0.39223227027636665</v>
      </c>
      <c r="AX4122">
        <f t="shared" si="402"/>
        <v>0.95774647887323949</v>
      </c>
      <c r="AY4122" s="62">
        <f t="shared" si="403"/>
        <v>0.37565907575764695</v>
      </c>
      <c r="AZ4122" s="68" t="str">
        <f t="shared" si="404"/>
        <v>No</v>
      </c>
      <c r="BA4122" s="68" t="str">
        <f t="shared" si="405"/>
        <v>No</v>
      </c>
    </row>
    <row r="4123" spans="1:53" hidden="1">
      <c r="A4123" t="s">
        <v>3914</v>
      </c>
      <c r="G4123" t="s">
        <v>4555</v>
      </c>
      <c r="P4123" t="s">
        <v>4596</v>
      </c>
      <c r="R4123" t="s">
        <v>4623</v>
      </c>
      <c r="S4123" t="s">
        <v>1751</v>
      </c>
      <c r="V4123" t="s">
        <v>4628</v>
      </c>
      <c r="Z4123" s="55">
        <v>10</v>
      </c>
      <c r="AA4123" s="55">
        <v>10</v>
      </c>
      <c r="AC4123">
        <v>354</v>
      </c>
      <c r="AD4123">
        <v>3</v>
      </c>
      <c r="AE4123">
        <v>401</v>
      </c>
      <c r="AF4123">
        <v>15</v>
      </c>
      <c r="AJ4123" t="s">
        <v>4624</v>
      </c>
      <c r="AK4123" t="s">
        <v>4630</v>
      </c>
      <c r="AN4123">
        <v>4.2</v>
      </c>
      <c r="AO4123">
        <v>0.3</v>
      </c>
      <c r="AP4123">
        <v>4</v>
      </c>
      <c r="AQ4123">
        <v>0.2</v>
      </c>
      <c r="AW4123" s="28">
        <f t="shared" si="401"/>
        <v>-0.78446454055273673</v>
      </c>
      <c r="AX4123">
        <f t="shared" si="402"/>
        <v>0.95774647887323949</v>
      </c>
      <c r="AY4123" s="62">
        <f t="shared" si="403"/>
        <v>-0.75131815151529724</v>
      </c>
      <c r="AZ4123" s="68" t="str">
        <f t="shared" si="404"/>
        <v>No</v>
      </c>
      <c r="BA4123" s="68" t="str">
        <f t="shared" si="405"/>
        <v>No</v>
      </c>
    </row>
    <row r="4124" spans="1:53" hidden="1">
      <c r="A4124" t="s">
        <v>3914</v>
      </c>
      <c r="G4124" t="s">
        <v>4950</v>
      </c>
      <c r="P4124" t="s">
        <v>4596</v>
      </c>
      <c r="R4124" t="s">
        <v>4623</v>
      </c>
      <c r="S4124" t="s">
        <v>4932</v>
      </c>
      <c r="V4124" t="s">
        <v>4626</v>
      </c>
      <c r="Z4124" s="55">
        <v>10</v>
      </c>
      <c r="AA4124" s="55">
        <v>10</v>
      </c>
      <c r="AC4124">
        <v>354</v>
      </c>
      <c r="AD4124">
        <v>3</v>
      </c>
      <c r="AE4124">
        <v>786</v>
      </c>
      <c r="AF4124">
        <v>9</v>
      </c>
      <c r="AJ4124" t="s">
        <v>4624</v>
      </c>
      <c r="AK4124" t="s">
        <v>4630</v>
      </c>
      <c r="AN4124">
        <v>2.25</v>
      </c>
      <c r="AO4124">
        <v>0.25</v>
      </c>
      <c r="AP4124">
        <v>3.3</v>
      </c>
      <c r="AQ4124">
        <v>0.2</v>
      </c>
      <c r="AW4124" s="28">
        <f t="shared" si="401"/>
        <v>4.6381240951435538</v>
      </c>
      <c r="AX4124">
        <f t="shared" si="402"/>
        <v>0.95774647887323949</v>
      </c>
      <c r="AY4124" s="62">
        <f t="shared" si="403"/>
        <v>4.4421470207008689</v>
      </c>
      <c r="AZ4124" s="68" t="str">
        <f t="shared" si="404"/>
        <v>No</v>
      </c>
      <c r="BA4124" s="68" t="str">
        <f t="shared" si="405"/>
        <v>No</v>
      </c>
    </row>
    <row r="4125" spans="1:53" hidden="1">
      <c r="A4125" t="s">
        <v>3914</v>
      </c>
      <c r="G4125" t="s">
        <v>4555</v>
      </c>
      <c r="P4125" t="s">
        <v>4596</v>
      </c>
      <c r="R4125" t="s">
        <v>4623</v>
      </c>
      <c r="S4125" t="s">
        <v>1751</v>
      </c>
      <c r="V4125" t="s">
        <v>4626</v>
      </c>
      <c r="Z4125" s="55">
        <v>10</v>
      </c>
      <c r="AA4125" s="55">
        <v>10</v>
      </c>
      <c r="AC4125">
        <v>354</v>
      </c>
      <c r="AD4125">
        <v>3</v>
      </c>
      <c r="AE4125">
        <v>786</v>
      </c>
      <c r="AF4125">
        <v>9</v>
      </c>
      <c r="AJ4125" t="s">
        <v>4624</v>
      </c>
      <c r="AK4125" t="s">
        <v>4630</v>
      </c>
      <c r="AN4125">
        <v>4.2</v>
      </c>
      <c r="AO4125">
        <v>0.3</v>
      </c>
      <c r="AP4125">
        <v>4.4000000000000004</v>
      </c>
      <c r="AQ4125">
        <v>0.25</v>
      </c>
      <c r="AW4125" s="28">
        <f t="shared" si="401"/>
        <v>0.72428596834014891</v>
      </c>
      <c r="AX4125">
        <f t="shared" si="402"/>
        <v>0.95774647887323949</v>
      </c>
      <c r="AY4125" s="62">
        <f t="shared" si="403"/>
        <v>0.69368233587507222</v>
      </c>
      <c r="AZ4125" s="68" t="str">
        <f t="shared" si="404"/>
        <v>No</v>
      </c>
      <c r="BA4125" s="68" t="str">
        <f t="shared" si="405"/>
        <v>No</v>
      </c>
    </row>
    <row r="4126" spans="1:53" hidden="1">
      <c r="A4126" t="s">
        <v>3914</v>
      </c>
      <c r="G4126" t="s">
        <v>4555</v>
      </c>
      <c r="P4126" t="s">
        <v>4596</v>
      </c>
      <c r="R4126" t="s">
        <v>4623</v>
      </c>
      <c r="S4126" t="s">
        <v>1751</v>
      </c>
      <c r="V4126" t="s">
        <v>4626</v>
      </c>
      <c r="Z4126" s="55">
        <v>10</v>
      </c>
      <c r="AA4126" s="55">
        <v>10</v>
      </c>
      <c r="AC4126">
        <v>354</v>
      </c>
      <c r="AD4126">
        <v>3</v>
      </c>
      <c r="AE4126">
        <v>846</v>
      </c>
      <c r="AF4126">
        <v>15</v>
      </c>
      <c r="AJ4126" t="s">
        <v>4624</v>
      </c>
      <c r="AK4126" t="s">
        <v>4630</v>
      </c>
      <c r="AN4126">
        <v>4.2</v>
      </c>
      <c r="AO4126">
        <v>0.3</v>
      </c>
      <c r="AP4126">
        <v>3.8</v>
      </c>
      <c r="AQ4126">
        <v>0.25</v>
      </c>
      <c r="AW4126" s="28">
        <f t="shared" si="401"/>
        <v>-1.4485719366802978</v>
      </c>
      <c r="AX4126">
        <f t="shared" si="402"/>
        <v>0.95774647887323949</v>
      </c>
      <c r="AY4126" s="62">
        <f t="shared" si="403"/>
        <v>-1.3873646717501444</v>
      </c>
      <c r="AZ4126" s="68" t="str">
        <f t="shared" si="404"/>
        <v>No</v>
      </c>
      <c r="BA4126" s="68" t="str">
        <f t="shared" si="405"/>
        <v>No</v>
      </c>
    </row>
    <row r="4127" spans="1:53" hidden="1">
      <c r="A4127" t="s">
        <v>3914</v>
      </c>
      <c r="G4127" t="s">
        <v>4555</v>
      </c>
      <c r="P4127" t="s">
        <v>4596</v>
      </c>
      <c r="R4127" t="s">
        <v>4623</v>
      </c>
      <c r="S4127" t="s">
        <v>4932</v>
      </c>
      <c r="V4127" t="s">
        <v>4628</v>
      </c>
      <c r="Z4127" s="55">
        <v>10</v>
      </c>
      <c r="AA4127" s="55">
        <v>10</v>
      </c>
      <c r="AC4127">
        <v>354</v>
      </c>
      <c r="AD4127">
        <v>3</v>
      </c>
      <c r="AE4127">
        <v>401</v>
      </c>
      <c r="AF4127">
        <v>15</v>
      </c>
      <c r="AJ4127" t="s">
        <v>4624</v>
      </c>
      <c r="AK4127" t="s">
        <v>4630</v>
      </c>
      <c r="AN4127">
        <v>2.25</v>
      </c>
      <c r="AO4127">
        <v>0.25</v>
      </c>
      <c r="AP4127">
        <v>4.3499999999999996</v>
      </c>
      <c r="AQ4127">
        <v>0.25</v>
      </c>
      <c r="AW4127" s="28">
        <f t="shared" si="401"/>
        <v>8.3999999999999986</v>
      </c>
      <c r="AX4127">
        <f t="shared" si="402"/>
        <v>0.95774647887323949</v>
      </c>
      <c r="AY4127" s="62">
        <f t="shared" si="403"/>
        <v>8.0450704225352112</v>
      </c>
      <c r="AZ4127" s="68" t="str">
        <f t="shared" si="404"/>
        <v>No</v>
      </c>
      <c r="BA4127" s="68" t="str">
        <f t="shared" si="405"/>
        <v>No</v>
      </c>
    </row>
    <row r="4128" spans="1:53" hidden="1">
      <c r="A4128" t="s">
        <v>3914</v>
      </c>
      <c r="G4128" s="50" t="s">
        <v>4555</v>
      </c>
      <c r="P4128" t="s">
        <v>60</v>
      </c>
      <c r="R4128" t="s">
        <v>4509</v>
      </c>
      <c r="S4128" s="50" t="s">
        <v>1751</v>
      </c>
      <c r="V4128" t="s">
        <v>3956</v>
      </c>
      <c r="Z4128">
        <v>9</v>
      </c>
      <c r="AA4128">
        <v>9</v>
      </c>
      <c r="AC4128">
        <v>354</v>
      </c>
      <c r="AD4128">
        <v>3</v>
      </c>
      <c r="AE4128">
        <v>754</v>
      </c>
      <c r="AF4128">
        <v>3</v>
      </c>
      <c r="AJ4128" s="50" t="s">
        <v>1796</v>
      </c>
      <c r="AK4128" t="s">
        <v>4502</v>
      </c>
      <c r="AN4128">
        <v>2.2999999999999998</v>
      </c>
      <c r="AO4128">
        <v>0.60000000000000009</v>
      </c>
      <c r="AP4128">
        <v>2.5</v>
      </c>
      <c r="AQ4128">
        <v>0.30000000000000004</v>
      </c>
      <c r="AW4128" s="28">
        <f t="shared" si="401"/>
        <v>0.42163702135578424</v>
      </c>
      <c r="AX4128">
        <f t="shared" si="402"/>
        <v>0.95238095238095233</v>
      </c>
      <c r="AY4128" s="62">
        <f t="shared" si="403"/>
        <v>0.4015590679578897</v>
      </c>
      <c r="AZ4128" s="68" t="str">
        <f t="shared" si="404"/>
        <v>No</v>
      </c>
      <c r="BA4128" s="68" t="str">
        <f t="shared" si="405"/>
        <v>No</v>
      </c>
    </row>
    <row r="4129" spans="1:53" hidden="1">
      <c r="A4129" t="s">
        <v>3914</v>
      </c>
      <c r="G4129" s="50" t="s">
        <v>5097</v>
      </c>
      <c r="P4129" t="s">
        <v>60</v>
      </c>
      <c r="R4129" t="s">
        <v>4509</v>
      </c>
      <c r="S4129" s="50" t="s">
        <v>1751</v>
      </c>
      <c r="V4129" t="s">
        <v>3956</v>
      </c>
      <c r="Z4129">
        <v>9</v>
      </c>
      <c r="AA4129">
        <v>9</v>
      </c>
      <c r="AC4129">
        <v>354</v>
      </c>
      <c r="AD4129">
        <v>3</v>
      </c>
      <c r="AE4129">
        <v>754</v>
      </c>
      <c r="AF4129">
        <v>3</v>
      </c>
      <c r="AJ4129" s="50" t="s">
        <v>1796</v>
      </c>
      <c r="AK4129" t="s">
        <v>4502</v>
      </c>
      <c r="AN4129">
        <v>4.2</v>
      </c>
      <c r="AO4129">
        <v>0.89999999999999991</v>
      </c>
      <c r="AP4129">
        <v>3.5</v>
      </c>
      <c r="AQ4129">
        <v>0.60000000000000009</v>
      </c>
      <c r="AW4129" s="28">
        <f t="shared" si="401"/>
        <v>-0.91520863064485902</v>
      </c>
      <c r="AX4129">
        <f t="shared" si="402"/>
        <v>0.95238095238095233</v>
      </c>
      <c r="AY4129" s="62">
        <f t="shared" si="403"/>
        <v>-0.87162726728081807</v>
      </c>
      <c r="AZ4129" s="68" t="str">
        <f t="shared" si="404"/>
        <v>No</v>
      </c>
      <c r="BA4129" s="68" t="str">
        <f t="shared" si="405"/>
        <v>No</v>
      </c>
    </row>
    <row r="4130" spans="1:53" hidden="1">
      <c r="A4130" t="s">
        <v>3914</v>
      </c>
      <c r="G4130" s="50" t="s">
        <v>4555</v>
      </c>
      <c r="P4130" t="s">
        <v>60</v>
      </c>
      <c r="R4130" t="s">
        <v>4509</v>
      </c>
      <c r="S4130" s="50" t="s">
        <v>1751</v>
      </c>
      <c r="V4130" t="s">
        <v>3956</v>
      </c>
      <c r="Z4130">
        <v>9</v>
      </c>
      <c r="AA4130">
        <v>9</v>
      </c>
      <c r="AC4130">
        <v>354</v>
      </c>
      <c r="AD4130">
        <v>3</v>
      </c>
      <c r="AE4130">
        <v>2378</v>
      </c>
      <c r="AF4130">
        <v>3</v>
      </c>
      <c r="AJ4130" s="50" t="s">
        <v>1796</v>
      </c>
      <c r="AK4130" t="s">
        <v>4502</v>
      </c>
      <c r="AN4130">
        <v>4.2</v>
      </c>
      <c r="AO4130">
        <v>0.89999999999999991</v>
      </c>
      <c r="AP4130">
        <v>1.8</v>
      </c>
      <c r="AQ4130">
        <v>0.60000000000000009</v>
      </c>
      <c r="AW4130" s="28">
        <f t="shared" si="401"/>
        <v>-3.1378581622109452</v>
      </c>
      <c r="AX4130">
        <f t="shared" si="402"/>
        <v>0.95238095238095233</v>
      </c>
      <c r="AY4130" s="62">
        <f t="shared" si="403"/>
        <v>-2.9884363449628046</v>
      </c>
      <c r="AZ4130" s="68" t="str">
        <f t="shared" si="404"/>
        <v>No</v>
      </c>
      <c r="BA4130" s="68" t="str">
        <f t="shared" si="405"/>
        <v>No</v>
      </c>
    </row>
    <row r="4131" spans="1:53" hidden="1">
      <c r="A4131" t="s">
        <v>3914</v>
      </c>
      <c r="G4131" s="50" t="s">
        <v>4555</v>
      </c>
      <c r="P4131" t="s">
        <v>60</v>
      </c>
      <c r="R4131" t="s">
        <v>4509</v>
      </c>
      <c r="S4131" s="50" t="s">
        <v>1751</v>
      </c>
      <c r="V4131" t="s">
        <v>3956</v>
      </c>
      <c r="Z4131">
        <v>9</v>
      </c>
      <c r="AA4131">
        <v>9</v>
      </c>
      <c r="AC4131">
        <v>354</v>
      </c>
      <c r="AD4131">
        <v>3</v>
      </c>
      <c r="AE4131">
        <v>2378</v>
      </c>
      <c r="AF4131">
        <v>3</v>
      </c>
      <c r="AJ4131" s="50" t="s">
        <v>1796</v>
      </c>
      <c r="AK4131" t="s">
        <v>4502</v>
      </c>
      <c r="AN4131">
        <v>2.2999999999999998</v>
      </c>
      <c r="AO4131">
        <v>0.60000000000000009</v>
      </c>
      <c r="AP4131">
        <v>1.2</v>
      </c>
      <c r="AQ4131">
        <v>0.60000000000000009</v>
      </c>
      <c r="AW4131" s="28">
        <f t="shared" si="401"/>
        <v>-1.8333333333333328</v>
      </c>
      <c r="AX4131">
        <f t="shared" si="402"/>
        <v>0.95238095238095233</v>
      </c>
      <c r="AY4131" s="62">
        <f t="shared" si="403"/>
        <v>-1.7460317460317454</v>
      </c>
      <c r="AZ4131" s="68" t="str">
        <f t="shared" si="404"/>
        <v>No</v>
      </c>
      <c r="BA4131" s="68" t="str">
        <f t="shared" si="405"/>
        <v>No</v>
      </c>
    </row>
    <row r="4132" spans="1:53" hidden="1">
      <c r="A4132" t="s">
        <v>3914</v>
      </c>
      <c r="G4132" t="s">
        <v>4101</v>
      </c>
      <c r="P4132" t="s">
        <v>60</v>
      </c>
      <c r="R4132" t="s">
        <v>4116</v>
      </c>
      <c r="S4132" t="s">
        <v>4111</v>
      </c>
      <c r="V4132" t="s">
        <v>3956</v>
      </c>
      <c r="Z4132">
        <v>3</v>
      </c>
      <c r="AA4132">
        <v>3</v>
      </c>
      <c r="AC4132">
        <v>259.60000000000002</v>
      </c>
      <c r="AD4132">
        <v>20.100000000000001</v>
      </c>
      <c r="AE4132">
        <v>1439.5</v>
      </c>
      <c r="AF4132">
        <v>20.2</v>
      </c>
      <c r="AJ4132" t="s">
        <v>4216</v>
      </c>
      <c r="AK4132" t="s">
        <v>4244</v>
      </c>
      <c r="AN4132">
        <v>62.7</v>
      </c>
      <c r="AO4132">
        <v>2.7</v>
      </c>
      <c r="AP4132">
        <v>54.8</v>
      </c>
      <c r="AQ4132">
        <v>3.4</v>
      </c>
      <c r="AW4132" s="28">
        <f t="shared" si="401"/>
        <v>-2.5732762508386045</v>
      </c>
      <c r="AX4132">
        <f t="shared" si="402"/>
        <v>0.8</v>
      </c>
      <c r="AY4132" s="62">
        <f t="shared" si="403"/>
        <v>-2.0586210006708838</v>
      </c>
      <c r="AZ4132" s="68" t="str">
        <f t="shared" si="404"/>
        <v>No</v>
      </c>
      <c r="BA4132" s="68" t="str">
        <f t="shared" si="405"/>
        <v>No</v>
      </c>
    </row>
    <row r="4133" spans="1:53" hidden="1">
      <c r="A4133" t="s">
        <v>3914</v>
      </c>
      <c r="G4133" t="s">
        <v>4101</v>
      </c>
      <c r="P4133" t="s">
        <v>60</v>
      </c>
      <c r="R4133" t="s">
        <v>4116</v>
      </c>
      <c r="S4133" t="s">
        <v>4111</v>
      </c>
      <c r="V4133" t="s">
        <v>3956</v>
      </c>
      <c r="Z4133">
        <v>3</v>
      </c>
      <c r="AA4133">
        <v>3</v>
      </c>
      <c r="AC4133">
        <v>259.60000000000002</v>
      </c>
      <c r="AD4133">
        <v>20.100000000000001</v>
      </c>
      <c r="AE4133">
        <v>1439.5</v>
      </c>
      <c r="AF4133">
        <v>20.2</v>
      </c>
      <c r="AJ4133" t="s">
        <v>2020</v>
      </c>
      <c r="AK4133" t="s">
        <v>4093</v>
      </c>
      <c r="AN4133">
        <v>84</v>
      </c>
      <c r="AO4133">
        <v>3</v>
      </c>
      <c r="AP4133">
        <v>74.3</v>
      </c>
      <c r="AQ4133">
        <v>3.8</v>
      </c>
      <c r="AW4133" s="28">
        <f t="shared" si="401"/>
        <v>-2.833400253509383</v>
      </c>
      <c r="AX4133">
        <f t="shared" si="402"/>
        <v>0.8</v>
      </c>
      <c r="AY4133" s="62">
        <f t="shared" si="403"/>
        <v>-2.2667202028075066</v>
      </c>
      <c r="AZ4133" s="68" t="str">
        <f t="shared" si="404"/>
        <v>No</v>
      </c>
      <c r="BA4133" s="68" t="str">
        <f t="shared" si="405"/>
        <v>No</v>
      </c>
    </row>
    <row r="4134" spans="1:53" hidden="1">
      <c r="A4134" t="s">
        <v>3914</v>
      </c>
      <c r="G4134" t="s">
        <v>4101</v>
      </c>
      <c r="P4134" t="s">
        <v>60</v>
      </c>
      <c r="R4134" t="s">
        <v>4116</v>
      </c>
      <c r="S4134" t="s">
        <v>4111</v>
      </c>
      <c r="V4134" t="s">
        <v>3956</v>
      </c>
      <c r="Z4134">
        <v>3</v>
      </c>
      <c r="AA4134">
        <v>3</v>
      </c>
      <c r="AC4134">
        <v>259.60000000000002</v>
      </c>
      <c r="AD4134">
        <v>20.100000000000001</v>
      </c>
      <c r="AE4134">
        <v>1439.5</v>
      </c>
      <c r="AF4134">
        <v>20.2</v>
      </c>
      <c r="AJ4134" t="s">
        <v>4157</v>
      </c>
      <c r="AK4134" t="s">
        <v>4151</v>
      </c>
      <c r="AN4134">
        <v>15.7</v>
      </c>
      <c r="AO4134">
        <v>3.1</v>
      </c>
      <c r="AP4134">
        <v>46</v>
      </c>
      <c r="AQ4134">
        <v>6</v>
      </c>
      <c r="AW4134" s="28">
        <f t="shared" si="401"/>
        <v>6.3449410315390269</v>
      </c>
      <c r="AX4134">
        <f t="shared" si="402"/>
        <v>0.8</v>
      </c>
      <c r="AY4134" s="62">
        <f t="shared" si="403"/>
        <v>5.075952825231222</v>
      </c>
      <c r="AZ4134" s="68" t="str">
        <f t="shared" si="404"/>
        <v>No</v>
      </c>
      <c r="BA4134" s="68" t="str">
        <f t="shared" si="405"/>
        <v>No</v>
      </c>
    </row>
    <row r="4135" spans="1:53" hidden="1">
      <c r="A4135" t="s">
        <v>3914</v>
      </c>
      <c r="G4135" t="s">
        <v>4101</v>
      </c>
      <c r="P4135" t="s">
        <v>60</v>
      </c>
      <c r="R4135" t="s">
        <v>4116</v>
      </c>
      <c r="S4135" t="s">
        <v>4111</v>
      </c>
      <c r="V4135" t="s">
        <v>3956</v>
      </c>
      <c r="Z4135">
        <v>3</v>
      </c>
      <c r="AA4135">
        <v>3</v>
      </c>
      <c r="AC4135">
        <v>259.60000000000002</v>
      </c>
      <c r="AD4135">
        <v>20.100000000000001</v>
      </c>
      <c r="AE4135">
        <v>1439.5</v>
      </c>
      <c r="AF4135">
        <v>20.2</v>
      </c>
      <c r="AJ4135" t="s">
        <v>4122</v>
      </c>
      <c r="AK4135" t="s">
        <v>4093</v>
      </c>
      <c r="AN4135">
        <v>44</v>
      </c>
      <c r="AO4135">
        <v>5.3</v>
      </c>
      <c r="AP4135">
        <v>20.3</v>
      </c>
      <c r="AQ4135">
        <v>6.7</v>
      </c>
      <c r="AW4135" s="28">
        <f t="shared" si="401"/>
        <v>-3.9233893993946092</v>
      </c>
      <c r="AX4135">
        <f t="shared" si="402"/>
        <v>0.8</v>
      </c>
      <c r="AY4135" s="62">
        <f t="shared" si="403"/>
        <v>-3.1387115195156876</v>
      </c>
      <c r="AZ4135" s="68" t="str">
        <f t="shared" si="404"/>
        <v>No</v>
      </c>
      <c r="BA4135" s="68" t="str">
        <f t="shared" si="405"/>
        <v>No</v>
      </c>
    </row>
    <row r="4136" spans="1:53" hidden="1">
      <c r="A4136" t="s">
        <v>3914</v>
      </c>
      <c r="G4136" t="s">
        <v>4101</v>
      </c>
      <c r="P4136" t="s">
        <v>60</v>
      </c>
      <c r="R4136" t="s">
        <v>4116</v>
      </c>
      <c r="S4136" t="s">
        <v>4111</v>
      </c>
      <c r="V4136" t="s">
        <v>3956</v>
      </c>
      <c r="Z4136">
        <v>3</v>
      </c>
      <c r="AA4136">
        <v>3</v>
      </c>
      <c r="AC4136">
        <v>259.60000000000002</v>
      </c>
      <c r="AD4136">
        <v>20.100000000000001</v>
      </c>
      <c r="AE4136">
        <v>1439.5</v>
      </c>
      <c r="AF4136">
        <v>20.2</v>
      </c>
      <c r="AJ4136" t="s">
        <v>4134</v>
      </c>
      <c r="AK4136" t="s">
        <v>4151</v>
      </c>
      <c r="AN4136">
        <v>46</v>
      </c>
      <c r="AO4136">
        <v>14</v>
      </c>
      <c r="AP4136">
        <v>11</v>
      </c>
      <c r="AQ4136">
        <v>7</v>
      </c>
      <c r="AW4136" s="28">
        <f t="shared" si="401"/>
        <v>-3.1622776601683795</v>
      </c>
      <c r="AX4136">
        <f t="shared" si="402"/>
        <v>0.8</v>
      </c>
      <c r="AY4136" s="62">
        <f t="shared" si="403"/>
        <v>-2.529822128134704</v>
      </c>
      <c r="AZ4136" s="68" t="str">
        <f t="shared" si="404"/>
        <v>No</v>
      </c>
      <c r="BA4136" s="68" t="str">
        <f t="shared" si="405"/>
        <v>No</v>
      </c>
    </row>
    <row r="4137" spans="1:53" hidden="1">
      <c r="A4137" t="s">
        <v>3914</v>
      </c>
      <c r="G4137" t="s">
        <v>4108</v>
      </c>
      <c r="P4137" t="s">
        <v>60</v>
      </c>
      <c r="R4137" t="s">
        <v>4116</v>
      </c>
      <c r="S4137" t="s">
        <v>4115</v>
      </c>
      <c r="V4137" t="s">
        <v>3956</v>
      </c>
      <c r="Z4137">
        <v>3</v>
      </c>
      <c r="AA4137">
        <v>3</v>
      </c>
      <c r="AC4137">
        <f>(373+351)/2</f>
        <v>362</v>
      </c>
      <c r="AD4137">
        <v>20</v>
      </c>
      <c r="AE4137">
        <f>(995+1015)/2</f>
        <v>1005</v>
      </c>
      <c r="AF4137">
        <v>20</v>
      </c>
      <c r="AJ4137" t="s">
        <v>4161</v>
      </c>
      <c r="AK4137" t="s">
        <v>4151</v>
      </c>
      <c r="AN4137">
        <v>7</v>
      </c>
      <c r="AO4137">
        <v>1</v>
      </c>
      <c r="AP4137">
        <v>12.3</v>
      </c>
      <c r="AQ4137">
        <v>1.4</v>
      </c>
      <c r="AW4137" s="28">
        <f t="shared" si="401"/>
        <v>4.3565731635919693</v>
      </c>
      <c r="AX4137">
        <f t="shared" si="402"/>
        <v>0.8</v>
      </c>
      <c r="AY4137" s="62">
        <f t="shared" si="403"/>
        <v>3.4852585308735757</v>
      </c>
      <c r="AZ4137" s="68" t="str">
        <f t="shared" si="404"/>
        <v>No</v>
      </c>
      <c r="BA4137" s="68" t="str">
        <f t="shared" si="405"/>
        <v>No</v>
      </c>
    </row>
    <row r="4138" spans="1:53" hidden="1">
      <c r="A4138" t="s">
        <v>3914</v>
      </c>
      <c r="G4138" t="s">
        <v>4108</v>
      </c>
      <c r="P4138" t="s">
        <v>60</v>
      </c>
      <c r="R4138" t="s">
        <v>4116</v>
      </c>
      <c r="S4138" t="s">
        <v>4115</v>
      </c>
      <c r="V4138" t="s">
        <v>3956</v>
      </c>
      <c r="Z4138">
        <v>3</v>
      </c>
      <c r="AA4138">
        <v>3</v>
      </c>
      <c r="AC4138">
        <v>362</v>
      </c>
      <c r="AD4138">
        <v>20</v>
      </c>
      <c r="AE4138">
        <v>2827</v>
      </c>
      <c r="AF4138">
        <v>20</v>
      </c>
      <c r="AJ4138" t="s">
        <v>4161</v>
      </c>
      <c r="AK4138" t="s">
        <v>4151</v>
      </c>
      <c r="AN4138">
        <v>7</v>
      </c>
      <c r="AO4138">
        <v>1</v>
      </c>
      <c r="AP4138">
        <v>15.8</v>
      </c>
      <c r="AQ4138">
        <v>2.2000000000000002</v>
      </c>
      <c r="AW4138" s="28">
        <f t="shared" si="401"/>
        <v>5.149810476629745</v>
      </c>
      <c r="AX4138">
        <f t="shared" si="402"/>
        <v>0.8</v>
      </c>
      <c r="AY4138" s="62">
        <f t="shared" si="403"/>
        <v>4.1198483813037958</v>
      </c>
      <c r="AZ4138" s="68" t="str">
        <f t="shared" si="404"/>
        <v>No</v>
      </c>
      <c r="BA4138" s="68" t="str">
        <f t="shared" si="405"/>
        <v>No</v>
      </c>
    </row>
    <row r="4139" spans="1:53" hidden="1">
      <c r="A4139" t="s">
        <v>3914</v>
      </c>
      <c r="G4139" t="s">
        <v>4108</v>
      </c>
      <c r="P4139" t="s">
        <v>60</v>
      </c>
      <c r="R4139" t="s">
        <v>4116</v>
      </c>
      <c r="S4139" t="s">
        <v>4115</v>
      </c>
      <c r="V4139" t="s">
        <v>3956</v>
      </c>
      <c r="Z4139">
        <v>3</v>
      </c>
      <c r="AA4139">
        <v>3</v>
      </c>
      <c r="AC4139">
        <f>(373+351)/2</f>
        <v>362</v>
      </c>
      <c r="AD4139">
        <v>20</v>
      </c>
      <c r="AE4139">
        <f>(995+1015)/2</f>
        <v>1005</v>
      </c>
      <c r="AF4139">
        <v>20</v>
      </c>
      <c r="AJ4139" t="s">
        <v>2020</v>
      </c>
      <c r="AK4139" t="s">
        <v>4093</v>
      </c>
      <c r="AN4139">
        <v>79</v>
      </c>
      <c r="AO4139">
        <v>8</v>
      </c>
      <c r="AP4139">
        <v>77.5</v>
      </c>
      <c r="AQ4139">
        <v>2.7</v>
      </c>
      <c r="AW4139" s="28">
        <f t="shared" si="401"/>
        <v>-0.25124183084765422</v>
      </c>
      <c r="AX4139">
        <f t="shared" si="402"/>
        <v>0.8</v>
      </c>
      <c r="AY4139" s="62">
        <f t="shared" si="403"/>
        <v>-0.2009934646781234</v>
      </c>
      <c r="AZ4139" s="68" t="str">
        <f t="shared" si="404"/>
        <v>No</v>
      </c>
      <c r="BA4139" s="68" t="str">
        <f t="shared" si="405"/>
        <v>No</v>
      </c>
    </row>
    <row r="4140" spans="1:53" hidden="1">
      <c r="A4140" t="s">
        <v>3914</v>
      </c>
      <c r="G4140" t="s">
        <v>4108</v>
      </c>
      <c r="P4140" t="s">
        <v>60</v>
      </c>
      <c r="R4140" t="s">
        <v>4116</v>
      </c>
      <c r="S4140" t="s">
        <v>4115</v>
      </c>
      <c r="V4140" t="s">
        <v>3956</v>
      </c>
      <c r="Z4140">
        <v>3</v>
      </c>
      <c r="AA4140">
        <v>3</v>
      </c>
      <c r="AC4140">
        <v>362</v>
      </c>
      <c r="AD4140">
        <v>20</v>
      </c>
      <c r="AE4140">
        <f>(2715+2939)/2</f>
        <v>2827</v>
      </c>
      <c r="AF4140">
        <v>20</v>
      </c>
      <c r="AJ4140" t="s">
        <v>2020</v>
      </c>
      <c r="AK4140" t="s">
        <v>4093</v>
      </c>
      <c r="AN4140">
        <v>79</v>
      </c>
      <c r="AO4140">
        <v>8</v>
      </c>
      <c r="AP4140">
        <v>70</v>
      </c>
      <c r="AQ4140">
        <v>4.8</v>
      </c>
      <c r="AW4140" s="28">
        <f t="shared" si="401"/>
        <v>-1.364262890829373</v>
      </c>
      <c r="AX4140">
        <f t="shared" si="402"/>
        <v>0.8</v>
      </c>
      <c r="AY4140" s="62">
        <f t="shared" si="403"/>
        <v>-1.0914103126634984</v>
      </c>
      <c r="AZ4140" s="68" t="str">
        <f t="shared" si="404"/>
        <v>No</v>
      </c>
      <c r="BA4140" s="68" t="str">
        <f t="shared" si="405"/>
        <v>No</v>
      </c>
    </row>
    <row r="4141" spans="1:53" hidden="1">
      <c r="A4141" t="s">
        <v>3914</v>
      </c>
      <c r="G4141" t="s">
        <v>4108</v>
      </c>
      <c r="P4141" t="s">
        <v>60</v>
      </c>
      <c r="R4141" t="s">
        <v>4116</v>
      </c>
      <c r="S4141" t="s">
        <v>4115</v>
      </c>
      <c r="V4141" t="s">
        <v>3956</v>
      </c>
      <c r="Z4141">
        <v>3</v>
      </c>
      <c r="AA4141">
        <v>3</v>
      </c>
      <c r="AC4141">
        <f>(373+351)/2</f>
        <v>362</v>
      </c>
      <c r="AD4141">
        <v>20</v>
      </c>
      <c r="AE4141">
        <f>(995+1015)/2</f>
        <v>1005</v>
      </c>
      <c r="AF4141">
        <v>20</v>
      </c>
      <c r="AJ4141" t="s">
        <v>4218</v>
      </c>
      <c r="AK4141" t="s">
        <v>4244</v>
      </c>
      <c r="AN4141">
        <v>119</v>
      </c>
      <c r="AO4141">
        <v>2</v>
      </c>
      <c r="AP4141">
        <v>112</v>
      </c>
      <c r="AQ4141">
        <v>7</v>
      </c>
      <c r="AW4141" s="28">
        <f t="shared" si="401"/>
        <v>-1.3598002073001698</v>
      </c>
      <c r="AX4141">
        <f t="shared" si="402"/>
        <v>0.8</v>
      </c>
      <c r="AY4141" s="62">
        <f t="shared" si="403"/>
        <v>-1.087840165840136</v>
      </c>
      <c r="AZ4141" s="68" t="str">
        <f t="shared" si="404"/>
        <v>No</v>
      </c>
      <c r="BA4141" s="68" t="str">
        <f t="shared" si="405"/>
        <v>No</v>
      </c>
    </row>
    <row r="4142" spans="1:53" hidden="1">
      <c r="A4142" t="s">
        <v>3914</v>
      </c>
      <c r="G4142" t="s">
        <v>4108</v>
      </c>
      <c r="P4142" t="s">
        <v>60</v>
      </c>
      <c r="R4142" t="s">
        <v>4116</v>
      </c>
      <c r="S4142" t="s">
        <v>4115</v>
      </c>
      <c r="V4142" t="s">
        <v>3956</v>
      </c>
      <c r="Z4142">
        <v>3</v>
      </c>
      <c r="AA4142">
        <v>3</v>
      </c>
      <c r="AC4142">
        <v>362</v>
      </c>
      <c r="AD4142">
        <v>20</v>
      </c>
      <c r="AE4142">
        <v>2827</v>
      </c>
      <c r="AF4142">
        <v>20</v>
      </c>
      <c r="AJ4142" t="s">
        <v>4218</v>
      </c>
      <c r="AK4142" t="s">
        <v>4244</v>
      </c>
      <c r="AN4142">
        <v>119</v>
      </c>
      <c r="AO4142">
        <v>2</v>
      </c>
      <c r="AP4142">
        <v>100</v>
      </c>
      <c r="AQ4142">
        <v>8</v>
      </c>
      <c r="AW4142" s="28">
        <f t="shared" si="401"/>
        <v>-3.2584731177076676</v>
      </c>
      <c r="AX4142">
        <f t="shared" si="402"/>
        <v>0.8</v>
      </c>
      <c r="AY4142" s="62">
        <f t="shared" si="403"/>
        <v>-2.6067784941661341</v>
      </c>
      <c r="AZ4142" s="68" t="str">
        <f t="shared" si="404"/>
        <v>No</v>
      </c>
      <c r="BA4142" s="68" t="str">
        <f t="shared" si="405"/>
        <v>No</v>
      </c>
    </row>
    <row r="4143" spans="1:53" hidden="1">
      <c r="A4143" t="s">
        <v>3914</v>
      </c>
      <c r="G4143" t="s">
        <v>4170</v>
      </c>
      <c r="P4143" t="s">
        <v>60</v>
      </c>
      <c r="R4143" t="s">
        <v>4116</v>
      </c>
      <c r="S4143" t="s">
        <v>1007</v>
      </c>
      <c r="V4143" t="s">
        <v>3956</v>
      </c>
      <c r="Z4143">
        <v>3</v>
      </c>
      <c r="AA4143">
        <v>3</v>
      </c>
      <c r="AC4143">
        <v>220.3</v>
      </c>
      <c r="AD4143">
        <v>25.7</v>
      </c>
      <c r="AE4143">
        <v>775.6</v>
      </c>
      <c r="AF4143">
        <v>25.6</v>
      </c>
      <c r="AJ4143" t="s">
        <v>4065</v>
      </c>
      <c r="AK4143" t="s">
        <v>4258</v>
      </c>
      <c r="AN4143">
        <v>2.7</v>
      </c>
      <c r="AO4143">
        <v>1.3856406460551018</v>
      </c>
      <c r="AP4143">
        <v>0.75</v>
      </c>
      <c r="AQ4143">
        <v>0.34641016151377546</v>
      </c>
      <c r="AW4143" s="28">
        <f t="shared" si="401"/>
        <v>-1.9307877088045151</v>
      </c>
      <c r="AX4143">
        <f t="shared" si="402"/>
        <v>0.8</v>
      </c>
      <c r="AY4143" s="62">
        <f t="shared" si="403"/>
        <v>-1.5446301670436122</v>
      </c>
      <c r="AZ4143" s="68" t="str">
        <f t="shared" si="404"/>
        <v>No</v>
      </c>
      <c r="BA4143" s="68" t="str">
        <f t="shared" si="405"/>
        <v>No</v>
      </c>
    </row>
    <row r="4144" spans="1:53" hidden="1">
      <c r="A4144" t="s">
        <v>3914</v>
      </c>
      <c r="G4144" s="50" t="s">
        <v>4170</v>
      </c>
      <c r="P4144" t="s">
        <v>60</v>
      </c>
      <c r="R4144" t="s">
        <v>4116</v>
      </c>
      <c r="S4144" s="50" t="s">
        <v>1007</v>
      </c>
      <c r="V4144" t="s">
        <v>3956</v>
      </c>
      <c r="Z4144">
        <v>3</v>
      </c>
      <c r="AA4144">
        <v>3</v>
      </c>
      <c r="AC4144">
        <v>220.3</v>
      </c>
      <c r="AD4144">
        <v>25.7</v>
      </c>
      <c r="AE4144">
        <v>508.8</v>
      </c>
      <c r="AF4144">
        <v>25.6</v>
      </c>
      <c r="AJ4144" s="50" t="s">
        <v>4219</v>
      </c>
      <c r="AK4144" t="s">
        <v>4244</v>
      </c>
      <c r="AN4144">
        <v>27.2</v>
      </c>
      <c r="AO4144">
        <v>0.69282032302755092</v>
      </c>
      <c r="AP4144">
        <v>25.5</v>
      </c>
      <c r="AQ4144">
        <v>0.51961524227066314</v>
      </c>
      <c r="AW4144" s="28">
        <f t="shared" si="401"/>
        <v>-2.7760883751542678</v>
      </c>
      <c r="AX4144">
        <f t="shared" si="402"/>
        <v>0.8</v>
      </c>
      <c r="AY4144" s="62">
        <f t="shared" si="403"/>
        <v>-2.2208707001234145</v>
      </c>
      <c r="AZ4144" s="68" t="str">
        <f t="shared" si="404"/>
        <v>No</v>
      </c>
      <c r="BA4144" s="68" t="str">
        <f t="shared" si="405"/>
        <v>No</v>
      </c>
    </row>
    <row r="4145" spans="1:55" hidden="1">
      <c r="A4145" t="s">
        <v>3914</v>
      </c>
      <c r="G4145" t="s">
        <v>4170</v>
      </c>
      <c r="P4145" t="s">
        <v>60</v>
      </c>
      <c r="R4145" t="s">
        <v>4116</v>
      </c>
      <c r="S4145" t="s">
        <v>1007</v>
      </c>
      <c r="V4145" t="s">
        <v>3956</v>
      </c>
      <c r="Z4145">
        <v>3</v>
      </c>
      <c r="AA4145">
        <v>3</v>
      </c>
      <c r="AC4145">
        <v>220.3</v>
      </c>
      <c r="AD4145">
        <v>25.7</v>
      </c>
      <c r="AE4145">
        <v>508.38</v>
      </c>
      <c r="AF4145">
        <v>25.6</v>
      </c>
      <c r="AJ4145" t="s">
        <v>4065</v>
      </c>
      <c r="AK4145" t="s">
        <v>4258</v>
      </c>
      <c r="AN4145">
        <v>2.7</v>
      </c>
      <c r="AO4145">
        <v>1.3856406460551018</v>
      </c>
      <c r="AP4145">
        <v>1.55</v>
      </c>
      <c r="AQ4145">
        <v>0.51961524227066314</v>
      </c>
      <c r="AW4145" s="28">
        <f t="shared" si="401"/>
        <v>-1.0989825099052424</v>
      </c>
      <c r="AX4145">
        <f t="shared" si="402"/>
        <v>0.8</v>
      </c>
      <c r="AY4145" s="62">
        <f t="shared" si="403"/>
        <v>-0.87918600792419399</v>
      </c>
      <c r="AZ4145" s="68" t="str">
        <f t="shared" si="404"/>
        <v>No</v>
      </c>
      <c r="BA4145" s="68" t="str">
        <f t="shared" si="405"/>
        <v>No</v>
      </c>
    </row>
    <row r="4146" spans="1:55" hidden="1">
      <c r="A4146" t="s">
        <v>3914</v>
      </c>
      <c r="G4146" s="50" t="s">
        <v>4170</v>
      </c>
      <c r="P4146" t="s">
        <v>60</v>
      </c>
      <c r="R4146" t="s">
        <v>4116</v>
      </c>
      <c r="S4146" s="50" t="s">
        <v>1007</v>
      </c>
      <c r="V4146" t="s">
        <v>3956</v>
      </c>
      <c r="Z4146">
        <v>3</v>
      </c>
      <c r="AA4146">
        <v>3</v>
      </c>
      <c r="AC4146">
        <v>220.3</v>
      </c>
      <c r="AD4146">
        <v>25.7</v>
      </c>
      <c r="AE4146">
        <v>775.6</v>
      </c>
      <c r="AF4146">
        <v>25.6</v>
      </c>
      <c r="AJ4146" s="50" t="s">
        <v>4219</v>
      </c>
      <c r="AK4146" t="s">
        <v>4244</v>
      </c>
      <c r="AN4146">
        <v>27.2</v>
      </c>
      <c r="AO4146">
        <v>0.69282032302755092</v>
      </c>
      <c r="AP4146">
        <v>24.85</v>
      </c>
      <c r="AQ4146">
        <v>0.95262794416288255</v>
      </c>
      <c r="AW4146" s="28">
        <f t="shared" si="401"/>
        <v>-2.8214110583820191</v>
      </c>
      <c r="AX4146">
        <f t="shared" si="402"/>
        <v>0.8</v>
      </c>
      <c r="AY4146" s="62">
        <f t="shared" si="403"/>
        <v>-2.2571288467056152</v>
      </c>
      <c r="AZ4146" s="68" t="str">
        <f t="shared" si="404"/>
        <v>No</v>
      </c>
      <c r="BA4146" s="68" t="str">
        <f t="shared" si="405"/>
        <v>No</v>
      </c>
    </row>
    <row r="4147" spans="1:55" hidden="1">
      <c r="A4147" s="77" t="s">
        <v>3914</v>
      </c>
      <c r="G4147" s="77" t="s">
        <v>4049</v>
      </c>
      <c r="P4147" s="77" t="s">
        <v>60</v>
      </c>
      <c r="Q4147" s="77"/>
      <c r="R4147" s="77" t="s">
        <v>4035</v>
      </c>
      <c r="S4147" s="77" t="s">
        <v>1766</v>
      </c>
      <c r="T4147" s="77"/>
      <c r="U4147" s="77"/>
      <c r="V4147" s="77" t="s">
        <v>3956</v>
      </c>
      <c r="W4147" s="77"/>
      <c r="X4147" s="77"/>
      <c r="Y4147" s="77"/>
      <c r="Z4147" s="77">
        <v>35</v>
      </c>
      <c r="AA4147" s="77">
        <v>35</v>
      </c>
      <c r="AB4147" s="77"/>
      <c r="AC4147" s="77">
        <v>464</v>
      </c>
      <c r="AD4147" s="77">
        <v>27</v>
      </c>
      <c r="AE4147" s="77">
        <v>1638</v>
      </c>
      <c r="AF4147" s="77">
        <v>27.3</v>
      </c>
      <c r="AG4147" s="77"/>
      <c r="AH4147" s="77"/>
      <c r="AI4147" s="77"/>
      <c r="AJ4147" s="77" t="s">
        <v>4059</v>
      </c>
      <c r="AK4147" s="77" t="s">
        <v>4041</v>
      </c>
      <c r="AN4147" s="77">
        <v>35</v>
      </c>
      <c r="AO4147" s="77">
        <v>14.79019945774904</v>
      </c>
      <c r="AP4147" s="77">
        <v>32.700000000000003</v>
      </c>
      <c r="AQ4147" s="77">
        <v>16.565023392678924</v>
      </c>
      <c r="AW4147" s="28">
        <f t="shared" si="401"/>
        <v>-0.14647156272122627</v>
      </c>
      <c r="AX4147">
        <f t="shared" si="402"/>
        <v>0.98892988929889303</v>
      </c>
      <c r="AY4147" s="62">
        <f t="shared" si="403"/>
        <v>-0.14485010630733816</v>
      </c>
      <c r="AZ4147" s="68" t="str">
        <f t="shared" si="404"/>
        <v>No</v>
      </c>
      <c r="BA4147" s="68" t="str">
        <f t="shared" si="405"/>
        <v>No</v>
      </c>
    </row>
    <row r="4148" spans="1:55" hidden="1">
      <c r="A4148" t="s">
        <v>3914</v>
      </c>
      <c r="G4148" t="s">
        <v>4049</v>
      </c>
      <c r="P4148" t="s">
        <v>60</v>
      </c>
      <c r="R4148" t="s">
        <v>4035</v>
      </c>
      <c r="S4148" t="s">
        <v>1766</v>
      </c>
      <c r="V4148" t="s">
        <v>3956</v>
      </c>
      <c r="Z4148">
        <v>35</v>
      </c>
      <c r="AA4148">
        <v>35</v>
      </c>
      <c r="AC4148">
        <v>464</v>
      </c>
      <c r="AD4148">
        <v>27</v>
      </c>
      <c r="AE4148">
        <v>1187</v>
      </c>
      <c r="AF4148">
        <v>27.1</v>
      </c>
      <c r="AJ4148" t="s">
        <v>4059</v>
      </c>
      <c r="AK4148" t="s">
        <v>4041</v>
      </c>
      <c r="AN4148">
        <v>35</v>
      </c>
      <c r="AO4148">
        <v>14.79019945774904</v>
      </c>
      <c r="AP4148">
        <v>27.5</v>
      </c>
      <c r="AQ4148">
        <v>17.748239349298849</v>
      </c>
      <c r="AW4148" s="28">
        <f t="shared" si="401"/>
        <v>-0.45910002583712994</v>
      </c>
      <c r="AX4148">
        <f t="shared" si="402"/>
        <v>0.98892988929889303</v>
      </c>
      <c r="AY4148" s="62">
        <f t="shared" si="403"/>
        <v>-0.45401773772823184</v>
      </c>
      <c r="AZ4148" s="68" t="str">
        <f t="shared" si="404"/>
        <v>No</v>
      </c>
      <c r="BA4148" s="68" t="str">
        <f t="shared" si="405"/>
        <v>No</v>
      </c>
    </row>
    <row r="4149" spans="1:55" hidden="1">
      <c r="A4149" t="s">
        <v>3914</v>
      </c>
      <c r="G4149" t="s">
        <v>4993</v>
      </c>
      <c r="P4149" t="s">
        <v>60</v>
      </c>
      <c r="R4149" t="s">
        <v>4286</v>
      </c>
      <c r="S4149" t="s">
        <v>4334</v>
      </c>
      <c r="V4149" t="s">
        <v>3956</v>
      </c>
      <c r="Z4149">
        <v>200</v>
      </c>
      <c r="AA4149">
        <v>200</v>
      </c>
      <c r="AC4149">
        <v>460</v>
      </c>
      <c r="AD4149">
        <v>17</v>
      </c>
      <c r="AE4149">
        <v>1055</v>
      </c>
      <c r="AF4149">
        <v>17</v>
      </c>
      <c r="AJ4149" t="s">
        <v>4065</v>
      </c>
      <c r="AK4149" t="s">
        <v>4258</v>
      </c>
      <c r="AN4149">
        <v>96</v>
      </c>
      <c r="AO4149">
        <v>3</v>
      </c>
      <c r="AP4149">
        <v>93</v>
      </c>
      <c r="AQ4149">
        <v>0.3</v>
      </c>
      <c r="AW4149" s="28">
        <f t="shared" si="401"/>
        <v>-1.4071950894605838</v>
      </c>
      <c r="AX4149">
        <f t="shared" si="402"/>
        <v>0.99811439346323072</v>
      </c>
      <c r="AY4149" s="62">
        <f t="shared" si="403"/>
        <v>-1.4045416732013873</v>
      </c>
      <c r="AZ4149" s="68" t="str">
        <f t="shared" si="404"/>
        <v>No</v>
      </c>
      <c r="BA4149" s="68" t="str">
        <f t="shared" si="405"/>
        <v>No</v>
      </c>
      <c r="BB4149" t="s">
        <v>5112</v>
      </c>
      <c r="BC4149" s="82" t="s">
        <v>5129</v>
      </c>
    </row>
    <row r="4150" spans="1:55" hidden="1">
      <c r="A4150" t="s">
        <v>3914</v>
      </c>
      <c r="G4150" t="s">
        <v>4332</v>
      </c>
      <c r="P4150" t="s">
        <v>60</v>
      </c>
      <c r="R4150" t="s">
        <v>4286</v>
      </c>
      <c r="S4150" t="s">
        <v>4334</v>
      </c>
      <c r="V4150" t="s">
        <v>3956</v>
      </c>
      <c r="Z4150">
        <v>200</v>
      </c>
      <c r="AA4150">
        <v>200</v>
      </c>
      <c r="AC4150">
        <v>460</v>
      </c>
      <c r="AD4150">
        <v>17</v>
      </c>
      <c r="AE4150">
        <v>1331</v>
      </c>
      <c r="AF4150">
        <v>17</v>
      </c>
      <c r="AJ4150" t="s">
        <v>4065</v>
      </c>
      <c r="AK4150" t="s">
        <v>4258</v>
      </c>
      <c r="AN4150">
        <v>96</v>
      </c>
      <c r="AO4150">
        <v>3</v>
      </c>
      <c r="AP4150">
        <v>75</v>
      </c>
      <c r="AQ4150">
        <v>5</v>
      </c>
      <c r="AW4150" s="28">
        <f t="shared" si="401"/>
        <v>-5.093248125762992</v>
      </c>
      <c r="AX4150">
        <f t="shared" si="402"/>
        <v>0.99811439346323072</v>
      </c>
      <c r="AY4150" s="62">
        <f t="shared" si="403"/>
        <v>-5.0836442638036656</v>
      </c>
      <c r="AZ4150" s="68" t="str">
        <f t="shared" si="404"/>
        <v>No</v>
      </c>
      <c r="BA4150" s="68" t="str">
        <f t="shared" si="405"/>
        <v>No</v>
      </c>
      <c r="BB4150" t="s">
        <v>5112</v>
      </c>
    </row>
    <row r="4151" spans="1:55" hidden="1">
      <c r="A4151" t="s">
        <v>3914</v>
      </c>
      <c r="G4151" t="s">
        <v>4332</v>
      </c>
      <c r="P4151" t="s">
        <v>60</v>
      </c>
      <c r="R4151" t="s">
        <v>4286</v>
      </c>
      <c r="S4151" t="s">
        <v>4334</v>
      </c>
      <c r="V4151" t="s">
        <v>3956</v>
      </c>
      <c r="Z4151">
        <v>200</v>
      </c>
      <c r="AA4151">
        <v>200</v>
      </c>
      <c r="AC4151">
        <v>460</v>
      </c>
      <c r="AD4151">
        <v>17</v>
      </c>
      <c r="AE4151">
        <v>1331</v>
      </c>
      <c r="AF4151">
        <v>17</v>
      </c>
      <c r="AJ4151" t="s">
        <v>4336</v>
      </c>
      <c r="AK4151" t="s">
        <v>4244</v>
      </c>
      <c r="AN4151">
        <v>220</v>
      </c>
      <c r="AO4151">
        <v>14.25</v>
      </c>
      <c r="AP4151">
        <v>214</v>
      </c>
      <c r="AQ4151">
        <v>6</v>
      </c>
      <c r="AW4151" s="28">
        <f t="shared" si="401"/>
        <v>-0.54879547245602822</v>
      </c>
      <c r="AX4151">
        <f t="shared" si="402"/>
        <v>0.99811439346323072</v>
      </c>
      <c r="AY4151" s="62">
        <f t="shared" si="403"/>
        <v>-0.5477606601258157</v>
      </c>
      <c r="AZ4151" s="68" t="str">
        <f t="shared" si="404"/>
        <v>No</v>
      </c>
      <c r="BA4151" s="68" t="str">
        <f t="shared" si="405"/>
        <v>No</v>
      </c>
    </row>
    <row r="4152" spans="1:55" hidden="1">
      <c r="A4152" t="s">
        <v>3914</v>
      </c>
      <c r="G4152" t="s">
        <v>4332</v>
      </c>
      <c r="P4152" t="s">
        <v>60</v>
      </c>
      <c r="R4152" t="s">
        <v>4286</v>
      </c>
      <c r="S4152" t="s">
        <v>4334</v>
      </c>
      <c r="V4152" t="s">
        <v>3956</v>
      </c>
      <c r="Z4152">
        <v>200</v>
      </c>
      <c r="AA4152">
        <v>200</v>
      </c>
      <c r="AC4152">
        <v>460</v>
      </c>
      <c r="AD4152">
        <v>17</v>
      </c>
      <c r="AE4152">
        <v>1055</v>
      </c>
      <c r="AF4152">
        <v>17</v>
      </c>
      <c r="AJ4152" t="s">
        <v>4336</v>
      </c>
      <c r="AK4152" t="s">
        <v>4244</v>
      </c>
      <c r="AN4152">
        <v>220</v>
      </c>
      <c r="AO4152">
        <v>14.25</v>
      </c>
      <c r="AP4152">
        <v>208</v>
      </c>
      <c r="AQ4152">
        <v>11.25</v>
      </c>
      <c r="AW4152" s="28">
        <f t="shared" si="401"/>
        <v>-0.93472998053917755</v>
      </c>
      <c r="AX4152">
        <f t="shared" si="402"/>
        <v>0.99811439346323072</v>
      </c>
      <c r="AY4152" s="62">
        <f t="shared" si="403"/>
        <v>-0.93296744757775862</v>
      </c>
      <c r="AZ4152" s="68" t="str">
        <f t="shared" si="404"/>
        <v>No</v>
      </c>
      <c r="BA4152" s="68" t="str">
        <f t="shared" si="405"/>
        <v>No</v>
      </c>
    </row>
    <row r="4153" spans="1:55" hidden="1">
      <c r="A4153" t="s">
        <v>3914</v>
      </c>
      <c r="G4153" t="s">
        <v>4179</v>
      </c>
      <c r="P4153" t="s">
        <v>60</v>
      </c>
      <c r="R4153" t="s">
        <v>4116</v>
      </c>
      <c r="S4153" t="s">
        <v>1069</v>
      </c>
      <c r="V4153" t="s">
        <v>3956</v>
      </c>
      <c r="Z4153">
        <v>5</v>
      </c>
      <c r="AA4153">
        <v>5</v>
      </c>
      <c r="AC4153">
        <v>509</v>
      </c>
      <c r="AD4153">
        <v>22.4</v>
      </c>
      <c r="AE4153">
        <v>1987</v>
      </c>
      <c r="AF4153">
        <v>22.5</v>
      </c>
      <c r="AJ4153" t="s">
        <v>4065</v>
      </c>
      <c r="AK4153" t="s">
        <v>4258</v>
      </c>
      <c r="AN4153">
        <v>10.3</v>
      </c>
      <c r="AO4153">
        <v>2.2000000000000002</v>
      </c>
      <c r="AP4153">
        <v>7</v>
      </c>
      <c r="AQ4153">
        <v>2.5</v>
      </c>
      <c r="AW4153" s="28">
        <f t="shared" si="401"/>
        <v>-1.4014033929574334</v>
      </c>
      <c r="AX4153">
        <f t="shared" si="402"/>
        <v>0.90322580645161288</v>
      </c>
      <c r="AY4153" s="62">
        <f t="shared" si="403"/>
        <v>-1.2657837097680043</v>
      </c>
      <c r="AZ4153" s="68" t="str">
        <f t="shared" si="404"/>
        <v>No</v>
      </c>
      <c r="BA4153" s="68" t="str">
        <f t="shared" si="405"/>
        <v>No</v>
      </c>
      <c r="BB4153" t="s">
        <v>5112</v>
      </c>
    </row>
    <row r="4154" spans="1:55" hidden="1">
      <c r="A4154" t="s">
        <v>3914</v>
      </c>
      <c r="G4154" t="s">
        <v>4179</v>
      </c>
      <c r="P4154" t="s">
        <v>60</v>
      </c>
      <c r="R4154" t="s">
        <v>4116</v>
      </c>
      <c r="S4154" t="s">
        <v>1069</v>
      </c>
      <c r="V4154" t="s">
        <v>3956</v>
      </c>
      <c r="Z4154">
        <v>6</v>
      </c>
      <c r="AA4154">
        <v>6</v>
      </c>
      <c r="AC4154">
        <v>509</v>
      </c>
      <c r="AD4154">
        <v>22.4</v>
      </c>
      <c r="AE4154">
        <v>1987</v>
      </c>
      <c r="AF4154">
        <v>22.5</v>
      </c>
      <c r="AJ4154" t="s">
        <v>4218</v>
      </c>
      <c r="AK4154" t="s">
        <v>4244</v>
      </c>
      <c r="AN4154">
        <v>132</v>
      </c>
      <c r="AO4154">
        <v>8</v>
      </c>
      <c r="AP4154">
        <v>118</v>
      </c>
      <c r="AQ4154">
        <v>8</v>
      </c>
      <c r="AW4154" s="28">
        <f t="shared" si="401"/>
        <v>-1.75</v>
      </c>
      <c r="AX4154">
        <f t="shared" si="402"/>
        <v>0.92307692307692313</v>
      </c>
      <c r="AY4154" s="62">
        <f t="shared" si="403"/>
        <v>-1.6153846153846154</v>
      </c>
      <c r="AZ4154" s="68" t="str">
        <f t="shared" si="404"/>
        <v>No</v>
      </c>
      <c r="BA4154" s="68" t="str">
        <f t="shared" si="405"/>
        <v>No</v>
      </c>
      <c r="BB4154" t="s">
        <v>5112</v>
      </c>
    </row>
    <row r="4155" spans="1:55" hidden="1">
      <c r="A4155" t="s">
        <v>3914</v>
      </c>
      <c r="G4155" t="s">
        <v>4187</v>
      </c>
      <c r="P4155" t="s">
        <v>60</v>
      </c>
      <c r="R4155" t="s">
        <v>4116</v>
      </c>
      <c r="S4155" t="s">
        <v>1069</v>
      </c>
      <c r="V4155" t="s">
        <v>3956</v>
      </c>
      <c r="Z4155">
        <v>5</v>
      </c>
      <c r="AA4155">
        <v>5</v>
      </c>
      <c r="AC4155">
        <v>486.75</v>
      </c>
      <c r="AD4155">
        <v>23.6</v>
      </c>
      <c r="AE4155">
        <v>2633.5</v>
      </c>
      <c r="AF4155">
        <v>23.7</v>
      </c>
      <c r="AJ4155" t="s">
        <v>4065</v>
      </c>
      <c r="AK4155" t="s">
        <v>4258</v>
      </c>
      <c r="AN4155">
        <v>21</v>
      </c>
      <c r="AO4155">
        <v>10</v>
      </c>
      <c r="AP4155">
        <v>0</v>
      </c>
      <c r="AQ4155">
        <v>0</v>
      </c>
      <c r="AW4155" s="28">
        <f t="shared" si="401"/>
        <v>-2.9698484809834995</v>
      </c>
      <c r="AX4155">
        <f t="shared" si="402"/>
        <v>0.90322580645161288</v>
      </c>
      <c r="AY4155" s="62">
        <f t="shared" si="403"/>
        <v>-2.6824437892754189</v>
      </c>
      <c r="AZ4155" s="68" t="str">
        <f t="shared" si="404"/>
        <v>No</v>
      </c>
      <c r="BA4155" s="68" t="str">
        <f t="shared" si="405"/>
        <v>No</v>
      </c>
    </row>
    <row r="4156" spans="1:55" hidden="1">
      <c r="A4156" t="s">
        <v>3914</v>
      </c>
      <c r="G4156" t="s">
        <v>4187</v>
      </c>
      <c r="P4156" t="s">
        <v>60</v>
      </c>
      <c r="R4156" t="s">
        <v>4116</v>
      </c>
      <c r="S4156" t="s">
        <v>1069</v>
      </c>
      <c r="V4156" t="s">
        <v>3956</v>
      </c>
      <c r="Z4156">
        <v>4</v>
      </c>
      <c r="AA4156">
        <v>4</v>
      </c>
      <c r="AC4156">
        <v>486.75</v>
      </c>
      <c r="AD4156">
        <v>23.6</v>
      </c>
      <c r="AE4156">
        <v>2633.5</v>
      </c>
      <c r="AF4156">
        <v>23.7</v>
      </c>
      <c r="AJ4156" t="s">
        <v>4218</v>
      </c>
      <c r="AK4156" t="s">
        <v>4244</v>
      </c>
      <c r="AN4156">
        <v>132</v>
      </c>
      <c r="AO4156">
        <v>2</v>
      </c>
      <c r="AP4156">
        <v>113</v>
      </c>
      <c r="AQ4156">
        <v>4</v>
      </c>
      <c r="AW4156" s="28">
        <f t="shared" si="401"/>
        <v>-6.0083275543199202</v>
      </c>
      <c r="AX4156">
        <f t="shared" si="402"/>
        <v>0.86956521739130432</v>
      </c>
      <c r="AY4156" s="62">
        <f t="shared" si="403"/>
        <v>-5.2246326559303649</v>
      </c>
      <c r="AZ4156" s="68" t="str">
        <f t="shared" si="404"/>
        <v>No</v>
      </c>
      <c r="BA4156" s="68" t="str">
        <f t="shared" si="405"/>
        <v>No</v>
      </c>
      <c r="BB4156" t="s">
        <v>5112</v>
      </c>
    </row>
    <row r="4157" spans="1:55" hidden="1">
      <c r="A4157" t="s">
        <v>3914</v>
      </c>
      <c r="G4157" t="s">
        <v>4187</v>
      </c>
      <c r="P4157" t="s">
        <v>60</v>
      </c>
      <c r="R4157" t="s">
        <v>4116</v>
      </c>
      <c r="S4157" t="s">
        <v>1069</v>
      </c>
      <c r="V4157" t="s">
        <v>3956</v>
      </c>
      <c r="Z4157">
        <v>4</v>
      </c>
      <c r="AA4157">
        <v>4</v>
      </c>
      <c r="AC4157">
        <v>486.75</v>
      </c>
      <c r="AD4157">
        <v>23.6</v>
      </c>
      <c r="AE4157">
        <v>2633.5</v>
      </c>
      <c r="AF4157">
        <v>23.7</v>
      </c>
      <c r="AJ4157" t="s">
        <v>4218</v>
      </c>
      <c r="AK4157" t="s">
        <v>4244</v>
      </c>
      <c r="AN4157">
        <v>136</v>
      </c>
      <c r="AO4157">
        <v>8</v>
      </c>
      <c r="AP4157">
        <v>120</v>
      </c>
      <c r="AQ4157">
        <v>6</v>
      </c>
      <c r="AW4157" s="28">
        <f t="shared" si="401"/>
        <v>-2.2627416997969521</v>
      </c>
      <c r="AX4157">
        <f t="shared" si="402"/>
        <v>0.86956521739130432</v>
      </c>
      <c r="AY4157" s="62">
        <f t="shared" si="403"/>
        <v>-1.9676014780843061</v>
      </c>
      <c r="AZ4157" s="68" t="str">
        <f t="shared" si="404"/>
        <v>No</v>
      </c>
      <c r="BA4157" s="68" t="str">
        <f t="shared" si="405"/>
        <v>No</v>
      </c>
      <c r="BB4157" t="s">
        <v>5112</v>
      </c>
    </row>
    <row r="4158" spans="1:55" hidden="1">
      <c r="A4158" t="s">
        <v>3914</v>
      </c>
      <c r="G4158" t="s">
        <v>3927</v>
      </c>
      <c r="P4158" t="s">
        <v>60</v>
      </c>
      <c r="R4158" t="s">
        <v>3942</v>
      </c>
      <c r="S4158" t="s">
        <v>3950</v>
      </c>
      <c r="V4158" t="s">
        <v>3956</v>
      </c>
      <c r="Z4158">
        <v>2</v>
      </c>
      <c r="AA4158">
        <v>5</v>
      </c>
      <c r="AC4158">
        <v>106.8</v>
      </c>
      <c r="AD4158">
        <v>15</v>
      </c>
      <c r="AE4158">
        <v>261.2</v>
      </c>
      <c r="AF4158">
        <v>15</v>
      </c>
      <c r="AJ4158" t="s">
        <v>3938</v>
      </c>
      <c r="AK4158" t="s">
        <v>904</v>
      </c>
      <c r="AN4158">
        <v>43</v>
      </c>
      <c r="AO4158">
        <v>1.4142135623730951</v>
      </c>
      <c r="AP4158">
        <v>38.1</v>
      </c>
      <c r="AQ4158">
        <v>5.1768716422179093</v>
      </c>
      <c r="AW4158" s="28">
        <f t="shared" si="401"/>
        <v>-1.048503206651737</v>
      </c>
      <c r="AX4158">
        <f t="shared" si="402"/>
        <v>0.84210526315789469</v>
      </c>
      <c r="AY4158" s="62">
        <f t="shared" si="403"/>
        <v>-0.88295006875935744</v>
      </c>
      <c r="AZ4158" s="68" t="str">
        <f t="shared" si="404"/>
        <v>No</v>
      </c>
      <c r="BA4158" s="68" t="str">
        <f t="shared" si="405"/>
        <v>No</v>
      </c>
    </row>
    <row r="4159" spans="1:55" hidden="1">
      <c r="A4159" t="s">
        <v>3914</v>
      </c>
      <c r="G4159" t="s">
        <v>4503</v>
      </c>
      <c r="P4159" t="s">
        <v>4596</v>
      </c>
      <c r="R4159" t="s">
        <v>4357</v>
      </c>
      <c r="S4159" t="s">
        <v>1013</v>
      </c>
      <c r="V4159" t="s">
        <v>4600</v>
      </c>
      <c r="Z4159">
        <v>3</v>
      </c>
      <c r="AA4159">
        <v>3</v>
      </c>
      <c r="AC4159">
        <v>465</v>
      </c>
      <c r="AD4159" s="54">
        <v>13</v>
      </c>
      <c r="AE4159">
        <v>1047</v>
      </c>
      <c r="AF4159" s="54">
        <v>17</v>
      </c>
      <c r="AJ4159" t="s">
        <v>4925</v>
      </c>
      <c r="AK4159" t="s">
        <v>4849</v>
      </c>
      <c r="AL4159" s="59"/>
      <c r="AM4159" s="60"/>
      <c r="AN4159">
        <v>0.1701</v>
      </c>
      <c r="AO4159" s="61">
        <v>4.6412556053811727E-3</v>
      </c>
      <c r="AP4159">
        <v>0.1971</v>
      </c>
      <c r="AQ4159" s="61">
        <v>4.2376681614350285E-3</v>
      </c>
      <c r="AR4159" s="37"/>
      <c r="AS4159" s="37"/>
      <c r="AT4159" s="37"/>
      <c r="AU4159" s="37"/>
      <c r="AV4159" s="37"/>
      <c r="AW4159" s="28">
        <f t="shared" si="401"/>
        <v>6.0755450309153289</v>
      </c>
      <c r="AX4159">
        <f t="shared" si="402"/>
        <v>0.8</v>
      </c>
      <c r="AY4159" s="62">
        <f t="shared" si="403"/>
        <v>4.8604360247322633</v>
      </c>
      <c r="AZ4159" s="68" t="str">
        <f t="shared" si="404"/>
        <v>No</v>
      </c>
      <c r="BA4159" s="68" t="str">
        <f t="shared" si="405"/>
        <v>No</v>
      </c>
    </row>
    <row r="4160" spans="1:55" hidden="1">
      <c r="A4160" t="s">
        <v>3914</v>
      </c>
      <c r="G4160" t="s">
        <v>4503</v>
      </c>
      <c r="P4160" t="s">
        <v>4596</v>
      </c>
      <c r="R4160" t="s">
        <v>4357</v>
      </c>
      <c r="S4160" t="s">
        <v>1013</v>
      </c>
      <c r="V4160" t="s">
        <v>4600</v>
      </c>
      <c r="Z4160">
        <v>3</v>
      </c>
      <c r="AA4160">
        <v>3</v>
      </c>
      <c r="AC4160">
        <v>465</v>
      </c>
      <c r="AD4160" s="54">
        <v>13</v>
      </c>
      <c r="AE4160">
        <v>1047</v>
      </c>
      <c r="AF4160" s="54">
        <v>17</v>
      </c>
      <c r="AJ4160" t="s">
        <v>4923</v>
      </c>
      <c r="AK4160" t="s">
        <v>4849</v>
      </c>
      <c r="AL4160" s="59"/>
      <c r="AM4160" s="60"/>
      <c r="AN4160">
        <v>0.15479999999999999</v>
      </c>
      <c r="AO4160" s="61">
        <v>6.053811659193005E-3</v>
      </c>
      <c r="AP4160">
        <v>0.15</v>
      </c>
      <c r="AQ4160" s="61">
        <v>6.8609865470850018E-3</v>
      </c>
      <c r="AR4160" s="37"/>
      <c r="AS4160" s="37"/>
      <c r="AT4160" s="37"/>
      <c r="AU4160" s="37"/>
      <c r="AV4160" s="37"/>
      <c r="AW4160" s="28">
        <f t="shared" si="401"/>
        <v>-0.74188575000561607</v>
      </c>
      <c r="AX4160">
        <f t="shared" si="402"/>
        <v>0.8</v>
      </c>
      <c r="AY4160" s="62">
        <f t="shared" si="403"/>
        <v>-0.5935086000044929</v>
      </c>
      <c r="AZ4160" s="68" t="str">
        <f t="shared" si="404"/>
        <v>No</v>
      </c>
      <c r="BA4160" s="68" t="str">
        <f t="shared" si="405"/>
        <v>No</v>
      </c>
    </row>
    <row r="4161" spans="1:55" hidden="1">
      <c r="A4161" t="s">
        <v>3914</v>
      </c>
      <c r="G4161" t="s">
        <v>4503</v>
      </c>
      <c r="P4161" t="s">
        <v>4596</v>
      </c>
      <c r="R4161" t="s">
        <v>4357</v>
      </c>
      <c r="S4161" t="s">
        <v>1013</v>
      </c>
      <c r="V4161" t="s">
        <v>4598</v>
      </c>
      <c r="Z4161">
        <v>3</v>
      </c>
      <c r="AA4161">
        <v>3</v>
      </c>
      <c r="AC4161">
        <v>465</v>
      </c>
      <c r="AD4161" s="54">
        <v>13</v>
      </c>
      <c r="AE4161">
        <v>491</v>
      </c>
      <c r="AF4161" s="54">
        <v>17</v>
      </c>
      <c r="AJ4161" t="s">
        <v>4925</v>
      </c>
      <c r="AK4161" t="s">
        <v>4849</v>
      </c>
      <c r="AL4161" s="59"/>
      <c r="AM4161" s="60"/>
      <c r="AN4161">
        <v>0.1701</v>
      </c>
      <c r="AO4161" s="61">
        <v>4.6412556053811727E-3</v>
      </c>
      <c r="AP4161">
        <v>0.20069999999999999</v>
      </c>
      <c r="AQ4161" s="61">
        <v>6.8609865470852203E-3</v>
      </c>
      <c r="AR4161" s="37"/>
      <c r="AS4161" s="37"/>
      <c r="AT4161" s="37"/>
      <c r="AU4161" s="37"/>
      <c r="AV4161" s="37"/>
      <c r="AW4161" s="28">
        <f t="shared" si="401"/>
        <v>5.2243085780507093</v>
      </c>
      <c r="AX4161">
        <f t="shared" si="402"/>
        <v>0.8</v>
      </c>
      <c r="AY4161" s="62">
        <f t="shared" si="403"/>
        <v>4.1794468624405674</v>
      </c>
      <c r="AZ4161" s="68" t="str">
        <f t="shared" si="404"/>
        <v>No</v>
      </c>
      <c r="BA4161" s="68" t="str">
        <f t="shared" si="405"/>
        <v>No</v>
      </c>
    </row>
    <row r="4162" spans="1:55" hidden="1">
      <c r="A4162" t="s">
        <v>3914</v>
      </c>
      <c r="G4162" t="s">
        <v>4503</v>
      </c>
      <c r="P4162" t="s">
        <v>4596</v>
      </c>
      <c r="R4162" t="s">
        <v>4357</v>
      </c>
      <c r="S4162" t="s">
        <v>1013</v>
      </c>
      <c r="V4162" t="s">
        <v>4598</v>
      </c>
      <c r="Z4162">
        <v>3</v>
      </c>
      <c r="AA4162">
        <v>3</v>
      </c>
      <c r="AC4162">
        <v>465</v>
      </c>
      <c r="AD4162" s="54">
        <v>13</v>
      </c>
      <c r="AE4162">
        <v>491</v>
      </c>
      <c r="AF4162" s="54">
        <v>17</v>
      </c>
      <c r="AJ4162" t="s">
        <v>4924</v>
      </c>
      <c r="AK4162" t="s">
        <v>4849</v>
      </c>
      <c r="AL4162" s="59"/>
      <c r="AM4162" s="60"/>
      <c r="AN4162">
        <v>1.9599999999999999E-2</v>
      </c>
      <c r="AO4162" s="61">
        <v>7.0627802690587452E-3</v>
      </c>
      <c r="AP4162">
        <v>1.95E-2</v>
      </c>
      <c r="AQ4162" s="61">
        <v>6.8609865470857304E-3</v>
      </c>
      <c r="AR4162" s="37"/>
      <c r="AS4162" s="37"/>
      <c r="AT4162" s="37"/>
      <c r="AU4162" s="37"/>
      <c r="AV4162" s="37"/>
      <c r="AW4162" s="28">
        <f t="shared" si="401"/>
        <v>-1.4362420884953703E-2</v>
      </c>
      <c r="AX4162">
        <f t="shared" si="402"/>
        <v>0.8</v>
      </c>
      <c r="AY4162" s="62">
        <f t="shared" si="403"/>
        <v>-1.1489936707962963E-2</v>
      </c>
      <c r="AZ4162" s="68" t="str">
        <f t="shared" si="404"/>
        <v>No</v>
      </c>
      <c r="BA4162" s="68" t="str">
        <f t="shared" si="405"/>
        <v>No</v>
      </c>
    </row>
    <row r="4163" spans="1:55" hidden="1">
      <c r="A4163" t="s">
        <v>3914</v>
      </c>
      <c r="G4163" t="s">
        <v>4503</v>
      </c>
      <c r="P4163" t="s">
        <v>4596</v>
      </c>
      <c r="R4163" t="s">
        <v>4357</v>
      </c>
      <c r="S4163" t="s">
        <v>1013</v>
      </c>
      <c r="V4163" t="s">
        <v>4598</v>
      </c>
      <c r="Z4163">
        <v>3</v>
      </c>
      <c r="AA4163">
        <v>3</v>
      </c>
      <c r="AC4163">
        <v>465</v>
      </c>
      <c r="AD4163" s="54">
        <v>13</v>
      </c>
      <c r="AE4163">
        <v>491</v>
      </c>
      <c r="AF4163" s="54">
        <v>17</v>
      </c>
      <c r="AJ4163" t="s">
        <v>4923</v>
      </c>
      <c r="AK4163" t="s">
        <v>4849</v>
      </c>
      <c r="AL4163" s="59"/>
      <c r="AM4163" s="60"/>
      <c r="AN4163">
        <v>0.15479999999999999</v>
      </c>
      <c r="AO4163" s="61">
        <v>6.053811659193005E-3</v>
      </c>
      <c r="AP4163">
        <v>0.15540000000000001</v>
      </c>
      <c r="AQ4163" s="61">
        <v>7.0627802690587452E-3</v>
      </c>
      <c r="AR4163" s="37"/>
      <c r="AS4163" s="37"/>
      <c r="AT4163" s="37"/>
      <c r="AU4163" s="37"/>
      <c r="AV4163" s="37"/>
      <c r="AW4163" s="28">
        <f t="shared" si="401"/>
        <v>9.1217702673578704E-2</v>
      </c>
      <c r="AX4163">
        <f t="shared" si="402"/>
        <v>0.8</v>
      </c>
      <c r="AY4163" s="62">
        <f t="shared" si="403"/>
        <v>7.2974162138862972E-2</v>
      </c>
      <c r="AZ4163" s="68" t="str">
        <f t="shared" si="404"/>
        <v>No</v>
      </c>
      <c r="BA4163" s="68" t="str">
        <f t="shared" si="405"/>
        <v>No</v>
      </c>
    </row>
    <row r="4164" spans="1:55" hidden="1">
      <c r="A4164" t="s">
        <v>3914</v>
      </c>
      <c r="G4164" t="s">
        <v>4503</v>
      </c>
      <c r="P4164" t="s">
        <v>4596</v>
      </c>
      <c r="R4164" t="s">
        <v>4357</v>
      </c>
      <c r="S4164" t="s">
        <v>1013</v>
      </c>
      <c r="V4164" t="s">
        <v>4600</v>
      </c>
      <c r="Z4164">
        <v>3</v>
      </c>
      <c r="AA4164">
        <v>3</v>
      </c>
      <c r="AC4164">
        <v>465</v>
      </c>
      <c r="AD4164" s="54">
        <v>13</v>
      </c>
      <c r="AE4164">
        <v>1047</v>
      </c>
      <c r="AF4164" s="54">
        <v>17</v>
      </c>
      <c r="AJ4164" t="s">
        <v>4926</v>
      </c>
      <c r="AK4164" t="s">
        <v>4849</v>
      </c>
      <c r="AL4164" s="59"/>
      <c r="AM4164" s="60"/>
      <c r="AN4164">
        <v>1.9599999999999999E-2</v>
      </c>
      <c r="AO4164" s="61">
        <v>7.0627802690587452E-3</v>
      </c>
      <c r="AP4164">
        <v>1.84E-2</v>
      </c>
      <c r="AQ4164" s="61">
        <v>8.0717488789237568E-3</v>
      </c>
      <c r="AR4164" s="37"/>
      <c r="AS4164" s="37"/>
      <c r="AT4164" s="37"/>
      <c r="AU4164" s="37"/>
      <c r="AV4164" s="37"/>
      <c r="AW4164" s="28">
        <f t="shared" si="401"/>
        <v>-0.15822655303254596</v>
      </c>
      <c r="AX4164">
        <f t="shared" si="402"/>
        <v>0.8</v>
      </c>
      <c r="AY4164" s="62">
        <f t="shared" si="403"/>
        <v>-0.12658124242603677</v>
      </c>
      <c r="AZ4164" s="68" t="str">
        <f t="shared" si="404"/>
        <v>No</v>
      </c>
      <c r="BA4164" s="68" t="str">
        <f t="shared" si="405"/>
        <v>No</v>
      </c>
    </row>
    <row r="4165" spans="1:55" ht="15" hidden="1">
      <c r="A4165" t="s">
        <v>3914</v>
      </c>
      <c r="G4165" t="s">
        <v>4503</v>
      </c>
      <c r="P4165" t="s">
        <v>4596</v>
      </c>
      <c r="R4165" t="s">
        <v>4357</v>
      </c>
      <c r="S4165" t="s">
        <v>1013</v>
      </c>
      <c r="V4165" t="s">
        <v>4598</v>
      </c>
      <c r="Z4165">
        <v>5</v>
      </c>
      <c r="AA4165">
        <v>5</v>
      </c>
      <c r="AC4165">
        <v>465</v>
      </c>
      <c r="AD4165" s="54">
        <v>13</v>
      </c>
      <c r="AE4165">
        <v>491</v>
      </c>
      <c r="AF4165" s="54">
        <v>17</v>
      </c>
      <c r="AJ4165" t="s">
        <v>108</v>
      </c>
      <c r="AK4165" t="s">
        <v>904</v>
      </c>
      <c r="AL4165" s="59"/>
      <c r="AM4165" s="60"/>
      <c r="AN4165">
        <v>30.5</v>
      </c>
      <c r="AO4165" s="61">
        <v>2.7976190476190244</v>
      </c>
      <c r="AP4165">
        <v>29.4</v>
      </c>
      <c r="AQ4165" s="61">
        <v>2.8869047619047263</v>
      </c>
      <c r="AR4165" s="37"/>
      <c r="AS4165" s="37"/>
      <c r="AT4165" s="37"/>
      <c r="AU4165" s="37"/>
      <c r="AV4165" s="37"/>
      <c r="AW4165" s="28">
        <f t="shared" si="401"/>
        <v>-0.38696797652181503</v>
      </c>
      <c r="AX4165">
        <f t="shared" si="402"/>
        <v>0.90322580645161288</v>
      </c>
      <c r="AY4165" s="73">
        <f t="shared" si="403"/>
        <v>-0.34951946266486517</v>
      </c>
      <c r="AZ4165" s="74" t="str">
        <f t="shared" si="404"/>
        <v>No</v>
      </c>
      <c r="BA4165" s="74" t="str">
        <f t="shared" si="405"/>
        <v>No</v>
      </c>
      <c r="BB4165" s="56"/>
      <c r="BC4165" s="56"/>
    </row>
    <row r="4166" spans="1:55" ht="15" hidden="1">
      <c r="A4166" t="s">
        <v>3914</v>
      </c>
      <c r="G4166" t="s">
        <v>4503</v>
      </c>
      <c r="P4166" t="s">
        <v>4596</v>
      </c>
      <c r="R4166" t="s">
        <v>4357</v>
      </c>
      <c r="S4166" t="s">
        <v>1013</v>
      </c>
      <c r="V4166" t="s">
        <v>4600</v>
      </c>
      <c r="Z4166">
        <v>5</v>
      </c>
      <c r="AA4166">
        <v>5</v>
      </c>
      <c r="AC4166">
        <v>465</v>
      </c>
      <c r="AD4166" s="54">
        <v>13</v>
      </c>
      <c r="AE4166">
        <v>1047</v>
      </c>
      <c r="AF4166" s="54">
        <v>17</v>
      </c>
      <c r="AJ4166" t="s">
        <v>108</v>
      </c>
      <c r="AK4166" t="s">
        <v>904</v>
      </c>
      <c r="AL4166" s="59"/>
      <c r="AM4166" s="60"/>
      <c r="AN4166">
        <v>30.5</v>
      </c>
      <c r="AO4166" s="61">
        <v>2.7976190476190244</v>
      </c>
      <c r="AP4166">
        <v>29</v>
      </c>
      <c r="AQ4166" s="61">
        <v>3.2440476190476755</v>
      </c>
      <c r="AR4166" s="37"/>
      <c r="AS4166" s="37"/>
      <c r="AT4166" s="37"/>
      <c r="AU4166" s="37"/>
      <c r="AV4166" s="37"/>
      <c r="AW4166" s="28">
        <f t="shared" si="401"/>
        <v>-0.49520167073140486</v>
      </c>
      <c r="AX4166">
        <f t="shared" si="402"/>
        <v>0.90322580645161288</v>
      </c>
      <c r="AY4166" s="73">
        <f t="shared" si="403"/>
        <v>-0.44727892840255923</v>
      </c>
      <c r="AZ4166" s="74" t="str">
        <f t="shared" si="404"/>
        <v>No</v>
      </c>
      <c r="BA4166" s="74" t="str">
        <f t="shared" si="405"/>
        <v>No</v>
      </c>
      <c r="BB4166" s="56"/>
      <c r="BC4166" s="56"/>
    </row>
    <row r="4167" spans="1:55" hidden="1">
      <c r="A4167" t="s">
        <v>3914</v>
      </c>
      <c r="G4167" t="s">
        <v>5074</v>
      </c>
      <c r="P4167" t="s">
        <v>60</v>
      </c>
      <c r="R4167" t="s">
        <v>4357</v>
      </c>
      <c r="S4167" t="s">
        <v>1013</v>
      </c>
      <c r="V4167" t="s">
        <v>3956</v>
      </c>
      <c r="Z4167">
        <v>5</v>
      </c>
      <c r="AA4167">
        <v>5</v>
      </c>
      <c r="AC4167">
        <v>475</v>
      </c>
      <c r="AD4167">
        <v>13</v>
      </c>
      <c r="AE4167">
        <v>1050</v>
      </c>
      <c r="AF4167">
        <v>13</v>
      </c>
      <c r="AJ4167" t="s">
        <v>108</v>
      </c>
      <c r="AK4167" t="s">
        <v>4502</v>
      </c>
      <c r="AN4167">
        <v>28.5</v>
      </c>
      <c r="AO4167">
        <v>8.0498447189992444</v>
      </c>
      <c r="AP4167">
        <v>30</v>
      </c>
      <c r="AQ4167">
        <v>10.285912696499032</v>
      </c>
      <c r="AW4167" s="28">
        <f t="shared" si="401"/>
        <v>0.16241148730155427</v>
      </c>
      <c r="AX4167">
        <f t="shared" si="402"/>
        <v>0.90322580645161288</v>
      </c>
      <c r="AY4167" s="62">
        <f t="shared" si="403"/>
        <v>0.14669424659495225</v>
      </c>
      <c r="AZ4167" s="68" t="str">
        <f t="shared" si="404"/>
        <v>No</v>
      </c>
      <c r="BA4167" s="68" t="str">
        <f t="shared" si="405"/>
        <v>No</v>
      </c>
    </row>
    <row r="4168" spans="1:55" ht="15" hidden="1">
      <c r="A4168" t="s">
        <v>3914</v>
      </c>
      <c r="G4168" t="s">
        <v>4554</v>
      </c>
      <c r="P4168" t="s">
        <v>60</v>
      </c>
      <c r="R4168" t="s">
        <v>4509</v>
      </c>
      <c r="S4168" t="s">
        <v>1145</v>
      </c>
      <c r="V4168" t="s">
        <v>3956</v>
      </c>
      <c r="Z4168">
        <v>8</v>
      </c>
      <c r="AA4168">
        <v>8</v>
      </c>
      <c r="AC4168">
        <v>596</v>
      </c>
      <c r="AD4168">
        <v>12</v>
      </c>
      <c r="AE4168">
        <v>1599</v>
      </c>
      <c r="AF4168">
        <v>12</v>
      </c>
      <c r="AJ4168" t="s">
        <v>4561</v>
      </c>
      <c r="AK4168" t="s">
        <v>4502</v>
      </c>
      <c r="AN4168">
        <v>2.0249999999999999</v>
      </c>
      <c r="AO4168">
        <v>0.68546065523185729</v>
      </c>
      <c r="AP4168">
        <v>2.2000000000000002</v>
      </c>
      <c r="AQ4168">
        <v>0.57723002545840629</v>
      </c>
      <c r="AW4168" s="28">
        <f t="shared" si="401"/>
        <v>0.27617320100436715</v>
      </c>
      <c r="AX4168">
        <f t="shared" si="402"/>
        <v>0.94545454545454544</v>
      </c>
      <c r="AY4168" s="73">
        <f t="shared" si="403"/>
        <v>0.26110920822231076</v>
      </c>
      <c r="AZ4168" s="74" t="str">
        <f t="shared" si="404"/>
        <v>No</v>
      </c>
      <c r="BA4168" s="74" t="str">
        <f t="shared" si="405"/>
        <v>No</v>
      </c>
      <c r="BB4168" s="56"/>
      <c r="BC4168" s="56"/>
    </row>
    <row r="4169" spans="1:55" ht="15" hidden="1">
      <c r="A4169" t="s">
        <v>3914</v>
      </c>
      <c r="G4169" t="s">
        <v>5098</v>
      </c>
      <c r="P4169" t="s">
        <v>60</v>
      </c>
      <c r="R4169" t="s">
        <v>4509</v>
      </c>
      <c r="S4169" t="s">
        <v>1145</v>
      </c>
      <c r="V4169" t="s">
        <v>3956</v>
      </c>
      <c r="Z4169">
        <v>9</v>
      </c>
      <c r="AA4169">
        <v>7</v>
      </c>
      <c r="AC4169">
        <v>596</v>
      </c>
      <c r="AD4169">
        <v>12</v>
      </c>
      <c r="AE4169">
        <v>1599</v>
      </c>
      <c r="AF4169">
        <v>12</v>
      </c>
      <c r="AJ4169" t="s">
        <v>1796</v>
      </c>
      <c r="AK4169" t="s">
        <v>4502</v>
      </c>
      <c r="AN4169">
        <v>29</v>
      </c>
      <c r="AO4169">
        <v>3.0612244897959182</v>
      </c>
      <c r="AP4169">
        <v>27</v>
      </c>
      <c r="AQ4169">
        <v>0.67493655894504867</v>
      </c>
      <c r="AW4169" s="28">
        <f t="shared" si="401"/>
        <v>-0.84894179868495057</v>
      </c>
      <c r="AX4169">
        <f t="shared" si="402"/>
        <v>0.94545454545454544</v>
      </c>
      <c r="AY4169" s="73">
        <f t="shared" si="403"/>
        <v>-0.80263588239304418</v>
      </c>
      <c r="AZ4169" s="74" t="str">
        <f t="shared" si="404"/>
        <v>No</v>
      </c>
      <c r="BA4169" s="74" t="str">
        <f t="shared" si="405"/>
        <v>No</v>
      </c>
      <c r="BB4169" s="56"/>
      <c r="BC4169" s="56"/>
    </row>
    <row r="4170" spans="1:55" ht="15" hidden="1">
      <c r="A4170" t="s">
        <v>3914</v>
      </c>
      <c r="G4170" t="s">
        <v>5042</v>
      </c>
      <c r="P4170" t="s">
        <v>60</v>
      </c>
      <c r="R4170" t="s">
        <v>4357</v>
      </c>
      <c r="S4170" t="s">
        <v>1747</v>
      </c>
      <c r="V4170" t="s">
        <v>3956</v>
      </c>
      <c r="Z4170">
        <v>30</v>
      </c>
      <c r="AA4170">
        <v>30</v>
      </c>
      <c r="AC4170">
        <v>371.7</v>
      </c>
      <c r="AD4170">
        <v>15.6</v>
      </c>
      <c r="AE4170">
        <v>1057</v>
      </c>
      <c r="AF4170">
        <v>15.6</v>
      </c>
      <c r="AJ4170" t="s">
        <v>4216</v>
      </c>
      <c r="AK4170" t="s">
        <v>4244</v>
      </c>
      <c r="AN4170">
        <v>370</v>
      </c>
      <c r="AO4170">
        <v>15</v>
      </c>
      <c r="AP4170">
        <v>340</v>
      </c>
      <c r="AQ4170">
        <v>12.75</v>
      </c>
      <c r="AW4170" s="28">
        <f t="shared" si="401"/>
        <v>-2.1550898337614615</v>
      </c>
      <c r="AX4170">
        <f t="shared" si="402"/>
        <v>0.98701298701298701</v>
      </c>
      <c r="AY4170" s="73">
        <f t="shared" si="403"/>
        <v>-2.1271016541022219</v>
      </c>
      <c r="AZ4170" s="74" t="str">
        <f t="shared" si="404"/>
        <v>No</v>
      </c>
      <c r="BA4170" s="74" t="str">
        <f t="shared" si="405"/>
        <v>No</v>
      </c>
      <c r="BB4170" s="56"/>
      <c r="BC4170" s="56"/>
    </row>
    <row r="4171" spans="1:55" ht="15" hidden="1">
      <c r="A4171" t="s">
        <v>3914</v>
      </c>
      <c r="G4171" t="s">
        <v>4406</v>
      </c>
      <c r="P4171" t="s">
        <v>60</v>
      </c>
      <c r="R4171" t="s">
        <v>4357</v>
      </c>
      <c r="S4171" t="s">
        <v>1747</v>
      </c>
      <c r="V4171" t="s">
        <v>3956</v>
      </c>
      <c r="Z4171">
        <v>30</v>
      </c>
      <c r="AA4171">
        <v>30</v>
      </c>
      <c r="AC4171">
        <v>371.7</v>
      </c>
      <c r="AD4171">
        <v>15.6</v>
      </c>
      <c r="AE4171">
        <v>1469.2</v>
      </c>
      <c r="AF4171">
        <v>15.6</v>
      </c>
      <c r="AJ4171" t="s">
        <v>4216</v>
      </c>
      <c r="AK4171" t="s">
        <v>4244</v>
      </c>
      <c r="AN4171">
        <v>370</v>
      </c>
      <c r="AO4171">
        <v>15</v>
      </c>
      <c r="AP4171">
        <v>325</v>
      </c>
      <c r="AQ4171">
        <v>15</v>
      </c>
      <c r="AW4171" s="28">
        <f t="shared" si="401"/>
        <v>-3</v>
      </c>
      <c r="AX4171">
        <f t="shared" si="402"/>
        <v>0.98701298701298701</v>
      </c>
      <c r="AY4171" s="73">
        <f t="shared" si="403"/>
        <v>-2.9610389610389611</v>
      </c>
      <c r="AZ4171" s="74" t="str">
        <f t="shared" si="404"/>
        <v>No</v>
      </c>
      <c r="BA4171" s="74" t="str">
        <f t="shared" si="405"/>
        <v>No</v>
      </c>
      <c r="BB4171" s="56"/>
      <c r="BC4171" s="56"/>
    </row>
    <row r="4172" spans="1:55" ht="15" hidden="1">
      <c r="A4172" t="s">
        <v>3914</v>
      </c>
      <c r="G4172" s="50" t="s">
        <v>4409</v>
      </c>
      <c r="P4172" t="s">
        <v>60</v>
      </c>
      <c r="R4172" t="s">
        <v>4357</v>
      </c>
      <c r="S4172" s="50" t="s">
        <v>948</v>
      </c>
      <c r="V4172" t="s">
        <v>3956</v>
      </c>
      <c r="Z4172" s="50">
        <v>30</v>
      </c>
      <c r="AA4172" s="50">
        <v>30</v>
      </c>
      <c r="AC4172">
        <v>408.6</v>
      </c>
      <c r="AD4172">
        <v>-0.3</v>
      </c>
      <c r="AE4172">
        <v>730.2</v>
      </c>
      <c r="AF4172">
        <v>-0.4</v>
      </c>
      <c r="AJ4172" s="50" t="s">
        <v>4451</v>
      </c>
      <c r="AK4172" t="s">
        <v>4244</v>
      </c>
      <c r="AN4172">
        <v>400</v>
      </c>
      <c r="AO4172">
        <v>60</v>
      </c>
      <c r="AP4172">
        <v>315</v>
      </c>
      <c r="AQ4172">
        <v>52.5</v>
      </c>
      <c r="AW4172" s="28">
        <f t="shared" si="401"/>
        <v>-1.5077642385388759</v>
      </c>
      <c r="AX4172">
        <f t="shared" si="402"/>
        <v>0.98701298701298701</v>
      </c>
      <c r="AY4172" s="73">
        <f t="shared" si="403"/>
        <v>-1.4881828847916176</v>
      </c>
      <c r="AZ4172" s="74" t="str">
        <f t="shared" si="404"/>
        <v>No</v>
      </c>
      <c r="BA4172" s="74" t="str">
        <f t="shared" si="405"/>
        <v>No</v>
      </c>
      <c r="BB4172" s="56"/>
      <c r="BC4172" s="56"/>
    </row>
    <row r="4173" spans="1:55" ht="15" hidden="1">
      <c r="A4173" t="s">
        <v>3914</v>
      </c>
      <c r="G4173" t="s">
        <v>5047</v>
      </c>
      <c r="P4173" t="s">
        <v>60</v>
      </c>
      <c r="R4173" t="s">
        <v>4357</v>
      </c>
      <c r="S4173" t="s">
        <v>948</v>
      </c>
      <c r="V4173" t="s">
        <v>3956</v>
      </c>
      <c r="Z4173">
        <v>30</v>
      </c>
      <c r="AA4173">
        <v>30</v>
      </c>
      <c r="AC4173">
        <v>410</v>
      </c>
      <c r="AD4173">
        <v>-0.3</v>
      </c>
      <c r="AE4173">
        <v>730</v>
      </c>
      <c r="AF4173">
        <v>-0.4</v>
      </c>
      <c r="AJ4173" t="s">
        <v>4356</v>
      </c>
      <c r="AK4173" t="s">
        <v>4244</v>
      </c>
      <c r="AN4173">
        <v>600</v>
      </c>
      <c r="AO4173">
        <v>67.5</v>
      </c>
      <c r="AP4173">
        <v>560</v>
      </c>
      <c r="AQ4173">
        <v>60</v>
      </c>
      <c r="AW4173" s="28">
        <f t="shared" si="401"/>
        <v>-0.6263682341490171</v>
      </c>
      <c r="AX4173">
        <f t="shared" si="402"/>
        <v>0.98701298701298701</v>
      </c>
      <c r="AY4173" s="73">
        <f t="shared" si="403"/>
        <v>-0.61823358175747145</v>
      </c>
      <c r="AZ4173" s="74" t="str">
        <f t="shared" si="404"/>
        <v>No</v>
      </c>
      <c r="BA4173" s="74" t="str">
        <f t="shared" si="405"/>
        <v>No</v>
      </c>
      <c r="BB4173" s="56"/>
      <c r="BC4173" s="56"/>
    </row>
    <row r="4174" spans="1:55" ht="15" hidden="1">
      <c r="A4174" t="s">
        <v>3914</v>
      </c>
      <c r="G4174" t="s">
        <v>5001</v>
      </c>
      <c r="P4174" t="s">
        <v>60</v>
      </c>
      <c r="R4174" t="s">
        <v>4346</v>
      </c>
      <c r="S4174" t="s">
        <v>953</v>
      </c>
      <c r="V4174" t="s">
        <v>3956</v>
      </c>
      <c r="Z4174">
        <v>5</v>
      </c>
      <c r="AA4174">
        <v>5</v>
      </c>
      <c r="AC4174">
        <v>601</v>
      </c>
      <c r="AD4174">
        <v>20</v>
      </c>
      <c r="AE4174">
        <v>962</v>
      </c>
      <c r="AF4174">
        <v>20</v>
      </c>
      <c r="AJ4174" t="s">
        <v>4351</v>
      </c>
      <c r="AK4174" t="s">
        <v>4093</v>
      </c>
      <c r="AN4174">
        <v>90.74</v>
      </c>
      <c r="AO4174">
        <v>2.506591310924061</v>
      </c>
      <c r="AP4174">
        <v>87.8</v>
      </c>
      <c r="AQ4174">
        <v>2.9146183283579354</v>
      </c>
      <c r="AW4174" s="28">
        <f t="shared" ref="AW4174:AW4237" si="406">(AP4174-$AN4174)/SQRT(((AA4174-1)*AQ4174*AQ4174+($Z4174-1)*$AO4174*$AO4174)/(AA4174+$Z4174-2))</f>
        <v>-1.0815696627793223</v>
      </c>
      <c r="AX4174">
        <f t="shared" ref="AX4174:AX4237" si="407">1-(3/(4*(AA4174+$Z4174-2)-1))</f>
        <v>0.90322580645161288</v>
      </c>
      <c r="AY4174" s="73">
        <f t="shared" ref="AY4174:AY4237" si="408">AX4174*AW4174</f>
        <v>-0.97690163089745241</v>
      </c>
      <c r="AZ4174" s="74" t="str">
        <f t="shared" ref="AZ4174:AZ4237" si="409">IF(AY4174&gt;10,"Yes","No")</f>
        <v>No</v>
      </c>
      <c r="BA4174" s="74" t="str">
        <f t="shared" ref="BA4174:BA4237" si="410">IF(AY4174&lt;-10,"Yes","No")</f>
        <v>No</v>
      </c>
      <c r="BB4174" s="56"/>
      <c r="BC4174" s="56"/>
    </row>
    <row r="4175" spans="1:55" ht="15" hidden="1">
      <c r="A4175" t="s">
        <v>3914</v>
      </c>
      <c r="G4175" t="s">
        <v>5001</v>
      </c>
      <c r="P4175" t="s">
        <v>60</v>
      </c>
      <c r="R4175" t="s">
        <v>4346</v>
      </c>
      <c r="S4175" t="s">
        <v>953</v>
      </c>
      <c r="V4175" t="s">
        <v>3956</v>
      </c>
      <c r="Z4175">
        <v>5</v>
      </c>
      <c r="AA4175">
        <v>5</v>
      </c>
      <c r="AC4175">
        <v>601</v>
      </c>
      <c r="AD4175">
        <v>20</v>
      </c>
      <c r="AE4175">
        <v>1441</v>
      </c>
      <c r="AF4175">
        <v>20</v>
      </c>
      <c r="AJ4175" t="s">
        <v>4351</v>
      </c>
      <c r="AK4175" t="s">
        <v>4093</v>
      </c>
      <c r="AN4175">
        <v>90.74</v>
      </c>
      <c r="AO4175">
        <v>2.506591310924061</v>
      </c>
      <c r="AP4175">
        <v>84.679999999999993</v>
      </c>
      <c r="AQ4175">
        <v>3.5995833092178873</v>
      </c>
      <c r="AW4175" s="28">
        <f t="shared" si="406"/>
        <v>-1.9538224170640586</v>
      </c>
      <c r="AX4175">
        <f t="shared" si="407"/>
        <v>0.90322580645161288</v>
      </c>
      <c r="AY4175" s="73">
        <f t="shared" si="408"/>
        <v>-1.7647428283159239</v>
      </c>
      <c r="AZ4175" s="74" t="str">
        <f t="shared" si="409"/>
        <v>No</v>
      </c>
      <c r="BA4175" s="74" t="str">
        <f t="shared" si="410"/>
        <v>No</v>
      </c>
      <c r="BB4175" s="56"/>
      <c r="BC4175" s="56"/>
    </row>
    <row r="4176" spans="1:55" ht="15" hidden="1">
      <c r="A4176" t="s">
        <v>3914</v>
      </c>
      <c r="G4176" s="50" t="s">
        <v>4350</v>
      </c>
      <c r="P4176" t="s">
        <v>60</v>
      </c>
      <c r="R4176" t="s">
        <v>4346</v>
      </c>
      <c r="S4176" t="s">
        <v>953</v>
      </c>
      <c r="V4176" t="s">
        <v>3956</v>
      </c>
      <c r="Z4176">
        <v>5</v>
      </c>
      <c r="AA4176">
        <v>5</v>
      </c>
      <c r="AC4176">
        <v>601</v>
      </c>
      <c r="AD4176">
        <v>20</v>
      </c>
      <c r="AE4176">
        <v>962</v>
      </c>
      <c r="AF4176">
        <v>20</v>
      </c>
      <c r="AJ4176" t="s">
        <v>4232</v>
      </c>
      <c r="AK4176" t="s">
        <v>4244</v>
      </c>
      <c r="AN4176">
        <v>176.6</v>
      </c>
      <c r="AO4176">
        <v>3.2093613071762421</v>
      </c>
      <c r="AP4176">
        <v>179</v>
      </c>
      <c r="AQ4176">
        <v>6.5192024052026492</v>
      </c>
      <c r="AW4176" s="28">
        <f t="shared" si="406"/>
        <v>0.46709936649691491</v>
      </c>
      <c r="AX4176">
        <f t="shared" si="407"/>
        <v>0.90322580645161288</v>
      </c>
      <c r="AY4176" s="73">
        <f t="shared" si="408"/>
        <v>0.42189620199721345</v>
      </c>
      <c r="AZ4176" s="74" t="str">
        <f t="shared" si="409"/>
        <v>No</v>
      </c>
      <c r="BA4176" s="74" t="str">
        <f t="shared" si="410"/>
        <v>No</v>
      </c>
      <c r="BB4176" s="56"/>
      <c r="BC4176" s="56"/>
    </row>
    <row r="4177" spans="1:55" ht="15" hidden="1">
      <c r="A4177" t="s">
        <v>3914</v>
      </c>
      <c r="G4177" s="50" t="s">
        <v>4350</v>
      </c>
      <c r="P4177" t="s">
        <v>60</v>
      </c>
      <c r="R4177" t="s">
        <v>4346</v>
      </c>
      <c r="S4177" t="s">
        <v>953</v>
      </c>
      <c r="V4177" t="s">
        <v>3956</v>
      </c>
      <c r="Z4177">
        <v>5</v>
      </c>
      <c r="AA4177">
        <v>5</v>
      </c>
      <c r="AC4177">
        <v>601</v>
      </c>
      <c r="AD4177">
        <v>20</v>
      </c>
      <c r="AE4177">
        <v>1441</v>
      </c>
      <c r="AF4177">
        <v>20</v>
      </c>
      <c r="AJ4177" s="50" t="s">
        <v>4232</v>
      </c>
      <c r="AK4177" t="s">
        <v>4244</v>
      </c>
      <c r="AN4177">
        <v>176.6</v>
      </c>
      <c r="AO4177">
        <v>3.2093613071762421</v>
      </c>
      <c r="AP4177">
        <v>173.8</v>
      </c>
      <c r="AQ4177">
        <v>8.1975606127676777</v>
      </c>
      <c r="AW4177" s="28">
        <f t="shared" si="406"/>
        <v>-0.44980282418539669</v>
      </c>
      <c r="AX4177">
        <f t="shared" si="407"/>
        <v>0.90322580645161288</v>
      </c>
      <c r="AY4177" s="73">
        <f t="shared" si="408"/>
        <v>-0.40627351861906796</v>
      </c>
      <c r="AZ4177" s="74" t="str">
        <f t="shared" si="409"/>
        <v>No</v>
      </c>
      <c r="BA4177" s="74" t="str">
        <f t="shared" si="410"/>
        <v>No</v>
      </c>
      <c r="BB4177" s="56"/>
      <c r="BC4177" s="56"/>
    </row>
    <row r="4178" spans="1:55" hidden="1">
      <c r="A4178" t="s">
        <v>3914</v>
      </c>
      <c r="G4178" t="s">
        <v>4054</v>
      </c>
      <c r="P4178" t="s">
        <v>60</v>
      </c>
      <c r="R4178" t="s">
        <v>4035</v>
      </c>
      <c r="S4178" t="s">
        <v>4057</v>
      </c>
      <c r="V4178" t="s">
        <v>3956</v>
      </c>
      <c r="Z4178">
        <v>3</v>
      </c>
      <c r="AA4178">
        <v>3</v>
      </c>
      <c r="AC4178">
        <v>389</v>
      </c>
      <c r="AD4178">
        <v>27</v>
      </c>
      <c r="AE4178">
        <v>1214</v>
      </c>
      <c r="AF4178">
        <v>27</v>
      </c>
      <c r="AJ4178" t="s">
        <v>4059</v>
      </c>
      <c r="AK4178" t="s">
        <v>4041</v>
      </c>
      <c r="AN4178">
        <v>25</v>
      </c>
      <c r="AO4178">
        <v>6.9282032302755088</v>
      </c>
      <c r="AP4178">
        <v>14.8</v>
      </c>
      <c r="AQ4178">
        <v>2.7712812921102037</v>
      </c>
      <c r="AW4178" s="28">
        <f t="shared" si="406"/>
        <v>-1.9331500111262037</v>
      </c>
      <c r="AX4178">
        <f t="shared" si="407"/>
        <v>0.8</v>
      </c>
      <c r="AY4178" s="62">
        <f t="shared" si="408"/>
        <v>-1.546520008900963</v>
      </c>
      <c r="AZ4178" s="68" t="str">
        <f t="shared" si="409"/>
        <v>No</v>
      </c>
      <c r="BA4178" s="68" t="str">
        <f t="shared" si="410"/>
        <v>No</v>
      </c>
    </row>
    <row r="4179" spans="1:55" hidden="1">
      <c r="A4179" s="77" t="s">
        <v>3914</v>
      </c>
      <c r="G4179" s="77" t="s">
        <v>4054</v>
      </c>
      <c r="P4179" s="77" t="s">
        <v>60</v>
      </c>
      <c r="Q4179" s="77"/>
      <c r="R4179" s="77" t="s">
        <v>4035</v>
      </c>
      <c r="S4179" s="77" t="s">
        <v>4057</v>
      </c>
      <c r="T4179" s="77"/>
      <c r="U4179" s="77"/>
      <c r="V4179" s="77" t="s">
        <v>3956</v>
      </c>
      <c r="W4179" s="77"/>
      <c r="X4179" s="77"/>
      <c r="Y4179" s="77"/>
      <c r="Z4179" s="77">
        <v>3</v>
      </c>
      <c r="AA4179" s="77">
        <v>3</v>
      </c>
      <c r="AB4179" s="77"/>
      <c r="AC4179" s="77">
        <v>389</v>
      </c>
      <c r="AD4179" s="77">
        <v>27</v>
      </c>
      <c r="AE4179" s="77">
        <v>700</v>
      </c>
      <c r="AF4179" s="77">
        <v>27</v>
      </c>
      <c r="AG4179" s="77"/>
      <c r="AH4179" s="77"/>
      <c r="AI4179" s="77"/>
      <c r="AJ4179" s="77" t="s">
        <v>4059</v>
      </c>
      <c r="AK4179" s="77" t="s">
        <v>4041</v>
      </c>
      <c r="AN4179" s="77">
        <v>25</v>
      </c>
      <c r="AO4179" s="77">
        <v>6.9282032302755088</v>
      </c>
      <c r="AP4179" s="77">
        <v>17</v>
      </c>
      <c r="AQ4179" s="77">
        <v>6.9282032302755088</v>
      </c>
      <c r="AW4179" s="28">
        <f t="shared" si="406"/>
        <v>-1.1547005383792517</v>
      </c>
      <c r="AX4179">
        <f t="shared" si="407"/>
        <v>0.8</v>
      </c>
      <c r="AY4179" s="62">
        <f t="shared" si="408"/>
        <v>-0.92376043070340141</v>
      </c>
      <c r="AZ4179" s="68" t="str">
        <f t="shared" si="409"/>
        <v>No</v>
      </c>
      <c r="BA4179" s="68" t="str">
        <f t="shared" si="410"/>
        <v>No</v>
      </c>
    </row>
    <row r="4180" spans="1:55" hidden="1">
      <c r="A4180" t="s">
        <v>3914</v>
      </c>
      <c r="G4180" t="s">
        <v>4054</v>
      </c>
      <c r="P4180" t="s">
        <v>60</v>
      </c>
      <c r="R4180" t="s">
        <v>4035</v>
      </c>
      <c r="S4180" t="s">
        <v>4057</v>
      </c>
      <c r="V4180" t="s">
        <v>3956</v>
      </c>
      <c r="Z4180">
        <v>3</v>
      </c>
      <c r="AA4180">
        <v>3</v>
      </c>
      <c r="AC4180">
        <v>389</v>
      </c>
      <c r="AD4180">
        <v>27</v>
      </c>
      <c r="AE4180">
        <v>1214</v>
      </c>
      <c r="AF4180">
        <v>27</v>
      </c>
      <c r="AJ4180" t="s">
        <v>4065</v>
      </c>
      <c r="AK4180" t="s">
        <v>4066</v>
      </c>
      <c r="AN4180">
        <v>70</v>
      </c>
      <c r="AO4180">
        <v>5.196152422706632</v>
      </c>
      <c r="AP4180">
        <v>55</v>
      </c>
      <c r="AQ4180">
        <v>20.784609690826528</v>
      </c>
      <c r="AW4180" s="28">
        <f t="shared" si="406"/>
        <v>-0.9901475429766744</v>
      </c>
      <c r="AX4180">
        <f t="shared" si="407"/>
        <v>0.8</v>
      </c>
      <c r="AY4180" s="62">
        <f t="shared" si="408"/>
        <v>-0.79211803438133954</v>
      </c>
      <c r="AZ4180" s="68" t="str">
        <f t="shared" si="409"/>
        <v>No</v>
      </c>
      <c r="BA4180" s="68" t="str">
        <f t="shared" si="410"/>
        <v>No</v>
      </c>
    </row>
    <row r="4181" spans="1:55" hidden="1">
      <c r="A4181" t="s">
        <v>3914</v>
      </c>
      <c r="G4181" t="s">
        <v>4054</v>
      </c>
      <c r="P4181" t="s">
        <v>60</v>
      </c>
      <c r="R4181" t="s">
        <v>4035</v>
      </c>
      <c r="S4181" t="s">
        <v>4057</v>
      </c>
      <c r="V4181" t="s">
        <v>3956</v>
      </c>
      <c r="Z4181">
        <v>3</v>
      </c>
      <c r="AA4181">
        <v>3</v>
      </c>
      <c r="AC4181">
        <v>389</v>
      </c>
      <c r="AD4181">
        <v>27</v>
      </c>
      <c r="AE4181">
        <v>700</v>
      </c>
      <c r="AF4181">
        <v>27</v>
      </c>
      <c r="AJ4181" t="s">
        <v>4065</v>
      </c>
      <c r="AK4181" t="s">
        <v>4066</v>
      </c>
      <c r="AN4181">
        <v>70</v>
      </c>
      <c r="AO4181">
        <v>5.196152422706632</v>
      </c>
      <c r="AP4181">
        <v>49</v>
      </c>
      <c r="AQ4181">
        <v>41.569219381653056</v>
      </c>
      <c r="AW4181" s="28">
        <f t="shared" si="406"/>
        <v>-0.70891755695856662</v>
      </c>
      <c r="AX4181">
        <f t="shared" si="407"/>
        <v>0.8</v>
      </c>
      <c r="AY4181" s="62">
        <f t="shared" si="408"/>
        <v>-0.56713404556685332</v>
      </c>
      <c r="AZ4181" s="68" t="str">
        <f t="shared" si="409"/>
        <v>No</v>
      </c>
      <c r="BA4181" s="68" t="str">
        <f t="shared" si="410"/>
        <v>No</v>
      </c>
    </row>
    <row r="4182" spans="1:55" hidden="1">
      <c r="A4182" s="77" t="s">
        <v>3914</v>
      </c>
      <c r="G4182" s="77" t="s">
        <v>4582</v>
      </c>
      <c r="P4182" s="77" t="s">
        <v>60</v>
      </c>
      <c r="Q4182" s="77"/>
      <c r="R4182" s="77" t="s">
        <v>4570</v>
      </c>
      <c r="S4182" s="77" t="s">
        <v>1763</v>
      </c>
      <c r="T4182" s="77"/>
      <c r="U4182" s="77"/>
      <c r="V4182" s="77" t="s">
        <v>3956</v>
      </c>
      <c r="W4182" s="77"/>
      <c r="X4182" s="77"/>
      <c r="Y4182" s="77"/>
      <c r="Z4182" s="77">
        <v>3</v>
      </c>
      <c r="AA4182" s="77">
        <v>3</v>
      </c>
      <c r="AB4182" s="77"/>
      <c r="AC4182" s="77">
        <v>565.67999999999995</v>
      </c>
      <c r="AD4182" s="77">
        <v>20.83</v>
      </c>
      <c r="AE4182" s="77">
        <v>1350.51</v>
      </c>
      <c r="AF4182" s="77">
        <v>20.83</v>
      </c>
      <c r="AG4182" s="77"/>
      <c r="AH4182" s="77"/>
      <c r="AI4182" s="77"/>
      <c r="AJ4182" s="77" t="s">
        <v>4587</v>
      </c>
      <c r="AK4182" s="77" t="s">
        <v>4537</v>
      </c>
      <c r="AN4182" s="77">
        <v>1.64</v>
      </c>
      <c r="AO4182" s="77">
        <v>0.11</v>
      </c>
      <c r="AP4182" s="77">
        <v>1.59</v>
      </c>
      <c r="AQ4182" s="77">
        <v>0.12</v>
      </c>
      <c r="AW4182" s="28">
        <f t="shared" si="406"/>
        <v>-0.43437224276306785</v>
      </c>
      <c r="AX4182">
        <f t="shared" si="407"/>
        <v>0.8</v>
      </c>
      <c r="AY4182" s="62">
        <f t="shared" si="408"/>
        <v>-0.34749779421045429</v>
      </c>
      <c r="AZ4182" s="68" t="str">
        <f t="shared" si="409"/>
        <v>No</v>
      </c>
      <c r="BA4182" s="68" t="str">
        <f t="shared" si="410"/>
        <v>No</v>
      </c>
    </row>
    <row r="4183" spans="1:55" hidden="1">
      <c r="A4183" s="77" t="s">
        <v>3914</v>
      </c>
      <c r="G4183" s="77" t="s">
        <v>4582</v>
      </c>
      <c r="P4183" s="77" t="s">
        <v>60</v>
      </c>
      <c r="Q4183" s="77"/>
      <c r="R4183" s="77" t="s">
        <v>4570</v>
      </c>
      <c r="S4183" s="77" t="s">
        <v>1763</v>
      </c>
      <c r="T4183" s="77"/>
      <c r="U4183" s="77"/>
      <c r="V4183" s="77" t="s">
        <v>3956</v>
      </c>
      <c r="W4183" s="77"/>
      <c r="X4183" s="77"/>
      <c r="Y4183" s="77"/>
      <c r="Z4183" s="77">
        <v>3</v>
      </c>
      <c r="AA4183" s="77">
        <v>3</v>
      </c>
      <c r="AB4183" s="77"/>
      <c r="AC4183" s="77">
        <v>565.67999999999995</v>
      </c>
      <c r="AD4183" s="77">
        <v>20.83</v>
      </c>
      <c r="AE4183" s="77">
        <v>2199.56</v>
      </c>
      <c r="AF4183" s="77">
        <v>20.83</v>
      </c>
      <c r="AG4183" s="77"/>
      <c r="AH4183" s="77"/>
      <c r="AI4183" s="77"/>
      <c r="AJ4183" s="77" t="s">
        <v>4587</v>
      </c>
      <c r="AK4183" s="77" t="s">
        <v>4537</v>
      </c>
      <c r="AN4183" s="77">
        <v>1.64</v>
      </c>
      <c r="AO4183" s="77">
        <v>0.11</v>
      </c>
      <c r="AP4183" s="77">
        <v>1.56</v>
      </c>
      <c r="AQ4183" s="77">
        <v>0.12</v>
      </c>
      <c r="AW4183" s="28">
        <f t="shared" si="406"/>
        <v>-0.69499558842090969</v>
      </c>
      <c r="AX4183">
        <f t="shared" si="407"/>
        <v>0.8</v>
      </c>
      <c r="AY4183" s="62">
        <f t="shared" si="408"/>
        <v>-0.55599647073672775</v>
      </c>
      <c r="AZ4183" s="68" t="str">
        <f t="shared" si="409"/>
        <v>No</v>
      </c>
      <c r="BA4183" s="68" t="str">
        <f t="shared" si="410"/>
        <v>No</v>
      </c>
    </row>
    <row r="4184" spans="1:55" ht="15" hidden="1">
      <c r="A4184" t="s">
        <v>3914</v>
      </c>
      <c r="G4184" t="s">
        <v>4371</v>
      </c>
      <c r="P4184" t="s">
        <v>60</v>
      </c>
      <c r="R4184" t="s">
        <v>4357</v>
      </c>
      <c r="S4184" t="s">
        <v>4382</v>
      </c>
      <c r="V4184" t="s">
        <v>3956</v>
      </c>
      <c r="Z4184">
        <v>3</v>
      </c>
      <c r="AA4184">
        <v>3</v>
      </c>
      <c r="AC4184">
        <v>693.53</v>
      </c>
      <c r="AD4184">
        <v>20.6</v>
      </c>
      <c r="AE4184">
        <v>1799.24</v>
      </c>
      <c r="AF4184">
        <v>20.6</v>
      </c>
      <c r="AJ4184" t="s">
        <v>4436</v>
      </c>
      <c r="AK4184" t="s">
        <v>4244</v>
      </c>
      <c r="AN4184">
        <v>208</v>
      </c>
      <c r="AO4184">
        <v>2</v>
      </c>
      <c r="AP4184">
        <v>198</v>
      </c>
      <c r="AQ4184">
        <v>1</v>
      </c>
      <c r="AW4184" s="28">
        <f t="shared" si="406"/>
        <v>-6.3245553203367582</v>
      </c>
      <c r="AX4184">
        <f t="shared" si="407"/>
        <v>0.8</v>
      </c>
      <c r="AY4184" s="73">
        <f t="shared" si="408"/>
        <v>-5.0596442562694071</v>
      </c>
      <c r="AZ4184" s="74" t="str">
        <f t="shared" si="409"/>
        <v>No</v>
      </c>
      <c r="BA4184" s="74" t="str">
        <f t="shared" si="410"/>
        <v>No</v>
      </c>
      <c r="BB4184" s="56"/>
      <c r="BC4184" s="56"/>
    </row>
    <row r="4185" spans="1:55" ht="15" hidden="1">
      <c r="A4185" t="s">
        <v>3914</v>
      </c>
      <c r="G4185" t="s">
        <v>4371</v>
      </c>
      <c r="P4185" t="s">
        <v>60</v>
      </c>
      <c r="R4185" t="s">
        <v>4357</v>
      </c>
      <c r="S4185" t="s">
        <v>4382</v>
      </c>
      <c r="V4185" t="s">
        <v>3956</v>
      </c>
      <c r="Z4185">
        <v>3</v>
      </c>
      <c r="AA4185">
        <v>3</v>
      </c>
      <c r="AC4185">
        <v>693.53</v>
      </c>
      <c r="AD4185">
        <v>20.6</v>
      </c>
      <c r="AE4185">
        <v>1442.7</v>
      </c>
      <c r="AF4185">
        <v>20.6</v>
      </c>
      <c r="AJ4185" t="s">
        <v>4468</v>
      </c>
      <c r="AK4185" t="s">
        <v>4151</v>
      </c>
      <c r="AN4185">
        <v>43.5</v>
      </c>
      <c r="AO4185">
        <v>2.5</v>
      </c>
      <c r="AP4185">
        <v>37</v>
      </c>
      <c r="AQ4185">
        <v>1.5</v>
      </c>
      <c r="AW4185" s="28">
        <f t="shared" si="406"/>
        <v>-3.1529631254723287</v>
      </c>
      <c r="AX4185">
        <f t="shared" si="407"/>
        <v>0.8</v>
      </c>
      <c r="AY4185" s="73">
        <f t="shared" si="408"/>
        <v>-2.5223705003778631</v>
      </c>
      <c r="AZ4185" s="74" t="str">
        <f t="shared" si="409"/>
        <v>No</v>
      </c>
      <c r="BA4185" s="74" t="str">
        <f t="shared" si="410"/>
        <v>No</v>
      </c>
      <c r="BB4185" s="56"/>
      <c r="BC4185" s="56"/>
    </row>
    <row r="4186" spans="1:55" hidden="1">
      <c r="A4186" t="s">
        <v>3914</v>
      </c>
      <c r="G4186" t="s">
        <v>5018</v>
      </c>
      <c r="P4186" t="s">
        <v>60</v>
      </c>
      <c r="R4186" t="s">
        <v>4357</v>
      </c>
      <c r="S4186" t="s">
        <v>4382</v>
      </c>
      <c r="V4186" t="s">
        <v>3956</v>
      </c>
      <c r="Z4186">
        <v>3</v>
      </c>
      <c r="AA4186">
        <v>3</v>
      </c>
      <c r="AC4186">
        <v>693.53</v>
      </c>
      <c r="AD4186">
        <v>20.6</v>
      </c>
      <c r="AE4186">
        <v>1442.7</v>
      </c>
      <c r="AF4186">
        <v>20.6</v>
      </c>
      <c r="AJ4186" t="s">
        <v>2020</v>
      </c>
      <c r="AK4186" t="s">
        <v>4093</v>
      </c>
      <c r="AN4186">
        <v>95</v>
      </c>
      <c r="AO4186">
        <v>2.2999999999999998</v>
      </c>
      <c r="AP4186">
        <v>93.5</v>
      </c>
      <c r="AQ4186">
        <v>2</v>
      </c>
      <c r="AW4186" s="28">
        <f t="shared" si="406"/>
        <v>-0.69598262849038661</v>
      </c>
      <c r="AX4186">
        <f t="shared" si="407"/>
        <v>0.8</v>
      </c>
      <c r="AY4186" s="62">
        <f t="shared" si="408"/>
        <v>-0.55678610279230933</v>
      </c>
      <c r="AZ4186" s="68" t="str">
        <f t="shared" si="409"/>
        <v>No</v>
      </c>
      <c r="BA4186" s="68" t="str">
        <f t="shared" si="410"/>
        <v>No</v>
      </c>
    </row>
    <row r="4187" spans="1:55" ht="15" hidden="1">
      <c r="A4187" t="s">
        <v>3914</v>
      </c>
      <c r="G4187" t="s">
        <v>4371</v>
      </c>
      <c r="P4187" t="s">
        <v>60</v>
      </c>
      <c r="R4187" t="s">
        <v>4357</v>
      </c>
      <c r="S4187" t="s">
        <v>4382</v>
      </c>
      <c r="V4187" t="s">
        <v>3956</v>
      </c>
      <c r="Z4187">
        <v>3</v>
      </c>
      <c r="AA4187">
        <v>3</v>
      </c>
      <c r="AC4187">
        <v>693.53</v>
      </c>
      <c r="AD4187">
        <v>20.6</v>
      </c>
      <c r="AE4187">
        <v>1799.24</v>
      </c>
      <c r="AF4187">
        <v>20.6</v>
      </c>
      <c r="AJ4187" t="s">
        <v>2020</v>
      </c>
      <c r="AK4187" t="s">
        <v>4093</v>
      </c>
      <c r="AN4187">
        <v>95</v>
      </c>
      <c r="AO4187">
        <v>2.2999999999999998</v>
      </c>
      <c r="AP4187">
        <v>92.5</v>
      </c>
      <c r="AQ4187">
        <v>2</v>
      </c>
      <c r="AW4187" s="28">
        <f t="shared" si="406"/>
        <v>-1.1599710474839777</v>
      </c>
      <c r="AX4187">
        <f t="shared" si="407"/>
        <v>0.8</v>
      </c>
      <c r="AY4187" s="73">
        <f t="shared" si="408"/>
        <v>-0.92797683798718222</v>
      </c>
      <c r="AZ4187" s="74" t="str">
        <f t="shared" si="409"/>
        <v>No</v>
      </c>
      <c r="BA4187" s="74" t="str">
        <f t="shared" si="410"/>
        <v>No</v>
      </c>
      <c r="BB4187" s="56"/>
      <c r="BC4187" s="56"/>
    </row>
    <row r="4188" spans="1:55" ht="15" hidden="1">
      <c r="A4188" t="s">
        <v>3914</v>
      </c>
      <c r="G4188" t="s">
        <v>4371</v>
      </c>
      <c r="P4188" t="s">
        <v>60</v>
      </c>
      <c r="R4188" t="s">
        <v>4357</v>
      </c>
      <c r="S4188" t="s">
        <v>4382</v>
      </c>
      <c r="V4188" t="s">
        <v>3956</v>
      </c>
      <c r="Z4188">
        <v>3</v>
      </c>
      <c r="AA4188">
        <v>3</v>
      </c>
      <c r="AC4188">
        <v>693.53</v>
      </c>
      <c r="AD4188">
        <v>20.6</v>
      </c>
      <c r="AE4188">
        <v>1442.7</v>
      </c>
      <c r="AF4188">
        <v>20.6</v>
      </c>
      <c r="AJ4188" t="s">
        <v>4436</v>
      </c>
      <c r="AK4188" t="s">
        <v>4244</v>
      </c>
      <c r="AN4188">
        <v>208</v>
      </c>
      <c r="AO4188">
        <v>2</v>
      </c>
      <c r="AP4188">
        <v>206</v>
      </c>
      <c r="AQ4188">
        <v>3</v>
      </c>
      <c r="AW4188" s="28">
        <f t="shared" si="406"/>
        <v>-0.78446454055273618</v>
      </c>
      <c r="AX4188">
        <f t="shared" si="407"/>
        <v>0.8</v>
      </c>
      <c r="AY4188" s="73">
        <f t="shared" si="408"/>
        <v>-0.62757163244218894</v>
      </c>
      <c r="AZ4188" s="74" t="str">
        <f t="shared" si="409"/>
        <v>No</v>
      </c>
      <c r="BA4188" s="74" t="str">
        <f t="shared" si="410"/>
        <v>No</v>
      </c>
      <c r="BB4188" s="56"/>
      <c r="BC4188" s="56"/>
    </row>
    <row r="4189" spans="1:55" ht="15" hidden="1">
      <c r="A4189" t="s">
        <v>3914</v>
      </c>
      <c r="G4189" t="s">
        <v>4371</v>
      </c>
      <c r="P4189" t="s">
        <v>60</v>
      </c>
      <c r="R4189" t="s">
        <v>4357</v>
      </c>
      <c r="S4189" t="s">
        <v>4382</v>
      </c>
      <c r="V4189" t="s">
        <v>3956</v>
      </c>
      <c r="Z4189">
        <v>3</v>
      </c>
      <c r="AA4189">
        <v>3</v>
      </c>
      <c r="AC4189">
        <v>693.53</v>
      </c>
      <c r="AD4189">
        <v>20.6</v>
      </c>
      <c r="AE4189">
        <v>1799.24</v>
      </c>
      <c r="AF4189">
        <v>20.6</v>
      </c>
      <c r="AJ4189" t="s">
        <v>4389</v>
      </c>
      <c r="AK4189" t="s">
        <v>4093</v>
      </c>
      <c r="AN4189">
        <v>92.5</v>
      </c>
      <c r="AO4189">
        <v>4.5</v>
      </c>
      <c r="AP4189">
        <v>61.5</v>
      </c>
      <c r="AQ4189">
        <v>3.5</v>
      </c>
      <c r="AW4189" s="28">
        <f t="shared" si="406"/>
        <v>-7.6901535445309248</v>
      </c>
      <c r="AX4189">
        <f t="shared" si="407"/>
        <v>0.8</v>
      </c>
      <c r="AY4189" s="73">
        <f t="shared" si="408"/>
        <v>-6.1521228356247404</v>
      </c>
      <c r="AZ4189" s="74" t="str">
        <f t="shared" si="409"/>
        <v>No</v>
      </c>
      <c r="BA4189" s="74" t="str">
        <f t="shared" si="410"/>
        <v>No</v>
      </c>
      <c r="BB4189" s="56"/>
      <c r="BC4189" s="56"/>
    </row>
    <row r="4190" spans="1:55" ht="15" hidden="1">
      <c r="A4190" t="s">
        <v>3914</v>
      </c>
      <c r="G4190" t="s">
        <v>4371</v>
      </c>
      <c r="P4190" t="s">
        <v>60</v>
      </c>
      <c r="R4190" t="s">
        <v>4357</v>
      </c>
      <c r="S4190" t="s">
        <v>4382</v>
      </c>
      <c r="V4190" t="s">
        <v>3956</v>
      </c>
      <c r="Z4190">
        <v>3</v>
      </c>
      <c r="AA4190">
        <v>3</v>
      </c>
      <c r="AC4190">
        <v>693.53</v>
      </c>
      <c r="AD4190">
        <v>20.6</v>
      </c>
      <c r="AE4190">
        <v>1799.24</v>
      </c>
      <c r="AF4190">
        <v>20.6</v>
      </c>
      <c r="AJ4190" t="s">
        <v>4468</v>
      </c>
      <c r="AK4190" t="s">
        <v>4151</v>
      </c>
      <c r="AN4190">
        <v>43.5</v>
      </c>
      <c r="AO4190">
        <v>2.5</v>
      </c>
      <c r="AP4190">
        <v>19</v>
      </c>
      <c r="AQ4190">
        <v>4</v>
      </c>
      <c r="AW4190" s="28">
        <f t="shared" si="406"/>
        <v>-7.3454105521594419</v>
      </c>
      <c r="AX4190">
        <f t="shared" si="407"/>
        <v>0.8</v>
      </c>
      <c r="AY4190" s="73">
        <f t="shared" si="408"/>
        <v>-5.8763284417275541</v>
      </c>
      <c r="AZ4190" s="74" t="str">
        <f t="shared" si="409"/>
        <v>No</v>
      </c>
      <c r="BA4190" s="74" t="str">
        <f t="shared" si="410"/>
        <v>No</v>
      </c>
      <c r="BB4190" s="56"/>
      <c r="BC4190" s="56"/>
    </row>
    <row r="4191" spans="1:55" ht="15" hidden="1">
      <c r="A4191" t="s">
        <v>3914</v>
      </c>
      <c r="G4191" t="s">
        <v>4371</v>
      </c>
      <c r="P4191" t="s">
        <v>60</v>
      </c>
      <c r="R4191" t="s">
        <v>4357</v>
      </c>
      <c r="S4191" t="s">
        <v>4382</v>
      </c>
      <c r="V4191" t="s">
        <v>3956</v>
      </c>
      <c r="Z4191">
        <v>3</v>
      </c>
      <c r="AA4191">
        <v>3</v>
      </c>
      <c r="AC4191">
        <v>693.53</v>
      </c>
      <c r="AD4191">
        <v>20.6</v>
      </c>
      <c r="AE4191">
        <v>1799.24</v>
      </c>
      <c r="AF4191">
        <v>20.6</v>
      </c>
      <c r="AJ4191" t="s">
        <v>4065</v>
      </c>
      <c r="AK4191" t="s">
        <v>4491</v>
      </c>
      <c r="AN4191">
        <v>81</v>
      </c>
      <c r="AO4191">
        <v>4</v>
      </c>
      <c r="AP4191">
        <v>35</v>
      </c>
      <c r="AQ4191">
        <v>4</v>
      </c>
      <c r="AW4191" s="28">
        <f t="shared" si="406"/>
        <v>-11.5</v>
      </c>
      <c r="AX4191">
        <f t="shared" si="407"/>
        <v>0.8</v>
      </c>
      <c r="AY4191" s="73">
        <f t="shared" si="408"/>
        <v>-9.2000000000000011</v>
      </c>
      <c r="AZ4191" s="74" t="str">
        <f t="shared" si="409"/>
        <v>No</v>
      </c>
      <c r="BA4191" s="74" t="str">
        <f t="shared" si="410"/>
        <v>No</v>
      </c>
      <c r="BB4191" s="56"/>
      <c r="BC4191" s="56"/>
    </row>
    <row r="4192" spans="1:55" ht="15" hidden="1">
      <c r="A4192" t="s">
        <v>3914</v>
      </c>
      <c r="G4192" t="s">
        <v>4371</v>
      </c>
      <c r="P4192" t="s">
        <v>60</v>
      </c>
      <c r="R4192" t="s">
        <v>4357</v>
      </c>
      <c r="S4192" t="s">
        <v>4382</v>
      </c>
      <c r="V4192" t="s">
        <v>3956</v>
      </c>
      <c r="Z4192">
        <v>3</v>
      </c>
      <c r="AA4192">
        <v>3</v>
      </c>
      <c r="AC4192">
        <v>693.53</v>
      </c>
      <c r="AD4192">
        <v>20.6</v>
      </c>
      <c r="AE4192">
        <v>1442.7</v>
      </c>
      <c r="AF4192">
        <v>20.6</v>
      </c>
      <c r="AJ4192" t="s">
        <v>4389</v>
      </c>
      <c r="AK4192" t="s">
        <v>4093</v>
      </c>
      <c r="AN4192">
        <v>92.5</v>
      </c>
      <c r="AO4192">
        <v>4.5</v>
      </c>
      <c r="AP4192">
        <v>80</v>
      </c>
      <c r="AQ4192">
        <v>5</v>
      </c>
      <c r="AW4192" s="28">
        <f t="shared" si="406"/>
        <v>-2.6279416561381836</v>
      </c>
      <c r="AX4192">
        <f t="shared" si="407"/>
        <v>0.8</v>
      </c>
      <c r="AY4192" s="73">
        <f t="shared" si="408"/>
        <v>-2.1023533249105468</v>
      </c>
      <c r="AZ4192" s="74" t="str">
        <f t="shared" si="409"/>
        <v>No</v>
      </c>
      <c r="BA4192" s="74" t="str">
        <f t="shared" si="410"/>
        <v>No</v>
      </c>
      <c r="BB4192" s="56"/>
      <c r="BC4192" s="56"/>
    </row>
    <row r="4193" spans="1:55" ht="15" hidden="1">
      <c r="A4193" t="s">
        <v>3914</v>
      </c>
      <c r="G4193" t="s">
        <v>4371</v>
      </c>
      <c r="P4193" t="s">
        <v>60</v>
      </c>
      <c r="R4193" t="s">
        <v>4357</v>
      </c>
      <c r="S4193" t="s">
        <v>4382</v>
      </c>
      <c r="V4193" t="s">
        <v>3956</v>
      </c>
      <c r="Z4193">
        <v>3</v>
      </c>
      <c r="AA4193">
        <v>3</v>
      </c>
      <c r="AC4193">
        <v>693.53</v>
      </c>
      <c r="AD4193">
        <v>20.6</v>
      </c>
      <c r="AE4193">
        <v>1442.7</v>
      </c>
      <c r="AF4193">
        <v>20.6</v>
      </c>
      <c r="AJ4193" t="s">
        <v>4065</v>
      </c>
      <c r="AK4193" t="s">
        <v>4491</v>
      </c>
      <c r="AN4193">
        <v>81</v>
      </c>
      <c r="AO4193">
        <v>4</v>
      </c>
      <c r="AP4193">
        <v>69</v>
      </c>
      <c r="AQ4193">
        <v>5</v>
      </c>
      <c r="AW4193" s="28">
        <f t="shared" si="406"/>
        <v>-2.6503566257963169</v>
      </c>
      <c r="AX4193">
        <f t="shared" si="407"/>
        <v>0.8</v>
      </c>
      <c r="AY4193" s="73">
        <f t="shared" si="408"/>
        <v>-2.1202853006370534</v>
      </c>
      <c r="AZ4193" s="74" t="str">
        <f t="shared" si="409"/>
        <v>No</v>
      </c>
      <c r="BA4193" s="74" t="str">
        <f t="shared" si="410"/>
        <v>No</v>
      </c>
      <c r="BB4193" s="56"/>
      <c r="BC4193" s="56"/>
    </row>
    <row r="4194" spans="1:55" ht="15" hidden="1">
      <c r="A4194" t="s">
        <v>3914</v>
      </c>
      <c r="G4194" t="s">
        <v>5020</v>
      </c>
      <c r="P4194" t="s">
        <v>60</v>
      </c>
      <c r="R4194" t="s">
        <v>4357</v>
      </c>
      <c r="S4194" t="s">
        <v>4380</v>
      </c>
      <c r="V4194" t="s">
        <v>3956</v>
      </c>
      <c r="Z4194">
        <v>3</v>
      </c>
      <c r="AA4194">
        <v>3</v>
      </c>
      <c r="AC4194">
        <v>404.5</v>
      </c>
      <c r="AD4194">
        <v>12.56</v>
      </c>
      <c r="AE4194">
        <v>871.4</v>
      </c>
      <c r="AF4194">
        <v>12.56</v>
      </c>
      <c r="AJ4194" t="s">
        <v>2020</v>
      </c>
      <c r="AK4194" t="s">
        <v>4093</v>
      </c>
      <c r="AN4194">
        <v>99</v>
      </c>
      <c r="AO4194">
        <v>1</v>
      </c>
      <c r="AP4194">
        <v>98</v>
      </c>
      <c r="AQ4194">
        <v>1</v>
      </c>
      <c r="AW4194" s="28">
        <f t="shared" si="406"/>
        <v>-1</v>
      </c>
      <c r="AX4194">
        <f t="shared" si="407"/>
        <v>0.8</v>
      </c>
      <c r="AY4194" s="73">
        <f t="shared" si="408"/>
        <v>-0.8</v>
      </c>
      <c r="AZ4194" s="74" t="str">
        <f t="shared" si="409"/>
        <v>No</v>
      </c>
      <c r="BA4194" s="74" t="str">
        <f t="shared" si="410"/>
        <v>No</v>
      </c>
      <c r="BB4194" s="56"/>
      <c r="BC4194" s="56"/>
    </row>
    <row r="4195" spans="1:55" ht="15" hidden="1">
      <c r="A4195" t="s">
        <v>3914</v>
      </c>
      <c r="G4195" t="s">
        <v>4373</v>
      </c>
      <c r="P4195" t="s">
        <v>60</v>
      </c>
      <c r="R4195" t="s">
        <v>4357</v>
      </c>
      <c r="S4195" t="s">
        <v>4380</v>
      </c>
      <c r="V4195" t="s">
        <v>3956</v>
      </c>
      <c r="Z4195">
        <v>3</v>
      </c>
      <c r="AA4195">
        <v>3</v>
      </c>
      <c r="AC4195">
        <v>404.5</v>
      </c>
      <c r="AD4195">
        <v>12.56</v>
      </c>
      <c r="AE4195">
        <v>1458</v>
      </c>
      <c r="AF4195">
        <v>12.56</v>
      </c>
      <c r="AJ4195" t="s">
        <v>2020</v>
      </c>
      <c r="AK4195" t="s">
        <v>4093</v>
      </c>
      <c r="AN4195">
        <v>99</v>
      </c>
      <c r="AO4195">
        <v>1</v>
      </c>
      <c r="AP4195">
        <v>99</v>
      </c>
      <c r="AQ4195">
        <v>1</v>
      </c>
      <c r="AW4195" s="28">
        <f t="shared" si="406"/>
        <v>0</v>
      </c>
      <c r="AX4195">
        <f t="shared" si="407"/>
        <v>0.8</v>
      </c>
      <c r="AY4195" s="73">
        <f t="shared" si="408"/>
        <v>0</v>
      </c>
      <c r="AZ4195" s="74" t="str">
        <f t="shared" si="409"/>
        <v>No</v>
      </c>
      <c r="BA4195" s="74" t="str">
        <f t="shared" si="410"/>
        <v>No</v>
      </c>
      <c r="BB4195" s="56"/>
      <c r="BC4195" s="56"/>
    </row>
    <row r="4196" spans="1:55" hidden="1">
      <c r="A4196" t="s">
        <v>3914</v>
      </c>
      <c r="G4196" s="50" t="s">
        <v>4373</v>
      </c>
      <c r="P4196" t="s">
        <v>60</v>
      </c>
      <c r="R4196" t="s">
        <v>4357</v>
      </c>
      <c r="S4196" s="50" t="s">
        <v>4380</v>
      </c>
      <c r="V4196" t="s">
        <v>3956</v>
      </c>
      <c r="Z4196">
        <v>3</v>
      </c>
      <c r="AA4196">
        <v>3</v>
      </c>
      <c r="AC4196">
        <v>404.5</v>
      </c>
      <c r="AD4196">
        <v>12.56</v>
      </c>
      <c r="AE4196">
        <v>871.4</v>
      </c>
      <c r="AF4196">
        <v>12.56</v>
      </c>
      <c r="AJ4196" s="50" t="s">
        <v>4473</v>
      </c>
      <c r="AK4196" t="s">
        <v>4151</v>
      </c>
      <c r="AN4196">
        <v>16</v>
      </c>
      <c r="AO4196">
        <v>0.5</v>
      </c>
      <c r="AP4196">
        <v>21</v>
      </c>
      <c r="AQ4196">
        <v>2</v>
      </c>
      <c r="AW4196" s="28">
        <f t="shared" si="406"/>
        <v>3.4299717028501764</v>
      </c>
      <c r="AX4196">
        <f t="shared" si="407"/>
        <v>0.8</v>
      </c>
      <c r="AY4196" s="62">
        <f t="shared" si="408"/>
        <v>2.7439773622801411</v>
      </c>
      <c r="AZ4196" s="68" t="str">
        <f t="shared" si="409"/>
        <v>No</v>
      </c>
      <c r="BA4196" s="68" t="str">
        <f t="shared" si="410"/>
        <v>No</v>
      </c>
    </row>
    <row r="4197" spans="1:55" hidden="1">
      <c r="A4197" t="s">
        <v>3914</v>
      </c>
      <c r="G4197" s="50" t="s">
        <v>4373</v>
      </c>
      <c r="P4197" t="s">
        <v>60</v>
      </c>
      <c r="R4197" t="s">
        <v>4357</v>
      </c>
      <c r="S4197" s="50" t="s">
        <v>4380</v>
      </c>
      <c r="V4197" t="s">
        <v>3956</v>
      </c>
      <c r="Z4197" s="50">
        <v>3</v>
      </c>
      <c r="AA4197" s="50">
        <v>3</v>
      </c>
      <c r="AC4197">
        <v>404.5</v>
      </c>
      <c r="AD4197">
        <v>12.56</v>
      </c>
      <c r="AE4197">
        <v>1458</v>
      </c>
      <c r="AF4197">
        <v>12.56</v>
      </c>
      <c r="AJ4197" s="50" t="s">
        <v>4473</v>
      </c>
      <c r="AK4197" t="s">
        <v>4151</v>
      </c>
      <c r="AN4197">
        <v>16</v>
      </c>
      <c r="AO4197">
        <v>0.5</v>
      </c>
      <c r="AP4197">
        <v>25</v>
      </c>
      <c r="AQ4197">
        <v>2</v>
      </c>
      <c r="AW4197" s="28">
        <f t="shared" si="406"/>
        <v>6.1739490651303175</v>
      </c>
      <c r="AX4197">
        <f t="shared" si="407"/>
        <v>0.8</v>
      </c>
      <c r="AY4197" s="62">
        <f t="shared" si="408"/>
        <v>4.939159252104254</v>
      </c>
      <c r="AZ4197" s="68" t="str">
        <f t="shared" si="409"/>
        <v>No</v>
      </c>
      <c r="BA4197" s="68" t="str">
        <f t="shared" si="410"/>
        <v>No</v>
      </c>
    </row>
    <row r="4198" spans="1:55" hidden="1">
      <c r="A4198" t="s">
        <v>3914</v>
      </c>
      <c r="G4198" t="s">
        <v>4373</v>
      </c>
      <c r="P4198" t="s">
        <v>60</v>
      </c>
      <c r="R4198" t="s">
        <v>4357</v>
      </c>
      <c r="S4198" t="s">
        <v>4380</v>
      </c>
      <c r="V4198" t="s">
        <v>3956</v>
      </c>
      <c r="Z4198">
        <v>3</v>
      </c>
      <c r="AA4198">
        <v>3</v>
      </c>
      <c r="AC4198">
        <v>404.5</v>
      </c>
      <c r="AD4198">
        <v>12.56</v>
      </c>
      <c r="AE4198">
        <v>871.4</v>
      </c>
      <c r="AF4198">
        <v>12.56</v>
      </c>
      <c r="AJ4198" t="s">
        <v>4065</v>
      </c>
      <c r="AK4198" t="s">
        <v>4491</v>
      </c>
      <c r="AN4198">
        <v>91.11</v>
      </c>
      <c r="AO4198">
        <v>1.84</v>
      </c>
      <c r="AP4198">
        <v>63.67</v>
      </c>
      <c r="AQ4198">
        <v>9.02</v>
      </c>
      <c r="AW4198" s="28">
        <f t="shared" si="406"/>
        <v>-4.2154068848647839</v>
      </c>
      <c r="AX4198">
        <f t="shared" si="407"/>
        <v>0.8</v>
      </c>
      <c r="AY4198" s="62">
        <f t="shared" si="408"/>
        <v>-3.3723255078918273</v>
      </c>
      <c r="AZ4198" s="68" t="str">
        <f t="shared" si="409"/>
        <v>No</v>
      </c>
      <c r="BA4198" s="68" t="str">
        <f t="shared" si="410"/>
        <v>No</v>
      </c>
    </row>
    <row r="4199" spans="1:55" ht="15" hidden="1">
      <c r="A4199" t="s">
        <v>3914</v>
      </c>
      <c r="G4199" t="s">
        <v>4373</v>
      </c>
      <c r="P4199" t="s">
        <v>60</v>
      </c>
      <c r="R4199" t="s">
        <v>4357</v>
      </c>
      <c r="S4199" t="s">
        <v>4380</v>
      </c>
      <c r="V4199" t="s">
        <v>3956</v>
      </c>
      <c r="Z4199">
        <v>3</v>
      </c>
      <c r="AA4199">
        <v>3</v>
      </c>
      <c r="AC4199">
        <v>404.5</v>
      </c>
      <c r="AD4199">
        <v>12.56</v>
      </c>
      <c r="AE4199">
        <v>871.4</v>
      </c>
      <c r="AF4199">
        <v>12.56</v>
      </c>
      <c r="AJ4199" t="s">
        <v>677</v>
      </c>
      <c r="AK4199" t="s">
        <v>4093</v>
      </c>
      <c r="AN4199">
        <v>94.67</v>
      </c>
      <c r="AO4199">
        <v>2.91</v>
      </c>
      <c r="AP4199">
        <v>75.33</v>
      </c>
      <c r="AQ4199">
        <v>11.33</v>
      </c>
      <c r="AW4199" s="28">
        <f t="shared" si="406"/>
        <v>-2.3381356056594718</v>
      </c>
      <c r="AX4199">
        <f t="shared" si="407"/>
        <v>0.8</v>
      </c>
      <c r="AY4199" s="73">
        <f t="shared" si="408"/>
        <v>-1.8705084845275775</v>
      </c>
      <c r="AZ4199" s="74" t="str">
        <f t="shared" si="409"/>
        <v>No</v>
      </c>
      <c r="BA4199" s="74" t="str">
        <f t="shared" si="410"/>
        <v>No</v>
      </c>
      <c r="BB4199" s="56"/>
      <c r="BC4199" s="56"/>
    </row>
    <row r="4200" spans="1:55" hidden="1">
      <c r="A4200" t="s">
        <v>3914</v>
      </c>
      <c r="G4200" t="s">
        <v>4373</v>
      </c>
      <c r="P4200" t="s">
        <v>60</v>
      </c>
      <c r="R4200" t="s">
        <v>4357</v>
      </c>
      <c r="S4200" t="s">
        <v>4380</v>
      </c>
      <c r="V4200" t="s">
        <v>3956</v>
      </c>
      <c r="Z4200">
        <v>3</v>
      </c>
      <c r="AA4200">
        <v>3</v>
      </c>
      <c r="AC4200">
        <v>404.5</v>
      </c>
      <c r="AD4200">
        <v>12.56</v>
      </c>
      <c r="AE4200">
        <v>1458</v>
      </c>
      <c r="AF4200">
        <v>12.56</v>
      </c>
      <c r="AJ4200" t="s">
        <v>4065</v>
      </c>
      <c r="AK4200" t="s">
        <v>4491</v>
      </c>
      <c r="AN4200">
        <v>91.11</v>
      </c>
      <c r="AO4200">
        <v>1.84</v>
      </c>
      <c r="AP4200">
        <v>50.33</v>
      </c>
      <c r="AQ4200">
        <v>13.58</v>
      </c>
      <c r="AW4200" s="28">
        <f t="shared" si="406"/>
        <v>-4.208352526577996</v>
      </c>
      <c r="AX4200">
        <f t="shared" si="407"/>
        <v>0.8</v>
      </c>
      <c r="AY4200" s="62">
        <f t="shared" si="408"/>
        <v>-3.3666820212623971</v>
      </c>
      <c r="AZ4200" s="68" t="str">
        <f t="shared" si="409"/>
        <v>No</v>
      </c>
      <c r="BA4200" s="68" t="str">
        <f t="shared" si="410"/>
        <v>No</v>
      </c>
    </row>
    <row r="4201" spans="1:55" hidden="1">
      <c r="A4201" t="s">
        <v>3914</v>
      </c>
      <c r="G4201" t="s">
        <v>4373</v>
      </c>
      <c r="P4201" t="s">
        <v>60</v>
      </c>
      <c r="R4201" t="s">
        <v>4357</v>
      </c>
      <c r="S4201" t="s">
        <v>4380</v>
      </c>
      <c r="V4201" t="s">
        <v>3956</v>
      </c>
      <c r="Z4201">
        <v>3</v>
      </c>
      <c r="AA4201">
        <v>3</v>
      </c>
      <c r="AC4201">
        <v>404.5</v>
      </c>
      <c r="AD4201">
        <v>12.56</v>
      </c>
      <c r="AE4201">
        <v>1458</v>
      </c>
      <c r="AF4201">
        <v>12.56</v>
      </c>
      <c r="AJ4201" t="s">
        <v>677</v>
      </c>
      <c r="AK4201" t="s">
        <v>4093</v>
      </c>
      <c r="AN4201">
        <v>94.67</v>
      </c>
      <c r="AO4201">
        <v>2.91</v>
      </c>
      <c r="AP4201">
        <v>50</v>
      </c>
      <c r="AQ4201">
        <v>15.87</v>
      </c>
      <c r="AW4201" s="28">
        <f t="shared" si="406"/>
        <v>-3.9153718290947981</v>
      </c>
      <c r="AX4201">
        <f t="shared" si="407"/>
        <v>0.8</v>
      </c>
      <c r="AY4201" s="62">
        <f t="shared" si="408"/>
        <v>-3.1322974632758385</v>
      </c>
      <c r="AZ4201" s="68" t="str">
        <f t="shared" si="409"/>
        <v>No</v>
      </c>
      <c r="BA4201" s="68" t="str">
        <f t="shared" si="410"/>
        <v>No</v>
      </c>
    </row>
    <row r="4202" spans="1:55" hidden="1">
      <c r="A4202" t="s">
        <v>3914</v>
      </c>
      <c r="G4202" t="s">
        <v>4374</v>
      </c>
      <c r="P4202" t="s">
        <v>60</v>
      </c>
      <c r="R4202" t="s">
        <v>4357</v>
      </c>
      <c r="S4202" t="s">
        <v>4383</v>
      </c>
      <c r="V4202" t="s">
        <v>3956</v>
      </c>
      <c r="Z4202">
        <v>3</v>
      </c>
      <c r="AA4202">
        <v>3</v>
      </c>
      <c r="AC4202">
        <v>453.13</v>
      </c>
      <c r="AD4202">
        <v>10.85</v>
      </c>
      <c r="AE4202">
        <v>1006.83</v>
      </c>
      <c r="AF4202">
        <v>10.85</v>
      </c>
      <c r="AJ4202" t="s">
        <v>4389</v>
      </c>
      <c r="AK4202" t="s">
        <v>4093</v>
      </c>
      <c r="AN4202">
        <v>90</v>
      </c>
      <c r="AO4202">
        <v>5</v>
      </c>
      <c r="AP4202">
        <v>81</v>
      </c>
      <c r="AQ4202">
        <v>0.5</v>
      </c>
      <c r="AW4202" s="28">
        <f t="shared" si="406"/>
        <v>-2.5329511610290507</v>
      </c>
      <c r="AX4202">
        <f t="shared" si="407"/>
        <v>0.8</v>
      </c>
      <c r="AY4202" s="62">
        <f t="shared" si="408"/>
        <v>-2.0263609288232405</v>
      </c>
      <c r="AZ4202" s="68" t="str">
        <f t="shared" si="409"/>
        <v>No</v>
      </c>
      <c r="BA4202" s="68" t="str">
        <f t="shared" si="410"/>
        <v>No</v>
      </c>
    </row>
    <row r="4203" spans="1:55" hidden="1">
      <c r="A4203" t="s">
        <v>3914</v>
      </c>
      <c r="G4203" s="50" t="s">
        <v>4374</v>
      </c>
      <c r="P4203" t="s">
        <v>60</v>
      </c>
      <c r="R4203" t="s">
        <v>4357</v>
      </c>
      <c r="S4203" s="50" t="s">
        <v>4383</v>
      </c>
      <c r="V4203" t="s">
        <v>3956</v>
      </c>
      <c r="Z4203">
        <v>3</v>
      </c>
      <c r="AA4203">
        <v>3</v>
      </c>
      <c r="AC4203">
        <v>453.13</v>
      </c>
      <c r="AD4203">
        <v>10.85</v>
      </c>
      <c r="AE4203">
        <v>1006.83</v>
      </c>
      <c r="AF4203">
        <v>10.85</v>
      </c>
      <c r="AJ4203" s="50" t="s">
        <v>4472</v>
      </c>
      <c r="AK4203" t="s">
        <v>4151</v>
      </c>
      <c r="AN4203">
        <v>7.69</v>
      </c>
      <c r="AO4203">
        <v>4.38</v>
      </c>
      <c r="AP4203">
        <v>30</v>
      </c>
      <c r="AQ4203">
        <v>1</v>
      </c>
      <c r="AW4203" s="28">
        <f t="shared" si="406"/>
        <v>7.0227409062071127</v>
      </c>
      <c r="AX4203">
        <f t="shared" si="407"/>
        <v>0.8</v>
      </c>
      <c r="AY4203" s="62">
        <f t="shared" si="408"/>
        <v>5.6181927249656907</v>
      </c>
      <c r="AZ4203" s="68" t="str">
        <f t="shared" si="409"/>
        <v>No</v>
      </c>
      <c r="BA4203" s="68" t="str">
        <f t="shared" si="410"/>
        <v>No</v>
      </c>
    </row>
    <row r="4204" spans="1:55" hidden="1">
      <c r="A4204" t="s">
        <v>3914</v>
      </c>
      <c r="G4204" s="50" t="s">
        <v>4374</v>
      </c>
      <c r="P4204" t="s">
        <v>60</v>
      </c>
      <c r="R4204" t="s">
        <v>4357</v>
      </c>
      <c r="S4204" s="50" t="s">
        <v>4383</v>
      </c>
      <c r="V4204" t="s">
        <v>3956</v>
      </c>
      <c r="Z4204" s="50">
        <v>3</v>
      </c>
      <c r="AA4204" s="50">
        <v>3</v>
      </c>
      <c r="AC4204">
        <v>453.13</v>
      </c>
      <c r="AD4204">
        <v>10.85</v>
      </c>
      <c r="AE4204">
        <v>1674.18</v>
      </c>
      <c r="AF4204">
        <v>10.85</v>
      </c>
      <c r="AJ4204" s="50" t="s">
        <v>4472</v>
      </c>
      <c r="AK4204" t="s">
        <v>4151</v>
      </c>
      <c r="AN4204">
        <v>7.69</v>
      </c>
      <c r="AO4204">
        <v>4.38</v>
      </c>
      <c r="AP4204">
        <v>36.85</v>
      </c>
      <c r="AQ4204">
        <v>1.61</v>
      </c>
      <c r="AW4204" s="28">
        <f t="shared" si="406"/>
        <v>8.8370737144326696</v>
      </c>
      <c r="AX4204">
        <f t="shared" si="407"/>
        <v>0.8</v>
      </c>
      <c r="AY4204" s="62">
        <f t="shared" si="408"/>
        <v>7.0696589715461364</v>
      </c>
      <c r="AZ4204" s="68" t="str">
        <f t="shared" si="409"/>
        <v>No</v>
      </c>
      <c r="BA4204" s="68" t="str">
        <f t="shared" si="410"/>
        <v>No</v>
      </c>
    </row>
    <row r="4205" spans="1:55" hidden="1">
      <c r="A4205" t="s">
        <v>3914</v>
      </c>
      <c r="G4205" t="s">
        <v>4374</v>
      </c>
      <c r="P4205" t="s">
        <v>60</v>
      </c>
      <c r="R4205" t="s">
        <v>4357</v>
      </c>
      <c r="S4205" t="s">
        <v>4383</v>
      </c>
      <c r="V4205" t="s">
        <v>3956</v>
      </c>
      <c r="Z4205">
        <v>3</v>
      </c>
      <c r="AA4205">
        <v>3</v>
      </c>
      <c r="AC4205">
        <v>453.13</v>
      </c>
      <c r="AD4205">
        <v>10.85</v>
      </c>
      <c r="AE4205">
        <v>1674.18</v>
      </c>
      <c r="AF4205">
        <v>10.85</v>
      </c>
      <c r="AJ4205" t="s">
        <v>4437</v>
      </c>
      <c r="AK4205" t="s">
        <v>4244</v>
      </c>
      <c r="AN4205">
        <v>111</v>
      </c>
      <c r="AO4205">
        <v>4</v>
      </c>
      <c r="AP4205">
        <v>118</v>
      </c>
      <c r="AQ4205">
        <v>2</v>
      </c>
      <c r="AW4205" s="28">
        <f t="shared" si="406"/>
        <v>2.2135943621178655</v>
      </c>
      <c r="AX4205">
        <f t="shared" si="407"/>
        <v>0.8</v>
      </c>
      <c r="AY4205" s="62">
        <f t="shared" si="408"/>
        <v>1.7708754896942924</v>
      </c>
      <c r="AZ4205" s="68" t="str">
        <f t="shared" si="409"/>
        <v>No</v>
      </c>
      <c r="BA4205" s="68" t="str">
        <f t="shared" si="410"/>
        <v>No</v>
      </c>
    </row>
    <row r="4206" spans="1:55" hidden="1">
      <c r="A4206" t="s">
        <v>3914</v>
      </c>
      <c r="G4206" s="50" t="s">
        <v>4374</v>
      </c>
      <c r="P4206" t="s">
        <v>60</v>
      </c>
      <c r="R4206" t="s">
        <v>4357</v>
      </c>
      <c r="S4206" s="50" t="s">
        <v>4383</v>
      </c>
      <c r="V4206" t="s">
        <v>3956</v>
      </c>
      <c r="Z4206">
        <v>3</v>
      </c>
      <c r="AA4206">
        <v>3</v>
      </c>
      <c r="AC4206">
        <v>453.13</v>
      </c>
      <c r="AD4206">
        <v>10.85</v>
      </c>
      <c r="AE4206">
        <v>1674.18</v>
      </c>
      <c r="AF4206">
        <v>10.85</v>
      </c>
      <c r="AJ4206" s="50" t="s">
        <v>4449</v>
      </c>
      <c r="AK4206" t="s">
        <v>4244</v>
      </c>
      <c r="AN4206">
        <v>212</v>
      </c>
      <c r="AO4206">
        <v>1</v>
      </c>
      <c r="AP4206">
        <v>215</v>
      </c>
      <c r="AQ4206">
        <v>2</v>
      </c>
      <c r="AW4206" s="28">
        <f t="shared" si="406"/>
        <v>1.8973665961010275</v>
      </c>
      <c r="AX4206">
        <f t="shared" si="407"/>
        <v>0.8</v>
      </c>
      <c r="AY4206" s="62">
        <f t="shared" si="408"/>
        <v>1.5178932768808222</v>
      </c>
      <c r="AZ4206" s="68" t="str">
        <f t="shared" si="409"/>
        <v>No</v>
      </c>
      <c r="BA4206" s="68" t="str">
        <f t="shared" si="410"/>
        <v>No</v>
      </c>
    </row>
    <row r="4207" spans="1:55" hidden="1">
      <c r="A4207" t="s">
        <v>3914</v>
      </c>
      <c r="G4207" t="s">
        <v>4374</v>
      </c>
      <c r="P4207" t="s">
        <v>60</v>
      </c>
      <c r="R4207" t="s">
        <v>4357</v>
      </c>
      <c r="S4207" t="s">
        <v>4383</v>
      </c>
      <c r="V4207" t="s">
        <v>3956</v>
      </c>
      <c r="Z4207">
        <v>3</v>
      </c>
      <c r="AA4207">
        <v>3</v>
      </c>
      <c r="AC4207">
        <v>453.13</v>
      </c>
      <c r="AD4207">
        <v>10.85</v>
      </c>
      <c r="AE4207">
        <v>1674.18</v>
      </c>
      <c r="AF4207">
        <v>10.85</v>
      </c>
      <c r="AJ4207" t="s">
        <v>4389</v>
      </c>
      <c r="AK4207" t="s">
        <v>4093</v>
      </c>
      <c r="AN4207">
        <v>90</v>
      </c>
      <c r="AO4207">
        <v>5</v>
      </c>
      <c r="AP4207">
        <v>69</v>
      </c>
      <c r="AQ4207">
        <v>4</v>
      </c>
      <c r="AW4207" s="28">
        <f t="shared" si="406"/>
        <v>-4.6381240951435547</v>
      </c>
      <c r="AX4207">
        <f t="shared" si="407"/>
        <v>0.8</v>
      </c>
      <c r="AY4207" s="62">
        <f t="shared" si="408"/>
        <v>-3.7104992761148439</v>
      </c>
      <c r="AZ4207" s="68" t="str">
        <f t="shared" si="409"/>
        <v>No</v>
      </c>
      <c r="BA4207" s="68" t="str">
        <f t="shared" si="410"/>
        <v>No</v>
      </c>
    </row>
    <row r="4208" spans="1:55" hidden="1">
      <c r="A4208" t="s">
        <v>3914</v>
      </c>
      <c r="G4208" t="s">
        <v>4374</v>
      </c>
      <c r="P4208" t="s">
        <v>60</v>
      </c>
      <c r="R4208" t="s">
        <v>4357</v>
      </c>
      <c r="S4208" t="s">
        <v>4383</v>
      </c>
      <c r="V4208" t="s">
        <v>3956</v>
      </c>
      <c r="Z4208">
        <v>3</v>
      </c>
      <c r="AA4208">
        <v>3</v>
      </c>
      <c r="AC4208">
        <v>453.13</v>
      </c>
      <c r="AD4208">
        <v>10.85</v>
      </c>
      <c r="AE4208">
        <v>1674.18</v>
      </c>
      <c r="AF4208">
        <v>10.85</v>
      </c>
      <c r="AJ4208" t="s">
        <v>4379</v>
      </c>
      <c r="AK4208" t="s">
        <v>4093</v>
      </c>
      <c r="AN4208">
        <v>88.72</v>
      </c>
      <c r="AO4208">
        <v>0.79</v>
      </c>
      <c r="AP4208">
        <v>21.7</v>
      </c>
      <c r="AQ4208">
        <v>4.5999999999999996</v>
      </c>
      <c r="AW4208" s="28">
        <f t="shared" si="406"/>
        <v>-20.307179625378403</v>
      </c>
      <c r="AX4208">
        <f t="shared" si="407"/>
        <v>0.8</v>
      </c>
      <c r="AY4208" s="62">
        <f t="shared" si="408"/>
        <v>-16.245743700302722</v>
      </c>
      <c r="AZ4208" s="68" t="str">
        <f t="shared" si="409"/>
        <v>No</v>
      </c>
      <c r="BA4208" s="68" t="str">
        <f t="shared" si="410"/>
        <v>Yes</v>
      </c>
    </row>
    <row r="4209" spans="1:53" hidden="1">
      <c r="A4209" t="s">
        <v>3914</v>
      </c>
      <c r="G4209" t="s">
        <v>4374</v>
      </c>
      <c r="P4209" t="s">
        <v>60</v>
      </c>
      <c r="R4209" t="s">
        <v>4357</v>
      </c>
      <c r="S4209" t="s">
        <v>4383</v>
      </c>
      <c r="V4209" t="s">
        <v>3956</v>
      </c>
      <c r="Z4209">
        <v>3</v>
      </c>
      <c r="AA4209">
        <v>3</v>
      </c>
      <c r="AC4209">
        <v>453.13</v>
      </c>
      <c r="AD4209">
        <v>10.85</v>
      </c>
      <c r="AE4209">
        <v>1006.83</v>
      </c>
      <c r="AF4209">
        <v>10.85</v>
      </c>
      <c r="AJ4209" t="s">
        <v>4437</v>
      </c>
      <c r="AK4209" t="s">
        <v>4244</v>
      </c>
      <c r="AN4209">
        <v>111</v>
      </c>
      <c r="AO4209">
        <v>4</v>
      </c>
      <c r="AP4209">
        <v>121</v>
      </c>
      <c r="AQ4209">
        <v>5</v>
      </c>
      <c r="AW4209" s="28">
        <f t="shared" si="406"/>
        <v>2.2086305214969308</v>
      </c>
      <c r="AX4209">
        <f t="shared" si="407"/>
        <v>0.8</v>
      </c>
      <c r="AY4209" s="62">
        <f t="shared" si="408"/>
        <v>1.7669044171975448</v>
      </c>
      <c r="AZ4209" s="68" t="str">
        <f t="shared" si="409"/>
        <v>No</v>
      </c>
      <c r="BA4209" s="68" t="str">
        <f t="shared" si="410"/>
        <v>No</v>
      </c>
    </row>
    <row r="4210" spans="1:53" hidden="1">
      <c r="A4210" t="s">
        <v>3914</v>
      </c>
      <c r="G4210" t="s">
        <v>5021</v>
      </c>
      <c r="P4210" t="s">
        <v>60</v>
      </c>
      <c r="R4210" t="s">
        <v>4357</v>
      </c>
      <c r="S4210" t="s">
        <v>4383</v>
      </c>
      <c r="V4210" t="s">
        <v>3956</v>
      </c>
      <c r="Z4210">
        <v>3</v>
      </c>
      <c r="AA4210">
        <v>3</v>
      </c>
      <c r="AC4210">
        <v>453.13</v>
      </c>
      <c r="AD4210">
        <v>10.85</v>
      </c>
      <c r="AE4210">
        <v>1006.83</v>
      </c>
      <c r="AF4210">
        <v>10.85</v>
      </c>
      <c r="AJ4210" t="s">
        <v>4379</v>
      </c>
      <c r="AK4210" t="s">
        <v>4093</v>
      </c>
      <c r="AN4210">
        <v>88.72</v>
      </c>
      <c r="AO4210">
        <v>0.79</v>
      </c>
      <c r="AP4210">
        <v>36.79</v>
      </c>
      <c r="AQ4210">
        <v>9.69</v>
      </c>
      <c r="AW4210" s="28">
        <f t="shared" si="406"/>
        <v>-7.553896055488674</v>
      </c>
      <c r="AX4210">
        <f t="shared" si="407"/>
        <v>0.8</v>
      </c>
      <c r="AY4210" s="62">
        <f t="shared" si="408"/>
        <v>-6.0431168443909398</v>
      </c>
      <c r="AZ4210" s="68" t="str">
        <f t="shared" si="409"/>
        <v>No</v>
      </c>
      <c r="BA4210" s="68" t="str">
        <f t="shared" si="410"/>
        <v>No</v>
      </c>
    </row>
    <row r="4211" spans="1:53" hidden="1">
      <c r="A4211" t="s">
        <v>3914</v>
      </c>
      <c r="G4211" s="50" t="s">
        <v>4374</v>
      </c>
      <c r="P4211" t="s">
        <v>60</v>
      </c>
      <c r="R4211" t="s">
        <v>4357</v>
      </c>
      <c r="S4211" s="50" t="s">
        <v>4383</v>
      </c>
      <c r="V4211" t="s">
        <v>3956</v>
      </c>
      <c r="Z4211" s="50">
        <v>3</v>
      </c>
      <c r="AA4211" s="50">
        <v>3</v>
      </c>
      <c r="AC4211">
        <v>453.13</v>
      </c>
      <c r="AD4211">
        <v>10.85</v>
      </c>
      <c r="AE4211">
        <v>1006.83</v>
      </c>
      <c r="AF4211">
        <v>10.85</v>
      </c>
      <c r="AJ4211" s="50" t="s">
        <v>4449</v>
      </c>
      <c r="AK4211" t="s">
        <v>4244</v>
      </c>
      <c r="AN4211">
        <v>212</v>
      </c>
      <c r="AO4211">
        <v>1</v>
      </c>
      <c r="AP4211">
        <v>207</v>
      </c>
      <c r="AQ4211">
        <v>15</v>
      </c>
      <c r="AW4211" s="28">
        <f t="shared" si="406"/>
        <v>-0.47036043419179863</v>
      </c>
      <c r="AX4211">
        <f t="shared" si="407"/>
        <v>0.8</v>
      </c>
      <c r="AY4211" s="62">
        <f t="shared" si="408"/>
        <v>-0.37628834735343891</v>
      </c>
      <c r="AZ4211" s="68" t="str">
        <f t="shared" si="409"/>
        <v>No</v>
      </c>
      <c r="BA4211" s="68" t="str">
        <f t="shared" si="410"/>
        <v>No</v>
      </c>
    </row>
    <row r="4212" spans="1:53" hidden="1">
      <c r="A4212" t="s">
        <v>3914</v>
      </c>
      <c r="G4212" t="s">
        <v>4337</v>
      </c>
      <c r="P4212" t="s">
        <v>60</v>
      </c>
      <c r="R4212" t="s">
        <v>4286</v>
      </c>
      <c r="S4212" t="s">
        <v>4338</v>
      </c>
      <c r="V4212" t="s">
        <v>3956</v>
      </c>
      <c r="Z4212">
        <v>3</v>
      </c>
      <c r="AA4212">
        <v>3</v>
      </c>
      <c r="AC4212">
        <v>366</v>
      </c>
      <c r="AD4212">
        <v>15.5</v>
      </c>
      <c r="AE4212">
        <v>865</v>
      </c>
      <c r="AF4212">
        <v>15.2</v>
      </c>
      <c r="AJ4212" t="s">
        <v>108</v>
      </c>
      <c r="AK4212" t="s">
        <v>4266</v>
      </c>
      <c r="AN4212">
        <v>2.5</v>
      </c>
      <c r="AO4212">
        <v>0.3</v>
      </c>
      <c r="AP4212">
        <v>3.6</v>
      </c>
      <c r="AQ4212">
        <v>0.35</v>
      </c>
      <c r="AW4212" s="28">
        <f t="shared" si="406"/>
        <v>3.3746459509284303</v>
      </c>
      <c r="AX4212">
        <f t="shared" si="407"/>
        <v>0.8</v>
      </c>
      <c r="AY4212" s="62">
        <f t="shared" si="408"/>
        <v>2.6997167607427444</v>
      </c>
      <c r="AZ4212" s="68" t="str">
        <f t="shared" si="409"/>
        <v>No</v>
      </c>
      <c r="BA4212" s="68" t="str">
        <f t="shared" si="410"/>
        <v>No</v>
      </c>
    </row>
    <row r="4213" spans="1:53" hidden="1">
      <c r="A4213" t="s">
        <v>3914</v>
      </c>
      <c r="G4213" t="s">
        <v>4337</v>
      </c>
      <c r="P4213" t="s">
        <v>60</v>
      </c>
      <c r="R4213" t="s">
        <v>4286</v>
      </c>
      <c r="S4213" t="s">
        <v>4339</v>
      </c>
      <c r="V4213" t="s">
        <v>3956</v>
      </c>
      <c r="Z4213">
        <v>3</v>
      </c>
      <c r="AA4213">
        <v>3</v>
      </c>
      <c r="AC4213">
        <v>366</v>
      </c>
      <c r="AD4213">
        <v>15.5</v>
      </c>
      <c r="AE4213">
        <v>865</v>
      </c>
      <c r="AF4213">
        <v>15.2</v>
      </c>
      <c r="AJ4213" t="s">
        <v>108</v>
      </c>
      <c r="AK4213" t="s">
        <v>4266</v>
      </c>
      <c r="AN4213">
        <v>3.2</v>
      </c>
      <c r="AO4213">
        <v>0.2</v>
      </c>
      <c r="AP4213">
        <v>4.3</v>
      </c>
      <c r="AQ4213">
        <v>0.5</v>
      </c>
      <c r="AW4213" s="28">
        <f t="shared" si="406"/>
        <v>2.8887415229138953</v>
      </c>
      <c r="AX4213">
        <f t="shared" si="407"/>
        <v>0.8</v>
      </c>
      <c r="AY4213" s="62">
        <f t="shared" si="408"/>
        <v>2.3109932183311162</v>
      </c>
      <c r="AZ4213" s="68" t="str">
        <f t="shared" si="409"/>
        <v>No</v>
      </c>
      <c r="BA4213" s="68" t="str">
        <f t="shared" si="410"/>
        <v>No</v>
      </c>
    </row>
    <row r="4214" spans="1:53" hidden="1">
      <c r="A4214" t="s">
        <v>3914</v>
      </c>
      <c r="G4214" t="s">
        <v>4337</v>
      </c>
      <c r="P4214" t="s">
        <v>60</v>
      </c>
      <c r="R4214" t="s">
        <v>4286</v>
      </c>
      <c r="S4214" t="s">
        <v>4338</v>
      </c>
      <c r="V4214" t="s">
        <v>3956</v>
      </c>
      <c r="Z4214">
        <v>3</v>
      </c>
      <c r="AA4214">
        <v>3</v>
      </c>
      <c r="AC4214">
        <v>366</v>
      </c>
      <c r="AD4214">
        <v>15.5</v>
      </c>
      <c r="AE4214">
        <v>1260</v>
      </c>
      <c r="AF4214">
        <v>15.5</v>
      </c>
      <c r="AJ4214" t="s">
        <v>108</v>
      </c>
      <c r="AK4214" t="s">
        <v>4266</v>
      </c>
      <c r="AN4214">
        <v>2.5</v>
      </c>
      <c r="AO4214">
        <v>0.3</v>
      </c>
      <c r="AP4214">
        <v>3.7</v>
      </c>
      <c r="AQ4214">
        <v>0.55000000000000004</v>
      </c>
      <c r="AW4214" s="28">
        <f t="shared" si="406"/>
        <v>2.7087967103188819</v>
      </c>
      <c r="AX4214">
        <f t="shared" si="407"/>
        <v>0.8</v>
      </c>
      <c r="AY4214" s="62">
        <f t="shared" si="408"/>
        <v>2.1670373682551056</v>
      </c>
      <c r="AZ4214" s="68" t="str">
        <f t="shared" si="409"/>
        <v>No</v>
      </c>
      <c r="BA4214" s="68" t="str">
        <f t="shared" si="410"/>
        <v>No</v>
      </c>
    </row>
    <row r="4215" spans="1:53" hidden="1">
      <c r="A4215" t="s">
        <v>3914</v>
      </c>
      <c r="G4215" t="s">
        <v>4337</v>
      </c>
      <c r="P4215" t="s">
        <v>60</v>
      </c>
      <c r="R4215" t="s">
        <v>4286</v>
      </c>
      <c r="S4215" t="s">
        <v>4339</v>
      </c>
      <c r="V4215" t="s">
        <v>3956</v>
      </c>
      <c r="Z4215">
        <v>3</v>
      </c>
      <c r="AA4215">
        <v>3</v>
      </c>
      <c r="AC4215">
        <v>366</v>
      </c>
      <c r="AD4215">
        <v>15.5</v>
      </c>
      <c r="AE4215">
        <v>1260</v>
      </c>
      <c r="AF4215">
        <v>15.5</v>
      </c>
      <c r="AJ4215" t="s">
        <v>108</v>
      </c>
      <c r="AK4215" t="s">
        <v>4266</v>
      </c>
      <c r="AN4215">
        <v>3.2</v>
      </c>
      <c r="AO4215">
        <v>0.2</v>
      </c>
      <c r="AP4215">
        <v>5</v>
      </c>
      <c r="AQ4215">
        <v>0.7</v>
      </c>
      <c r="AW4215" s="28">
        <f t="shared" si="406"/>
        <v>3.4966291044861508</v>
      </c>
      <c r="AX4215">
        <f t="shared" si="407"/>
        <v>0.8</v>
      </c>
      <c r="AY4215" s="62">
        <f t="shared" si="408"/>
        <v>2.7973032835889207</v>
      </c>
      <c r="AZ4215" s="68" t="str">
        <f t="shared" si="409"/>
        <v>No</v>
      </c>
      <c r="BA4215" s="68" t="str">
        <f t="shared" si="410"/>
        <v>No</v>
      </c>
    </row>
    <row r="4216" spans="1:53" hidden="1">
      <c r="A4216" t="s">
        <v>3914</v>
      </c>
      <c r="G4216" t="s">
        <v>4337</v>
      </c>
      <c r="P4216" t="s">
        <v>60</v>
      </c>
      <c r="R4216" t="s">
        <v>4286</v>
      </c>
      <c r="S4216" t="s">
        <v>4338</v>
      </c>
      <c r="V4216" t="s">
        <v>3956</v>
      </c>
      <c r="Z4216">
        <v>3</v>
      </c>
      <c r="AA4216">
        <v>3</v>
      </c>
      <c r="AC4216">
        <v>366</v>
      </c>
      <c r="AD4216">
        <v>15.5</v>
      </c>
      <c r="AE4216">
        <v>1260</v>
      </c>
      <c r="AF4216">
        <v>15.5</v>
      </c>
      <c r="AJ4216" t="s">
        <v>4065</v>
      </c>
      <c r="AK4216" t="s">
        <v>4258</v>
      </c>
      <c r="AN4216">
        <v>100</v>
      </c>
      <c r="AO4216">
        <v>0</v>
      </c>
      <c r="AP4216">
        <v>90</v>
      </c>
      <c r="AQ4216">
        <v>2</v>
      </c>
      <c r="AW4216" s="28">
        <f t="shared" si="406"/>
        <v>-7.0710678118654746</v>
      </c>
      <c r="AX4216">
        <f t="shared" si="407"/>
        <v>0.8</v>
      </c>
      <c r="AY4216" s="62">
        <f t="shared" si="408"/>
        <v>-5.6568542494923797</v>
      </c>
      <c r="AZ4216" s="68" t="str">
        <f t="shared" si="409"/>
        <v>No</v>
      </c>
      <c r="BA4216" s="68" t="str">
        <f t="shared" si="410"/>
        <v>No</v>
      </c>
    </row>
    <row r="4217" spans="1:53" hidden="1">
      <c r="A4217" t="s">
        <v>3914</v>
      </c>
      <c r="G4217" t="s">
        <v>4985</v>
      </c>
      <c r="P4217" t="s">
        <v>60</v>
      </c>
      <c r="R4217" t="s">
        <v>4286</v>
      </c>
      <c r="S4217" t="s">
        <v>4339</v>
      </c>
      <c r="V4217" t="s">
        <v>3956</v>
      </c>
      <c r="Z4217">
        <v>3</v>
      </c>
      <c r="AA4217">
        <v>3</v>
      </c>
      <c r="AC4217">
        <v>366</v>
      </c>
      <c r="AD4217">
        <v>15.5</v>
      </c>
      <c r="AE4217">
        <v>865</v>
      </c>
      <c r="AF4217">
        <v>15.2</v>
      </c>
      <c r="AJ4217" t="s">
        <v>4065</v>
      </c>
      <c r="AK4217" t="s">
        <v>4258</v>
      </c>
      <c r="AN4217">
        <v>80</v>
      </c>
      <c r="AO4217">
        <v>8</v>
      </c>
      <c r="AP4217">
        <v>77</v>
      </c>
      <c r="AQ4217">
        <v>5</v>
      </c>
      <c r="AW4217" s="28">
        <f t="shared" si="406"/>
        <v>-0.44971901339751685</v>
      </c>
      <c r="AX4217">
        <f t="shared" si="407"/>
        <v>0.8</v>
      </c>
      <c r="AY4217" s="62">
        <f t="shared" si="408"/>
        <v>-0.35977521071801349</v>
      </c>
      <c r="AZ4217" s="68" t="str">
        <f t="shared" si="409"/>
        <v>No</v>
      </c>
      <c r="BA4217" s="68" t="str">
        <f t="shared" si="410"/>
        <v>No</v>
      </c>
    </row>
    <row r="4218" spans="1:53" hidden="1">
      <c r="A4218" t="s">
        <v>3914</v>
      </c>
      <c r="G4218" t="s">
        <v>4985</v>
      </c>
      <c r="P4218" t="s">
        <v>60</v>
      </c>
      <c r="R4218" t="s">
        <v>4286</v>
      </c>
      <c r="S4218" t="s">
        <v>4338</v>
      </c>
      <c r="V4218" t="s">
        <v>3956</v>
      </c>
      <c r="Z4218">
        <v>3</v>
      </c>
      <c r="AA4218">
        <v>3</v>
      </c>
      <c r="AC4218">
        <v>366</v>
      </c>
      <c r="AD4218">
        <v>15.5</v>
      </c>
      <c r="AE4218">
        <v>865</v>
      </c>
      <c r="AF4218">
        <v>15.2</v>
      </c>
      <c r="AJ4218" t="s">
        <v>4065</v>
      </c>
      <c r="AK4218" t="s">
        <v>4258</v>
      </c>
      <c r="AN4218">
        <v>100</v>
      </c>
      <c r="AO4218">
        <v>0</v>
      </c>
      <c r="AP4218">
        <v>86</v>
      </c>
      <c r="AQ4218">
        <v>9</v>
      </c>
      <c r="AW4218" s="28">
        <f t="shared" si="406"/>
        <v>-2.1998877636914811</v>
      </c>
      <c r="AX4218">
        <f t="shared" si="407"/>
        <v>0.8</v>
      </c>
      <c r="AY4218" s="62">
        <f t="shared" si="408"/>
        <v>-1.759910210953185</v>
      </c>
      <c r="AZ4218" s="68" t="str">
        <f t="shared" si="409"/>
        <v>No</v>
      </c>
      <c r="BA4218" s="68" t="str">
        <f t="shared" si="410"/>
        <v>No</v>
      </c>
    </row>
    <row r="4219" spans="1:53" hidden="1">
      <c r="A4219" t="s">
        <v>3914</v>
      </c>
      <c r="G4219" t="s">
        <v>4337</v>
      </c>
      <c r="P4219" t="s">
        <v>60</v>
      </c>
      <c r="R4219" t="s">
        <v>4286</v>
      </c>
      <c r="S4219" t="s">
        <v>4339</v>
      </c>
      <c r="V4219" t="s">
        <v>3956</v>
      </c>
      <c r="Z4219">
        <v>3</v>
      </c>
      <c r="AA4219">
        <v>3</v>
      </c>
      <c r="AC4219">
        <v>366</v>
      </c>
      <c r="AD4219">
        <v>15.5</v>
      </c>
      <c r="AE4219">
        <v>1260</v>
      </c>
      <c r="AF4219">
        <v>15.5</v>
      </c>
      <c r="AJ4219" t="s">
        <v>4065</v>
      </c>
      <c r="AK4219" t="s">
        <v>4258</v>
      </c>
      <c r="AN4219">
        <v>80</v>
      </c>
      <c r="AO4219">
        <v>8</v>
      </c>
      <c r="AP4219">
        <v>56</v>
      </c>
      <c r="AQ4219">
        <v>11</v>
      </c>
      <c r="AW4219" s="28">
        <f t="shared" si="406"/>
        <v>-2.4954011755681744</v>
      </c>
      <c r="AX4219">
        <f t="shared" si="407"/>
        <v>0.8</v>
      </c>
      <c r="AY4219" s="62">
        <f t="shared" si="408"/>
        <v>-1.9963209404545397</v>
      </c>
      <c r="AZ4219" s="68" t="str">
        <f t="shared" si="409"/>
        <v>No</v>
      </c>
      <c r="BA4219" s="68" t="str">
        <f t="shared" si="410"/>
        <v>No</v>
      </c>
    </row>
    <row r="4220" spans="1:53" hidden="1">
      <c r="A4220" t="s">
        <v>3914</v>
      </c>
      <c r="G4220" t="s">
        <v>4204</v>
      </c>
      <c r="P4220" t="s">
        <v>60</v>
      </c>
      <c r="R4220" t="s">
        <v>4116</v>
      </c>
      <c r="S4220" t="s">
        <v>4214</v>
      </c>
      <c r="V4220" t="s">
        <v>3956</v>
      </c>
      <c r="Z4220">
        <v>3</v>
      </c>
      <c r="AA4220">
        <v>3</v>
      </c>
      <c r="AC4220" s="77">
        <v>356.7</v>
      </c>
      <c r="AD4220" s="77">
        <v>15</v>
      </c>
      <c r="AE4220" s="77">
        <v>994.7</v>
      </c>
      <c r="AF4220">
        <v>15</v>
      </c>
      <c r="AJ4220" t="s">
        <v>1202</v>
      </c>
      <c r="AK4220" t="s">
        <v>4093</v>
      </c>
      <c r="AN4220">
        <v>62.5</v>
      </c>
      <c r="AO4220">
        <v>2.2999999999999998</v>
      </c>
      <c r="AP4220">
        <v>57</v>
      </c>
      <c r="AQ4220">
        <v>2</v>
      </c>
      <c r="AW4220" s="28">
        <f t="shared" si="406"/>
        <v>-2.5519363044647507</v>
      </c>
      <c r="AX4220">
        <f t="shared" si="407"/>
        <v>0.8</v>
      </c>
      <c r="AY4220" s="62">
        <f t="shared" si="408"/>
        <v>-2.0415490435718007</v>
      </c>
      <c r="AZ4220" s="68" t="str">
        <f t="shared" si="409"/>
        <v>No</v>
      </c>
      <c r="BA4220" s="68" t="str">
        <f t="shared" si="410"/>
        <v>No</v>
      </c>
    </row>
    <row r="4221" spans="1:53" hidden="1">
      <c r="A4221" t="s">
        <v>3914</v>
      </c>
      <c r="G4221" t="s">
        <v>4204</v>
      </c>
      <c r="P4221" t="s">
        <v>60</v>
      </c>
      <c r="R4221" t="s">
        <v>4116</v>
      </c>
      <c r="S4221" t="s">
        <v>4214</v>
      </c>
      <c r="V4221" t="s">
        <v>3956</v>
      </c>
      <c r="Z4221">
        <v>3</v>
      </c>
      <c r="AA4221">
        <v>3</v>
      </c>
      <c r="AC4221" s="77">
        <v>356.7</v>
      </c>
      <c r="AD4221" s="77">
        <v>15</v>
      </c>
      <c r="AE4221" s="77">
        <v>994.7</v>
      </c>
      <c r="AF4221">
        <v>15</v>
      </c>
      <c r="AJ4221" t="s">
        <v>4254</v>
      </c>
      <c r="AK4221" t="s">
        <v>4258</v>
      </c>
      <c r="AN4221">
        <v>44</v>
      </c>
      <c r="AO4221">
        <v>2</v>
      </c>
      <c r="AP4221">
        <v>44</v>
      </c>
      <c r="AQ4221">
        <v>2</v>
      </c>
      <c r="AW4221" s="28">
        <f t="shared" si="406"/>
        <v>0</v>
      </c>
      <c r="AX4221">
        <f t="shared" si="407"/>
        <v>0.8</v>
      </c>
      <c r="AY4221" s="62">
        <f t="shared" si="408"/>
        <v>0</v>
      </c>
      <c r="AZ4221" s="68" t="str">
        <f t="shared" si="409"/>
        <v>No</v>
      </c>
      <c r="BA4221" s="68" t="str">
        <f t="shared" si="410"/>
        <v>No</v>
      </c>
    </row>
    <row r="4222" spans="1:53" hidden="1">
      <c r="A4222" s="77" t="s">
        <v>3914</v>
      </c>
      <c r="G4222" s="77" t="s">
        <v>4204</v>
      </c>
      <c r="P4222" s="77" t="s">
        <v>60</v>
      </c>
      <c r="Q4222" s="77"/>
      <c r="R4222" s="77" t="s">
        <v>4116</v>
      </c>
      <c r="S4222" s="77" t="s">
        <v>4214</v>
      </c>
      <c r="T4222" s="77"/>
      <c r="U4222" s="77"/>
      <c r="V4222" s="77" t="s">
        <v>3956</v>
      </c>
      <c r="W4222" s="77"/>
      <c r="X4222" s="77"/>
      <c r="Y4222" s="77"/>
      <c r="Z4222" s="77">
        <v>3</v>
      </c>
      <c r="AA4222" s="77">
        <v>3</v>
      </c>
      <c r="AB4222" s="77"/>
      <c r="AC4222" s="77">
        <v>356.7</v>
      </c>
      <c r="AD4222" s="77">
        <v>15</v>
      </c>
      <c r="AE4222" s="77">
        <v>994.7</v>
      </c>
      <c r="AF4222" s="77">
        <v>15</v>
      </c>
      <c r="AG4222" s="77"/>
      <c r="AH4222" s="77"/>
      <c r="AI4222" s="77"/>
      <c r="AJ4222" s="77" t="s">
        <v>4240</v>
      </c>
      <c r="AK4222" s="77" t="s">
        <v>4244</v>
      </c>
      <c r="AN4222" s="77">
        <v>215</v>
      </c>
      <c r="AO4222" s="77">
        <v>3</v>
      </c>
      <c r="AP4222" s="77">
        <v>210</v>
      </c>
      <c r="AQ4222" s="77">
        <v>8</v>
      </c>
      <c r="AW4222" s="28">
        <f t="shared" si="406"/>
        <v>-0.82760588860236795</v>
      </c>
      <c r="AX4222">
        <f t="shared" si="407"/>
        <v>0.8</v>
      </c>
      <c r="AY4222" s="62">
        <f t="shared" si="408"/>
        <v>-0.66208471088189436</v>
      </c>
      <c r="AZ4222" s="68" t="str">
        <f t="shared" si="409"/>
        <v>No</v>
      </c>
      <c r="BA4222" s="68" t="str">
        <f t="shared" si="410"/>
        <v>No</v>
      </c>
    </row>
    <row r="4223" spans="1:53" hidden="1">
      <c r="A4223" t="s">
        <v>1217</v>
      </c>
      <c r="B4223" t="str">
        <f t="shared" ref="B4223:B4254" si="411">ROW()&amp;"_Ross"</f>
        <v>4223_Ross</v>
      </c>
      <c r="C4223" t="s">
        <v>1218</v>
      </c>
      <c r="F4223" t="s">
        <v>1241</v>
      </c>
      <c r="G4223" t="s">
        <v>1210</v>
      </c>
      <c r="K4223" t="s">
        <v>72</v>
      </c>
      <c r="M4223" s="25" t="s">
        <v>36</v>
      </c>
      <c r="N4223" t="s">
        <v>36</v>
      </c>
      <c r="P4223" t="s">
        <v>60</v>
      </c>
      <c r="Q4223" t="s">
        <v>900</v>
      </c>
      <c r="R4223" t="s">
        <v>1741</v>
      </c>
      <c r="S4223" t="s">
        <v>1007</v>
      </c>
      <c r="V4223" t="s">
        <v>905</v>
      </c>
      <c r="Z4223">
        <v>1.5</v>
      </c>
      <c r="AA4223">
        <v>3</v>
      </c>
      <c r="AG4223" t="str">
        <f t="shared" ref="AG4223:AG4254" si="412">C4223 &amp; "_" &amp;
SUBSTITUTE(TRIM(S4223)," ","_") &amp; "_" &amp;
"D" &amp; TEXT(X4223,"0") &amp; "_" &amp;
"CO2" &amp; IF(AC4223&lt;&gt;"",TEXT(AC4223,"0.00"),"NA") &amp; "_" &amp;
"T" &amp; IF(AD4223&lt;&gt;"",TEXT(AD4223,"0.00"),"NA") &amp; "_" &amp;
"control_outcome" &amp; IF(AN4223&lt;&gt;"",TEXT(AN4223,"0.00"),"NA")</f>
        <v>1YES_Saccostrea_glomerata_D0_CO2NA_TNA_control_outcome97.25</v>
      </c>
      <c r="AK4223" t="s">
        <v>69</v>
      </c>
      <c r="AM4223"/>
      <c r="AN4223">
        <v>97.251461988304087</v>
      </c>
      <c r="AO4223">
        <v>1.58011652620319</v>
      </c>
      <c r="AP4223">
        <v>98.42690058479532</v>
      </c>
      <c r="AQ4223">
        <v>1.58011652620319</v>
      </c>
      <c r="AS4223">
        <f t="shared" ref="AS4223:AS4267" si="413">(LN(AP4223)-LN(AN4223))*-1</f>
        <v>-1.2014130939192569E-2</v>
      </c>
      <c r="AT4223">
        <f t="shared" ref="AT4223:AT4254" si="414">(AQ4223^2)/(AA4223*AP4223^2) + (AO4223^2)/(Z4223*AN4223^2)</f>
        <v>2.6189987511186606E-4</v>
      </c>
      <c r="AU4223" t="s">
        <v>3886</v>
      </c>
      <c r="AW4223" s="28">
        <f t="shared" si="406"/>
        <v>0.74389361607125004</v>
      </c>
      <c r="AX4223">
        <f t="shared" si="407"/>
        <v>0.66666666666666674</v>
      </c>
      <c r="AY4223" s="62">
        <f t="shared" si="408"/>
        <v>0.49592907738083342</v>
      </c>
      <c r="AZ4223" s="68" t="str">
        <f t="shared" si="409"/>
        <v>No</v>
      </c>
      <c r="BA4223" s="68" t="str">
        <f t="shared" si="410"/>
        <v>No</v>
      </c>
    </row>
    <row r="4224" spans="1:53" hidden="1">
      <c r="A4224" t="s">
        <v>1217</v>
      </c>
      <c r="B4224" t="str">
        <f t="shared" si="411"/>
        <v>4224_Ross</v>
      </c>
      <c r="C4224" t="s">
        <v>1218</v>
      </c>
      <c r="F4224" t="s">
        <v>1241</v>
      </c>
      <c r="G4224" t="s">
        <v>1210</v>
      </c>
      <c r="K4224" t="s">
        <v>72</v>
      </c>
      <c r="M4224" s="25" t="s">
        <v>36</v>
      </c>
      <c r="N4224" t="s">
        <v>36</v>
      </c>
      <c r="P4224" t="s">
        <v>60</v>
      </c>
      <c r="Q4224" t="s">
        <v>900</v>
      </c>
      <c r="R4224" t="s">
        <v>1741</v>
      </c>
      <c r="S4224" t="s">
        <v>1007</v>
      </c>
      <c r="V4224" t="s">
        <v>905</v>
      </c>
      <c r="Z4224">
        <v>1.5</v>
      </c>
      <c r="AA4224">
        <v>3</v>
      </c>
      <c r="AG4224" t="str">
        <f t="shared" si="412"/>
        <v>1YES_Saccostrea_glomerata_D0_CO2NA_TNA_control_outcome97.25</v>
      </c>
      <c r="AK4224" t="s">
        <v>69</v>
      </c>
      <c r="AM4224"/>
      <c r="AN4224">
        <v>97.251461988304087</v>
      </c>
      <c r="AO4224">
        <v>1.58011652620319</v>
      </c>
      <c r="AP4224">
        <v>99.233918128654977</v>
      </c>
      <c r="AQ4224">
        <v>1.58011652620319</v>
      </c>
      <c r="AS4224">
        <f t="shared" si="413"/>
        <v>-2.0179856785852657E-2</v>
      </c>
      <c r="AT4224">
        <f t="shared" si="414"/>
        <v>2.6050828080266617E-4</v>
      </c>
      <c r="AU4224" t="s">
        <v>3886</v>
      </c>
      <c r="AW4224" s="28">
        <f t="shared" si="406"/>
        <v>1.2546265465082309</v>
      </c>
      <c r="AX4224">
        <f t="shared" si="407"/>
        <v>0.66666666666666674</v>
      </c>
      <c r="AY4224" s="62">
        <f t="shared" si="408"/>
        <v>0.83641769767215401</v>
      </c>
      <c r="AZ4224" s="68" t="str">
        <f t="shared" si="409"/>
        <v>No</v>
      </c>
      <c r="BA4224" s="68" t="str">
        <f t="shared" si="410"/>
        <v>No</v>
      </c>
    </row>
    <row r="4225" spans="1:53" hidden="1">
      <c r="A4225" t="s">
        <v>1217</v>
      </c>
      <c r="B4225" t="str">
        <f t="shared" si="411"/>
        <v>4225_Ross</v>
      </c>
      <c r="C4225" t="s">
        <v>1219</v>
      </c>
      <c r="F4225" t="s">
        <v>1241</v>
      </c>
      <c r="G4225" t="s">
        <v>1211</v>
      </c>
      <c r="K4225" t="s">
        <v>72</v>
      </c>
      <c r="M4225" s="25" t="s">
        <v>36</v>
      </c>
      <c r="N4225" t="s">
        <v>36</v>
      </c>
      <c r="P4225" t="s">
        <v>60</v>
      </c>
      <c r="Q4225" t="s">
        <v>900</v>
      </c>
      <c r="R4225" t="s">
        <v>1741</v>
      </c>
      <c r="S4225" t="s">
        <v>1007</v>
      </c>
      <c r="V4225" t="s">
        <v>905</v>
      </c>
      <c r="Z4225">
        <v>3</v>
      </c>
      <c r="AA4225">
        <v>3</v>
      </c>
      <c r="AG4225" t="str">
        <f t="shared" si="412"/>
        <v>2YES_Saccostrea_glomerata_D0_CO2NA_TNA_control_outcome13.01</v>
      </c>
      <c r="AK4225" t="s">
        <v>69</v>
      </c>
      <c r="AM4225"/>
      <c r="AN4225">
        <v>13.013698630137</v>
      </c>
      <c r="AO4225">
        <v>14.236034034812899</v>
      </c>
      <c r="AP4225">
        <v>56.164383561643703</v>
      </c>
      <c r="AQ4225">
        <v>14.236034034812899</v>
      </c>
      <c r="AS4225">
        <f t="shared" si="413"/>
        <v>-1.4622802680978086</v>
      </c>
      <c r="AT4225">
        <f t="shared" si="414"/>
        <v>0.42030779067335111</v>
      </c>
      <c r="AU4225" t="s">
        <v>3886</v>
      </c>
      <c r="AW4225" s="28">
        <f t="shared" si="406"/>
        <v>3.0310889132454806</v>
      </c>
      <c r="AX4225">
        <f t="shared" si="407"/>
        <v>0.8</v>
      </c>
      <c r="AY4225" s="62">
        <f t="shared" si="408"/>
        <v>2.4248711305963848</v>
      </c>
      <c r="AZ4225" s="68" t="str">
        <f t="shared" si="409"/>
        <v>No</v>
      </c>
      <c r="BA4225" s="68" t="str">
        <f t="shared" si="410"/>
        <v>No</v>
      </c>
    </row>
    <row r="4226" spans="1:53" hidden="1">
      <c r="A4226" t="s">
        <v>1217</v>
      </c>
      <c r="B4226" t="str">
        <f t="shared" si="411"/>
        <v>4226_Ross</v>
      </c>
      <c r="C4226" t="s">
        <v>1219</v>
      </c>
      <c r="F4226" t="s">
        <v>1241</v>
      </c>
      <c r="G4226" t="s">
        <v>1211</v>
      </c>
      <c r="K4226" t="s">
        <v>72</v>
      </c>
      <c r="M4226" s="25" t="s">
        <v>36</v>
      </c>
      <c r="N4226" t="s">
        <v>36</v>
      </c>
      <c r="P4226" t="s">
        <v>60</v>
      </c>
      <c r="Q4226" t="s">
        <v>900</v>
      </c>
      <c r="R4226" t="s">
        <v>1741</v>
      </c>
      <c r="S4226" t="s">
        <v>1007</v>
      </c>
      <c r="V4226" t="s">
        <v>905</v>
      </c>
      <c r="Z4226">
        <v>3</v>
      </c>
      <c r="AA4226">
        <v>3</v>
      </c>
      <c r="AG4226" t="str">
        <f t="shared" si="412"/>
        <v>2YES_Saccostrea_glomerata_D0_CO2NA_TNA_control_outcome11.64</v>
      </c>
      <c r="AK4226" t="s">
        <v>69</v>
      </c>
      <c r="AM4226"/>
      <c r="AN4226">
        <v>11.643835616438295</v>
      </c>
      <c r="AO4226">
        <v>17.795042543515802</v>
      </c>
      <c r="AP4226">
        <v>24.657534246575295</v>
      </c>
      <c r="AQ4226">
        <v>17.795042543515802</v>
      </c>
      <c r="AS4226">
        <f t="shared" si="413"/>
        <v>-0.7503055943998973</v>
      </c>
      <c r="AT4226">
        <f t="shared" si="414"/>
        <v>0.9521578239138816</v>
      </c>
      <c r="AU4226" t="s">
        <v>3886</v>
      </c>
      <c r="AW4226" s="28">
        <f t="shared" si="406"/>
        <v>0.7313103409735292</v>
      </c>
      <c r="AX4226">
        <f t="shared" si="407"/>
        <v>0.8</v>
      </c>
      <c r="AY4226" s="62">
        <f t="shared" si="408"/>
        <v>0.58504827277882343</v>
      </c>
      <c r="AZ4226" s="68" t="str">
        <f t="shared" si="409"/>
        <v>No</v>
      </c>
      <c r="BA4226" s="68" t="str">
        <f t="shared" si="410"/>
        <v>No</v>
      </c>
    </row>
    <row r="4227" spans="1:53" hidden="1">
      <c r="A4227" t="s">
        <v>1217</v>
      </c>
      <c r="B4227" t="str">
        <f t="shared" si="411"/>
        <v>4227_Ross</v>
      </c>
      <c r="C4227" t="s">
        <v>1219</v>
      </c>
      <c r="F4227" t="s">
        <v>1241</v>
      </c>
      <c r="G4227" t="s">
        <v>1212</v>
      </c>
      <c r="K4227" t="s">
        <v>72</v>
      </c>
      <c r="M4227" s="25" t="s">
        <v>36</v>
      </c>
      <c r="N4227" t="s">
        <v>36</v>
      </c>
      <c r="P4227" t="s">
        <v>60</v>
      </c>
      <c r="Q4227" t="s">
        <v>900</v>
      </c>
      <c r="R4227" t="s">
        <v>1741</v>
      </c>
      <c r="S4227" t="s">
        <v>1007</v>
      </c>
      <c r="V4227" t="s">
        <v>905</v>
      </c>
      <c r="Z4227">
        <v>3</v>
      </c>
      <c r="AA4227">
        <v>3</v>
      </c>
      <c r="AG4227" t="str">
        <f t="shared" si="412"/>
        <v>2YES_Saccostrea_glomerata_D0_CO2NA_TNA_control_outcome34.71</v>
      </c>
      <c r="AK4227" t="s">
        <v>69</v>
      </c>
      <c r="AM4227"/>
      <c r="AN4227">
        <v>34.710743801652896</v>
      </c>
      <c r="AO4227">
        <v>31.4918328648887</v>
      </c>
      <c r="AP4227">
        <v>42.479338842975203</v>
      </c>
      <c r="AQ4227">
        <v>31.4918328648887</v>
      </c>
      <c r="AS4227">
        <f t="shared" si="413"/>
        <v>-0.20196855417775073</v>
      </c>
      <c r="AT4227">
        <f t="shared" si="414"/>
        <v>0.45757374043300347</v>
      </c>
      <c r="AU4227" t="s">
        <v>3886</v>
      </c>
      <c r="AW4227" s="28">
        <f t="shared" si="406"/>
        <v>0.24668602410829424</v>
      </c>
      <c r="AX4227">
        <f t="shared" si="407"/>
        <v>0.8</v>
      </c>
      <c r="AY4227" s="62">
        <f t="shared" si="408"/>
        <v>0.19734881928663539</v>
      </c>
      <c r="AZ4227" s="68" t="str">
        <f t="shared" si="409"/>
        <v>No</v>
      </c>
      <c r="BA4227" s="68" t="str">
        <f t="shared" si="410"/>
        <v>No</v>
      </c>
    </row>
    <row r="4228" spans="1:53" hidden="1">
      <c r="A4228" t="s">
        <v>1217</v>
      </c>
      <c r="B4228" t="str">
        <f t="shared" si="411"/>
        <v>4228_Ross</v>
      </c>
      <c r="C4228" t="s">
        <v>1220</v>
      </c>
      <c r="F4228" t="s">
        <v>1241</v>
      </c>
      <c r="G4228" t="s">
        <v>1213</v>
      </c>
      <c r="K4228" t="s">
        <v>72</v>
      </c>
      <c r="M4228" s="25" t="s">
        <v>36</v>
      </c>
      <c r="N4228" t="s">
        <v>36</v>
      </c>
      <c r="P4228" t="s">
        <v>60</v>
      </c>
      <c r="Q4228" t="s">
        <v>900</v>
      </c>
      <c r="R4228" t="s">
        <v>1741</v>
      </c>
      <c r="S4228" t="s">
        <v>1007</v>
      </c>
      <c r="V4228" t="s">
        <v>905</v>
      </c>
      <c r="Z4228">
        <v>3</v>
      </c>
      <c r="AA4228">
        <v>3</v>
      </c>
      <c r="AG4228" t="str">
        <f t="shared" si="412"/>
        <v>3YES_Saccostrea_glomerata_D0_CO2NA_TNA_control_outcome38.51</v>
      </c>
      <c r="AK4228" t="s">
        <v>69</v>
      </c>
      <c r="AM4228"/>
      <c r="AN4228">
        <v>38.506666666666661</v>
      </c>
      <c r="AO4228">
        <v>2.5252788624889222</v>
      </c>
      <c r="AP4228">
        <v>58.626666666666672</v>
      </c>
      <c r="AQ4228">
        <v>2.5252788624889222</v>
      </c>
      <c r="AS4228">
        <f t="shared" si="413"/>
        <v>-0.42035826916809382</v>
      </c>
      <c r="AT4228">
        <f t="shared" si="414"/>
        <v>2.0520455076677236E-3</v>
      </c>
      <c r="AU4228" t="s">
        <v>3886</v>
      </c>
      <c r="AW4228" s="28">
        <f t="shared" si="406"/>
        <v>7.967436903253402</v>
      </c>
      <c r="AX4228">
        <f t="shared" si="407"/>
        <v>0.8</v>
      </c>
      <c r="AY4228" s="62">
        <f t="shared" si="408"/>
        <v>6.3739495226027216</v>
      </c>
      <c r="AZ4228" s="68" t="str">
        <f t="shared" si="409"/>
        <v>No</v>
      </c>
      <c r="BA4228" s="68" t="str">
        <f t="shared" si="410"/>
        <v>No</v>
      </c>
    </row>
    <row r="4229" spans="1:53" hidden="1">
      <c r="A4229" t="s">
        <v>1217</v>
      </c>
      <c r="B4229" t="str">
        <f t="shared" si="411"/>
        <v>4229_Ross</v>
      </c>
      <c r="C4229" t="s">
        <v>1220</v>
      </c>
      <c r="F4229" t="s">
        <v>1241</v>
      </c>
      <c r="G4229" t="s">
        <v>1213</v>
      </c>
      <c r="K4229" t="s">
        <v>72</v>
      </c>
      <c r="M4229" s="25" t="s">
        <v>36</v>
      </c>
      <c r="N4229" t="s">
        <v>36</v>
      </c>
      <c r="P4229" t="s">
        <v>60</v>
      </c>
      <c r="Q4229" t="s">
        <v>900</v>
      </c>
      <c r="R4229" t="s">
        <v>1741</v>
      </c>
      <c r="S4229" t="s">
        <v>1007</v>
      </c>
      <c r="V4229" t="s">
        <v>905</v>
      </c>
      <c r="Z4229">
        <v>3</v>
      </c>
      <c r="AA4229">
        <v>3</v>
      </c>
      <c r="AG4229" t="str">
        <f t="shared" si="412"/>
        <v>3YES_Saccostrea_glomerata_D0_CO2NA_TNA_control_outcome39.14</v>
      </c>
      <c r="AK4229" t="s">
        <v>69</v>
      </c>
      <c r="AM4229"/>
      <c r="AN4229">
        <v>39.136666666666677</v>
      </c>
      <c r="AO4229">
        <v>2.7096555746687296</v>
      </c>
      <c r="AP4229">
        <v>57.559999999999995</v>
      </c>
      <c r="AQ4229">
        <v>2.7096555746687296</v>
      </c>
      <c r="AS4229">
        <f t="shared" si="413"/>
        <v>-0.38576808804515572</v>
      </c>
      <c r="AT4229">
        <f t="shared" si="414"/>
        <v>2.3365573068649071E-3</v>
      </c>
      <c r="AU4229" t="s">
        <v>3886</v>
      </c>
      <c r="AW4229" s="28">
        <f t="shared" si="406"/>
        <v>6.7991421144311568</v>
      </c>
      <c r="AX4229">
        <f t="shared" si="407"/>
        <v>0.8</v>
      </c>
      <c r="AY4229" s="62">
        <f t="shared" si="408"/>
        <v>5.4393136915449256</v>
      </c>
      <c r="AZ4229" s="68" t="str">
        <f t="shared" si="409"/>
        <v>No</v>
      </c>
      <c r="BA4229" s="68" t="str">
        <f t="shared" si="410"/>
        <v>No</v>
      </c>
    </row>
    <row r="4230" spans="1:53" hidden="1">
      <c r="A4230" t="s">
        <v>1217</v>
      </c>
      <c r="B4230" t="str">
        <f t="shared" si="411"/>
        <v>4230_Ross</v>
      </c>
      <c r="C4230" t="s">
        <v>1221</v>
      </c>
      <c r="F4230" t="s">
        <v>1241</v>
      </c>
      <c r="G4230" t="s">
        <v>1214</v>
      </c>
      <c r="K4230" t="s">
        <v>72</v>
      </c>
      <c r="M4230" s="25" t="s">
        <v>36</v>
      </c>
      <c r="N4230" t="s">
        <v>36</v>
      </c>
      <c r="P4230" t="s">
        <v>60</v>
      </c>
      <c r="Q4230" t="s">
        <v>900</v>
      </c>
      <c r="R4230" t="s">
        <v>1741</v>
      </c>
      <c r="S4230" t="s">
        <v>1007</v>
      </c>
      <c r="V4230" t="s">
        <v>905</v>
      </c>
      <c r="Z4230">
        <v>3</v>
      </c>
      <c r="AA4230">
        <v>3</v>
      </c>
      <c r="AG4230" t="str">
        <f t="shared" si="412"/>
        <v>4YES_Saccostrea_glomerata_D0_CO2NA_TNA_control_outcome4.84</v>
      </c>
      <c r="AK4230" t="s">
        <v>69</v>
      </c>
      <c r="AM4230"/>
      <c r="AN4230">
        <v>4.8387096774193905</v>
      </c>
      <c r="AO4230">
        <v>6.5184707811731899</v>
      </c>
      <c r="AP4230">
        <v>20.6349206349207</v>
      </c>
      <c r="AQ4230">
        <v>10.9971479845643</v>
      </c>
      <c r="AS4230">
        <f t="shared" si="413"/>
        <v>-1.4503367274469818</v>
      </c>
      <c r="AT4230">
        <f t="shared" si="414"/>
        <v>0.69961282781794565</v>
      </c>
      <c r="AU4230" t="s">
        <v>3886</v>
      </c>
      <c r="AW4230" s="28">
        <f t="shared" si="406"/>
        <v>1.7474511954670888</v>
      </c>
      <c r="AX4230">
        <f t="shared" si="407"/>
        <v>0.8</v>
      </c>
      <c r="AY4230" s="62">
        <f t="shared" si="408"/>
        <v>1.3979609563736712</v>
      </c>
      <c r="AZ4230" s="68" t="str">
        <f t="shared" si="409"/>
        <v>No</v>
      </c>
      <c r="BA4230" s="68" t="str">
        <f t="shared" si="410"/>
        <v>No</v>
      </c>
    </row>
    <row r="4231" spans="1:53" hidden="1">
      <c r="A4231" t="s">
        <v>1217</v>
      </c>
      <c r="B4231" t="str">
        <f t="shared" si="411"/>
        <v>4231_Ross</v>
      </c>
      <c r="C4231" t="s">
        <v>1221</v>
      </c>
      <c r="F4231" t="s">
        <v>1241</v>
      </c>
      <c r="G4231" t="s">
        <v>1214</v>
      </c>
      <c r="K4231" t="s">
        <v>72</v>
      </c>
      <c r="M4231" s="25" t="s">
        <v>36</v>
      </c>
      <c r="N4231" t="s">
        <v>36</v>
      </c>
      <c r="P4231" t="s">
        <v>60</v>
      </c>
      <c r="Q4231" t="s">
        <v>900</v>
      </c>
      <c r="R4231" t="s">
        <v>1741</v>
      </c>
      <c r="S4231" t="s">
        <v>1007</v>
      </c>
      <c r="V4231" t="s">
        <v>905</v>
      </c>
      <c r="Z4231">
        <v>3</v>
      </c>
      <c r="AA4231">
        <v>3</v>
      </c>
      <c r="AG4231" t="str">
        <f t="shared" si="412"/>
        <v>4YES_Saccostrea_glomerata_D0_CO2NA_TNA_control_outcome58.73</v>
      </c>
      <c r="AK4231" t="s">
        <v>69</v>
      </c>
      <c r="AM4231"/>
      <c r="AN4231">
        <v>58.730158730158799</v>
      </c>
      <c r="AO4231">
        <v>20.161437971701197</v>
      </c>
      <c r="AP4231">
        <v>47.761194029850699</v>
      </c>
      <c r="AQ4231">
        <v>12.0640354756042</v>
      </c>
      <c r="AS4231">
        <f t="shared" si="413"/>
        <v>0.20673990284393318</v>
      </c>
      <c r="AT4231">
        <f t="shared" si="414"/>
        <v>6.0549886880123513E-2</v>
      </c>
      <c r="AU4231" t="s">
        <v>3886</v>
      </c>
      <c r="AW4231" s="28">
        <f t="shared" si="406"/>
        <v>-0.66023941480655612</v>
      </c>
      <c r="AX4231">
        <f t="shared" si="407"/>
        <v>0.8</v>
      </c>
      <c r="AY4231" s="62">
        <f t="shared" si="408"/>
        <v>-0.52819153184524492</v>
      </c>
      <c r="AZ4231" s="68" t="str">
        <f t="shared" si="409"/>
        <v>No</v>
      </c>
      <c r="BA4231" s="68" t="str">
        <f t="shared" si="410"/>
        <v>No</v>
      </c>
    </row>
    <row r="4232" spans="1:53" hidden="1">
      <c r="A4232" t="s">
        <v>1217</v>
      </c>
      <c r="B4232" t="str">
        <f t="shared" si="411"/>
        <v>4232_Ross</v>
      </c>
      <c r="C4232" t="s">
        <v>1221</v>
      </c>
      <c r="F4232" t="s">
        <v>1241</v>
      </c>
      <c r="G4232" t="s">
        <v>1214</v>
      </c>
      <c r="K4232" t="s">
        <v>72</v>
      </c>
      <c r="M4232" s="25" t="s">
        <v>36</v>
      </c>
      <c r="N4232" t="s">
        <v>36</v>
      </c>
      <c r="P4232" t="s">
        <v>60</v>
      </c>
      <c r="Q4232" t="s">
        <v>900</v>
      </c>
      <c r="R4232" t="s">
        <v>1741</v>
      </c>
      <c r="S4232" t="s">
        <v>1007</v>
      </c>
      <c r="V4232" t="s">
        <v>905</v>
      </c>
      <c r="Z4232">
        <v>3</v>
      </c>
      <c r="AA4232">
        <v>3</v>
      </c>
      <c r="AG4232" t="str">
        <f t="shared" si="412"/>
        <v>4YES_Saccostrea_glomerata_D0_CO2NA_TNA_control_outcome18.82</v>
      </c>
      <c r="AK4232" t="s">
        <v>69</v>
      </c>
      <c r="AM4232"/>
      <c r="AN4232">
        <v>18.8172043010753</v>
      </c>
      <c r="AO4232">
        <v>13.968151673942501</v>
      </c>
      <c r="AP4232">
        <v>38.095238095238201</v>
      </c>
      <c r="AQ4232">
        <v>11.913576983277901</v>
      </c>
      <c r="AS4232">
        <f t="shared" si="413"/>
        <v>-0.70531771618020178</v>
      </c>
      <c r="AT4232">
        <f t="shared" si="414"/>
        <v>0.21627377802972755</v>
      </c>
      <c r="AU4232" t="s">
        <v>3886</v>
      </c>
      <c r="AW4232" s="28">
        <f t="shared" si="406"/>
        <v>1.4850304242422421</v>
      </c>
      <c r="AX4232">
        <f t="shared" si="407"/>
        <v>0.8</v>
      </c>
      <c r="AY4232" s="62">
        <f t="shared" si="408"/>
        <v>1.1880243393937937</v>
      </c>
      <c r="AZ4232" s="68" t="str">
        <f t="shared" si="409"/>
        <v>No</v>
      </c>
      <c r="BA4232" s="68" t="str">
        <f t="shared" si="410"/>
        <v>No</v>
      </c>
    </row>
    <row r="4233" spans="1:53" hidden="1">
      <c r="A4233" t="s">
        <v>1217</v>
      </c>
      <c r="B4233" t="str">
        <f t="shared" si="411"/>
        <v>4233_Ross</v>
      </c>
      <c r="C4233" t="s">
        <v>1221</v>
      </c>
      <c r="F4233" t="s">
        <v>1241</v>
      </c>
      <c r="G4233" t="s">
        <v>1214</v>
      </c>
      <c r="K4233" t="s">
        <v>72</v>
      </c>
      <c r="M4233" s="25" t="s">
        <v>36</v>
      </c>
      <c r="N4233" t="s">
        <v>36</v>
      </c>
      <c r="P4233" t="s">
        <v>60</v>
      </c>
      <c r="Q4233" t="s">
        <v>900</v>
      </c>
      <c r="R4233" t="s">
        <v>1741</v>
      </c>
      <c r="S4233" t="s">
        <v>1007</v>
      </c>
      <c r="V4233" t="s">
        <v>905</v>
      </c>
      <c r="Z4233">
        <v>3</v>
      </c>
      <c r="AA4233">
        <v>3</v>
      </c>
      <c r="AG4233" t="str">
        <f t="shared" si="412"/>
        <v>4YES_Saccostrea_glomerata_D0_CO2NA_TNA_control_outcome72.49</v>
      </c>
      <c r="AK4233" t="s">
        <v>69</v>
      </c>
      <c r="AM4233"/>
      <c r="AN4233">
        <v>72.486772486772495</v>
      </c>
      <c r="AO4233">
        <v>4.5821449935684697</v>
      </c>
      <c r="AP4233">
        <v>85.572139303482501</v>
      </c>
      <c r="AQ4233">
        <v>3.4468672787440999</v>
      </c>
      <c r="AS4233">
        <f t="shared" si="413"/>
        <v>-0.16595565798589362</v>
      </c>
      <c r="AT4233">
        <f t="shared" si="414"/>
        <v>1.8728164726014643E-3</v>
      </c>
      <c r="AU4233" t="s">
        <v>3886</v>
      </c>
      <c r="AW4233" s="28">
        <f t="shared" si="406"/>
        <v>3.2274175781949288</v>
      </c>
      <c r="AX4233">
        <f t="shared" si="407"/>
        <v>0.8</v>
      </c>
      <c r="AY4233" s="62">
        <f t="shared" si="408"/>
        <v>2.581934062555943</v>
      </c>
      <c r="AZ4233" s="68" t="str">
        <f t="shared" si="409"/>
        <v>No</v>
      </c>
      <c r="BA4233" s="68" t="str">
        <f t="shared" si="410"/>
        <v>No</v>
      </c>
    </row>
    <row r="4234" spans="1:53" hidden="1">
      <c r="A4234" t="s">
        <v>1217</v>
      </c>
      <c r="B4234" t="str">
        <f t="shared" si="411"/>
        <v>4234_Ross</v>
      </c>
      <c r="C4234" t="s">
        <v>1221</v>
      </c>
      <c r="F4234" t="s">
        <v>1241</v>
      </c>
      <c r="G4234" t="s">
        <v>1214</v>
      </c>
      <c r="K4234" t="s">
        <v>72</v>
      </c>
      <c r="M4234" s="25" t="s">
        <v>36</v>
      </c>
      <c r="N4234" t="s">
        <v>36</v>
      </c>
      <c r="P4234" t="s">
        <v>60</v>
      </c>
      <c r="Q4234" t="s">
        <v>900</v>
      </c>
      <c r="R4234" t="s">
        <v>1741</v>
      </c>
      <c r="S4234" t="s">
        <v>1007</v>
      </c>
      <c r="V4234" t="s">
        <v>905</v>
      </c>
      <c r="Z4234">
        <v>3</v>
      </c>
      <c r="AA4234">
        <v>3</v>
      </c>
      <c r="AG4234" t="str">
        <f t="shared" si="412"/>
        <v>4YES_Saccostrea_glomerata_D0_CO2NA_TNA_control_outcome30.65</v>
      </c>
      <c r="AK4234" t="s">
        <v>69</v>
      </c>
      <c r="AM4234"/>
      <c r="AN4234">
        <v>30.645161290322598</v>
      </c>
      <c r="AO4234">
        <v>11.174521339154001</v>
      </c>
      <c r="AP4234">
        <v>58.730158730158799</v>
      </c>
      <c r="AQ4234">
        <v>10.9971479845643</v>
      </c>
      <c r="AS4234">
        <f t="shared" si="413"/>
        <v>-0.65047859213134318</v>
      </c>
      <c r="AT4234">
        <f t="shared" si="414"/>
        <v>5.6008692678603145E-2</v>
      </c>
      <c r="AU4234" t="s">
        <v>3886</v>
      </c>
      <c r="AW4234" s="28">
        <f t="shared" si="406"/>
        <v>2.533331915879804</v>
      </c>
      <c r="AX4234">
        <f t="shared" si="407"/>
        <v>0.8</v>
      </c>
      <c r="AY4234" s="62">
        <f t="shared" si="408"/>
        <v>2.0266655327038432</v>
      </c>
      <c r="AZ4234" s="68" t="str">
        <f t="shared" si="409"/>
        <v>No</v>
      </c>
      <c r="BA4234" s="68" t="str">
        <f t="shared" si="410"/>
        <v>No</v>
      </c>
    </row>
    <row r="4235" spans="1:53" hidden="1">
      <c r="A4235" t="s">
        <v>1217</v>
      </c>
      <c r="B4235" t="str">
        <f t="shared" si="411"/>
        <v>4235_Ross</v>
      </c>
      <c r="C4235" t="s">
        <v>1221</v>
      </c>
      <c r="F4235" t="s">
        <v>1241</v>
      </c>
      <c r="G4235" t="s">
        <v>1214</v>
      </c>
      <c r="K4235" t="s">
        <v>72</v>
      </c>
      <c r="M4235" s="25" t="s">
        <v>36</v>
      </c>
      <c r="N4235" t="s">
        <v>36</v>
      </c>
      <c r="P4235" t="s">
        <v>60</v>
      </c>
      <c r="Q4235" t="s">
        <v>900</v>
      </c>
      <c r="R4235" t="s">
        <v>1741</v>
      </c>
      <c r="S4235" t="s">
        <v>1007</v>
      </c>
      <c r="V4235" t="s">
        <v>905</v>
      </c>
      <c r="Z4235">
        <v>3</v>
      </c>
      <c r="AA4235">
        <v>3</v>
      </c>
      <c r="AG4235" t="str">
        <f t="shared" si="412"/>
        <v>4YES_Saccostrea_glomerata_D0_CO2NA_TNA_control_outcome85.19</v>
      </c>
      <c r="AK4235" t="s">
        <v>69</v>
      </c>
      <c r="AM4235"/>
      <c r="AN4235">
        <v>85.18518518518519</v>
      </c>
      <c r="AO4235">
        <v>5.4985739922822106</v>
      </c>
      <c r="AP4235">
        <v>72.139303482586996</v>
      </c>
      <c r="AQ4235">
        <v>6.8937345574881101</v>
      </c>
      <c r="AS4235">
        <f t="shared" si="413"/>
        <v>0.16622851556332296</v>
      </c>
      <c r="AT4235">
        <f t="shared" si="414"/>
        <v>4.4328305510373161E-3</v>
      </c>
      <c r="AU4235" t="s">
        <v>3886</v>
      </c>
      <c r="AW4235" s="28">
        <f t="shared" si="406"/>
        <v>-2.0922626120658601</v>
      </c>
      <c r="AX4235">
        <f t="shared" si="407"/>
        <v>0.8</v>
      </c>
      <c r="AY4235" s="62">
        <f t="shared" si="408"/>
        <v>-1.6738100896526882</v>
      </c>
      <c r="AZ4235" s="68" t="str">
        <f t="shared" si="409"/>
        <v>No</v>
      </c>
      <c r="BA4235" s="68" t="str">
        <f t="shared" si="410"/>
        <v>No</v>
      </c>
    </row>
    <row r="4236" spans="1:53" hidden="1">
      <c r="A4236" t="s">
        <v>1217</v>
      </c>
      <c r="B4236" t="str">
        <f t="shared" si="411"/>
        <v>4236_Ross</v>
      </c>
      <c r="C4236" t="s">
        <v>1221</v>
      </c>
      <c r="F4236" t="s">
        <v>1241</v>
      </c>
      <c r="G4236" t="s">
        <v>1214</v>
      </c>
      <c r="K4236" t="s">
        <v>72</v>
      </c>
      <c r="M4236" s="25" t="s">
        <v>36</v>
      </c>
      <c r="N4236" t="s">
        <v>36</v>
      </c>
      <c r="P4236" t="s">
        <v>60</v>
      </c>
      <c r="Q4236" t="s">
        <v>900</v>
      </c>
      <c r="R4236" t="s">
        <v>1741</v>
      </c>
      <c r="S4236" t="s">
        <v>1007</v>
      </c>
      <c r="V4236" t="s">
        <v>905</v>
      </c>
      <c r="Z4236">
        <v>3</v>
      </c>
      <c r="AA4236">
        <v>3</v>
      </c>
      <c r="AG4236" t="str">
        <f t="shared" si="412"/>
        <v>4YES_Saccostrea_glomerata_D0_CO2NA_TNA_control_outcome40.86</v>
      </c>
      <c r="AK4236" t="s">
        <v>69</v>
      </c>
      <c r="AM4236"/>
      <c r="AN4236">
        <v>40.860215053763397</v>
      </c>
      <c r="AO4236">
        <v>11.174521339154001</v>
      </c>
      <c r="AP4236">
        <v>79.365079365079509</v>
      </c>
      <c r="AQ4236">
        <v>12.830005981991699</v>
      </c>
      <c r="AS4236">
        <f t="shared" si="413"/>
        <v>-0.66390161246348622</v>
      </c>
      <c r="AT4236">
        <f t="shared" si="414"/>
        <v>3.3641859033548625E-2</v>
      </c>
      <c r="AU4236" t="s">
        <v>3886</v>
      </c>
      <c r="AW4236" s="28">
        <f t="shared" si="406"/>
        <v>3.2005312926901044</v>
      </c>
      <c r="AX4236">
        <f t="shared" si="407"/>
        <v>0.8</v>
      </c>
      <c r="AY4236" s="62">
        <f t="shared" si="408"/>
        <v>2.5604250341520838</v>
      </c>
      <c r="AZ4236" s="68" t="str">
        <f t="shared" si="409"/>
        <v>No</v>
      </c>
      <c r="BA4236" s="68" t="str">
        <f t="shared" si="410"/>
        <v>No</v>
      </c>
    </row>
    <row r="4237" spans="1:53" hidden="1">
      <c r="A4237" t="s">
        <v>1217</v>
      </c>
      <c r="B4237" t="str">
        <f t="shared" si="411"/>
        <v>4237_Ross</v>
      </c>
      <c r="C4237" t="s">
        <v>1221</v>
      </c>
      <c r="F4237" t="s">
        <v>1241</v>
      </c>
      <c r="G4237" t="s">
        <v>1214</v>
      </c>
      <c r="K4237" t="s">
        <v>72</v>
      </c>
      <c r="M4237" s="25" t="s">
        <v>36</v>
      </c>
      <c r="N4237" t="s">
        <v>36</v>
      </c>
      <c r="P4237" t="s">
        <v>60</v>
      </c>
      <c r="Q4237" t="s">
        <v>900</v>
      </c>
      <c r="R4237" t="s">
        <v>1741</v>
      </c>
      <c r="S4237" t="s">
        <v>1007</v>
      </c>
      <c r="V4237" t="s">
        <v>905</v>
      </c>
      <c r="Z4237">
        <v>3</v>
      </c>
      <c r="AA4237">
        <v>3</v>
      </c>
      <c r="AG4237" t="str">
        <f t="shared" si="412"/>
        <v>4YES_Saccostrea_glomerata_D0_CO2NA_TNA_control_outcome94.18</v>
      </c>
      <c r="AK4237" t="s">
        <v>69</v>
      </c>
      <c r="AM4237"/>
      <c r="AN4237">
        <v>94.179894179894191</v>
      </c>
      <c r="AO4237">
        <v>4.5821449935684697</v>
      </c>
      <c r="AP4237">
        <v>89.552238805970191</v>
      </c>
      <c r="AQ4237">
        <v>8.6171681968600105</v>
      </c>
      <c r="AS4237">
        <f t="shared" si="413"/>
        <v>5.0384592401307771E-2</v>
      </c>
      <c r="AT4237">
        <f t="shared" si="414"/>
        <v>3.8754615407394404E-3</v>
      </c>
      <c r="AU4237" t="s">
        <v>3886</v>
      </c>
      <c r="AW4237" s="28">
        <f t="shared" si="406"/>
        <v>-0.67056329101794943</v>
      </c>
      <c r="AX4237">
        <f t="shared" si="407"/>
        <v>0.8</v>
      </c>
      <c r="AY4237" s="62">
        <f t="shared" si="408"/>
        <v>-0.53645063281435956</v>
      </c>
      <c r="AZ4237" s="68" t="str">
        <f t="shared" si="409"/>
        <v>No</v>
      </c>
      <c r="BA4237" s="68" t="str">
        <f t="shared" si="410"/>
        <v>No</v>
      </c>
    </row>
    <row r="4238" spans="1:53" hidden="1">
      <c r="A4238" t="s">
        <v>1217</v>
      </c>
      <c r="B4238" t="str">
        <f t="shared" si="411"/>
        <v>4238_Ross</v>
      </c>
      <c r="C4238" t="s">
        <v>1221</v>
      </c>
      <c r="F4238" t="s">
        <v>1241</v>
      </c>
      <c r="G4238" t="s">
        <v>1214</v>
      </c>
      <c r="K4238" t="s">
        <v>72</v>
      </c>
      <c r="M4238" s="25" t="s">
        <v>36</v>
      </c>
      <c r="N4238" t="s">
        <v>36</v>
      </c>
      <c r="P4238" t="s">
        <v>60</v>
      </c>
      <c r="Q4238" t="s">
        <v>900</v>
      </c>
      <c r="R4238" t="s">
        <v>1741</v>
      </c>
      <c r="S4238" t="s">
        <v>1007</v>
      </c>
      <c r="V4238" t="s">
        <v>905</v>
      </c>
      <c r="Z4238">
        <v>3</v>
      </c>
      <c r="AA4238">
        <v>3</v>
      </c>
      <c r="AG4238" t="str">
        <f t="shared" si="412"/>
        <v>4YES_Saccostrea_glomerata_D0_CO2NA_TNA_control_outcome3.17</v>
      </c>
      <c r="AK4238" t="s">
        <v>69</v>
      </c>
      <c r="AM4238"/>
      <c r="AN4238">
        <v>3.1746031746032499</v>
      </c>
      <c r="AO4238">
        <v>3.6657159948547999</v>
      </c>
      <c r="AP4238">
        <v>5.8201058201059004</v>
      </c>
      <c r="AQ4238">
        <v>7.3314319897095306</v>
      </c>
      <c r="AS4238">
        <f t="shared" si="413"/>
        <v>-0.6061358035703055</v>
      </c>
      <c r="AT4238">
        <f t="shared" si="414"/>
        <v>0.97337006427912698</v>
      </c>
      <c r="AU4238" t="s">
        <v>3886</v>
      </c>
      <c r="AW4238" s="28">
        <f t="shared" ref="AW4238:AW4301" si="415">(AP4238-$AN4238)/SQRT(((AA4238-1)*AQ4238*AQ4238+($Z4238-1)*$AO4238*$AO4238)/(AA4238+$Z4238-2))</f>
        <v>0.45643546458763862</v>
      </c>
      <c r="AX4238">
        <f t="shared" ref="AX4238:AX4301" si="416">1-(3/(4*(AA4238+$Z4238-2)-1))</f>
        <v>0.8</v>
      </c>
      <c r="AY4238" s="62">
        <f t="shared" ref="AY4238:AY4301" si="417">AX4238*AW4238</f>
        <v>0.36514837167011094</v>
      </c>
      <c r="AZ4238" s="68" t="str">
        <f t="shared" ref="AZ4238:AZ4301" si="418">IF(AY4238&gt;10,"Yes","No")</f>
        <v>No</v>
      </c>
      <c r="BA4238" s="68" t="str">
        <f t="shared" ref="BA4238:BA4301" si="419">IF(AY4238&lt;-10,"Yes","No")</f>
        <v>No</v>
      </c>
    </row>
    <row r="4239" spans="1:53" hidden="1">
      <c r="A4239" t="s">
        <v>1217</v>
      </c>
      <c r="B4239" t="str">
        <f t="shared" si="411"/>
        <v>4239_Ross</v>
      </c>
      <c r="C4239" t="s">
        <v>1221</v>
      </c>
      <c r="F4239" t="s">
        <v>1241</v>
      </c>
      <c r="G4239" t="s">
        <v>1214</v>
      </c>
      <c r="K4239" t="s">
        <v>72</v>
      </c>
      <c r="M4239" s="25" t="s">
        <v>36</v>
      </c>
      <c r="N4239" t="s">
        <v>36</v>
      </c>
      <c r="P4239" t="s">
        <v>60</v>
      </c>
      <c r="Q4239" t="s">
        <v>900</v>
      </c>
      <c r="R4239" t="s">
        <v>1741</v>
      </c>
      <c r="S4239" t="s">
        <v>1007</v>
      </c>
      <c r="V4239" t="s">
        <v>905</v>
      </c>
      <c r="Z4239">
        <v>3</v>
      </c>
      <c r="AA4239">
        <v>3</v>
      </c>
      <c r="AG4239" t="str">
        <f t="shared" si="412"/>
        <v>4YES_Saccostrea_glomerata_D0_CO2NA_TNA_control_outcome49.74</v>
      </c>
      <c r="AK4239" t="s">
        <v>69</v>
      </c>
      <c r="AM4239"/>
      <c r="AN4239">
        <v>49.735449735449698</v>
      </c>
      <c r="AO4239">
        <v>15.5792929781328</v>
      </c>
      <c r="AP4239">
        <v>22.7513227513228</v>
      </c>
      <c r="AQ4239">
        <v>8.2478609884232696</v>
      </c>
      <c r="AS4239">
        <f t="shared" si="413"/>
        <v>0.78209466657643878</v>
      </c>
      <c r="AT4239">
        <f t="shared" si="414"/>
        <v>7.6514570782146712E-2</v>
      </c>
      <c r="AU4239" t="s">
        <v>3886</v>
      </c>
      <c r="AW4239" s="28">
        <f t="shared" si="415"/>
        <v>-2.1648294358878313</v>
      </c>
      <c r="AX4239">
        <f t="shared" si="416"/>
        <v>0.8</v>
      </c>
      <c r="AY4239" s="62">
        <f t="shared" si="417"/>
        <v>-1.7318635487102652</v>
      </c>
      <c r="AZ4239" s="68" t="str">
        <f t="shared" si="418"/>
        <v>No</v>
      </c>
      <c r="BA4239" s="68" t="str">
        <f t="shared" si="419"/>
        <v>No</v>
      </c>
    </row>
    <row r="4240" spans="1:53" hidden="1">
      <c r="A4240" t="s">
        <v>1217</v>
      </c>
      <c r="B4240" t="str">
        <f t="shared" si="411"/>
        <v>4240_Ross</v>
      </c>
      <c r="C4240" t="s">
        <v>1221</v>
      </c>
      <c r="F4240" t="s">
        <v>1241</v>
      </c>
      <c r="G4240" t="s">
        <v>1214</v>
      </c>
      <c r="K4240" t="s">
        <v>72</v>
      </c>
      <c r="M4240" s="25" t="s">
        <v>36</v>
      </c>
      <c r="N4240" t="s">
        <v>36</v>
      </c>
      <c r="P4240" t="s">
        <v>60</v>
      </c>
      <c r="Q4240" t="s">
        <v>900</v>
      </c>
      <c r="R4240" t="s">
        <v>1741</v>
      </c>
      <c r="S4240" t="s">
        <v>1007</v>
      </c>
      <c r="V4240" t="s">
        <v>905</v>
      </c>
      <c r="Z4240">
        <v>3</v>
      </c>
      <c r="AA4240">
        <v>3</v>
      </c>
      <c r="AG4240" t="str">
        <f t="shared" si="412"/>
        <v>4YES_Saccostrea_glomerata_D0_CO2NA_TNA_control_outcome14.81</v>
      </c>
      <c r="AK4240" t="s">
        <v>69</v>
      </c>
      <c r="AM4240"/>
      <c r="AN4240">
        <v>14.8148148148149</v>
      </c>
      <c r="AO4240">
        <v>7.3314319897094595</v>
      </c>
      <c r="AP4240">
        <v>19.5767195767197</v>
      </c>
      <c r="AQ4240">
        <v>2.7492869961410702</v>
      </c>
      <c r="AS4240">
        <f t="shared" si="413"/>
        <v>-0.27871340246902099</v>
      </c>
      <c r="AT4240">
        <f t="shared" si="414"/>
        <v>8.8206794770498642E-2</v>
      </c>
      <c r="AU4240" t="s">
        <v>3886</v>
      </c>
      <c r="AW4240" s="28">
        <f t="shared" si="415"/>
        <v>0.86007326862150857</v>
      </c>
      <c r="AX4240">
        <f t="shared" si="416"/>
        <v>0.8</v>
      </c>
      <c r="AY4240" s="62">
        <f t="shared" si="417"/>
        <v>0.68805861489720688</v>
      </c>
      <c r="AZ4240" s="68" t="str">
        <f t="shared" si="418"/>
        <v>No</v>
      </c>
      <c r="BA4240" s="68" t="str">
        <f t="shared" si="419"/>
        <v>No</v>
      </c>
    </row>
    <row r="4241" spans="1:53" hidden="1">
      <c r="A4241" t="s">
        <v>1217</v>
      </c>
      <c r="B4241" t="str">
        <f t="shared" si="411"/>
        <v>4241_Ross</v>
      </c>
      <c r="C4241" t="s">
        <v>1221</v>
      </c>
      <c r="F4241" t="s">
        <v>1241</v>
      </c>
      <c r="G4241" t="s">
        <v>1214</v>
      </c>
      <c r="K4241" t="s">
        <v>72</v>
      </c>
      <c r="M4241" s="25" t="s">
        <v>36</v>
      </c>
      <c r="N4241" t="s">
        <v>36</v>
      </c>
      <c r="P4241" t="s">
        <v>60</v>
      </c>
      <c r="Q4241" t="s">
        <v>900</v>
      </c>
      <c r="R4241" t="s">
        <v>1741</v>
      </c>
      <c r="S4241" t="s">
        <v>1007</v>
      </c>
      <c r="V4241" t="s">
        <v>905</v>
      </c>
      <c r="Z4241">
        <v>3</v>
      </c>
      <c r="AA4241">
        <v>3</v>
      </c>
      <c r="AG4241" t="str">
        <f t="shared" si="412"/>
        <v>4YES_Saccostrea_glomerata_D0_CO2NA_TNA_control_outcome82.54</v>
      </c>
      <c r="AK4241" t="s">
        <v>69</v>
      </c>
      <c r="AM4241"/>
      <c r="AN4241">
        <v>82.539682539682602</v>
      </c>
      <c r="AO4241">
        <v>9.1642899871369394</v>
      </c>
      <c r="AP4241">
        <v>41.269841269841301</v>
      </c>
      <c r="AQ4241">
        <v>5.4985739922820898</v>
      </c>
      <c r="AS4241">
        <f t="shared" si="413"/>
        <v>0.69314718055994584</v>
      </c>
      <c r="AT4241">
        <f t="shared" si="414"/>
        <v>1.0026298487836822E-2</v>
      </c>
      <c r="AU4241" t="s">
        <v>3886</v>
      </c>
      <c r="AW4241" s="28">
        <f t="shared" si="415"/>
        <v>-5.461092327709248</v>
      </c>
      <c r="AX4241">
        <f t="shared" si="416"/>
        <v>0.8</v>
      </c>
      <c r="AY4241" s="62">
        <f t="shared" si="417"/>
        <v>-4.3688738621673986</v>
      </c>
      <c r="AZ4241" s="68" t="str">
        <f t="shared" si="418"/>
        <v>No</v>
      </c>
      <c r="BA4241" s="68" t="str">
        <f t="shared" si="419"/>
        <v>No</v>
      </c>
    </row>
    <row r="4242" spans="1:53" hidden="1">
      <c r="A4242" t="s">
        <v>1217</v>
      </c>
      <c r="B4242" t="str">
        <f t="shared" si="411"/>
        <v>4242_Ross</v>
      </c>
      <c r="C4242" t="s">
        <v>1221</v>
      </c>
      <c r="F4242" t="s">
        <v>1241</v>
      </c>
      <c r="G4242" t="s">
        <v>1214</v>
      </c>
      <c r="K4242" t="s">
        <v>72</v>
      </c>
      <c r="M4242" s="25" t="s">
        <v>36</v>
      </c>
      <c r="N4242" t="s">
        <v>36</v>
      </c>
      <c r="P4242" t="s">
        <v>60</v>
      </c>
      <c r="Q4242" t="s">
        <v>900</v>
      </c>
      <c r="R4242" t="s">
        <v>1741</v>
      </c>
      <c r="S4242" t="s">
        <v>1007</v>
      </c>
      <c r="V4242" t="s">
        <v>905</v>
      </c>
      <c r="Z4242">
        <v>3</v>
      </c>
      <c r="AA4242">
        <v>3</v>
      </c>
      <c r="AG4242" t="str">
        <f t="shared" si="412"/>
        <v>4YES_Saccostrea_glomerata_D0_CO2NA_TNA_control_outcome30.69</v>
      </c>
      <c r="AK4242" t="s">
        <v>69</v>
      </c>
      <c r="AM4242"/>
      <c r="AN4242">
        <v>30.687830687830697</v>
      </c>
      <c r="AO4242">
        <v>12.8300059819918</v>
      </c>
      <c r="AP4242">
        <v>40.211640211640301</v>
      </c>
      <c r="AQ4242">
        <v>4.5821449935685399</v>
      </c>
      <c r="AS4242">
        <f t="shared" si="413"/>
        <v>-0.27029032973991374</v>
      </c>
      <c r="AT4242">
        <f t="shared" si="414"/>
        <v>6.2592226310191165E-2</v>
      </c>
      <c r="AU4242" t="s">
        <v>3886</v>
      </c>
      <c r="AW4242" s="28">
        <f t="shared" si="415"/>
        <v>0.9886230654859598</v>
      </c>
      <c r="AX4242">
        <f t="shared" si="416"/>
        <v>0.8</v>
      </c>
      <c r="AY4242" s="62">
        <f t="shared" si="417"/>
        <v>0.79089845238876788</v>
      </c>
      <c r="AZ4242" s="68" t="str">
        <f t="shared" si="418"/>
        <v>No</v>
      </c>
      <c r="BA4242" s="68" t="str">
        <f t="shared" si="419"/>
        <v>No</v>
      </c>
    </row>
    <row r="4243" spans="1:53" hidden="1">
      <c r="A4243" t="s">
        <v>1217</v>
      </c>
      <c r="B4243" t="str">
        <f t="shared" si="411"/>
        <v>4243_Ross</v>
      </c>
      <c r="C4243" t="s">
        <v>1221</v>
      </c>
      <c r="F4243" t="s">
        <v>1241</v>
      </c>
      <c r="G4243" t="s">
        <v>1214</v>
      </c>
      <c r="K4243" t="s">
        <v>72</v>
      </c>
      <c r="M4243" s="25" t="s">
        <v>36</v>
      </c>
      <c r="N4243" t="s">
        <v>36</v>
      </c>
      <c r="P4243" t="s">
        <v>60</v>
      </c>
      <c r="Q4243" t="s">
        <v>900</v>
      </c>
      <c r="R4243" t="s">
        <v>1741</v>
      </c>
      <c r="S4243" t="s">
        <v>1007</v>
      </c>
      <c r="V4243" t="s">
        <v>905</v>
      </c>
      <c r="Z4243">
        <v>3</v>
      </c>
      <c r="AA4243">
        <v>3</v>
      </c>
      <c r="AG4243" t="str">
        <f t="shared" si="412"/>
        <v>4YES_Saccostrea_glomerata_D0_CO2NA_TNA_control_outcome84.66</v>
      </c>
      <c r="AK4243" t="s">
        <v>69</v>
      </c>
      <c r="AM4243"/>
      <c r="AN4243">
        <v>84.656084656084701</v>
      </c>
      <c r="AO4243">
        <v>6.4150029909958706</v>
      </c>
      <c r="AP4243">
        <v>67.195767195767203</v>
      </c>
      <c r="AQ4243">
        <v>10.9971479845643</v>
      </c>
      <c r="AS4243">
        <f t="shared" si="413"/>
        <v>0.23098672877523629</v>
      </c>
      <c r="AT4243">
        <f t="shared" si="414"/>
        <v>1.0842080356035724E-2</v>
      </c>
      <c r="AU4243" t="s">
        <v>3886</v>
      </c>
      <c r="AW4243" s="28">
        <f t="shared" si="415"/>
        <v>-1.9394994279679718</v>
      </c>
      <c r="AX4243">
        <f t="shared" si="416"/>
        <v>0.8</v>
      </c>
      <c r="AY4243" s="62">
        <f t="shared" si="417"/>
        <v>-1.5515995423743776</v>
      </c>
      <c r="AZ4243" s="68" t="str">
        <f t="shared" si="418"/>
        <v>No</v>
      </c>
      <c r="BA4243" s="68" t="str">
        <f t="shared" si="419"/>
        <v>No</v>
      </c>
    </row>
    <row r="4244" spans="1:53" hidden="1">
      <c r="A4244" t="s">
        <v>1217</v>
      </c>
      <c r="B4244" t="str">
        <f t="shared" si="411"/>
        <v>4244_Ross</v>
      </c>
      <c r="C4244" t="s">
        <v>1221</v>
      </c>
      <c r="F4244" t="s">
        <v>1241</v>
      </c>
      <c r="G4244" t="s">
        <v>1214</v>
      </c>
      <c r="K4244" t="s">
        <v>72</v>
      </c>
      <c r="M4244" s="25" t="s">
        <v>36</v>
      </c>
      <c r="N4244" t="s">
        <v>36</v>
      </c>
      <c r="P4244" t="s">
        <v>60</v>
      </c>
      <c r="Q4244" t="s">
        <v>900</v>
      </c>
      <c r="R4244" t="s">
        <v>1741</v>
      </c>
      <c r="S4244" t="s">
        <v>1007</v>
      </c>
      <c r="V4244" t="s">
        <v>905</v>
      </c>
      <c r="Z4244">
        <v>3</v>
      </c>
      <c r="AA4244">
        <v>3</v>
      </c>
      <c r="AG4244" t="str">
        <f t="shared" si="412"/>
        <v>4YES_Saccostrea_glomerata_D0_CO2NA_TNA_control_outcome44.44</v>
      </c>
      <c r="AK4244" t="s">
        <v>69</v>
      </c>
      <c r="AM4244"/>
      <c r="AN4244">
        <v>44.4444444444445</v>
      </c>
      <c r="AO4244">
        <v>12.8300059819918</v>
      </c>
      <c r="AP4244">
        <v>72.486772486772594</v>
      </c>
      <c r="AQ4244">
        <v>10.0807189858507</v>
      </c>
      <c r="AS4244">
        <f t="shared" si="413"/>
        <v>-0.48916412698481126</v>
      </c>
      <c r="AT4244">
        <f t="shared" si="414"/>
        <v>3.4224578353195215E-2</v>
      </c>
      <c r="AU4244" t="s">
        <v>3886</v>
      </c>
      <c r="AW4244" s="28">
        <f t="shared" si="415"/>
        <v>2.4305278902836749</v>
      </c>
      <c r="AX4244">
        <f t="shared" si="416"/>
        <v>0.8</v>
      </c>
      <c r="AY4244" s="62">
        <f t="shared" si="417"/>
        <v>1.94442231222694</v>
      </c>
      <c r="AZ4244" s="68" t="str">
        <f t="shared" si="418"/>
        <v>No</v>
      </c>
      <c r="BA4244" s="68" t="str">
        <f t="shared" si="419"/>
        <v>No</v>
      </c>
    </row>
    <row r="4245" spans="1:53" hidden="1">
      <c r="A4245" t="s">
        <v>1217</v>
      </c>
      <c r="B4245" t="str">
        <f t="shared" si="411"/>
        <v>4245_Ross</v>
      </c>
      <c r="C4245" t="s">
        <v>1221</v>
      </c>
      <c r="F4245" t="s">
        <v>1241</v>
      </c>
      <c r="G4245" t="s">
        <v>1214</v>
      </c>
      <c r="K4245" t="s">
        <v>72</v>
      </c>
      <c r="M4245" s="25" t="s">
        <v>36</v>
      </c>
      <c r="N4245" t="s">
        <v>36</v>
      </c>
      <c r="P4245" t="s">
        <v>60</v>
      </c>
      <c r="Q4245" t="s">
        <v>900</v>
      </c>
      <c r="R4245" t="s">
        <v>1741</v>
      </c>
      <c r="S4245" t="s">
        <v>1007</v>
      </c>
      <c r="V4245" t="s">
        <v>905</v>
      </c>
      <c r="Z4245">
        <v>3</v>
      </c>
      <c r="AA4245">
        <v>3</v>
      </c>
      <c r="AG4245" t="str">
        <f t="shared" si="412"/>
        <v>4YES_Saccostrea_glomerata_D0_CO2NA_TNA_control_outcome93.12</v>
      </c>
      <c r="AK4245" t="s">
        <v>69</v>
      </c>
      <c r="AM4245"/>
      <c r="AN4245">
        <v>93.121693121693099</v>
      </c>
      <c r="AO4245">
        <v>3.6657159948547999</v>
      </c>
      <c r="AP4245">
        <v>88.359788359788411</v>
      </c>
      <c r="AQ4245">
        <v>7.3314319897094595</v>
      </c>
      <c r="AS4245">
        <f t="shared" si="413"/>
        <v>5.2490182621395931E-2</v>
      </c>
      <c r="AT4245">
        <f t="shared" si="414"/>
        <v>2.8113405000756739E-3</v>
      </c>
      <c r="AU4245" t="s">
        <v>3886</v>
      </c>
      <c r="AW4245" s="28">
        <f t="shared" si="415"/>
        <v>-0.82158383625774156</v>
      </c>
      <c r="AX4245">
        <f t="shared" si="416"/>
        <v>0.8</v>
      </c>
      <c r="AY4245" s="62">
        <f t="shared" si="417"/>
        <v>-0.65726706900619325</v>
      </c>
      <c r="AZ4245" s="68" t="str">
        <f t="shared" si="418"/>
        <v>No</v>
      </c>
      <c r="BA4245" s="68" t="str">
        <f t="shared" si="419"/>
        <v>No</v>
      </c>
    </row>
    <row r="4246" spans="1:53" hidden="1">
      <c r="A4246" t="s">
        <v>1217</v>
      </c>
      <c r="B4246" t="str">
        <f t="shared" si="411"/>
        <v>4246_Ross</v>
      </c>
      <c r="C4246" t="s">
        <v>1222</v>
      </c>
      <c r="F4246" t="s">
        <v>1241</v>
      </c>
      <c r="G4246" t="s">
        <v>1215</v>
      </c>
      <c r="K4246" t="s">
        <v>72</v>
      </c>
      <c r="M4246" s="25" t="s">
        <v>36</v>
      </c>
      <c r="N4246" t="s">
        <v>36</v>
      </c>
      <c r="P4246" t="s">
        <v>60</v>
      </c>
      <c r="Q4246" t="s">
        <v>900</v>
      </c>
      <c r="R4246" t="s">
        <v>1741</v>
      </c>
      <c r="S4246" t="s">
        <v>1007</v>
      </c>
      <c r="V4246" t="s">
        <v>905</v>
      </c>
      <c r="Z4246">
        <v>3</v>
      </c>
      <c r="AA4246">
        <v>3</v>
      </c>
      <c r="AG4246" t="str">
        <f t="shared" si="412"/>
        <v>5YES_Saccostrea_glomerata_D0_CO2NA_TNA_control_outcome15.26</v>
      </c>
      <c r="AK4246" t="s">
        <v>69</v>
      </c>
      <c r="AM4246"/>
      <c r="AN4246">
        <v>15.2592592592593</v>
      </c>
      <c r="AO4246">
        <v>11.2904052641527</v>
      </c>
      <c r="AP4246">
        <v>51.111111111111107</v>
      </c>
      <c r="AQ4246">
        <v>21.811010169385899</v>
      </c>
      <c r="AS4246">
        <f t="shared" si="413"/>
        <v>-1.2088154288017212</v>
      </c>
      <c r="AT4246">
        <f t="shared" si="414"/>
        <v>0.24318810129961999</v>
      </c>
      <c r="AU4246" t="s">
        <v>3886</v>
      </c>
      <c r="AW4246" s="28">
        <f t="shared" si="415"/>
        <v>2.064421126770112</v>
      </c>
      <c r="AX4246">
        <f t="shared" si="416"/>
        <v>0.8</v>
      </c>
      <c r="AY4246" s="62">
        <f t="shared" si="417"/>
        <v>1.6515369014160897</v>
      </c>
      <c r="AZ4246" s="68" t="str">
        <f t="shared" si="418"/>
        <v>No</v>
      </c>
      <c r="BA4246" s="68" t="str">
        <f t="shared" si="419"/>
        <v>No</v>
      </c>
    </row>
    <row r="4247" spans="1:53" hidden="1">
      <c r="A4247" t="s">
        <v>1217</v>
      </c>
      <c r="B4247" t="str">
        <f t="shared" si="411"/>
        <v>4247_Ross</v>
      </c>
      <c r="C4247" t="s">
        <v>1222</v>
      </c>
      <c r="F4247" t="s">
        <v>1241</v>
      </c>
      <c r="G4247" t="s">
        <v>1215</v>
      </c>
      <c r="K4247" t="s">
        <v>72</v>
      </c>
      <c r="M4247" s="25" t="s">
        <v>36</v>
      </c>
      <c r="N4247" t="s">
        <v>36</v>
      </c>
      <c r="P4247" t="s">
        <v>60</v>
      </c>
      <c r="Q4247" t="s">
        <v>900</v>
      </c>
      <c r="R4247" t="s">
        <v>1741</v>
      </c>
      <c r="S4247" t="s">
        <v>1007</v>
      </c>
      <c r="V4247" t="s">
        <v>905</v>
      </c>
      <c r="Z4247">
        <v>3</v>
      </c>
      <c r="AA4247">
        <v>3</v>
      </c>
      <c r="AG4247" t="str">
        <f t="shared" si="412"/>
        <v>5YES_Saccostrea_glomerata_D0_CO2NA_TNA_control_outcome28.44</v>
      </c>
      <c r="AK4247" t="s">
        <v>69</v>
      </c>
      <c r="AM4247"/>
      <c r="AN4247">
        <v>28.444444444444397</v>
      </c>
      <c r="AO4247">
        <v>12.573405862351899</v>
      </c>
      <c r="AP4247">
        <v>56</v>
      </c>
      <c r="AQ4247">
        <v>10.777205024873</v>
      </c>
      <c r="AS4247">
        <f t="shared" si="413"/>
        <v>-0.67739882359180825</v>
      </c>
      <c r="AT4247">
        <f t="shared" si="414"/>
        <v>7.7476972415124162E-2</v>
      </c>
      <c r="AU4247" t="s">
        <v>3886</v>
      </c>
      <c r="AW4247" s="28">
        <f t="shared" si="415"/>
        <v>2.3532052672922532</v>
      </c>
      <c r="AX4247">
        <f t="shared" si="416"/>
        <v>0.8</v>
      </c>
      <c r="AY4247" s="62">
        <f t="shared" si="417"/>
        <v>1.8825642138338026</v>
      </c>
      <c r="AZ4247" s="68" t="str">
        <f t="shared" si="418"/>
        <v>No</v>
      </c>
      <c r="BA4247" s="68" t="str">
        <f t="shared" si="419"/>
        <v>No</v>
      </c>
    </row>
    <row r="4248" spans="1:53" hidden="1">
      <c r="A4248" t="s">
        <v>1217</v>
      </c>
      <c r="B4248" t="str">
        <f t="shared" si="411"/>
        <v>4248_Ross</v>
      </c>
      <c r="C4248" t="s">
        <v>1223</v>
      </c>
      <c r="F4248" t="s">
        <v>1241</v>
      </c>
      <c r="G4248" t="s">
        <v>1216</v>
      </c>
      <c r="K4248" t="s">
        <v>72</v>
      </c>
      <c r="M4248" s="25" t="s">
        <v>36</v>
      </c>
      <c r="N4248" t="s">
        <v>36</v>
      </c>
      <c r="P4248" t="s">
        <v>60</v>
      </c>
      <c r="Q4248" t="s">
        <v>900</v>
      </c>
      <c r="R4248" t="s">
        <v>1741</v>
      </c>
      <c r="S4248" t="s">
        <v>1007</v>
      </c>
      <c r="V4248" t="s">
        <v>905</v>
      </c>
      <c r="Z4248">
        <v>3</v>
      </c>
      <c r="AA4248">
        <v>3</v>
      </c>
      <c r="AG4248" t="str">
        <f t="shared" si="412"/>
        <v>6YES_Saccostrea_glomerata_D0_CO2NA_TNA_control_outcome12.25</v>
      </c>
      <c r="AK4248" t="s">
        <v>69</v>
      </c>
      <c r="AM4248"/>
      <c r="AN4248">
        <v>12.2489959839357</v>
      </c>
      <c r="AO4248">
        <v>5.9126232386889201</v>
      </c>
      <c r="AP4248">
        <v>30.120481927710802</v>
      </c>
      <c r="AQ4248">
        <v>9.7384382754876508</v>
      </c>
      <c r="AS4248">
        <f t="shared" si="413"/>
        <v>-0.89976142992294639</v>
      </c>
      <c r="AT4248">
        <f t="shared" si="414"/>
        <v>0.11251173818268692</v>
      </c>
      <c r="AU4248" t="s">
        <v>3886</v>
      </c>
      <c r="AW4248" s="28">
        <f t="shared" si="415"/>
        <v>2.2184238014372935</v>
      </c>
      <c r="AX4248">
        <f t="shared" si="416"/>
        <v>0.8</v>
      </c>
      <c r="AY4248" s="62">
        <f t="shared" si="417"/>
        <v>1.7747390411498349</v>
      </c>
      <c r="AZ4248" s="68" t="str">
        <f t="shared" si="418"/>
        <v>No</v>
      </c>
      <c r="BA4248" s="68" t="str">
        <f t="shared" si="419"/>
        <v>No</v>
      </c>
    </row>
    <row r="4249" spans="1:53" hidden="1">
      <c r="A4249" t="s">
        <v>1217</v>
      </c>
      <c r="B4249" t="str">
        <f t="shared" si="411"/>
        <v>4249_Ross</v>
      </c>
      <c r="C4249" t="s">
        <v>1223</v>
      </c>
      <c r="F4249" t="s">
        <v>1241</v>
      </c>
      <c r="G4249" t="s">
        <v>1216</v>
      </c>
      <c r="K4249" t="s">
        <v>72</v>
      </c>
      <c r="M4249" s="25" t="s">
        <v>36</v>
      </c>
      <c r="N4249" t="s">
        <v>36</v>
      </c>
      <c r="P4249" t="s">
        <v>60</v>
      </c>
      <c r="Q4249" t="s">
        <v>900</v>
      </c>
      <c r="R4249" t="s">
        <v>1741</v>
      </c>
      <c r="S4249" t="s">
        <v>1007</v>
      </c>
      <c r="V4249" t="s">
        <v>905</v>
      </c>
      <c r="Z4249">
        <v>3</v>
      </c>
      <c r="AA4249">
        <v>3</v>
      </c>
      <c r="AG4249" t="str">
        <f t="shared" si="412"/>
        <v>6YES_Saccostrea_glomerata_D0_CO2NA_TNA_control_outcome77.71</v>
      </c>
      <c r="AK4249" t="s">
        <v>69</v>
      </c>
      <c r="AM4249"/>
      <c r="AN4249">
        <v>77.710843373494001</v>
      </c>
      <c r="AO4249">
        <v>17.7378697160668</v>
      </c>
      <c r="AP4249">
        <v>67.871485943775099</v>
      </c>
      <c r="AQ4249">
        <v>10.781842376432801</v>
      </c>
      <c r="AS4249">
        <f t="shared" si="413"/>
        <v>0.13537879754676396</v>
      </c>
      <c r="AT4249">
        <f t="shared" si="414"/>
        <v>2.5778565101386708E-2</v>
      </c>
      <c r="AU4249" t="s">
        <v>3886</v>
      </c>
      <c r="AW4249" s="28">
        <f t="shared" si="415"/>
        <v>-0.67035290065517672</v>
      </c>
      <c r="AX4249">
        <f t="shared" si="416"/>
        <v>0.8</v>
      </c>
      <c r="AY4249" s="62">
        <f t="shared" si="417"/>
        <v>-0.53628232052414138</v>
      </c>
      <c r="AZ4249" s="68" t="str">
        <f t="shared" si="418"/>
        <v>No</v>
      </c>
      <c r="BA4249" s="68" t="str">
        <f t="shared" si="419"/>
        <v>No</v>
      </c>
    </row>
    <row r="4250" spans="1:53" hidden="1">
      <c r="A4250" t="s">
        <v>1217</v>
      </c>
      <c r="B4250" t="str">
        <f t="shared" si="411"/>
        <v>4250_Ross</v>
      </c>
      <c r="C4250" t="s">
        <v>1223</v>
      </c>
      <c r="F4250" t="s">
        <v>1241</v>
      </c>
      <c r="G4250" t="s">
        <v>1216</v>
      </c>
      <c r="K4250" t="s">
        <v>72</v>
      </c>
      <c r="M4250" s="25" t="s">
        <v>36</v>
      </c>
      <c r="N4250" t="s">
        <v>36</v>
      </c>
      <c r="P4250" t="s">
        <v>60</v>
      </c>
      <c r="Q4250" t="s">
        <v>900</v>
      </c>
      <c r="R4250" t="s">
        <v>1741</v>
      </c>
      <c r="S4250" t="s">
        <v>1007</v>
      </c>
      <c r="V4250" t="s">
        <v>905</v>
      </c>
      <c r="Z4250">
        <v>3</v>
      </c>
      <c r="AA4250">
        <v>3</v>
      </c>
      <c r="AG4250" t="str">
        <f t="shared" si="412"/>
        <v>6YES_Saccostrea_glomerata_D0_CO2NA_TNA_control_outcome51.00</v>
      </c>
      <c r="AK4250" t="s">
        <v>69</v>
      </c>
      <c r="AM4250"/>
      <c r="AN4250">
        <v>51.004016064256994</v>
      </c>
      <c r="AO4250">
        <v>12.1730478443596</v>
      </c>
      <c r="AP4250">
        <v>60.040160642570292</v>
      </c>
      <c r="AQ4250">
        <v>14.6076574132315</v>
      </c>
      <c r="AS4250">
        <f t="shared" si="413"/>
        <v>-0.16310930637215071</v>
      </c>
      <c r="AT4250">
        <f t="shared" si="414"/>
        <v>3.8718860890927104E-2</v>
      </c>
      <c r="AU4250" t="s">
        <v>3886</v>
      </c>
      <c r="AW4250" s="28">
        <f t="shared" si="415"/>
        <v>0.67205362305769567</v>
      </c>
      <c r="AX4250">
        <f t="shared" si="416"/>
        <v>0.8</v>
      </c>
      <c r="AY4250" s="62">
        <f t="shared" si="417"/>
        <v>0.53764289844615654</v>
      </c>
      <c r="AZ4250" s="68" t="str">
        <f t="shared" si="418"/>
        <v>No</v>
      </c>
      <c r="BA4250" s="68" t="str">
        <f t="shared" si="419"/>
        <v>No</v>
      </c>
    </row>
    <row r="4251" spans="1:53" hidden="1">
      <c r="A4251" t="s">
        <v>1217</v>
      </c>
      <c r="B4251" t="str">
        <f t="shared" si="411"/>
        <v>4251_Ross</v>
      </c>
      <c r="C4251" t="s">
        <v>1223</v>
      </c>
      <c r="F4251" t="s">
        <v>1241</v>
      </c>
      <c r="G4251" t="s">
        <v>1216</v>
      </c>
      <c r="K4251" t="s">
        <v>72</v>
      </c>
      <c r="M4251" s="25" t="s">
        <v>36</v>
      </c>
      <c r="N4251" t="s">
        <v>36</v>
      </c>
      <c r="P4251" t="s">
        <v>60</v>
      </c>
      <c r="Q4251" t="s">
        <v>900</v>
      </c>
      <c r="R4251" t="s">
        <v>1741</v>
      </c>
      <c r="S4251" t="s">
        <v>1007</v>
      </c>
      <c r="V4251" t="s">
        <v>905</v>
      </c>
      <c r="Z4251">
        <v>3</v>
      </c>
      <c r="AA4251">
        <v>3</v>
      </c>
      <c r="AG4251" t="str">
        <f t="shared" si="412"/>
        <v>6YES_Saccostrea_glomerata_D0_CO2NA_TNA_control_outcome94.58</v>
      </c>
      <c r="AK4251" t="s">
        <v>69</v>
      </c>
      <c r="AM4251"/>
      <c r="AN4251">
        <v>94.578313253011999</v>
      </c>
      <c r="AO4251">
        <v>4.5214177707621497</v>
      </c>
      <c r="AP4251">
        <v>90.361445783132496</v>
      </c>
      <c r="AQ4251">
        <v>3.8258150367987298</v>
      </c>
      <c r="AS4251">
        <f t="shared" si="413"/>
        <v>4.5610511252052177E-2</v>
      </c>
      <c r="AT4251">
        <f t="shared" si="414"/>
        <v>1.3593377438996695E-3</v>
      </c>
      <c r="AU4251" t="s">
        <v>3886</v>
      </c>
      <c r="AW4251" s="28">
        <f t="shared" si="415"/>
        <v>-1.0068729331192998</v>
      </c>
      <c r="AX4251">
        <f t="shared" si="416"/>
        <v>0.8</v>
      </c>
      <c r="AY4251" s="62">
        <f t="shared" si="417"/>
        <v>-0.80549834649543994</v>
      </c>
      <c r="AZ4251" s="68" t="str">
        <f t="shared" si="418"/>
        <v>No</v>
      </c>
      <c r="BA4251" s="68" t="str">
        <f t="shared" si="419"/>
        <v>No</v>
      </c>
    </row>
    <row r="4252" spans="1:53" hidden="1">
      <c r="A4252" t="s">
        <v>1217</v>
      </c>
      <c r="B4252" t="str">
        <f t="shared" si="411"/>
        <v>4252_Ross</v>
      </c>
      <c r="C4252" t="s">
        <v>1223</v>
      </c>
      <c r="F4252" t="s">
        <v>1241</v>
      </c>
      <c r="G4252" t="s">
        <v>1216</v>
      </c>
      <c r="K4252" t="s">
        <v>72</v>
      </c>
      <c r="M4252" s="25" t="s">
        <v>36</v>
      </c>
      <c r="N4252" t="s">
        <v>36</v>
      </c>
      <c r="P4252" t="s">
        <v>60</v>
      </c>
      <c r="Q4252" t="s">
        <v>900</v>
      </c>
      <c r="R4252" t="s">
        <v>1741</v>
      </c>
      <c r="S4252" t="s">
        <v>1007</v>
      </c>
      <c r="V4252" t="s">
        <v>905</v>
      </c>
      <c r="Z4252">
        <v>3</v>
      </c>
      <c r="AA4252">
        <v>3</v>
      </c>
      <c r="AG4252" t="str">
        <f t="shared" si="412"/>
        <v>6YES_Saccostrea_glomerata_D0_CO2NA_TNA_control_outcome31.33</v>
      </c>
      <c r="AK4252" t="s">
        <v>69</v>
      </c>
      <c r="AM4252"/>
      <c r="AN4252">
        <v>31.325301204819301</v>
      </c>
      <c r="AO4252">
        <v>8.3472328075608608</v>
      </c>
      <c r="AP4252">
        <v>81.927710843373504</v>
      </c>
      <c r="AQ4252">
        <v>9.39063690850592</v>
      </c>
      <c r="AS4252">
        <f t="shared" si="413"/>
        <v>-0.96141116715462438</v>
      </c>
      <c r="AT4252">
        <f t="shared" si="414"/>
        <v>2.8047964312769971E-2</v>
      </c>
      <c r="AU4252" t="s">
        <v>3886</v>
      </c>
      <c r="AW4252" s="28">
        <f t="shared" si="415"/>
        <v>5.6957334304148182</v>
      </c>
      <c r="AX4252">
        <f t="shared" si="416"/>
        <v>0.8</v>
      </c>
      <c r="AY4252" s="62">
        <f t="shared" si="417"/>
        <v>4.5565867443318551</v>
      </c>
      <c r="AZ4252" s="68" t="str">
        <f t="shared" si="418"/>
        <v>No</v>
      </c>
      <c r="BA4252" s="68" t="str">
        <f t="shared" si="419"/>
        <v>No</v>
      </c>
    </row>
    <row r="4253" spans="1:53" hidden="1">
      <c r="A4253" t="s">
        <v>1217</v>
      </c>
      <c r="B4253" t="str">
        <f t="shared" si="411"/>
        <v>4253_Ross</v>
      </c>
      <c r="C4253" t="s">
        <v>1223</v>
      </c>
      <c r="F4253" t="s">
        <v>1241</v>
      </c>
      <c r="G4253" t="s">
        <v>1216</v>
      </c>
      <c r="K4253" t="s">
        <v>72</v>
      </c>
      <c r="M4253" s="25" t="s">
        <v>36</v>
      </c>
      <c r="N4253" t="s">
        <v>36</v>
      </c>
      <c r="P4253" t="s">
        <v>60</v>
      </c>
      <c r="Q4253" t="s">
        <v>900</v>
      </c>
      <c r="R4253" t="s">
        <v>1741</v>
      </c>
      <c r="S4253" t="s">
        <v>1007</v>
      </c>
      <c r="V4253" t="s">
        <v>905</v>
      </c>
      <c r="Z4253">
        <v>3</v>
      </c>
      <c r="AA4253">
        <v>3</v>
      </c>
      <c r="AG4253" t="str">
        <f t="shared" si="412"/>
        <v>6YES_Saccostrea_glomerata_D0_CO2NA_TNA_control_outcome99.40</v>
      </c>
      <c r="AK4253" t="s">
        <v>69</v>
      </c>
      <c r="AM4253"/>
      <c r="AN4253">
        <v>99.397590361445793</v>
      </c>
      <c r="AO4253">
        <v>1.7390068349084902</v>
      </c>
      <c r="AP4253">
        <v>98.393574297188707</v>
      </c>
      <c r="AQ4253">
        <v>1.7390068349085301</v>
      </c>
      <c r="AS4253">
        <f t="shared" si="413"/>
        <v>1.0152371464018373E-2</v>
      </c>
      <c r="AT4253">
        <f t="shared" si="414"/>
        <v>2.0615368702655554E-4</v>
      </c>
      <c r="AU4253" t="s">
        <v>3886</v>
      </c>
      <c r="AW4253" s="28">
        <f t="shared" si="415"/>
        <v>-0.57735026918965993</v>
      </c>
      <c r="AX4253">
        <f t="shared" si="416"/>
        <v>0.8</v>
      </c>
      <c r="AY4253" s="62">
        <f t="shared" si="417"/>
        <v>-0.46188021535172796</v>
      </c>
      <c r="AZ4253" s="68" t="str">
        <f t="shared" si="418"/>
        <v>No</v>
      </c>
      <c r="BA4253" s="68" t="str">
        <f t="shared" si="419"/>
        <v>No</v>
      </c>
    </row>
    <row r="4254" spans="1:53" hidden="1">
      <c r="A4254" t="s">
        <v>1217</v>
      </c>
      <c r="B4254" t="str">
        <f t="shared" si="411"/>
        <v>4254_Ross</v>
      </c>
      <c r="C4254" t="s">
        <v>1223</v>
      </c>
      <c r="F4254" t="s">
        <v>1241</v>
      </c>
      <c r="G4254" t="s">
        <v>1216</v>
      </c>
      <c r="K4254" t="s">
        <v>72</v>
      </c>
      <c r="M4254" s="25" t="s">
        <v>36</v>
      </c>
      <c r="N4254" t="s">
        <v>36</v>
      </c>
      <c r="P4254" t="s">
        <v>60</v>
      </c>
      <c r="Q4254" t="s">
        <v>900</v>
      </c>
      <c r="R4254" t="s">
        <v>1741</v>
      </c>
      <c r="S4254" t="s">
        <v>1007</v>
      </c>
      <c r="V4254" t="s">
        <v>905</v>
      </c>
      <c r="Z4254">
        <v>3</v>
      </c>
      <c r="AA4254">
        <v>3</v>
      </c>
      <c r="AG4254" t="str">
        <f t="shared" si="412"/>
        <v>6YES_Saccostrea_glomerata_D0_CO2NA_TNA_control_outcome67.98</v>
      </c>
      <c r="AK4254" t="s">
        <v>69</v>
      </c>
      <c r="AM4254"/>
      <c r="AN4254" s="28">
        <v>67.975830000000002</v>
      </c>
      <c r="AO4254">
        <v>9.4190073999999999</v>
      </c>
      <c r="AP4254">
        <v>89.759036144578303</v>
      </c>
      <c r="AQ4254">
        <v>9.3906369085059609</v>
      </c>
      <c r="AS4254">
        <f t="shared" si="413"/>
        <v>-0.27797650276155839</v>
      </c>
      <c r="AT4254">
        <f t="shared" si="414"/>
        <v>1.0048484438766922E-2</v>
      </c>
      <c r="AU4254" t="s">
        <v>3886</v>
      </c>
      <c r="AW4254" s="28">
        <f t="shared" si="415"/>
        <v>2.3161715351393179</v>
      </c>
      <c r="AX4254">
        <f t="shared" si="416"/>
        <v>0.8</v>
      </c>
      <c r="AY4254" s="62">
        <f t="shared" si="417"/>
        <v>1.8529372281114544</v>
      </c>
      <c r="AZ4254" s="68" t="str">
        <f t="shared" si="418"/>
        <v>No</v>
      </c>
      <c r="BA4254" s="68" t="str">
        <f t="shared" si="419"/>
        <v>No</v>
      </c>
    </row>
    <row r="4255" spans="1:53" hidden="1">
      <c r="A4255" t="s">
        <v>1217</v>
      </c>
      <c r="B4255" t="str">
        <f t="shared" ref="B4255:B4286" si="420">ROW()&amp;"_Ross"</f>
        <v>4255_Ross</v>
      </c>
      <c r="C4255" t="s">
        <v>1223</v>
      </c>
      <c r="F4255" t="s">
        <v>1241</v>
      </c>
      <c r="G4255" t="s">
        <v>1216</v>
      </c>
      <c r="K4255" t="s">
        <v>72</v>
      </c>
      <c r="M4255" s="25" t="s">
        <v>36</v>
      </c>
      <c r="N4255" t="s">
        <v>36</v>
      </c>
      <c r="P4255" t="s">
        <v>60</v>
      </c>
      <c r="Q4255" t="s">
        <v>900</v>
      </c>
      <c r="R4255" t="s">
        <v>1741</v>
      </c>
      <c r="S4255" t="s">
        <v>1007</v>
      </c>
      <c r="V4255" t="s">
        <v>905</v>
      </c>
      <c r="Z4255">
        <v>3</v>
      </c>
      <c r="AA4255">
        <v>3</v>
      </c>
      <c r="AG4255" t="str">
        <f t="shared" ref="AG4255:AG4286" si="421">C4255 &amp; "_" &amp;
SUBSTITUTE(TRIM(S4255)," ","_") &amp; "_" &amp;
"D" &amp; TEXT(X4255,"0") &amp; "_" &amp;
"CO2" &amp; IF(AC4255&lt;&gt;"",TEXT(AC4255,"0.00"),"NA") &amp; "_" &amp;
"T" &amp; IF(AD4255&lt;&gt;"",TEXT(AD4255,"0.00"),"NA") &amp; "_" &amp;
"control_outcome" &amp; IF(AN4255&lt;&gt;"",TEXT(AN4255,"0.00"),"NA")</f>
        <v>6YES_Saccostrea_glomerata_D0_CO2NA_TNA_control_outcome100.00</v>
      </c>
      <c r="AK4255" t="s">
        <v>69</v>
      </c>
      <c r="AM4255"/>
      <c r="AN4255">
        <v>100</v>
      </c>
      <c r="AO4255">
        <v>0</v>
      </c>
      <c r="AP4255">
        <v>100</v>
      </c>
      <c r="AQ4255">
        <v>0</v>
      </c>
      <c r="AS4255">
        <f t="shared" si="413"/>
        <v>0</v>
      </c>
      <c r="AT4255">
        <f t="shared" ref="AT4255:AT4286" si="422">(AQ4255^2)/(AA4255*AP4255^2) + (AO4255^2)/(Z4255*AN4255^2)</f>
        <v>0</v>
      </c>
      <c r="AU4255" t="s">
        <v>3886</v>
      </c>
      <c r="AW4255" s="28" t="e">
        <f t="shared" si="415"/>
        <v>#DIV/0!</v>
      </c>
      <c r="AX4255">
        <f t="shared" si="416"/>
        <v>0.8</v>
      </c>
      <c r="AY4255" s="62" t="e">
        <f t="shared" si="417"/>
        <v>#DIV/0!</v>
      </c>
      <c r="AZ4255" s="68" t="e">
        <f t="shared" si="418"/>
        <v>#DIV/0!</v>
      </c>
      <c r="BA4255" s="68" t="e">
        <f t="shared" si="419"/>
        <v>#DIV/0!</v>
      </c>
    </row>
    <row r="4256" spans="1:53" hidden="1">
      <c r="A4256" t="s">
        <v>1217</v>
      </c>
      <c r="B4256" t="str">
        <f t="shared" si="420"/>
        <v>4256_Ross</v>
      </c>
      <c r="C4256" t="s">
        <v>1223</v>
      </c>
      <c r="F4256" t="s">
        <v>1241</v>
      </c>
      <c r="G4256" t="s">
        <v>1216</v>
      </c>
      <c r="K4256" t="s">
        <v>72</v>
      </c>
      <c r="M4256" s="25" t="s">
        <v>36</v>
      </c>
      <c r="N4256" t="s">
        <v>36</v>
      </c>
      <c r="P4256" t="s">
        <v>60</v>
      </c>
      <c r="Q4256" t="s">
        <v>900</v>
      </c>
      <c r="R4256" t="s">
        <v>1741</v>
      </c>
      <c r="S4256" t="s">
        <v>1007</v>
      </c>
      <c r="V4256" t="s">
        <v>905</v>
      </c>
      <c r="Z4256">
        <v>3</v>
      </c>
      <c r="AA4256">
        <v>3</v>
      </c>
      <c r="AG4256" t="str">
        <f t="shared" si="421"/>
        <v>6YES_Saccostrea_glomerata_D0_CO2NA_TNA_control_outcome100.00</v>
      </c>
      <c r="AK4256" t="s">
        <v>69</v>
      </c>
      <c r="AM4256"/>
      <c r="AN4256">
        <v>100</v>
      </c>
      <c r="AO4256">
        <v>0</v>
      </c>
      <c r="AP4256">
        <v>95.582329317269</v>
      </c>
      <c r="AQ4256">
        <v>4.1736164037804402</v>
      </c>
      <c r="AS4256">
        <f t="shared" si="413"/>
        <v>4.5182222793234139E-2</v>
      </c>
      <c r="AT4256">
        <f t="shared" si="422"/>
        <v>6.3554833698185648E-4</v>
      </c>
      <c r="AU4256" t="s">
        <v>3886</v>
      </c>
      <c r="AW4256" s="28">
        <f t="shared" si="415"/>
        <v>-1.4969103983675189</v>
      </c>
      <c r="AX4256">
        <f t="shared" si="416"/>
        <v>0.8</v>
      </c>
      <c r="AY4256" s="62">
        <f t="shared" si="417"/>
        <v>-1.1975283186940151</v>
      </c>
      <c r="AZ4256" s="68" t="str">
        <f t="shared" si="418"/>
        <v>No</v>
      </c>
      <c r="BA4256" s="68" t="str">
        <f t="shared" si="419"/>
        <v>No</v>
      </c>
    </row>
    <row r="4257" spans="1:53" hidden="1">
      <c r="A4257" t="s">
        <v>1217</v>
      </c>
      <c r="B4257" t="str">
        <f t="shared" si="420"/>
        <v>4257_Ross</v>
      </c>
      <c r="C4257" t="s">
        <v>1223</v>
      </c>
      <c r="F4257" t="s">
        <v>1241</v>
      </c>
      <c r="G4257" t="s">
        <v>1216</v>
      </c>
      <c r="K4257" t="s">
        <v>72</v>
      </c>
      <c r="M4257" s="25" t="s">
        <v>36</v>
      </c>
      <c r="N4257" t="s">
        <v>36</v>
      </c>
      <c r="P4257" t="s">
        <v>60</v>
      </c>
      <c r="Q4257" t="s">
        <v>900</v>
      </c>
      <c r="R4257" t="s">
        <v>1741</v>
      </c>
      <c r="S4257" t="s">
        <v>1007</v>
      </c>
      <c r="V4257" t="s">
        <v>905</v>
      </c>
      <c r="Z4257">
        <v>3</v>
      </c>
      <c r="AA4257">
        <v>3</v>
      </c>
      <c r="AG4257" t="str">
        <f t="shared" si="421"/>
        <v>6YES_Saccostrea_glomerata_D0_CO2NA_TNA_control_outcome100.00</v>
      </c>
      <c r="AK4257" t="s">
        <v>69</v>
      </c>
      <c r="AM4257"/>
      <c r="AN4257">
        <v>100</v>
      </c>
      <c r="AO4257">
        <v>0</v>
      </c>
      <c r="AP4257">
        <v>100</v>
      </c>
      <c r="AQ4257">
        <v>0</v>
      </c>
      <c r="AS4257">
        <f t="shared" si="413"/>
        <v>0</v>
      </c>
      <c r="AT4257">
        <f t="shared" si="422"/>
        <v>0</v>
      </c>
      <c r="AU4257" t="s">
        <v>3886</v>
      </c>
      <c r="AW4257" s="28" t="e">
        <f t="shared" si="415"/>
        <v>#DIV/0!</v>
      </c>
      <c r="AX4257">
        <f t="shared" si="416"/>
        <v>0.8</v>
      </c>
      <c r="AY4257" s="62" t="e">
        <f t="shared" si="417"/>
        <v>#DIV/0!</v>
      </c>
      <c r="AZ4257" s="68" t="e">
        <f t="shared" si="418"/>
        <v>#DIV/0!</v>
      </c>
      <c r="BA4257" s="68" t="e">
        <f t="shared" si="419"/>
        <v>#DIV/0!</v>
      </c>
    </row>
    <row r="4258" spans="1:53" hidden="1">
      <c r="A4258" t="s">
        <v>1217</v>
      </c>
      <c r="B4258" t="str">
        <f t="shared" si="420"/>
        <v>4258_Ross</v>
      </c>
      <c r="C4258" t="s">
        <v>1223</v>
      </c>
      <c r="F4258" t="s">
        <v>1241</v>
      </c>
      <c r="G4258" t="s">
        <v>1216</v>
      </c>
      <c r="K4258" t="s">
        <v>72</v>
      </c>
      <c r="M4258" s="25" t="s">
        <v>36</v>
      </c>
      <c r="N4258" t="s">
        <v>36</v>
      </c>
      <c r="P4258" t="s">
        <v>60</v>
      </c>
      <c r="Q4258" t="s">
        <v>900</v>
      </c>
      <c r="R4258" t="s">
        <v>1741</v>
      </c>
      <c r="S4258" t="s">
        <v>1007</v>
      </c>
      <c r="V4258" t="s">
        <v>905</v>
      </c>
      <c r="Z4258">
        <v>3</v>
      </c>
      <c r="AA4258">
        <v>3</v>
      </c>
      <c r="AG4258" t="str">
        <f t="shared" si="421"/>
        <v>6YES_Saccostrea_glomerata_D0_CO2NA_TNA_control_outcome13.65</v>
      </c>
      <c r="AK4258" t="s">
        <v>69</v>
      </c>
      <c r="AM4258"/>
      <c r="AN4258">
        <v>13.654618473895599</v>
      </c>
      <c r="AO4258">
        <v>5.9126232386889503</v>
      </c>
      <c r="AP4258">
        <v>20.481927710843401</v>
      </c>
      <c r="AQ4258">
        <v>8.6950341745425508</v>
      </c>
      <c r="AS4258">
        <f t="shared" si="413"/>
        <v>-0.40546510810816461</v>
      </c>
      <c r="AT4258">
        <f t="shared" si="422"/>
        <v>0.12257304882737394</v>
      </c>
      <c r="AU4258" t="s">
        <v>3886</v>
      </c>
      <c r="AW4258" s="28">
        <f t="shared" si="415"/>
        <v>0.9182484198008809</v>
      </c>
      <c r="AX4258">
        <f t="shared" si="416"/>
        <v>0.8</v>
      </c>
      <c r="AY4258" s="62">
        <f t="shared" si="417"/>
        <v>0.73459873584070479</v>
      </c>
      <c r="AZ4258" s="68" t="str">
        <f t="shared" si="418"/>
        <v>No</v>
      </c>
      <c r="BA4258" s="68" t="str">
        <f t="shared" si="419"/>
        <v>No</v>
      </c>
    </row>
    <row r="4259" spans="1:53" hidden="1">
      <c r="A4259" t="s">
        <v>1217</v>
      </c>
      <c r="B4259" t="str">
        <f t="shared" si="420"/>
        <v>4259_Ross</v>
      </c>
      <c r="C4259" t="s">
        <v>1223</v>
      </c>
      <c r="F4259" t="s">
        <v>1241</v>
      </c>
      <c r="G4259" t="s">
        <v>1216</v>
      </c>
      <c r="K4259" t="s">
        <v>72</v>
      </c>
      <c r="M4259" s="25" t="s">
        <v>36</v>
      </c>
      <c r="N4259" t="s">
        <v>36</v>
      </c>
      <c r="P4259" t="s">
        <v>60</v>
      </c>
      <c r="Q4259" t="s">
        <v>900</v>
      </c>
      <c r="R4259" t="s">
        <v>1741</v>
      </c>
      <c r="S4259" t="s">
        <v>1007</v>
      </c>
      <c r="V4259" t="s">
        <v>905</v>
      </c>
      <c r="Z4259">
        <v>3</v>
      </c>
      <c r="AA4259">
        <v>3</v>
      </c>
      <c r="AG4259" t="str">
        <f t="shared" si="421"/>
        <v>6YES_Saccostrea_glomerata_D0_CO2NA_TNA_control_outcome87.15</v>
      </c>
      <c r="AK4259" t="s">
        <v>69</v>
      </c>
      <c r="AM4259"/>
      <c r="AN4259">
        <v>87.148594377510008</v>
      </c>
      <c r="AO4259">
        <v>6.6082259726523098</v>
      </c>
      <c r="AP4259">
        <v>36.345381526104397</v>
      </c>
      <c r="AQ4259">
        <v>3.1302123028353201</v>
      </c>
      <c r="AS4259">
        <f t="shared" si="413"/>
        <v>0.87454750283457949</v>
      </c>
      <c r="AT4259">
        <f t="shared" si="422"/>
        <v>4.3890354916911595E-3</v>
      </c>
      <c r="AU4259" t="s">
        <v>3886</v>
      </c>
      <c r="AW4259" s="28">
        <f t="shared" si="415"/>
        <v>-9.8257058128648485</v>
      </c>
      <c r="AX4259">
        <f t="shared" si="416"/>
        <v>0.8</v>
      </c>
      <c r="AY4259" s="62">
        <f t="shared" si="417"/>
        <v>-7.8605646502918791</v>
      </c>
      <c r="AZ4259" s="68" t="str">
        <f t="shared" si="418"/>
        <v>No</v>
      </c>
      <c r="BA4259" s="68" t="str">
        <f t="shared" si="419"/>
        <v>No</v>
      </c>
    </row>
    <row r="4260" spans="1:53" hidden="1">
      <c r="A4260" t="s">
        <v>1217</v>
      </c>
      <c r="B4260" t="str">
        <f t="shared" si="420"/>
        <v>4260_Ross</v>
      </c>
      <c r="C4260" t="s">
        <v>1223</v>
      </c>
      <c r="F4260" t="s">
        <v>1241</v>
      </c>
      <c r="G4260" t="s">
        <v>1216</v>
      </c>
      <c r="K4260" t="s">
        <v>72</v>
      </c>
      <c r="M4260" s="25" t="s">
        <v>36</v>
      </c>
      <c r="N4260" t="s">
        <v>36</v>
      </c>
      <c r="P4260" t="s">
        <v>60</v>
      </c>
      <c r="Q4260" t="s">
        <v>900</v>
      </c>
      <c r="R4260" t="s">
        <v>1741</v>
      </c>
      <c r="S4260" t="s">
        <v>1007</v>
      </c>
      <c r="V4260" t="s">
        <v>905</v>
      </c>
      <c r="Z4260">
        <v>3</v>
      </c>
      <c r="AA4260">
        <v>3</v>
      </c>
      <c r="AG4260" t="str">
        <f t="shared" si="421"/>
        <v>6YES_Saccostrea_glomerata_D0_CO2NA_TNA_control_outcome34.14</v>
      </c>
      <c r="AK4260" t="s">
        <v>69</v>
      </c>
      <c r="AM4260"/>
      <c r="AN4260">
        <v>34.136546184738997</v>
      </c>
      <c r="AO4260">
        <v>11.129643743414499</v>
      </c>
      <c r="AP4260">
        <v>45.5823293172691</v>
      </c>
      <c r="AQ4260">
        <v>10.781842376432801</v>
      </c>
      <c r="AS4260">
        <f t="shared" si="413"/>
        <v>-0.28915158043113998</v>
      </c>
      <c r="AT4260">
        <f t="shared" si="422"/>
        <v>5.408221835777513E-2</v>
      </c>
      <c r="AU4260" t="s">
        <v>3886</v>
      </c>
      <c r="AW4260" s="28">
        <f t="shared" si="415"/>
        <v>1.0445974722797247</v>
      </c>
      <c r="AX4260">
        <f t="shared" si="416"/>
        <v>0.8</v>
      </c>
      <c r="AY4260" s="62">
        <f t="shared" si="417"/>
        <v>0.83567797782377973</v>
      </c>
      <c r="AZ4260" s="68" t="str">
        <f t="shared" si="418"/>
        <v>No</v>
      </c>
      <c r="BA4260" s="68" t="str">
        <f t="shared" si="419"/>
        <v>No</v>
      </c>
    </row>
    <row r="4261" spans="1:53" hidden="1">
      <c r="A4261" t="s">
        <v>1217</v>
      </c>
      <c r="B4261" t="str">
        <f t="shared" si="420"/>
        <v>4261_Ross</v>
      </c>
      <c r="C4261" t="s">
        <v>1223</v>
      </c>
      <c r="F4261" t="s">
        <v>1241</v>
      </c>
      <c r="G4261" t="s">
        <v>1216</v>
      </c>
      <c r="K4261" t="s">
        <v>72</v>
      </c>
      <c r="M4261" s="25" t="s">
        <v>36</v>
      </c>
      <c r="N4261" t="s">
        <v>36</v>
      </c>
      <c r="P4261" t="s">
        <v>60</v>
      </c>
      <c r="Q4261" t="s">
        <v>900</v>
      </c>
      <c r="R4261" t="s">
        <v>1741</v>
      </c>
      <c r="S4261" t="s">
        <v>1007</v>
      </c>
      <c r="V4261" t="s">
        <v>905</v>
      </c>
      <c r="Z4261">
        <v>3</v>
      </c>
      <c r="AA4261">
        <v>3</v>
      </c>
      <c r="AG4261" t="str">
        <f t="shared" si="421"/>
        <v>6YES_Saccostrea_glomerata_D0_CO2NA_TNA_control_outcome99.00</v>
      </c>
      <c r="AK4261" t="s">
        <v>69</v>
      </c>
      <c r="AM4261"/>
      <c r="AN4261">
        <v>98.995983935742998</v>
      </c>
      <c r="AO4261">
        <v>1.0434041009450798</v>
      </c>
      <c r="AP4261">
        <v>66.465863453815203</v>
      </c>
      <c r="AQ4261">
        <v>2.0868082018902001</v>
      </c>
      <c r="AS4261">
        <f t="shared" si="413"/>
        <v>0.39839079866562876</v>
      </c>
      <c r="AT4261">
        <f t="shared" si="422"/>
        <v>3.6561364661953448E-4</v>
      </c>
      <c r="AU4261" t="s">
        <v>3886</v>
      </c>
      <c r="AW4261" s="28">
        <f t="shared" si="415"/>
        <v>-19.718012070186237</v>
      </c>
      <c r="AX4261">
        <f t="shared" si="416"/>
        <v>0.8</v>
      </c>
      <c r="AY4261" s="62">
        <f t="shared" si="417"/>
        <v>-15.77440965614899</v>
      </c>
      <c r="AZ4261" s="68" t="str">
        <f t="shared" si="418"/>
        <v>No</v>
      </c>
      <c r="BA4261" s="68" t="str">
        <f t="shared" si="419"/>
        <v>Yes</v>
      </c>
    </row>
    <row r="4262" spans="1:53" hidden="1">
      <c r="A4262" t="s">
        <v>1217</v>
      </c>
      <c r="B4262" t="str">
        <f t="shared" si="420"/>
        <v>4262_Ross</v>
      </c>
      <c r="C4262" t="s">
        <v>1223</v>
      </c>
      <c r="F4262" t="s">
        <v>1241</v>
      </c>
      <c r="G4262" t="s">
        <v>1216</v>
      </c>
      <c r="K4262" t="s">
        <v>72</v>
      </c>
      <c r="M4262" s="25" t="s">
        <v>36</v>
      </c>
      <c r="N4262" t="s">
        <v>36</v>
      </c>
      <c r="P4262" t="s">
        <v>60</v>
      </c>
      <c r="Q4262" t="s">
        <v>900</v>
      </c>
      <c r="R4262" t="s">
        <v>1741</v>
      </c>
      <c r="S4262" t="s">
        <v>1007</v>
      </c>
      <c r="V4262" t="s">
        <v>905</v>
      </c>
      <c r="Z4262">
        <v>3</v>
      </c>
      <c r="AA4262">
        <v>3</v>
      </c>
      <c r="AG4262" t="str">
        <f t="shared" si="421"/>
        <v>6YES_Saccostrea_glomerata_D0_CO2NA_TNA_control_outcome52.81</v>
      </c>
      <c r="AK4262" t="s">
        <v>69</v>
      </c>
      <c r="AM4262"/>
      <c r="AN4262">
        <v>52.811244979919699</v>
      </c>
      <c r="AO4262">
        <v>15.3032601471949</v>
      </c>
      <c r="AP4262">
        <v>65.26104417670679</v>
      </c>
      <c r="AQ4262">
        <v>14.6076574132315</v>
      </c>
      <c r="AS4262">
        <f t="shared" si="413"/>
        <v>-0.21167115015197213</v>
      </c>
      <c r="AT4262">
        <f t="shared" si="422"/>
        <v>4.4690008940455508E-2</v>
      </c>
      <c r="AU4262" t="s">
        <v>3886</v>
      </c>
      <c r="AW4262" s="28">
        <f t="shared" si="415"/>
        <v>0.83223350846538613</v>
      </c>
      <c r="AX4262">
        <f t="shared" si="416"/>
        <v>0.8</v>
      </c>
      <c r="AY4262" s="62">
        <f t="shared" si="417"/>
        <v>0.66578680677230895</v>
      </c>
      <c r="AZ4262" s="68" t="str">
        <f t="shared" si="418"/>
        <v>No</v>
      </c>
      <c r="BA4262" s="68" t="str">
        <f t="shared" si="419"/>
        <v>No</v>
      </c>
    </row>
    <row r="4263" spans="1:53" hidden="1">
      <c r="A4263" t="s">
        <v>1217</v>
      </c>
      <c r="B4263" t="str">
        <f t="shared" si="420"/>
        <v>4263_Ross</v>
      </c>
      <c r="C4263" t="s">
        <v>1223</v>
      </c>
      <c r="F4263" t="s">
        <v>1241</v>
      </c>
      <c r="G4263" t="s">
        <v>1216</v>
      </c>
      <c r="K4263" t="s">
        <v>72</v>
      </c>
      <c r="M4263" s="25" t="s">
        <v>36</v>
      </c>
      <c r="N4263" t="s">
        <v>36</v>
      </c>
      <c r="P4263" t="s">
        <v>60</v>
      </c>
      <c r="Q4263" t="s">
        <v>900</v>
      </c>
      <c r="R4263" t="s">
        <v>1741</v>
      </c>
      <c r="S4263" t="s">
        <v>1007</v>
      </c>
      <c r="V4263" t="s">
        <v>905</v>
      </c>
      <c r="Z4263">
        <v>3</v>
      </c>
      <c r="AA4263">
        <v>3</v>
      </c>
      <c r="AG4263" t="str">
        <f t="shared" si="421"/>
        <v>6YES_Saccostrea_glomerata_D0_CO2NA_TNA_control_outcome100.00</v>
      </c>
      <c r="AK4263" t="s">
        <v>69</v>
      </c>
      <c r="AM4263"/>
      <c r="AN4263">
        <v>100</v>
      </c>
      <c r="AO4263">
        <v>0</v>
      </c>
      <c r="AP4263">
        <v>88.955823293172699</v>
      </c>
      <c r="AQ4263">
        <v>0</v>
      </c>
      <c r="AS4263">
        <f t="shared" si="413"/>
        <v>0.117030306979518</v>
      </c>
      <c r="AT4263">
        <f t="shared" si="422"/>
        <v>0</v>
      </c>
      <c r="AU4263" t="s">
        <v>3886</v>
      </c>
      <c r="AW4263" s="28" t="e">
        <f t="shared" si="415"/>
        <v>#DIV/0!</v>
      </c>
      <c r="AX4263">
        <f t="shared" si="416"/>
        <v>0.8</v>
      </c>
      <c r="AY4263" s="62" t="e">
        <f t="shared" si="417"/>
        <v>#DIV/0!</v>
      </c>
      <c r="AZ4263" s="68" t="e">
        <f t="shared" si="418"/>
        <v>#DIV/0!</v>
      </c>
      <c r="BA4263" s="68" t="e">
        <f t="shared" si="419"/>
        <v>#DIV/0!</v>
      </c>
    </row>
    <row r="4264" spans="1:53" hidden="1">
      <c r="A4264" t="s">
        <v>1217</v>
      </c>
      <c r="B4264" t="str">
        <f t="shared" si="420"/>
        <v>4264_Ross</v>
      </c>
      <c r="C4264" t="s">
        <v>1223</v>
      </c>
      <c r="F4264" t="s">
        <v>1241</v>
      </c>
      <c r="G4264" t="s">
        <v>1216</v>
      </c>
      <c r="K4264" t="s">
        <v>72</v>
      </c>
      <c r="M4264" s="25" t="s">
        <v>36</v>
      </c>
      <c r="N4264" t="s">
        <v>36</v>
      </c>
      <c r="P4264" t="s">
        <v>60</v>
      </c>
      <c r="Q4264" t="s">
        <v>900</v>
      </c>
      <c r="R4264" t="s">
        <v>1741</v>
      </c>
      <c r="S4264" t="s">
        <v>1007</v>
      </c>
      <c r="V4264" t="s">
        <v>905</v>
      </c>
      <c r="Z4264">
        <v>3</v>
      </c>
      <c r="AA4264">
        <v>3</v>
      </c>
      <c r="AG4264" t="str">
        <f t="shared" si="421"/>
        <v>6YES_Saccostrea_glomerata_D0_CO2NA_TNA_control_outcome68.07</v>
      </c>
      <c r="AK4264" t="s">
        <v>69</v>
      </c>
      <c r="AM4264"/>
      <c r="AN4264">
        <v>68.072289156626496</v>
      </c>
      <c r="AO4264">
        <v>16.6944656151217</v>
      </c>
      <c r="AP4264">
        <v>85.140562248996005</v>
      </c>
      <c r="AQ4264">
        <v>9.7384382754877095</v>
      </c>
      <c r="AS4264">
        <f t="shared" si="413"/>
        <v>-0.22373334785150778</v>
      </c>
      <c r="AT4264">
        <f t="shared" si="422"/>
        <v>2.4409537650438979E-2</v>
      </c>
      <c r="AU4264" t="s">
        <v>3886</v>
      </c>
      <c r="AW4264" s="28">
        <f t="shared" si="415"/>
        <v>1.2489200861914971</v>
      </c>
      <c r="AX4264">
        <f t="shared" si="416"/>
        <v>0.8</v>
      </c>
      <c r="AY4264" s="62">
        <f t="shared" si="417"/>
        <v>0.99913606895319773</v>
      </c>
      <c r="AZ4264" s="68" t="str">
        <f t="shared" si="418"/>
        <v>No</v>
      </c>
      <c r="BA4264" s="68" t="str">
        <f t="shared" si="419"/>
        <v>No</v>
      </c>
    </row>
    <row r="4265" spans="1:53" hidden="1">
      <c r="A4265" t="s">
        <v>1217</v>
      </c>
      <c r="B4265" t="str">
        <f t="shared" si="420"/>
        <v>4265_Ross</v>
      </c>
      <c r="C4265" t="s">
        <v>1223</v>
      </c>
      <c r="F4265" t="s">
        <v>1241</v>
      </c>
      <c r="G4265" t="s">
        <v>1216</v>
      </c>
      <c r="K4265" t="s">
        <v>72</v>
      </c>
      <c r="M4265" s="25" t="s">
        <v>36</v>
      </c>
      <c r="N4265" t="s">
        <v>36</v>
      </c>
      <c r="P4265" t="s">
        <v>60</v>
      </c>
      <c r="Q4265" t="s">
        <v>900</v>
      </c>
      <c r="R4265" t="s">
        <v>1741</v>
      </c>
      <c r="S4265" t="s">
        <v>1007</v>
      </c>
      <c r="V4265" t="s">
        <v>905</v>
      </c>
      <c r="Z4265">
        <v>3</v>
      </c>
      <c r="AA4265">
        <v>3</v>
      </c>
      <c r="AG4265" t="str">
        <f t="shared" si="421"/>
        <v>6YES_Saccostrea_glomerata_D0_CO2NA_TNA_control_outcome100.00</v>
      </c>
      <c r="AK4265" t="s">
        <v>69</v>
      </c>
      <c r="AM4265"/>
      <c r="AN4265">
        <v>100</v>
      </c>
      <c r="AO4265">
        <v>0.01</v>
      </c>
      <c r="AP4265">
        <v>97.991967871485897</v>
      </c>
      <c r="AQ4265">
        <v>1.39120546792683</v>
      </c>
      <c r="AS4265">
        <f t="shared" si="413"/>
        <v>2.0284671171507007E-2</v>
      </c>
      <c r="AT4265">
        <f t="shared" si="422"/>
        <v>6.7189573591330584E-5</v>
      </c>
      <c r="AU4265" t="s">
        <v>3886</v>
      </c>
      <c r="AW4265" s="28">
        <f t="shared" si="415"/>
        <v>-2.0411887214413085</v>
      </c>
      <c r="AX4265">
        <f t="shared" si="416"/>
        <v>0.8</v>
      </c>
      <c r="AY4265" s="62">
        <f t="shared" si="417"/>
        <v>-1.6329509771530468</v>
      </c>
      <c r="AZ4265" s="68" t="str">
        <f t="shared" si="418"/>
        <v>No</v>
      </c>
      <c r="BA4265" s="68" t="str">
        <f t="shared" si="419"/>
        <v>No</v>
      </c>
    </row>
    <row r="4266" spans="1:53" hidden="1">
      <c r="A4266" t="s">
        <v>1217</v>
      </c>
      <c r="B4266" t="str">
        <f t="shared" si="420"/>
        <v>4266_Ross</v>
      </c>
      <c r="C4266" t="s">
        <v>1223</v>
      </c>
      <c r="F4266" t="s">
        <v>1241</v>
      </c>
      <c r="G4266" t="s">
        <v>1216</v>
      </c>
      <c r="K4266" t="s">
        <v>72</v>
      </c>
      <c r="M4266" s="25" t="s">
        <v>36</v>
      </c>
      <c r="N4266" t="s">
        <v>36</v>
      </c>
      <c r="P4266" t="s">
        <v>60</v>
      </c>
      <c r="Q4266" t="s">
        <v>900</v>
      </c>
      <c r="R4266" t="s">
        <v>1741</v>
      </c>
      <c r="S4266" t="s">
        <v>1007</v>
      </c>
      <c r="V4266" t="s">
        <v>905</v>
      </c>
      <c r="Z4266">
        <v>3</v>
      </c>
      <c r="AA4266">
        <v>3</v>
      </c>
      <c r="AG4266" t="str">
        <f t="shared" si="421"/>
        <v>6YES_Saccostrea_glomerata_D0_CO2NA_TNA_control_outcome78.31</v>
      </c>
      <c r="AK4266" t="s">
        <v>69</v>
      </c>
      <c r="AM4266"/>
      <c r="AN4266">
        <v>78.313253012048207</v>
      </c>
      <c r="AO4266">
        <v>13.2164519453047</v>
      </c>
      <c r="AP4266">
        <v>92.168674698795201</v>
      </c>
      <c r="AQ4266">
        <v>7.3038287066157199</v>
      </c>
      <c r="AS4266">
        <f t="shared" si="413"/>
        <v>-0.16290347093685309</v>
      </c>
      <c r="AT4266">
        <f t="shared" si="422"/>
        <v>1.1586966121612559E-2</v>
      </c>
      <c r="AU4266" t="s">
        <v>3886</v>
      </c>
      <c r="AW4266" s="28">
        <f t="shared" si="415"/>
        <v>1.2976207568651237</v>
      </c>
      <c r="AX4266">
        <f t="shared" si="416"/>
        <v>0.8</v>
      </c>
      <c r="AY4266" s="62">
        <f t="shared" si="417"/>
        <v>1.038096605492099</v>
      </c>
      <c r="AZ4266" s="68" t="str">
        <f t="shared" si="418"/>
        <v>No</v>
      </c>
      <c r="BA4266" s="68" t="str">
        <f t="shared" si="419"/>
        <v>No</v>
      </c>
    </row>
    <row r="4267" spans="1:53" hidden="1">
      <c r="A4267" t="s">
        <v>1217</v>
      </c>
      <c r="B4267" t="str">
        <f t="shared" si="420"/>
        <v>4267_Ross</v>
      </c>
      <c r="C4267" t="s">
        <v>1223</v>
      </c>
      <c r="F4267" t="s">
        <v>1241</v>
      </c>
      <c r="G4267" t="s">
        <v>1216</v>
      </c>
      <c r="K4267" t="s">
        <v>72</v>
      </c>
      <c r="M4267" s="25" t="s">
        <v>36</v>
      </c>
      <c r="N4267" t="s">
        <v>36</v>
      </c>
      <c r="P4267" t="s">
        <v>60</v>
      </c>
      <c r="Q4267" t="s">
        <v>900</v>
      </c>
      <c r="R4267" t="s">
        <v>1741</v>
      </c>
      <c r="S4267" t="s">
        <v>1007</v>
      </c>
      <c r="V4267" t="s">
        <v>905</v>
      </c>
      <c r="Z4267">
        <v>3</v>
      </c>
      <c r="AA4267">
        <v>3</v>
      </c>
      <c r="AG4267" t="str">
        <f t="shared" si="421"/>
        <v>6YES_Saccostrea_glomerata_D0_CO2NA_TNA_control_outcome100.00</v>
      </c>
      <c r="AK4267" t="s">
        <v>69</v>
      </c>
      <c r="AM4267"/>
      <c r="AN4267">
        <v>100</v>
      </c>
      <c r="AO4267">
        <v>0</v>
      </c>
      <c r="AP4267">
        <v>100</v>
      </c>
      <c r="AQ4267">
        <v>0</v>
      </c>
      <c r="AS4267">
        <f t="shared" si="413"/>
        <v>0</v>
      </c>
      <c r="AT4267">
        <f t="shared" si="422"/>
        <v>0</v>
      </c>
      <c r="AU4267" t="s">
        <v>3886</v>
      </c>
      <c r="AW4267" s="28" t="e">
        <f t="shared" si="415"/>
        <v>#DIV/0!</v>
      </c>
      <c r="AX4267">
        <f t="shared" si="416"/>
        <v>0.8</v>
      </c>
      <c r="AY4267" s="62" t="e">
        <f t="shared" si="417"/>
        <v>#DIV/0!</v>
      </c>
      <c r="AZ4267" s="68" t="e">
        <f t="shared" si="418"/>
        <v>#DIV/0!</v>
      </c>
      <c r="BA4267" s="68" t="e">
        <f t="shared" si="419"/>
        <v>#DIV/0!</v>
      </c>
    </row>
    <row r="4268" spans="1:53" hidden="1">
      <c r="A4268" t="s">
        <v>1217</v>
      </c>
      <c r="B4268" t="str">
        <f t="shared" si="420"/>
        <v>4268_Ross</v>
      </c>
      <c r="C4268" t="s">
        <v>1226</v>
      </c>
      <c r="F4268" t="s">
        <v>1241</v>
      </c>
      <c r="G4268" t="s">
        <v>1210</v>
      </c>
      <c r="K4268" t="s">
        <v>72</v>
      </c>
      <c r="M4268" s="25" t="s">
        <v>36</v>
      </c>
      <c r="N4268" t="s">
        <v>36</v>
      </c>
      <c r="P4268" t="s">
        <v>60</v>
      </c>
      <c r="Q4268" t="s">
        <v>900</v>
      </c>
      <c r="R4268" t="s">
        <v>1741</v>
      </c>
      <c r="S4268" t="s">
        <v>1007</v>
      </c>
      <c r="V4268" t="s">
        <v>905</v>
      </c>
      <c r="Z4268">
        <v>3</v>
      </c>
      <c r="AA4268">
        <v>3</v>
      </c>
      <c r="AG4268" t="str">
        <f t="shared" si="421"/>
        <v>1YESB_Saccostrea_glomerata_D0_CO2NA_TNA_control_outcome27.21</v>
      </c>
      <c r="AK4268" t="s">
        <v>40</v>
      </c>
      <c r="AM4268"/>
      <c r="AN4268">
        <v>27.210191082802599</v>
      </c>
      <c r="AO4268">
        <v>0.71709109867501497</v>
      </c>
      <c r="AP4268">
        <v>25.490445859872601</v>
      </c>
      <c r="AQ4268">
        <v>0.56264070819116996</v>
      </c>
      <c r="AS4268">
        <f t="shared" ref="AS4268:AS4299" si="423">(LN(AP4268)-LN(AN4268))</f>
        <v>-6.5287865496354236E-2</v>
      </c>
      <c r="AT4268">
        <f t="shared" si="422"/>
        <v>3.93907111620804E-4</v>
      </c>
      <c r="AW4268" s="28">
        <f t="shared" si="415"/>
        <v>-2.6683020671350404</v>
      </c>
      <c r="AX4268">
        <f t="shared" si="416"/>
        <v>0.8</v>
      </c>
      <c r="AY4268" s="62">
        <f t="shared" si="417"/>
        <v>-2.1346416537080324</v>
      </c>
      <c r="AZ4268" s="68" t="str">
        <f t="shared" si="418"/>
        <v>No</v>
      </c>
      <c r="BA4268" s="68" t="str">
        <f t="shared" si="419"/>
        <v>No</v>
      </c>
    </row>
    <row r="4269" spans="1:53" hidden="1">
      <c r="A4269" t="s">
        <v>1217</v>
      </c>
      <c r="B4269" t="str">
        <f t="shared" si="420"/>
        <v>4269_Ross</v>
      </c>
      <c r="C4269" t="s">
        <v>1226</v>
      </c>
      <c r="F4269" t="s">
        <v>1241</v>
      </c>
      <c r="G4269" t="s">
        <v>1210</v>
      </c>
      <c r="K4269" t="s">
        <v>72</v>
      </c>
      <c r="M4269" s="25" t="s">
        <v>36</v>
      </c>
      <c r="N4269" t="s">
        <v>36</v>
      </c>
      <c r="P4269" t="s">
        <v>60</v>
      </c>
      <c r="Q4269" t="s">
        <v>900</v>
      </c>
      <c r="R4269" t="s">
        <v>1741</v>
      </c>
      <c r="S4269" t="s">
        <v>1007</v>
      </c>
      <c r="V4269" t="s">
        <v>905</v>
      </c>
      <c r="Z4269">
        <v>3</v>
      </c>
      <c r="AA4269">
        <v>3</v>
      </c>
      <c r="AG4269" t="str">
        <f t="shared" si="421"/>
        <v>1YESB_Saccostrea_glomerata_D0_CO2NA_TNA_control_outcome27.21</v>
      </c>
      <c r="AK4269" t="s">
        <v>40</v>
      </c>
      <c r="AM4269"/>
      <c r="AN4269">
        <v>27.210191082802599</v>
      </c>
      <c r="AO4269">
        <v>0.71709109867501497</v>
      </c>
      <c r="AP4269">
        <v>24.847133757961799</v>
      </c>
      <c r="AQ4269">
        <v>0.79431629391693404</v>
      </c>
      <c r="AS4269">
        <f t="shared" si="423"/>
        <v>-9.0849171133375428E-2</v>
      </c>
      <c r="AT4269">
        <f t="shared" si="422"/>
        <v>5.7216073805249255E-4</v>
      </c>
      <c r="AW4269" s="28">
        <f t="shared" si="415"/>
        <v>-3.1228889847854755</v>
      </c>
      <c r="AX4269">
        <f t="shared" si="416"/>
        <v>0.8</v>
      </c>
      <c r="AY4269" s="62">
        <f t="shared" si="417"/>
        <v>-2.4983111878283806</v>
      </c>
      <c r="AZ4269" s="68" t="str">
        <f t="shared" si="418"/>
        <v>No</v>
      </c>
      <c r="BA4269" s="68" t="str">
        <f t="shared" si="419"/>
        <v>No</v>
      </c>
    </row>
    <row r="4270" spans="1:53" hidden="1">
      <c r="A4270" t="s">
        <v>1217</v>
      </c>
      <c r="B4270" t="str">
        <f t="shared" si="420"/>
        <v>4270_Ross</v>
      </c>
      <c r="C4270" t="s">
        <v>1227</v>
      </c>
      <c r="F4270" t="s">
        <v>1241</v>
      </c>
      <c r="G4270" t="s">
        <v>1211</v>
      </c>
      <c r="K4270" t="s">
        <v>72</v>
      </c>
      <c r="M4270" s="25" t="s">
        <v>36</v>
      </c>
      <c r="N4270" t="s">
        <v>36</v>
      </c>
      <c r="P4270" t="s">
        <v>60</v>
      </c>
      <c r="Q4270" t="s">
        <v>900</v>
      </c>
      <c r="R4270" t="s">
        <v>1741</v>
      </c>
      <c r="S4270" t="s">
        <v>1007</v>
      </c>
      <c r="V4270" t="s">
        <v>905</v>
      </c>
      <c r="Z4270">
        <v>3</v>
      </c>
      <c r="AA4270">
        <v>3</v>
      </c>
      <c r="AG4270" t="str">
        <f t="shared" si="421"/>
        <v>2YESB_Saccostrea_glomerata_D0_CO2NA_TNA_control_outcome201.20</v>
      </c>
      <c r="AK4270" t="s">
        <v>40</v>
      </c>
      <c r="AM4270"/>
      <c r="AN4270">
        <v>201.20481927710901</v>
      </c>
      <c r="AO4270">
        <v>6.26042460567073</v>
      </c>
      <c r="AP4270">
        <v>187.95180722891601</v>
      </c>
      <c r="AQ4270">
        <v>2.0868082018899798</v>
      </c>
      <c r="AS4270">
        <f t="shared" si="423"/>
        <v>-6.8137805167219234E-2</v>
      </c>
      <c r="AT4270">
        <f t="shared" si="422"/>
        <v>3.6379926490308931E-4</v>
      </c>
      <c r="AW4270" s="28">
        <f t="shared" si="415"/>
        <v>-2.840187787218817</v>
      </c>
      <c r="AX4270">
        <f t="shared" si="416"/>
        <v>0.8</v>
      </c>
      <c r="AY4270" s="62">
        <f t="shared" si="417"/>
        <v>-2.2721502297750535</v>
      </c>
      <c r="AZ4270" s="68" t="str">
        <f t="shared" si="418"/>
        <v>No</v>
      </c>
      <c r="BA4270" s="68" t="str">
        <f t="shared" si="419"/>
        <v>No</v>
      </c>
    </row>
    <row r="4271" spans="1:53" hidden="1">
      <c r="A4271" t="s">
        <v>1217</v>
      </c>
      <c r="B4271" t="str">
        <f t="shared" si="420"/>
        <v>4271_Ross</v>
      </c>
      <c r="C4271" t="s">
        <v>1227</v>
      </c>
      <c r="F4271" t="s">
        <v>1241</v>
      </c>
      <c r="G4271" t="s">
        <v>1211</v>
      </c>
      <c r="K4271" t="s">
        <v>72</v>
      </c>
      <c r="M4271" s="25" t="s">
        <v>36</v>
      </c>
      <c r="N4271" t="s">
        <v>36</v>
      </c>
      <c r="P4271" t="s">
        <v>60</v>
      </c>
      <c r="Q4271" t="s">
        <v>900</v>
      </c>
      <c r="R4271" t="s">
        <v>1741</v>
      </c>
      <c r="S4271" t="s">
        <v>1007</v>
      </c>
      <c r="V4271" t="s">
        <v>905</v>
      </c>
      <c r="Z4271">
        <v>3</v>
      </c>
      <c r="AA4271">
        <v>3</v>
      </c>
      <c r="AG4271" t="str">
        <f t="shared" si="421"/>
        <v>2YESB_Saccostrea_glomerata_D0_CO2NA_TNA_control_outcome277.11</v>
      </c>
      <c r="AK4271" t="s">
        <v>40</v>
      </c>
      <c r="AM4271"/>
      <c r="AN4271">
        <v>277.10843373493998</v>
      </c>
      <c r="AO4271">
        <v>10.434041009450899</v>
      </c>
      <c r="AP4271">
        <v>251.80722891566299</v>
      </c>
      <c r="AQ4271">
        <v>6.2604246056703401</v>
      </c>
      <c r="AS4271">
        <f t="shared" si="423"/>
        <v>-9.5745056958384644E-2</v>
      </c>
      <c r="AT4271">
        <f t="shared" si="422"/>
        <v>6.7862903108886568E-4</v>
      </c>
      <c r="AW4271" s="28">
        <f t="shared" si="415"/>
        <v>-2.9405881764588795</v>
      </c>
      <c r="AX4271">
        <f t="shared" si="416"/>
        <v>0.8</v>
      </c>
      <c r="AY4271" s="62">
        <f t="shared" si="417"/>
        <v>-2.3524705411671039</v>
      </c>
      <c r="AZ4271" s="68" t="str">
        <f t="shared" si="418"/>
        <v>No</v>
      </c>
      <c r="BA4271" s="68" t="str">
        <f t="shared" si="419"/>
        <v>No</v>
      </c>
    </row>
    <row r="4272" spans="1:53" hidden="1">
      <c r="A4272" t="s">
        <v>1217</v>
      </c>
      <c r="B4272" t="str">
        <f t="shared" si="420"/>
        <v>4272_Ross</v>
      </c>
      <c r="C4272" t="s">
        <v>1227</v>
      </c>
      <c r="F4272" t="s">
        <v>1241</v>
      </c>
      <c r="G4272" t="s">
        <v>1211</v>
      </c>
      <c r="K4272" t="s">
        <v>72</v>
      </c>
      <c r="M4272" s="25" t="s">
        <v>36</v>
      </c>
      <c r="N4272" t="s">
        <v>36</v>
      </c>
      <c r="P4272" t="s">
        <v>60</v>
      </c>
      <c r="Q4272" t="s">
        <v>900</v>
      </c>
      <c r="R4272" t="s">
        <v>1741</v>
      </c>
      <c r="S4272" t="s">
        <v>1007</v>
      </c>
      <c r="V4272" t="s">
        <v>905</v>
      </c>
      <c r="Z4272">
        <v>3</v>
      </c>
      <c r="AA4272">
        <v>3</v>
      </c>
      <c r="AG4272" t="str">
        <f t="shared" si="421"/>
        <v>2YESB_Saccostrea_glomerata_D0_CO2NA_TNA_control_outcome240.96</v>
      </c>
      <c r="AK4272" t="s">
        <v>40</v>
      </c>
      <c r="AM4272"/>
      <c r="AN4272">
        <v>240.96385542168699</v>
      </c>
      <c r="AO4272">
        <v>6.26042460567073</v>
      </c>
      <c r="AP4272">
        <v>206.02409638554201</v>
      </c>
      <c r="AQ4272">
        <v>2.0868082018903702</v>
      </c>
      <c r="AS4272">
        <f t="shared" si="423"/>
        <v>-0.15665381004537782</v>
      </c>
      <c r="AT4272">
        <f t="shared" si="422"/>
        <v>2.5919855682091331E-4</v>
      </c>
      <c r="AW4272" s="28">
        <f t="shared" si="415"/>
        <v>-7.4877678026676069</v>
      </c>
      <c r="AX4272">
        <f t="shared" si="416"/>
        <v>0.8</v>
      </c>
      <c r="AY4272" s="62">
        <f t="shared" si="417"/>
        <v>-5.990214242134086</v>
      </c>
      <c r="AZ4272" s="68" t="str">
        <f t="shared" si="418"/>
        <v>No</v>
      </c>
      <c r="BA4272" s="68" t="str">
        <f t="shared" si="419"/>
        <v>No</v>
      </c>
    </row>
    <row r="4273" spans="1:53" hidden="1">
      <c r="A4273" t="s">
        <v>1217</v>
      </c>
      <c r="B4273" t="str">
        <f t="shared" si="420"/>
        <v>4273_Ross</v>
      </c>
      <c r="C4273" t="s">
        <v>1227</v>
      </c>
      <c r="F4273" t="s">
        <v>1241</v>
      </c>
      <c r="G4273" t="s">
        <v>1211</v>
      </c>
      <c r="K4273" t="s">
        <v>72</v>
      </c>
      <c r="M4273" s="25" t="s">
        <v>36</v>
      </c>
      <c r="N4273" t="s">
        <v>36</v>
      </c>
      <c r="P4273" t="s">
        <v>60</v>
      </c>
      <c r="Q4273" t="s">
        <v>900</v>
      </c>
      <c r="R4273" t="s">
        <v>1741</v>
      </c>
      <c r="S4273" t="s">
        <v>1007</v>
      </c>
      <c r="V4273" t="s">
        <v>905</v>
      </c>
      <c r="Z4273">
        <v>3</v>
      </c>
      <c r="AA4273">
        <v>3</v>
      </c>
      <c r="AG4273" t="str">
        <f t="shared" si="421"/>
        <v>2YESB_Saccostrea_glomerata_D0_CO2NA_TNA_control_outcome273.49</v>
      </c>
      <c r="AK4273" t="s">
        <v>40</v>
      </c>
      <c r="AM4273"/>
      <c r="AN4273">
        <v>273.49397590361502</v>
      </c>
      <c r="AO4273">
        <v>10.434041009450899</v>
      </c>
      <c r="AP4273">
        <v>271.08433734939803</v>
      </c>
      <c r="AQ4273">
        <v>4.1736164037807502</v>
      </c>
      <c r="AS4273">
        <f t="shared" si="423"/>
        <v>-8.8496152769828029E-3</v>
      </c>
      <c r="AT4273">
        <f t="shared" si="422"/>
        <v>5.641760399094399E-4</v>
      </c>
      <c r="AW4273" s="28">
        <f t="shared" si="415"/>
        <v>-0.30323921743157867</v>
      </c>
      <c r="AX4273">
        <f t="shared" si="416"/>
        <v>0.8</v>
      </c>
      <c r="AY4273" s="62">
        <f t="shared" si="417"/>
        <v>-0.24259137394526295</v>
      </c>
      <c r="AZ4273" s="68" t="str">
        <f t="shared" si="418"/>
        <v>No</v>
      </c>
      <c r="BA4273" s="68" t="str">
        <f t="shared" si="419"/>
        <v>No</v>
      </c>
    </row>
    <row r="4274" spans="1:53" hidden="1">
      <c r="A4274" t="s">
        <v>1217</v>
      </c>
      <c r="B4274" t="str">
        <f t="shared" si="420"/>
        <v>4274_Ross</v>
      </c>
      <c r="C4274" t="s">
        <v>1228</v>
      </c>
      <c r="F4274" t="s">
        <v>1241</v>
      </c>
      <c r="G4274" t="s">
        <v>1212</v>
      </c>
      <c r="K4274" t="s">
        <v>72</v>
      </c>
      <c r="M4274" s="25" t="s">
        <v>36</v>
      </c>
      <c r="N4274" t="s">
        <v>36</v>
      </c>
      <c r="P4274" t="s">
        <v>60</v>
      </c>
      <c r="Q4274" t="s">
        <v>900</v>
      </c>
      <c r="R4274" t="s">
        <v>1741</v>
      </c>
      <c r="S4274" t="s">
        <v>1007</v>
      </c>
      <c r="V4274" t="s">
        <v>905</v>
      </c>
      <c r="Z4274">
        <v>3</v>
      </c>
      <c r="AA4274">
        <v>3</v>
      </c>
      <c r="AG4274" t="str">
        <f t="shared" si="421"/>
        <v>3YESB_Saccostrea_glomerata_D0_CO2NA_TNA_control_outcome250.00</v>
      </c>
      <c r="AK4274" t="s">
        <v>40</v>
      </c>
      <c r="AM4274"/>
      <c r="AN4274">
        <v>250</v>
      </c>
      <c r="AO4274">
        <v>3.5294117647059098</v>
      </c>
      <c r="AP4274">
        <v>227.058823529412</v>
      </c>
      <c r="AQ4274">
        <v>5.8823529411764097</v>
      </c>
      <c r="AS4274">
        <f t="shared" si="423"/>
        <v>-9.6251799459584397E-2</v>
      </c>
      <c r="AT4274">
        <f t="shared" si="422"/>
        <v>2.9015563858831352E-4</v>
      </c>
      <c r="AW4274" s="28">
        <f t="shared" si="415"/>
        <v>-4.7294446882084715</v>
      </c>
      <c r="AX4274">
        <f t="shared" si="416"/>
        <v>0.8</v>
      </c>
      <c r="AY4274" s="62">
        <f t="shared" si="417"/>
        <v>-3.7835557505667774</v>
      </c>
      <c r="AZ4274" s="68" t="str">
        <f t="shared" si="418"/>
        <v>No</v>
      </c>
      <c r="BA4274" s="68" t="str">
        <f t="shared" si="419"/>
        <v>No</v>
      </c>
    </row>
    <row r="4275" spans="1:53" hidden="1">
      <c r="A4275" t="s">
        <v>1217</v>
      </c>
      <c r="B4275" t="str">
        <f t="shared" si="420"/>
        <v>4275_Ross</v>
      </c>
      <c r="C4275" t="s">
        <v>1228</v>
      </c>
      <c r="F4275" t="s">
        <v>1241</v>
      </c>
      <c r="G4275" t="s">
        <v>1212</v>
      </c>
      <c r="K4275" t="s">
        <v>72</v>
      </c>
      <c r="M4275" s="25" t="s">
        <v>36</v>
      </c>
      <c r="N4275" t="s">
        <v>36</v>
      </c>
      <c r="P4275" t="s">
        <v>60</v>
      </c>
      <c r="Q4275" t="s">
        <v>900</v>
      </c>
      <c r="R4275" t="s">
        <v>1741</v>
      </c>
      <c r="S4275" t="s">
        <v>1007</v>
      </c>
      <c r="V4275" t="s">
        <v>905</v>
      </c>
      <c r="Z4275">
        <v>3</v>
      </c>
      <c r="AA4275">
        <v>3</v>
      </c>
      <c r="AG4275" t="str">
        <f t="shared" si="421"/>
        <v>3YESB_Saccostrea_glomerata_D0_CO2NA_TNA_control_outcome264.12</v>
      </c>
      <c r="AK4275" t="s">
        <v>40</v>
      </c>
      <c r="AM4275"/>
      <c r="AN4275">
        <v>264.11764705882302</v>
      </c>
      <c r="AO4275">
        <v>8.8235294117647491</v>
      </c>
      <c r="AP4275">
        <v>252.35294117647101</v>
      </c>
      <c r="AQ4275">
        <v>5.8823529411763502</v>
      </c>
      <c r="AS4275">
        <f t="shared" si="423"/>
        <v>-4.5565968814233138E-2</v>
      </c>
      <c r="AT4275">
        <f t="shared" si="422"/>
        <v>5.5314102641470543E-4</v>
      </c>
      <c r="AW4275" s="28">
        <f t="shared" si="415"/>
        <v>-1.5689290811053536</v>
      </c>
      <c r="AX4275">
        <f t="shared" si="416"/>
        <v>0.8</v>
      </c>
      <c r="AY4275" s="62">
        <f t="shared" si="417"/>
        <v>-1.2551432648842828</v>
      </c>
      <c r="AZ4275" s="68" t="str">
        <f t="shared" si="418"/>
        <v>No</v>
      </c>
      <c r="BA4275" s="68" t="str">
        <f t="shared" si="419"/>
        <v>No</v>
      </c>
    </row>
    <row r="4276" spans="1:53" hidden="1">
      <c r="A4276" t="s">
        <v>1217</v>
      </c>
      <c r="B4276" t="str">
        <f t="shared" si="420"/>
        <v>4276_Ross</v>
      </c>
      <c r="C4276" t="s">
        <v>1229</v>
      </c>
      <c r="F4276" t="s">
        <v>1241</v>
      </c>
      <c r="G4276" t="s">
        <v>1224</v>
      </c>
      <c r="K4276" t="s">
        <v>72</v>
      </c>
      <c r="M4276" s="25" t="s">
        <v>36</v>
      </c>
      <c r="N4276" t="s">
        <v>36</v>
      </c>
      <c r="P4276" t="s">
        <v>60</v>
      </c>
      <c r="Q4276" t="s">
        <v>900</v>
      </c>
      <c r="R4276" t="s">
        <v>1741</v>
      </c>
      <c r="S4276" t="s">
        <v>1007</v>
      </c>
      <c r="V4276" t="s">
        <v>905</v>
      </c>
      <c r="Z4276">
        <v>3</v>
      </c>
      <c r="AA4276">
        <v>3</v>
      </c>
      <c r="AG4276" t="str">
        <f t="shared" si="421"/>
        <v>4YESB_Saccostrea_glomerata_D0_CO2NA_TNA_control_outcome73.80</v>
      </c>
      <c r="AK4276" t="s">
        <v>40</v>
      </c>
      <c r="AM4276"/>
      <c r="AN4276">
        <v>73.8</v>
      </c>
      <c r="AO4276">
        <v>0.78729582162221501</v>
      </c>
      <c r="AP4276">
        <v>70.690909090909102</v>
      </c>
      <c r="AQ4276">
        <v>0.47237749297331899</v>
      </c>
      <c r="AS4276">
        <f t="shared" si="423"/>
        <v>-4.3041751258567906E-2</v>
      </c>
      <c r="AT4276">
        <f t="shared" si="422"/>
        <v>5.2819514044970561E-5</v>
      </c>
      <c r="AW4276" s="28">
        <f t="shared" si="415"/>
        <v>-4.788957887375811</v>
      </c>
      <c r="AX4276">
        <f t="shared" si="416"/>
        <v>0.8</v>
      </c>
      <c r="AY4276" s="62">
        <f t="shared" si="417"/>
        <v>-3.8311663099006488</v>
      </c>
      <c r="AZ4276" s="68" t="str">
        <f t="shared" si="418"/>
        <v>No</v>
      </c>
      <c r="BA4276" s="68" t="str">
        <f t="shared" si="419"/>
        <v>No</v>
      </c>
    </row>
    <row r="4277" spans="1:53" hidden="1">
      <c r="A4277" t="s">
        <v>1217</v>
      </c>
      <c r="B4277" t="str">
        <f t="shared" si="420"/>
        <v>4277_Ross</v>
      </c>
      <c r="C4277" t="s">
        <v>1229</v>
      </c>
      <c r="F4277" t="s">
        <v>1241</v>
      </c>
      <c r="G4277" t="s">
        <v>1224</v>
      </c>
      <c r="K4277" t="s">
        <v>72</v>
      </c>
      <c r="M4277" s="25" t="s">
        <v>36</v>
      </c>
      <c r="N4277" t="s">
        <v>36</v>
      </c>
      <c r="P4277" t="s">
        <v>60</v>
      </c>
      <c r="Q4277" t="s">
        <v>900</v>
      </c>
      <c r="R4277" t="s">
        <v>1741</v>
      </c>
      <c r="S4277" t="s">
        <v>1007</v>
      </c>
      <c r="V4277" t="s">
        <v>905</v>
      </c>
      <c r="Z4277">
        <v>3</v>
      </c>
      <c r="AA4277">
        <v>3</v>
      </c>
      <c r="AG4277" t="str">
        <f t="shared" si="421"/>
        <v>4YESB_Saccostrea_glomerata_D0_CO2NA_TNA_control_outcome71.64</v>
      </c>
      <c r="AK4277" t="s">
        <v>40</v>
      </c>
      <c r="AM4277"/>
      <c r="AN4277">
        <v>71.636363636363697</v>
      </c>
      <c r="AO4277">
        <v>0.157459164324423</v>
      </c>
      <c r="AP4277">
        <v>67.509090909090901</v>
      </c>
      <c r="AQ4277">
        <v>0.91326315308177797</v>
      </c>
      <c r="AS4277">
        <f t="shared" si="423"/>
        <v>-5.9340548114900749E-2</v>
      </c>
      <c r="AT4277">
        <f t="shared" si="422"/>
        <v>6.261273539676531E-5</v>
      </c>
      <c r="AW4277" s="28">
        <f t="shared" si="415"/>
        <v>-6.2982701047628318</v>
      </c>
      <c r="AX4277">
        <f t="shared" si="416"/>
        <v>0.8</v>
      </c>
      <c r="AY4277" s="62">
        <f t="shared" si="417"/>
        <v>-5.0386160838102656</v>
      </c>
      <c r="AZ4277" s="68" t="str">
        <f t="shared" si="418"/>
        <v>No</v>
      </c>
      <c r="BA4277" s="68" t="str">
        <f t="shared" si="419"/>
        <v>No</v>
      </c>
    </row>
    <row r="4278" spans="1:53" hidden="1">
      <c r="A4278" t="s">
        <v>1217</v>
      </c>
      <c r="B4278" t="str">
        <f t="shared" si="420"/>
        <v>4278_Ross</v>
      </c>
      <c r="C4278" t="s">
        <v>1229</v>
      </c>
      <c r="F4278" t="s">
        <v>1241</v>
      </c>
      <c r="G4278" t="s">
        <v>1224</v>
      </c>
      <c r="K4278" t="s">
        <v>72</v>
      </c>
      <c r="M4278" s="25" t="s">
        <v>36</v>
      </c>
      <c r="N4278" t="s">
        <v>36</v>
      </c>
      <c r="P4278" t="s">
        <v>60</v>
      </c>
      <c r="Q4278" t="s">
        <v>900</v>
      </c>
      <c r="R4278" t="s">
        <v>1741</v>
      </c>
      <c r="S4278" t="s">
        <v>1007</v>
      </c>
      <c r="V4278" t="s">
        <v>905</v>
      </c>
      <c r="Z4278">
        <v>3</v>
      </c>
      <c r="AA4278">
        <v>3</v>
      </c>
      <c r="AG4278" t="str">
        <f t="shared" si="421"/>
        <v>4YESB_Saccostrea_glomerata_D0_CO2NA_TNA_control_outcome71.80</v>
      </c>
      <c r="AK4278" t="s">
        <v>40</v>
      </c>
      <c r="AM4278"/>
      <c r="AN4278">
        <v>71.8</v>
      </c>
      <c r="AO4278">
        <v>0.94475498594666296</v>
      </c>
      <c r="AP4278">
        <v>70.272727272727295</v>
      </c>
      <c r="AQ4278">
        <v>0.188950997189333</v>
      </c>
      <c r="AS4278">
        <f t="shared" si="423"/>
        <v>-2.1500700265126405E-2</v>
      </c>
      <c r="AT4278">
        <f t="shared" si="422"/>
        <v>6.0122206194891556E-5</v>
      </c>
      <c r="AW4278" s="28">
        <f t="shared" si="415"/>
        <v>-2.2417941532711771</v>
      </c>
      <c r="AX4278">
        <f t="shared" si="416"/>
        <v>0.8</v>
      </c>
      <c r="AY4278" s="62">
        <f t="shared" si="417"/>
        <v>-1.7934353226169417</v>
      </c>
      <c r="AZ4278" s="68" t="str">
        <f t="shared" si="418"/>
        <v>No</v>
      </c>
      <c r="BA4278" s="68" t="str">
        <f t="shared" si="419"/>
        <v>No</v>
      </c>
    </row>
    <row r="4279" spans="1:53" hidden="1">
      <c r="A4279" t="s">
        <v>1217</v>
      </c>
      <c r="B4279" t="str">
        <f t="shared" si="420"/>
        <v>4279_Ross</v>
      </c>
      <c r="C4279" t="s">
        <v>1229</v>
      </c>
      <c r="F4279" t="s">
        <v>1241</v>
      </c>
      <c r="G4279" t="s">
        <v>1224</v>
      </c>
      <c r="K4279" t="s">
        <v>72</v>
      </c>
      <c r="M4279" s="25" t="s">
        <v>36</v>
      </c>
      <c r="N4279" t="s">
        <v>36</v>
      </c>
      <c r="P4279" t="s">
        <v>60</v>
      </c>
      <c r="Q4279" t="s">
        <v>900</v>
      </c>
      <c r="R4279" t="s">
        <v>1741</v>
      </c>
      <c r="S4279" t="s">
        <v>1007</v>
      </c>
      <c r="V4279" t="s">
        <v>905</v>
      </c>
      <c r="Z4279">
        <v>3</v>
      </c>
      <c r="AA4279">
        <v>3</v>
      </c>
      <c r="AG4279" t="str">
        <f t="shared" si="421"/>
        <v>4YESB_Saccostrea_glomerata_D0_CO2NA_TNA_control_outcome70.00</v>
      </c>
      <c r="AK4279" t="s">
        <v>40</v>
      </c>
      <c r="AM4279"/>
      <c r="AN4279">
        <v>70</v>
      </c>
      <c r="AO4279">
        <v>0.91326315308177797</v>
      </c>
      <c r="AP4279">
        <v>63.545454545454497</v>
      </c>
      <c r="AQ4279">
        <v>0.31491832864888297</v>
      </c>
      <c r="AS4279">
        <f t="shared" si="423"/>
        <v>-9.6739772613920749E-2</v>
      </c>
      <c r="AT4279">
        <f t="shared" si="422"/>
        <v>6.4924706123504968E-5</v>
      </c>
      <c r="AW4279" s="28">
        <f t="shared" si="415"/>
        <v>-9.4490448812328491</v>
      </c>
      <c r="AX4279">
        <f t="shared" si="416"/>
        <v>0.8</v>
      </c>
      <c r="AY4279" s="62">
        <f t="shared" si="417"/>
        <v>-7.5592359049862798</v>
      </c>
      <c r="AZ4279" s="68" t="str">
        <f t="shared" si="418"/>
        <v>No</v>
      </c>
      <c r="BA4279" s="68" t="str">
        <f t="shared" si="419"/>
        <v>No</v>
      </c>
    </row>
    <row r="4280" spans="1:53" hidden="1">
      <c r="A4280" t="s">
        <v>1217</v>
      </c>
      <c r="B4280" t="str">
        <f t="shared" si="420"/>
        <v>4280_Ross</v>
      </c>
      <c r="C4280" t="s">
        <v>1229</v>
      </c>
      <c r="F4280" t="s">
        <v>1241</v>
      </c>
      <c r="G4280" t="s">
        <v>1224</v>
      </c>
      <c r="K4280" t="s">
        <v>72</v>
      </c>
      <c r="M4280" s="25" t="s">
        <v>36</v>
      </c>
      <c r="N4280" t="s">
        <v>36</v>
      </c>
      <c r="P4280" t="s">
        <v>60</v>
      </c>
      <c r="Q4280" t="s">
        <v>900</v>
      </c>
      <c r="R4280" t="s">
        <v>1741</v>
      </c>
      <c r="S4280" t="s">
        <v>1007</v>
      </c>
      <c r="V4280" t="s">
        <v>905</v>
      </c>
      <c r="Z4280">
        <v>3</v>
      </c>
      <c r="AA4280">
        <v>3</v>
      </c>
      <c r="AG4280" t="str">
        <f t="shared" si="421"/>
        <v>4YESB_Saccostrea_glomerata_D0_CO2NA_TNA_control_outcome73.35</v>
      </c>
      <c r="AK4280" t="s">
        <v>40</v>
      </c>
      <c r="AM4280"/>
      <c r="AN4280">
        <v>73.345454545454601</v>
      </c>
      <c r="AO4280">
        <v>0.34641016151378001</v>
      </c>
      <c r="AP4280">
        <v>70.6727272727273</v>
      </c>
      <c r="AQ4280">
        <v>0.440885660108434</v>
      </c>
      <c r="AS4280">
        <f t="shared" si="423"/>
        <v>-3.7120787661933718E-2</v>
      </c>
      <c r="AT4280">
        <f t="shared" si="422"/>
        <v>2.0408157182719292E-5</v>
      </c>
      <c r="AW4280" s="28">
        <f t="shared" si="415"/>
        <v>-6.741275469277519</v>
      </c>
      <c r="AX4280">
        <f t="shared" si="416"/>
        <v>0.8</v>
      </c>
      <c r="AY4280" s="62">
        <f t="shared" si="417"/>
        <v>-5.3930203754220152</v>
      </c>
      <c r="AZ4280" s="68" t="str">
        <f t="shared" si="418"/>
        <v>No</v>
      </c>
      <c r="BA4280" s="68" t="str">
        <f t="shared" si="419"/>
        <v>No</v>
      </c>
    </row>
    <row r="4281" spans="1:53" hidden="1">
      <c r="A4281" t="s">
        <v>1217</v>
      </c>
      <c r="B4281" t="str">
        <f t="shared" si="420"/>
        <v>4281_Ross</v>
      </c>
      <c r="C4281" t="s">
        <v>1229</v>
      </c>
      <c r="F4281" t="s">
        <v>1241</v>
      </c>
      <c r="G4281" t="s">
        <v>1224</v>
      </c>
      <c r="K4281" t="s">
        <v>72</v>
      </c>
      <c r="M4281" s="25" t="s">
        <v>36</v>
      </c>
      <c r="N4281" t="s">
        <v>36</v>
      </c>
      <c r="P4281" t="s">
        <v>60</v>
      </c>
      <c r="Q4281" t="s">
        <v>900</v>
      </c>
      <c r="R4281" t="s">
        <v>1741</v>
      </c>
      <c r="S4281" t="s">
        <v>1007</v>
      </c>
      <c r="V4281" t="s">
        <v>905</v>
      </c>
      <c r="Z4281">
        <v>3</v>
      </c>
      <c r="AA4281">
        <v>3</v>
      </c>
      <c r="AG4281" t="str">
        <f t="shared" si="421"/>
        <v>4YESB_Saccostrea_glomerata_D0_CO2NA_TNA_control_outcome73.89</v>
      </c>
      <c r="AK4281" t="s">
        <v>40</v>
      </c>
      <c r="AM4281"/>
      <c r="AN4281">
        <v>73.890909090909105</v>
      </c>
      <c r="AO4281">
        <v>0.818787654487099</v>
      </c>
      <c r="AP4281">
        <v>72.345454545454601</v>
      </c>
      <c r="AQ4281">
        <v>0.97624681881154696</v>
      </c>
      <c r="AS4281">
        <f t="shared" si="423"/>
        <v>-2.1137178831388326E-2</v>
      </c>
      <c r="AT4281">
        <f t="shared" si="422"/>
        <v>1.0162792702202321E-4</v>
      </c>
      <c r="AW4281" s="28">
        <f t="shared" si="415"/>
        <v>-1.7153350290427225</v>
      </c>
      <c r="AX4281">
        <f t="shared" si="416"/>
        <v>0.8</v>
      </c>
      <c r="AY4281" s="62">
        <f t="shared" si="417"/>
        <v>-1.3722680232341782</v>
      </c>
      <c r="AZ4281" s="68" t="str">
        <f t="shared" si="418"/>
        <v>No</v>
      </c>
      <c r="BA4281" s="68" t="str">
        <f t="shared" si="419"/>
        <v>No</v>
      </c>
    </row>
    <row r="4282" spans="1:53" hidden="1">
      <c r="A4282" t="s">
        <v>1217</v>
      </c>
      <c r="B4282" t="str">
        <f t="shared" si="420"/>
        <v>4282_Ross</v>
      </c>
      <c r="C4282" t="s">
        <v>1229</v>
      </c>
      <c r="F4282" t="s">
        <v>1241</v>
      </c>
      <c r="G4282" t="s">
        <v>1224</v>
      </c>
      <c r="K4282" t="s">
        <v>72</v>
      </c>
      <c r="M4282" s="25" t="s">
        <v>36</v>
      </c>
      <c r="N4282" t="s">
        <v>36</v>
      </c>
      <c r="P4282" t="s">
        <v>60</v>
      </c>
      <c r="Q4282" t="s">
        <v>900</v>
      </c>
      <c r="R4282" t="s">
        <v>1741</v>
      </c>
      <c r="S4282" t="s">
        <v>1007</v>
      </c>
      <c r="V4282" t="s">
        <v>905</v>
      </c>
      <c r="Z4282">
        <v>3</v>
      </c>
      <c r="AA4282">
        <v>3</v>
      </c>
      <c r="AG4282" t="str">
        <f t="shared" si="421"/>
        <v>4YESB_Saccostrea_glomerata_D0_CO2NA_TNA_control_outcome73.71</v>
      </c>
      <c r="AK4282" t="s">
        <v>40</v>
      </c>
      <c r="AM4282"/>
      <c r="AN4282">
        <v>73.709090909090904</v>
      </c>
      <c r="AO4282">
        <v>0.53536115870311296</v>
      </c>
      <c r="AP4282">
        <v>69.854545454545502</v>
      </c>
      <c r="AQ4282">
        <v>0.22044283005424201</v>
      </c>
      <c r="AS4282">
        <f t="shared" si="423"/>
        <v>-5.371098368344196E-2</v>
      </c>
      <c r="AT4282">
        <f t="shared" si="422"/>
        <v>2.090407975313894E-5</v>
      </c>
      <c r="AW4282" s="28">
        <f t="shared" si="415"/>
        <v>-9.4152505437074012</v>
      </c>
      <c r="AX4282">
        <f t="shared" si="416"/>
        <v>0.8</v>
      </c>
      <c r="AY4282" s="62">
        <f t="shared" si="417"/>
        <v>-7.5322004349659215</v>
      </c>
      <c r="AZ4282" s="68" t="str">
        <f t="shared" si="418"/>
        <v>No</v>
      </c>
      <c r="BA4282" s="68" t="str">
        <f t="shared" si="419"/>
        <v>No</v>
      </c>
    </row>
    <row r="4283" spans="1:53" hidden="1">
      <c r="A4283" t="s">
        <v>1217</v>
      </c>
      <c r="B4283" t="str">
        <f t="shared" si="420"/>
        <v>4283_Ross</v>
      </c>
      <c r="C4283" t="s">
        <v>1229</v>
      </c>
      <c r="F4283" t="s">
        <v>1241</v>
      </c>
      <c r="G4283" t="s">
        <v>1224</v>
      </c>
      <c r="K4283" t="s">
        <v>72</v>
      </c>
      <c r="M4283" s="25" t="s">
        <v>36</v>
      </c>
      <c r="N4283" t="s">
        <v>36</v>
      </c>
      <c r="P4283" t="s">
        <v>60</v>
      </c>
      <c r="Q4283" t="s">
        <v>900</v>
      </c>
      <c r="R4283" t="s">
        <v>1741</v>
      </c>
      <c r="S4283" t="s">
        <v>1007</v>
      </c>
      <c r="V4283" t="s">
        <v>905</v>
      </c>
      <c r="Z4283">
        <v>3</v>
      </c>
      <c r="AA4283">
        <v>3</v>
      </c>
      <c r="AG4283" t="str">
        <f t="shared" si="421"/>
        <v>4YESB_Saccostrea_glomerata_D0_CO2NA_TNA_control_outcome71.64</v>
      </c>
      <c r="AK4283" t="s">
        <v>40</v>
      </c>
      <c r="AM4283"/>
      <c r="AN4283">
        <v>71.636363636363697</v>
      </c>
      <c r="AO4283">
        <v>0.12596733145953901</v>
      </c>
      <c r="AP4283">
        <v>69.8363636363636</v>
      </c>
      <c r="AQ4283">
        <v>0.37790199437866501</v>
      </c>
      <c r="AS4283">
        <f t="shared" si="423"/>
        <v>-2.5447973946076452E-2</v>
      </c>
      <c r="AT4283">
        <f t="shared" si="422"/>
        <v>1.0791229480873185E-5</v>
      </c>
      <c r="AW4283" s="28">
        <f t="shared" si="415"/>
        <v>-6.3904225212426473</v>
      </c>
      <c r="AX4283">
        <f t="shared" si="416"/>
        <v>0.8</v>
      </c>
      <c r="AY4283" s="62">
        <f t="shared" si="417"/>
        <v>-5.1123380169941184</v>
      </c>
      <c r="AZ4283" s="68" t="str">
        <f t="shared" si="418"/>
        <v>No</v>
      </c>
      <c r="BA4283" s="68" t="str">
        <f t="shared" si="419"/>
        <v>No</v>
      </c>
    </row>
    <row r="4284" spans="1:53" hidden="1">
      <c r="A4284" t="s">
        <v>1217</v>
      </c>
      <c r="B4284" t="str">
        <f t="shared" si="420"/>
        <v>4284_Ross</v>
      </c>
      <c r="C4284" t="s">
        <v>1230</v>
      </c>
      <c r="F4284" t="s">
        <v>1241</v>
      </c>
      <c r="G4284" t="s">
        <v>1214</v>
      </c>
      <c r="K4284" t="s">
        <v>72</v>
      </c>
      <c r="M4284" s="25" t="s">
        <v>36</v>
      </c>
      <c r="N4284" t="s">
        <v>36</v>
      </c>
      <c r="P4284" t="s">
        <v>60</v>
      </c>
      <c r="Q4284" t="s">
        <v>900</v>
      </c>
      <c r="R4284" t="s">
        <v>1741</v>
      </c>
      <c r="S4284" t="s">
        <v>1007</v>
      </c>
      <c r="V4284" t="s">
        <v>905</v>
      </c>
      <c r="Z4284">
        <v>3</v>
      </c>
      <c r="AA4284">
        <v>3</v>
      </c>
      <c r="AG4284" t="str">
        <f t="shared" si="421"/>
        <v>5YESB_Saccostrea_glomerata_D0_CO2NA_TNA_control_outcome70.59</v>
      </c>
      <c r="AK4284" t="s">
        <v>40</v>
      </c>
      <c r="AM4284"/>
      <c r="AN4284">
        <v>70.588235294117695</v>
      </c>
      <c r="AO4284">
        <v>0.50942670810849799</v>
      </c>
      <c r="AP4284">
        <v>66.176470588235304</v>
      </c>
      <c r="AQ4284">
        <v>1.2735667702712301</v>
      </c>
      <c r="AS4284">
        <f t="shared" si="423"/>
        <v>-6.4538521137571969E-2</v>
      </c>
      <c r="AT4284">
        <f t="shared" si="422"/>
        <v>1.4081790123456756E-4</v>
      </c>
      <c r="AW4284" s="28">
        <f t="shared" si="415"/>
        <v>-4.548588261473463</v>
      </c>
      <c r="AX4284">
        <f t="shared" si="416"/>
        <v>0.8</v>
      </c>
      <c r="AY4284" s="62">
        <f t="shared" si="417"/>
        <v>-3.6388706091787704</v>
      </c>
      <c r="AZ4284" s="68" t="str">
        <f t="shared" si="418"/>
        <v>No</v>
      </c>
      <c r="BA4284" s="68" t="str">
        <f t="shared" si="419"/>
        <v>No</v>
      </c>
    </row>
    <row r="4285" spans="1:53" hidden="1">
      <c r="A4285" t="s">
        <v>1217</v>
      </c>
      <c r="B4285" t="str">
        <f t="shared" si="420"/>
        <v>4285_Ross</v>
      </c>
      <c r="C4285" t="s">
        <v>1230</v>
      </c>
      <c r="F4285" t="s">
        <v>1241</v>
      </c>
      <c r="G4285" t="s">
        <v>1214</v>
      </c>
      <c r="K4285" t="s">
        <v>72</v>
      </c>
      <c r="M4285" s="25" t="s">
        <v>36</v>
      </c>
      <c r="N4285" t="s">
        <v>36</v>
      </c>
      <c r="P4285" t="s">
        <v>60</v>
      </c>
      <c r="Q4285" t="s">
        <v>900</v>
      </c>
      <c r="R4285" t="s">
        <v>1741</v>
      </c>
      <c r="S4285" t="s">
        <v>1007</v>
      </c>
      <c r="V4285" t="s">
        <v>905</v>
      </c>
      <c r="Z4285">
        <v>3</v>
      </c>
      <c r="AA4285">
        <v>3</v>
      </c>
      <c r="AG4285" t="str">
        <f t="shared" si="421"/>
        <v>5YESB_Saccostrea_glomerata_D0_CO2NA_TNA_control_outcome79.56</v>
      </c>
      <c r="AK4285" t="s">
        <v>40</v>
      </c>
      <c r="AM4285"/>
      <c r="AN4285">
        <v>79.558823529411796</v>
      </c>
      <c r="AO4285">
        <v>0.76414006216275898</v>
      </c>
      <c r="AP4285">
        <v>73.823529411764696</v>
      </c>
      <c r="AQ4285">
        <v>1.01885341621697</v>
      </c>
      <c r="AS4285">
        <f t="shared" si="423"/>
        <v>-7.4819159154753123E-2</v>
      </c>
      <c r="AT4285">
        <f t="shared" si="422"/>
        <v>9.4241258136360778E-5</v>
      </c>
      <c r="AW4285" s="28">
        <f t="shared" si="415"/>
        <v>-6.3686733312363186</v>
      </c>
      <c r="AX4285">
        <f t="shared" si="416"/>
        <v>0.8</v>
      </c>
      <c r="AY4285" s="62">
        <f t="shared" si="417"/>
        <v>-5.0949386649890549</v>
      </c>
      <c r="AZ4285" s="68" t="str">
        <f t="shared" si="418"/>
        <v>No</v>
      </c>
      <c r="BA4285" s="68" t="str">
        <f t="shared" si="419"/>
        <v>No</v>
      </c>
    </row>
    <row r="4286" spans="1:53" hidden="1">
      <c r="A4286" t="s">
        <v>1217</v>
      </c>
      <c r="B4286" t="str">
        <f t="shared" si="420"/>
        <v>4286_Ross</v>
      </c>
      <c r="C4286" t="s">
        <v>1230</v>
      </c>
      <c r="F4286" t="s">
        <v>1241</v>
      </c>
      <c r="G4286" t="s">
        <v>1214</v>
      </c>
      <c r="K4286" t="s">
        <v>72</v>
      </c>
      <c r="M4286" s="25" t="s">
        <v>36</v>
      </c>
      <c r="N4286" t="s">
        <v>36</v>
      </c>
      <c r="P4286" t="s">
        <v>60</v>
      </c>
      <c r="Q4286" t="s">
        <v>900</v>
      </c>
      <c r="R4286" t="s">
        <v>1741</v>
      </c>
      <c r="S4286" t="s">
        <v>1007</v>
      </c>
      <c r="V4286" t="s">
        <v>905</v>
      </c>
      <c r="Z4286">
        <v>3</v>
      </c>
      <c r="AA4286">
        <v>3</v>
      </c>
      <c r="AG4286" t="str">
        <f t="shared" si="421"/>
        <v>5YESB_Saccostrea_glomerata_D0_CO2NA_TNA_control_outcome82.94</v>
      </c>
      <c r="AK4286" t="s">
        <v>40</v>
      </c>
      <c r="AM4286"/>
      <c r="AN4286">
        <v>82.941176470588204</v>
      </c>
      <c r="AO4286">
        <v>3.3112736027051999</v>
      </c>
      <c r="AP4286">
        <v>80.882352941176507</v>
      </c>
      <c r="AQ4286">
        <v>1.52828012432549</v>
      </c>
      <c r="AS4286">
        <f t="shared" si="423"/>
        <v>-2.5135973271541268E-2</v>
      </c>
      <c r="AT4286">
        <f t="shared" si="422"/>
        <v>6.5029441707082736E-4</v>
      </c>
      <c r="AW4286" s="28">
        <f t="shared" si="415"/>
        <v>-0.79837232791705559</v>
      </c>
      <c r="AX4286">
        <f t="shared" si="416"/>
        <v>0.8</v>
      </c>
      <c r="AY4286" s="62">
        <f t="shared" si="417"/>
        <v>-0.63869786233364456</v>
      </c>
      <c r="AZ4286" s="68" t="str">
        <f t="shared" si="418"/>
        <v>No</v>
      </c>
      <c r="BA4286" s="68" t="str">
        <f t="shared" si="419"/>
        <v>No</v>
      </c>
    </row>
    <row r="4287" spans="1:53" hidden="1">
      <c r="A4287" t="s">
        <v>1217</v>
      </c>
      <c r="B4287" t="str">
        <f t="shared" ref="B4287:B4318" si="424">ROW()&amp;"_Ross"</f>
        <v>4287_Ross</v>
      </c>
      <c r="C4287" t="s">
        <v>1230</v>
      </c>
      <c r="F4287" t="s">
        <v>1241</v>
      </c>
      <c r="G4287" t="s">
        <v>1214</v>
      </c>
      <c r="K4287" t="s">
        <v>72</v>
      </c>
      <c r="M4287" s="25" t="s">
        <v>36</v>
      </c>
      <c r="N4287" t="s">
        <v>36</v>
      </c>
      <c r="P4287" t="s">
        <v>60</v>
      </c>
      <c r="Q4287" t="s">
        <v>900</v>
      </c>
      <c r="R4287" t="s">
        <v>1741</v>
      </c>
      <c r="S4287" t="s">
        <v>1007</v>
      </c>
      <c r="V4287" t="s">
        <v>905</v>
      </c>
      <c r="Z4287">
        <v>3</v>
      </c>
      <c r="AA4287">
        <v>3</v>
      </c>
      <c r="AG4287" t="str">
        <f t="shared" ref="AG4287:AG4318" si="425">C4287 &amp; "_" &amp;
SUBSTITUTE(TRIM(S4287)," ","_") &amp; "_" &amp;
"D" &amp; TEXT(X4287,"0") &amp; "_" &amp;
"CO2" &amp; IF(AC4287&lt;&gt;"",TEXT(AC4287,"0.00"),"NA") &amp; "_" &amp;
"T" &amp; IF(AD4287&lt;&gt;"",TEXT(AD4287,"0.00"),"NA") &amp; "_" &amp;
"control_outcome" &amp; IF(AN4287&lt;&gt;"",TEXT(AN4287,"0.00"),"NA")</f>
        <v>5YESB_Saccostrea_glomerata_D0_CO2NA_TNA_control_outcome87.65</v>
      </c>
      <c r="AK4287" t="s">
        <v>40</v>
      </c>
      <c r="AM4287"/>
      <c r="AN4287">
        <v>87.647058823529406</v>
      </c>
      <c r="AO4287">
        <v>1.7829934783797301</v>
      </c>
      <c r="AP4287">
        <v>87.058823529411796</v>
      </c>
      <c r="AQ4287">
        <v>0.764140062162734</v>
      </c>
      <c r="AS4287">
        <f t="shared" si="423"/>
        <v>-6.7340321813436077E-3</v>
      </c>
      <c r="AT4287">
        <f t="shared" ref="AT4287:AT4318" si="426">(AQ4287^2)/(AA4287*AP4287^2) + (AO4287^2)/(Z4287*AN4287^2)</f>
        <v>1.6362447779795533E-4</v>
      </c>
      <c r="AW4287" s="28">
        <f t="shared" si="415"/>
        <v>-0.42884501393509034</v>
      </c>
      <c r="AX4287">
        <f t="shared" si="416"/>
        <v>0.8</v>
      </c>
      <c r="AY4287" s="62">
        <f t="shared" si="417"/>
        <v>-0.34307601114807229</v>
      </c>
      <c r="AZ4287" s="68" t="str">
        <f t="shared" si="418"/>
        <v>No</v>
      </c>
      <c r="BA4287" s="68" t="str">
        <f t="shared" si="419"/>
        <v>No</v>
      </c>
    </row>
    <row r="4288" spans="1:53" hidden="1">
      <c r="A4288" t="s">
        <v>1217</v>
      </c>
      <c r="B4288" t="str">
        <f t="shared" si="424"/>
        <v>4288_Ross</v>
      </c>
      <c r="C4288" t="s">
        <v>1230</v>
      </c>
      <c r="F4288" t="s">
        <v>1241</v>
      </c>
      <c r="G4288" t="s">
        <v>1214</v>
      </c>
      <c r="K4288" t="s">
        <v>72</v>
      </c>
      <c r="M4288" s="25" t="s">
        <v>36</v>
      </c>
      <c r="N4288" t="s">
        <v>36</v>
      </c>
      <c r="P4288" t="s">
        <v>60</v>
      </c>
      <c r="Q4288" t="s">
        <v>900</v>
      </c>
      <c r="R4288" t="s">
        <v>1741</v>
      </c>
      <c r="S4288" t="s">
        <v>1007</v>
      </c>
      <c r="V4288" t="s">
        <v>905</v>
      </c>
      <c r="Z4288">
        <v>3</v>
      </c>
      <c r="AA4288">
        <v>3</v>
      </c>
      <c r="AG4288" t="str">
        <f t="shared" si="425"/>
        <v>5YESB_Saccostrea_glomerata_D0_CO2NA_TNA_control_outcome92.50</v>
      </c>
      <c r="AK4288" t="s">
        <v>40</v>
      </c>
      <c r="AM4288"/>
      <c r="AN4288">
        <v>92.5</v>
      </c>
      <c r="AO4288">
        <v>6.8772605594646601</v>
      </c>
      <c r="AP4288">
        <v>98.676470588235304</v>
      </c>
      <c r="AQ4288">
        <v>5.8584071432476597</v>
      </c>
      <c r="AS4288">
        <f t="shared" si="423"/>
        <v>6.4637880271241066E-2</v>
      </c>
      <c r="AT4288">
        <f t="shared" si="426"/>
        <v>3.017505827451525E-3</v>
      </c>
      <c r="AW4288" s="28">
        <f t="shared" si="415"/>
        <v>0.9668594365838773</v>
      </c>
      <c r="AX4288">
        <f t="shared" si="416"/>
        <v>0.8</v>
      </c>
      <c r="AY4288" s="62">
        <f t="shared" si="417"/>
        <v>0.77348754926710184</v>
      </c>
      <c r="AZ4288" s="68" t="str">
        <f t="shared" si="418"/>
        <v>No</v>
      </c>
      <c r="BA4288" s="68" t="str">
        <f t="shared" si="419"/>
        <v>No</v>
      </c>
    </row>
    <row r="4289" spans="1:53" hidden="1">
      <c r="A4289" t="s">
        <v>1217</v>
      </c>
      <c r="B4289" t="str">
        <f t="shared" si="424"/>
        <v>4289_Ross</v>
      </c>
      <c r="C4289" t="s">
        <v>1230</v>
      </c>
      <c r="F4289" t="s">
        <v>1241</v>
      </c>
      <c r="G4289" t="s">
        <v>1214</v>
      </c>
      <c r="K4289" t="s">
        <v>72</v>
      </c>
      <c r="M4289" s="25" t="s">
        <v>36</v>
      </c>
      <c r="N4289" t="s">
        <v>36</v>
      </c>
      <c r="P4289" t="s">
        <v>60</v>
      </c>
      <c r="Q4289" t="s">
        <v>900</v>
      </c>
      <c r="R4289" t="s">
        <v>1741</v>
      </c>
      <c r="S4289" t="s">
        <v>1007</v>
      </c>
      <c r="V4289" t="s">
        <v>905</v>
      </c>
      <c r="Z4289">
        <v>3</v>
      </c>
      <c r="AA4289">
        <v>3</v>
      </c>
      <c r="AG4289" t="str">
        <f t="shared" si="425"/>
        <v>5YESB_Saccostrea_glomerata_D0_CO2NA_TNA_control_outcome103.82</v>
      </c>
      <c r="AK4289" t="s">
        <v>40</v>
      </c>
      <c r="AM4289"/>
      <c r="AN4289">
        <v>103.82352941176499</v>
      </c>
      <c r="AO4289">
        <v>8.1508273297359093</v>
      </c>
      <c r="AP4289">
        <v>107.058823529412</v>
      </c>
      <c r="AQ4289">
        <v>9.6791074540613806</v>
      </c>
      <c r="AS4289">
        <f t="shared" si="423"/>
        <v>3.0685810703444005E-2</v>
      </c>
      <c r="AT4289">
        <f t="shared" si="426"/>
        <v>4.7790367995761574E-3</v>
      </c>
      <c r="AW4289" s="28">
        <f t="shared" si="415"/>
        <v>0.36158006093341027</v>
      </c>
      <c r="AX4289">
        <f t="shared" si="416"/>
        <v>0.8</v>
      </c>
      <c r="AY4289" s="62">
        <f t="shared" si="417"/>
        <v>0.28926404874672823</v>
      </c>
      <c r="AZ4289" s="68" t="str">
        <f t="shared" si="418"/>
        <v>No</v>
      </c>
      <c r="BA4289" s="68" t="str">
        <f t="shared" si="419"/>
        <v>No</v>
      </c>
    </row>
    <row r="4290" spans="1:53" hidden="1">
      <c r="A4290" t="s">
        <v>1217</v>
      </c>
      <c r="B4290" t="str">
        <f t="shared" si="424"/>
        <v>4290_Ross</v>
      </c>
      <c r="C4290" t="s">
        <v>1230</v>
      </c>
      <c r="F4290" t="s">
        <v>1241</v>
      </c>
      <c r="G4290" t="s">
        <v>1214</v>
      </c>
      <c r="K4290" t="s">
        <v>72</v>
      </c>
      <c r="M4290" s="25" t="s">
        <v>36</v>
      </c>
      <c r="N4290" t="s">
        <v>36</v>
      </c>
      <c r="P4290" t="s">
        <v>60</v>
      </c>
      <c r="Q4290" t="s">
        <v>900</v>
      </c>
      <c r="R4290" t="s">
        <v>1741</v>
      </c>
      <c r="S4290" t="s">
        <v>1007</v>
      </c>
      <c r="V4290" t="s">
        <v>905</v>
      </c>
      <c r="Z4290">
        <v>3</v>
      </c>
      <c r="AA4290">
        <v>3</v>
      </c>
      <c r="AG4290" t="str">
        <f t="shared" si="425"/>
        <v>5YESB_Saccostrea_glomerata_D0_CO2NA_TNA_control_outcome69.41</v>
      </c>
      <c r="AK4290" t="s">
        <v>40</v>
      </c>
      <c r="AM4290"/>
      <c r="AN4290">
        <v>69.411764705882405</v>
      </c>
      <c r="AO4290">
        <v>1.52828012432549</v>
      </c>
      <c r="AP4290">
        <v>67.647058823529406</v>
      </c>
      <c r="AQ4290">
        <v>0.764140062162734</v>
      </c>
      <c r="AS4290">
        <f t="shared" si="423"/>
        <v>-2.5752496102414923E-2</v>
      </c>
      <c r="AT4290">
        <f t="shared" si="426"/>
        <v>2.0412457798179711E-4</v>
      </c>
      <c r="AW4290" s="28">
        <f t="shared" si="415"/>
        <v>-1.4605934866804853</v>
      </c>
      <c r="AX4290">
        <f t="shared" si="416"/>
        <v>0.8</v>
      </c>
      <c r="AY4290" s="62">
        <f t="shared" si="417"/>
        <v>-1.1684747893443883</v>
      </c>
      <c r="AZ4290" s="68" t="str">
        <f t="shared" si="418"/>
        <v>No</v>
      </c>
      <c r="BA4290" s="68" t="str">
        <f t="shared" si="419"/>
        <v>No</v>
      </c>
    </row>
    <row r="4291" spans="1:53" hidden="1">
      <c r="A4291" t="s">
        <v>1217</v>
      </c>
      <c r="B4291" t="str">
        <f t="shared" si="424"/>
        <v>4291_Ross</v>
      </c>
      <c r="C4291" t="s">
        <v>1230</v>
      </c>
      <c r="F4291" t="s">
        <v>1241</v>
      </c>
      <c r="G4291" t="s">
        <v>1214</v>
      </c>
      <c r="K4291" t="s">
        <v>72</v>
      </c>
      <c r="M4291" s="25" t="s">
        <v>36</v>
      </c>
      <c r="N4291" t="s">
        <v>36</v>
      </c>
      <c r="P4291" t="s">
        <v>60</v>
      </c>
      <c r="Q4291" t="s">
        <v>900</v>
      </c>
      <c r="R4291" t="s">
        <v>1741</v>
      </c>
      <c r="S4291" t="s">
        <v>1007</v>
      </c>
      <c r="V4291" t="s">
        <v>905</v>
      </c>
      <c r="Z4291">
        <v>3</v>
      </c>
      <c r="AA4291">
        <v>3</v>
      </c>
      <c r="AG4291" t="str">
        <f t="shared" si="425"/>
        <v>5YESB_Saccostrea_glomerata_D0_CO2NA_TNA_control_outcome78.38</v>
      </c>
      <c r="AK4291" t="s">
        <v>40</v>
      </c>
      <c r="AM4291"/>
      <c r="AN4291">
        <v>78.382352941176507</v>
      </c>
      <c r="AO4291">
        <v>1.52828012432549</v>
      </c>
      <c r="AP4291">
        <v>76.470588235294102</v>
      </c>
      <c r="AQ4291">
        <v>2.2924201864882301</v>
      </c>
      <c r="AS4291">
        <f t="shared" si="423"/>
        <v>-2.4692612590372143E-2</v>
      </c>
      <c r="AT4291">
        <f t="shared" si="426"/>
        <v>4.2627706458187834E-4</v>
      </c>
      <c r="AW4291" s="28">
        <f t="shared" si="415"/>
        <v>-0.98130676292533792</v>
      </c>
      <c r="AX4291">
        <f t="shared" si="416"/>
        <v>0.8</v>
      </c>
      <c r="AY4291" s="62">
        <f t="shared" si="417"/>
        <v>-0.78504541034027042</v>
      </c>
      <c r="AZ4291" s="68" t="str">
        <f t="shared" si="418"/>
        <v>No</v>
      </c>
      <c r="BA4291" s="68" t="str">
        <f t="shared" si="419"/>
        <v>No</v>
      </c>
    </row>
    <row r="4292" spans="1:53" hidden="1">
      <c r="A4292" t="s">
        <v>1217</v>
      </c>
      <c r="B4292" t="str">
        <f t="shared" si="424"/>
        <v>4292_Ross</v>
      </c>
      <c r="C4292" t="s">
        <v>1230</v>
      </c>
      <c r="F4292" t="s">
        <v>1241</v>
      </c>
      <c r="G4292" t="s">
        <v>1214</v>
      </c>
      <c r="K4292" t="s">
        <v>72</v>
      </c>
      <c r="M4292" s="25" t="s">
        <v>36</v>
      </c>
      <c r="N4292" t="s">
        <v>36</v>
      </c>
      <c r="P4292" t="s">
        <v>60</v>
      </c>
      <c r="Q4292" t="s">
        <v>900</v>
      </c>
      <c r="R4292" t="s">
        <v>1741</v>
      </c>
      <c r="S4292" t="s">
        <v>1007</v>
      </c>
      <c r="V4292" t="s">
        <v>905</v>
      </c>
      <c r="Z4292">
        <v>3</v>
      </c>
      <c r="AA4292">
        <v>3</v>
      </c>
      <c r="AG4292" t="str">
        <f t="shared" si="425"/>
        <v>5YESB_Saccostrea_glomerata_D0_CO2NA_TNA_control_outcome83.53</v>
      </c>
      <c r="AK4292" t="s">
        <v>40</v>
      </c>
      <c r="AM4292"/>
      <c r="AN4292">
        <v>83.529411764705898</v>
      </c>
      <c r="AO4292">
        <v>5.0942670810849302</v>
      </c>
      <c r="AP4292">
        <v>82.794117647058798</v>
      </c>
      <c r="AQ4292">
        <v>2.5471335405424398</v>
      </c>
      <c r="AS4292">
        <f t="shared" si="423"/>
        <v>-8.8417905814619502E-3</v>
      </c>
      <c r="AT4292">
        <f t="shared" si="426"/>
        <v>1.5553216318095161E-3</v>
      </c>
      <c r="AW4292" s="28">
        <f t="shared" si="415"/>
        <v>-0.18257418583506624</v>
      </c>
      <c r="AX4292">
        <f t="shared" si="416"/>
        <v>0.8</v>
      </c>
      <c r="AY4292" s="62">
        <f t="shared" si="417"/>
        <v>-0.14605934866805301</v>
      </c>
      <c r="AZ4292" s="68" t="str">
        <f t="shared" si="418"/>
        <v>No</v>
      </c>
      <c r="BA4292" s="68" t="str">
        <f t="shared" si="419"/>
        <v>No</v>
      </c>
    </row>
    <row r="4293" spans="1:53" hidden="1">
      <c r="A4293" t="s">
        <v>1217</v>
      </c>
      <c r="B4293" t="str">
        <f t="shared" si="424"/>
        <v>4293_Ross</v>
      </c>
      <c r="C4293" t="s">
        <v>1230</v>
      </c>
      <c r="F4293" t="s">
        <v>1241</v>
      </c>
      <c r="G4293" t="s">
        <v>1214</v>
      </c>
      <c r="K4293" t="s">
        <v>72</v>
      </c>
      <c r="M4293" s="25" t="s">
        <v>36</v>
      </c>
      <c r="N4293" t="s">
        <v>36</v>
      </c>
      <c r="P4293" t="s">
        <v>60</v>
      </c>
      <c r="Q4293" t="s">
        <v>900</v>
      </c>
      <c r="R4293" t="s">
        <v>1741</v>
      </c>
      <c r="S4293" t="s">
        <v>1007</v>
      </c>
      <c r="V4293" t="s">
        <v>905</v>
      </c>
      <c r="Z4293">
        <v>3</v>
      </c>
      <c r="AA4293">
        <v>3</v>
      </c>
      <c r="AG4293" t="str">
        <f t="shared" si="425"/>
        <v>5YESB_Saccostrea_glomerata_D0_CO2NA_TNA_control_outcome91.62</v>
      </c>
      <c r="AK4293" t="s">
        <v>40</v>
      </c>
      <c r="AM4293"/>
      <c r="AN4293">
        <v>91.617647058823493</v>
      </c>
      <c r="AO4293">
        <v>3.5659869567594602</v>
      </c>
      <c r="AP4293">
        <v>89.705882352941202</v>
      </c>
      <c r="AQ4293">
        <v>2.2924201864881999</v>
      </c>
      <c r="AS4293">
        <f t="shared" si="423"/>
        <v>-2.108756162009584E-2</v>
      </c>
      <c r="AT4293">
        <f t="shared" si="426"/>
        <v>7.2267016253387017E-4</v>
      </c>
      <c r="AW4293" s="28">
        <f t="shared" si="415"/>
        <v>-0.63776082415957969</v>
      </c>
      <c r="AX4293">
        <f t="shared" si="416"/>
        <v>0.8</v>
      </c>
      <c r="AY4293" s="62">
        <f t="shared" si="417"/>
        <v>-0.51020865932766379</v>
      </c>
      <c r="AZ4293" s="68" t="str">
        <f t="shared" si="418"/>
        <v>No</v>
      </c>
      <c r="BA4293" s="68" t="str">
        <f t="shared" si="419"/>
        <v>No</v>
      </c>
    </row>
    <row r="4294" spans="1:53" hidden="1">
      <c r="A4294" t="s">
        <v>1217</v>
      </c>
      <c r="B4294" t="str">
        <f t="shared" si="424"/>
        <v>4294_Ross</v>
      </c>
      <c r="C4294" t="s">
        <v>1230</v>
      </c>
      <c r="F4294" t="s">
        <v>1241</v>
      </c>
      <c r="G4294" t="s">
        <v>1214</v>
      </c>
      <c r="K4294" t="s">
        <v>72</v>
      </c>
      <c r="M4294" s="25" t="s">
        <v>36</v>
      </c>
      <c r="N4294" t="s">
        <v>36</v>
      </c>
      <c r="P4294" t="s">
        <v>60</v>
      </c>
      <c r="Q4294" t="s">
        <v>900</v>
      </c>
      <c r="R4294" t="s">
        <v>1741</v>
      </c>
      <c r="S4294" t="s">
        <v>1007</v>
      </c>
      <c r="V4294" t="s">
        <v>905</v>
      </c>
      <c r="Z4294">
        <v>3</v>
      </c>
      <c r="AA4294">
        <v>3</v>
      </c>
      <c r="AG4294" t="str">
        <f t="shared" si="425"/>
        <v>5YESB_Saccostrea_glomerata_D0_CO2NA_TNA_control_outcome94.71</v>
      </c>
      <c r="AK4294" t="s">
        <v>40</v>
      </c>
      <c r="AM4294"/>
      <c r="AN4294">
        <v>94.705882352941202</v>
      </c>
      <c r="AO4294">
        <v>5.60369378919345</v>
      </c>
      <c r="AP4294">
        <v>95.294117647058798</v>
      </c>
      <c r="AQ4294">
        <v>4.5848403729764797</v>
      </c>
      <c r="AS4294">
        <f t="shared" si="423"/>
        <v>6.1919702479205085E-3</v>
      </c>
      <c r="AT4294">
        <f t="shared" si="426"/>
        <v>1.9386123839720253E-3</v>
      </c>
      <c r="AW4294" s="28">
        <f t="shared" si="415"/>
        <v>0.11489699792427439</v>
      </c>
      <c r="AX4294">
        <f t="shared" si="416"/>
        <v>0.8</v>
      </c>
      <c r="AY4294" s="62">
        <f t="shared" si="417"/>
        <v>9.1917598339419523E-2</v>
      </c>
      <c r="AZ4294" s="68" t="str">
        <f t="shared" si="418"/>
        <v>No</v>
      </c>
      <c r="BA4294" s="68" t="str">
        <f t="shared" si="419"/>
        <v>No</v>
      </c>
    </row>
    <row r="4295" spans="1:53" hidden="1">
      <c r="A4295" t="s">
        <v>1217</v>
      </c>
      <c r="B4295" t="str">
        <f t="shared" si="424"/>
        <v>4295_Ross</v>
      </c>
      <c r="C4295" t="s">
        <v>1230</v>
      </c>
      <c r="F4295" t="s">
        <v>1241</v>
      </c>
      <c r="G4295" t="s">
        <v>1214</v>
      </c>
      <c r="K4295" t="s">
        <v>72</v>
      </c>
      <c r="M4295" s="25" t="s">
        <v>36</v>
      </c>
      <c r="N4295" t="s">
        <v>36</v>
      </c>
      <c r="P4295" t="s">
        <v>60</v>
      </c>
      <c r="Q4295" t="s">
        <v>900</v>
      </c>
      <c r="R4295" t="s">
        <v>1741</v>
      </c>
      <c r="S4295" t="s">
        <v>1007</v>
      </c>
      <c r="V4295" t="s">
        <v>905</v>
      </c>
      <c r="Z4295">
        <v>3</v>
      </c>
      <c r="AA4295">
        <v>3</v>
      </c>
      <c r="AG4295" t="str">
        <f t="shared" si="425"/>
        <v>5YESB_Saccostrea_glomerata_D0_CO2NA_TNA_control_outcome106.91</v>
      </c>
      <c r="AK4295" t="s">
        <v>40</v>
      </c>
      <c r="AM4295"/>
      <c r="AN4295">
        <v>106.91176470588201</v>
      </c>
      <c r="AO4295">
        <v>5.8584071432476597</v>
      </c>
      <c r="AP4295">
        <v>102.5</v>
      </c>
      <c r="AQ4295">
        <v>5.0942670810849497</v>
      </c>
      <c r="AS4295">
        <f t="shared" si="423"/>
        <v>-4.2141066772992453E-2</v>
      </c>
      <c r="AT4295">
        <f t="shared" si="426"/>
        <v>1.8242600074521618E-3</v>
      </c>
      <c r="AW4295" s="28">
        <f t="shared" si="415"/>
        <v>-0.80365151582039285</v>
      </c>
      <c r="AX4295">
        <f t="shared" si="416"/>
        <v>0.8</v>
      </c>
      <c r="AY4295" s="62">
        <f t="shared" si="417"/>
        <v>-0.6429212126563143</v>
      </c>
      <c r="AZ4295" s="68" t="str">
        <f t="shared" si="418"/>
        <v>No</v>
      </c>
      <c r="BA4295" s="68" t="str">
        <f t="shared" si="419"/>
        <v>No</v>
      </c>
    </row>
    <row r="4296" spans="1:53" hidden="1">
      <c r="A4296" t="s">
        <v>1217</v>
      </c>
      <c r="B4296" t="str">
        <f t="shared" si="424"/>
        <v>4296_Ross</v>
      </c>
      <c r="C4296" t="s">
        <v>1230</v>
      </c>
      <c r="F4296" t="s">
        <v>1241</v>
      </c>
      <c r="G4296" t="s">
        <v>1214</v>
      </c>
      <c r="K4296" t="s">
        <v>72</v>
      </c>
      <c r="M4296" s="25" t="s">
        <v>36</v>
      </c>
      <c r="N4296" t="s">
        <v>36</v>
      </c>
      <c r="P4296" t="s">
        <v>60</v>
      </c>
      <c r="Q4296" t="s">
        <v>900</v>
      </c>
      <c r="R4296" t="s">
        <v>1741</v>
      </c>
      <c r="S4296" t="s">
        <v>1007</v>
      </c>
      <c r="V4296" t="s">
        <v>905</v>
      </c>
      <c r="Z4296">
        <v>3</v>
      </c>
      <c r="AA4296">
        <v>3</v>
      </c>
      <c r="AG4296" t="str">
        <f t="shared" si="425"/>
        <v>5YESB_Saccostrea_glomerata_D0_CO2NA_TNA_control_outcome71.06</v>
      </c>
      <c r="AK4296" t="s">
        <v>40</v>
      </c>
      <c r="AM4296"/>
      <c r="AN4296">
        <v>71.064750930173801</v>
      </c>
      <c r="AO4296">
        <v>1.1355966534470701</v>
      </c>
      <c r="AP4296">
        <v>67.524310948957904</v>
      </c>
      <c r="AQ4296">
        <v>1.1355966534470701</v>
      </c>
      <c r="AS4296">
        <f t="shared" si="423"/>
        <v>-5.1103751125317842E-2</v>
      </c>
      <c r="AT4296">
        <f t="shared" si="426"/>
        <v>1.7939461533039044E-4</v>
      </c>
      <c r="AW4296" s="28">
        <f t="shared" si="415"/>
        <v>-3.1176914536239573</v>
      </c>
      <c r="AX4296">
        <f t="shared" si="416"/>
        <v>0.8</v>
      </c>
      <c r="AY4296" s="62">
        <f t="shared" si="417"/>
        <v>-2.494153162899166</v>
      </c>
      <c r="AZ4296" s="68" t="str">
        <f t="shared" si="418"/>
        <v>No</v>
      </c>
      <c r="BA4296" s="68" t="str">
        <f t="shared" si="419"/>
        <v>No</v>
      </c>
    </row>
    <row r="4297" spans="1:53" hidden="1">
      <c r="A4297" t="s">
        <v>1217</v>
      </c>
      <c r="B4297" t="str">
        <f t="shared" si="424"/>
        <v>4297_Ross</v>
      </c>
      <c r="C4297" t="s">
        <v>1230</v>
      </c>
      <c r="F4297" t="s">
        <v>1241</v>
      </c>
      <c r="G4297" t="s">
        <v>1214</v>
      </c>
      <c r="K4297" t="s">
        <v>72</v>
      </c>
      <c r="M4297" s="25" t="s">
        <v>36</v>
      </c>
      <c r="N4297" t="s">
        <v>36</v>
      </c>
      <c r="P4297" t="s">
        <v>60</v>
      </c>
      <c r="Q4297" t="s">
        <v>900</v>
      </c>
      <c r="R4297" t="s">
        <v>1741</v>
      </c>
      <c r="S4297" t="s">
        <v>1007</v>
      </c>
      <c r="V4297" t="s">
        <v>905</v>
      </c>
      <c r="Z4297">
        <v>3</v>
      </c>
      <c r="AA4297">
        <v>3</v>
      </c>
      <c r="AG4297" t="str">
        <f t="shared" si="425"/>
        <v>5YESB_Saccostrea_glomerata_D0_CO2NA_TNA_control_outcome76.57</v>
      </c>
      <c r="AK4297" t="s">
        <v>40</v>
      </c>
      <c r="AM4297"/>
      <c r="AN4297">
        <v>76.572102012065201</v>
      </c>
      <c r="AO4297">
        <v>1.36271598413648</v>
      </c>
      <c r="AP4297">
        <v>75.260827944948204</v>
      </c>
      <c r="AQ4297">
        <v>1.36271598413648</v>
      </c>
      <c r="AS4297">
        <f t="shared" si="423"/>
        <v>-1.727302067699199E-2</v>
      </c>
      <c r="AT4297">
        <f t="shared" si="426"/>
        <v>2.1485460398704115E-4</v>
      </c>
      <c r="AW4297" s="28">
        <f t="shared" si="415"/>
        <v>-0.96225044864937126</v>
      </c>
      <c r="AX4297">
        <f t="shared" si="416"/>
        <v>0.8</v>
      </c>
      <c r="AY4297" s="62">
        <f t="shared" si="417"/>
        <v>-0.76980035891949705</v>
      </c>
      <c r="AZ4297" s="68" t="str">
        <f t="shared" si="418"/>
        <v>No</v>
      </c>
      <c r="BA4297" s="68" t="str">
        <f t="shared" si="419"/>
        <v>No</v>
      </c>
    </row>
    <row r="4298" spans="1:53" hidden="1">
      <c r="A4298" t="s">
        <v>1217</v>
      </c>
      <c r="B4298" t="str">
        <f t="shared" si="424"/>
        <v>4298_Ross</v>
      </c>
      <c r="C4298" t="s">
        <v>1230</v>
      </c>
      <c r="F4298" t="s">
        <v>1241</v>
      </c>
      <c r="G4298" t="s">
        <v>1214</v>
      </c>
      <c r="K4298" t="s">
        <v>72</v>
      </c>
      <c r="M4298" s="25" t="s">
        <v>36</v>
      </c>
      <c r="N4298" t="s">
        <v>36</v>
      </c>
      <c r="P4298" t="s">
        <v>60</v>
      </c>
      <c r="Q4298" t="s">
        <v>900</v>
      </c>
      <c r="R4298" t="s">
        <v>1741</v>
      </c>
      <c r="S4298" t="s">
        <v>1007</v>
      </c>
      <c r="V4298" t="s">
        <v>905</v>
      </c>
      <c r="Z4298">
        <v>3</v>
      </c>
      <c r="AA4298">
        <v>3</v>
      </c>
      <c r="AG4298" t="str">
        <f t="shared" si="425"/>
        <v>5YESB_Saccostrea_glomerata_D0_CO2NA_TNA_control_outcome83.00</v>
      </c>
      <c r="AK4298" t="s">
        <v>40</v>
      </c>
      <c r="AM4298"/>
      <c r="AN4298">
        <v>82.997344940938504</v>
      </c>
      <c r="AO4298">
        <v>1.36271598413648</v>
      </c>
      <c r="AP4298">
        <v>90.340479716793695</v>
      </c>
      <c r="AQ4298">
        <v>1.5898353148258899</v>
      </c>
      <c r="AS4298">
        <f t="shared" si="423"/>
        <v>8.4777021716921475E-2</v>
      </c>
      <c r="AT4298">
        <f t="shared" si="426"/>
        <v>1.9309181596282682E-4</v>
      </c>
      <c r="AW4298" s="28">
        <f t="shared" si="415"/>
        <v>4.9594433590245179</v>
      </c>
      <c r="AX4298">
        <f t="shared" si="416"/>
        <v>0.8</v>
      </c>
      <c r="AY4298" s="62">
        <f t="shared" si="417"/>
        <v>3.9675546872196144</v>
      </c>
      <c r="AZ4298" s="68" t="str">
        <f t="shared" si="418"/>
        <v>No</v>
      </c>
      <c r="BA4298" s="68" t="str">
        <f t="shared" si="419"/>
        <v>No</v>
      </c>
    </row>
    <row r="4299" spans="1:53" hidden="1">
      <c r="A4299" t="s">
        <v>1217</v>
      </c>
      <c r="B4299" t="str">
        <f t="shared" si="424"/>
        <v>4299_Ross</v>
      </c>
      <c r="C4299" t="s">
        <v>1230</v>
      </c>
      <c r="F4299" t="s">
        <v>1241</v>
      </c>
      <c r="G4299" t="s">
        <v>1214</v>
      </c>
      <c r="K4299" t="s">
        <v>72</v>
      </c>
      <c r="M4299" s="25" t="s">
        <v>36</v>
      </c>
      <c r="N4299" t="s">
        <v>36</v>
      </c>
      <c r="P4299" t="s">
        <v>60</v>
      </c>
      <c r="Q4299" t="s">
        <v>900</v>
      </c>
      <c r="R4299" t="s">
        <v>1741</v>
      </c>
      <c r="S4299" t="s">
        <v>1007</v>
      </c>
      <c r="V4299" t="s">
        <v>905</v>
      </c>
      <c r="Z4299">
        <v>3</v>
      </c>
      <c r="AA4299">
        <v>3</v>
      </c>
      <c r="AG4299" t="str">
        <f t="shared" si="425"/>
        <v>5YESB_Saccostrea_glomerata_D0_CO2NA_TNA_control_outcome90.60</v>
      </c>
      <c r="AK4299" t="s">
        <v>40</v>
      </c>
      <c r="AM4299"/>
      <c r="AN4299">
        <v>90.602734530217106</v>
      </c>
      <c r="AO4299">
        <v>2.4983126375835298</v>
      </c>
      <c r="AP4299">
        <v>105.551258895351</v>
      </c>
      <c r="AQ4299">
        <v>2.49831263758358</v>
      </c>
      <c r="AS4299">
        <f t="shared" si="423"/>
        <v>0.1527123061817699</v>
      </c>
      <c r="AT4299">
        <f t="shared" si="426"/>
        <v>4.4019198141122793E-4</v>
      </c>
      <c r="AW4299" s="28">
        <f t="shared" si="415"/>
        <v>5.983448244328847</v>
      </c>
      <c r="AX4299">
        <f t="shared" si="416"/>
        <v>0.8</v>
      </c>
      <c r="AY4299" s="62">
        <f t="shared" si="417"/>
        <v>4.7867585954630778</v>
      </c>
      <c r="AZ4299" s="68" t="str">
        <f t="shared" si="418"/>
        <v>No</v>
      </c>
      <c r="BA4299" s="68" t="str">
        <f t="shared" si="419"/>
        <v>No</v>
      </c>
    </row>
    <row r="4300" spans="1:53" hidden="1">
      <c r="A4300" t="s">
        <v>1217</v>
      </c>
      <c r="B4300" t="str">
        <f t="shared" si="424"/>
        <v>4300_Ross</v>
      </c>
      <c r="C4300" t="s">
        <v>1230</v>
      </c>
      <c r="F4300" t="s">
        <v>1241</v>
      </c>
      <c r="G4300" t="s">
        <v>1214</v>
      </c>
      <c r="K4300" t="s">
        <v>72</v>
      </c>
      <c r="M4300" s="25" t="s">
        <v>36</v>
      </c>
      <c r="N4300" t="s">
        <v>36</v>
      </c>
      <c r="P4300" t="s">
        <v>60</v>
      </c>
      <c r="Q4300" t="s">
        <v>900</v>
      </c>
      <c r="R4300" t="s">
        <v>1741</v>
      </c>
      <c r="S4300" t="s">
        <v>1007</v>
      </c>
      <c r="V4300" t="s">
        <v>905</v>
      </c>
      <c r="Z4300">
        <v>3</v>
      </c>
      <c r="AA4300">
        <v>3</v>
      </c>
      <c r="AG4300" t="str">
        <f t="shared" si="425"/>
        <v>5YESB_Saccostrea_glomerata_D0_CO2NA_TNA_control_outcome103.06</v>
      </c>
      <c r="AK4300" t="s">
        <v>40</v>
      </c>
      <c r="AM4300"/>
      <c r="AN4300">
        <v>103.059838167829</v>
      </c>
      <c r="AO4300">
        <v>3.86102862172004</v>
      </c>
      <c r="AP4300">
        <v>99.519398186612705</v>
      </c>
      <c r="AQ4300">
        <v>19.305143108600099</v>
      </c>
      <c r="AS4300">
        <f t="shared" ref="AS4300:AS4327" si="427">(LN(AP4300)-LN(AN4300))</f>
        <v>-3.4957190815097405E-2</v>
      </c>
      <c r="AT4300">
        <f t="shared" si="426"/>
        <v>1.3011077104670608E-2</v>
      </c>
      <c r="AW4300" s="28">
        <f t="shared" si="415"/>
        <v>-0.25432118545516635</v>
      </c>
      <c r="AX4300">
        <f t="shared" si="416"/>
        <v>0.8</v>
      </c>
      <c r="AY4300" s="62">
        <f t="shared" si="417"/>
        <v>-0.20345694836413308</v>
      </c>
      <c r="AZ4300" s="68" t="str">
        <f t="shared" si="418"/>
        <v>No</v>
      </c>
      <c r="BA4300" s="68" t="str">
        <f t="shared" si="419"/>
        <v>No</v>
      </c>
    </row>
    <row r="4301" spans="1:53" hidden="1">
      <c r="A4301" t="s">
        <v>1217</v>
      </c>
      <c r="B4301" t="str">
        <f t="shared" si="424"/>
        <v>4301_Ross</v>
      </c>
      <c r="C4301" t="s">
        <v>1230</v>
      </c>
      <c r="F4301" t="s">
        <v>1241</v>
      </c>
      <c r="G4301" t="s">
        <v>1214</v>
      </c>
      <c r="K4301" t="s">
        <v>72</v>
      </c>
      <c r="M4301" s="25" t="s">
        <v>36</v>
      </c>
      <c r="N4301" t="s">
        <v>36</v>
      </c>
      <c r="P4301" t="s">
        <v>60</v>
      </c>
      <c r="Q4301" t="s">
        <v>900</v>
      </c>
      <c r="R4301" t="s">
        <v>1741</v>
      </c>
      <c r="S4301" t="s">
        <v>1007</v>
      </c>
      <c r="V4301" t="s">
        <v>905</v>
      </c>
      <c r="Z4301">
        <v>3</v>
      </c>
      <c r="AA4301">
        <v>3</v>
      </c>
      <c r="AG4301" t="str">
        <f t="shared" si="425"/>
        <v>5YESB_Saccostrea_glomerata_D0_CO2NA_TNA_control_outcome69.88</v>
      </c>
      <c r="AK4301" t="s">
        <v>40</v>
      </c>
      <c r="AM4301"/>
      <c r="AN4301">
        <v>69.884604269768502</v>
      </c>
      <c r="AO4301">
        <v>0.90847732275763904</v>
      </c>
      <c r="AP4301">
        <v>68.704457609363203</v>
      </c>
      <c r="AQ4301">
        <v>1.1355966534470701</v>
      </c>
      <c r="AS4301">
        <f t="shared" si="427"/>
        <v>-1.7031289062063415E-2</v>
      </c>
      <c r="AT4301">
        <f t="shared" si="426"/>
        <v>1.4739671964350976E-4</v>
      </c>
      <c r="AW4301" s="28">
        <f t="shared" si="415"/>
        <v>-1.1476380835140092</v>
      </c>
      <c r="AX4301">
        <f t="shared" si="416"/>
        <v>0.8</v>
      </c>
      <c r="AY4301" s="62">
        <f t="shared" si="417"/>
        <v>-0.91811046681120745</v>
      </c>
      <c r="AZ4301" s="68" t="str">
        <f t="shared" si="418"/>
        <v>No</v>
      </c>
      <c r="BA4301" s="68" t="str">
        <f t="shared" si="419"/>
        <v>No</v>
      </c>
    </row>
    <row r="4302" spans="1:53" hidden="1">
      <c r="A4302" t="s">
        <v>1217</v>
      </c>
      <c r="B4302" t="str">
        <f t="shared" si="424"/>
        <v>4302_Ross</v>
      </c>
      <c r="C4302" t="s">
        <v>1230</v>
      </c>
      <c r="F4302" t="s">
        <v>1241</v>
      </c>
      <c r="G4302" t="s">
        <v>1214</v>
      </c>
      <c r="K4302" t="s">
        <v>72</v>
      </c>
      <c r="M4302" s="25" t="s">
        <v>36</v>
      </c>
      <c r="N4302" t="s">
        <v>36</v>
      </c>
      <c r="P4302" t="s">
        <v>60</v>
      </c>
      <c r="Q4302" t="s">
        <v>900</v>
      </c>
      <c r="R4302" t="s">
        <v>1741</v>
      </c>
      <c r="S4302" t="s">
        <v>1007</v>
      </c>
      <c r="V4302" t="s">
        <v>905</v>
      </c>
      <c r="Z4302">
        <v>3</v>
      </c>
      <c r="AA4302">
        <v>3</v>
      </c>
      <c r="AG4302" t="str">
        <f t="shared" si="425"/>
        <v>5YESB_Saccostrea_glomerata_D0_CO2NA_TNA_control_outcome76.97</v>
      </c>
      <c r="AK4302" t="s">
        <v>40</v>
      </c>
      <c r="AM4302"/>
      <c r="AN4302">
        <v>76.965484232200296</v>
      </c>
      <c r="AO4302">
        <v>0.681357992068229</v>
      </c>
      <c r="AP4302">
        <v>77.883376079182199</v>
      </c>
      <c r="AQ4302">
        <v>1.36271598413648</v>
      </c>
      <c r="AS4302">
        <f t="shared" si="427"/>
        <v>1.1855464690865958E-2</v>
      </c>
      <c r="AT4302">
        <f t="shared" si="426"/>
        <v>1.2817078709929217E-4</v>
      </c>
      <c r="AW4302" s="28">
        <f t="shared" ref="AW4302:AW4327" si="428">(AP4302-$AN4302)/SQRT(((AA4302-1)*AQ4302*AQ4302+($Z4302-1)*$AO4302*$AO4302)/(AA4302+$Z4302-2))</f>
        <v>0.85201286723026071</v>
      </c>
      <c r="AX4302">
        <f t="shared" ref="AX4302:AX4327" si="429">1-(3/(4*(AA4302+$Z4302-2)-1))</f>
        <v>0.8</v>
      </c>
      <c r="AY4302" s="62">
        <f t="shared" ref="AY4302:AY4365" si="430">AX4302*AW4302</f>
        <v>0.68161029378420857</v>
      </c>
      <c r="AZ4302" s="68" t="str">
        <f t="shared" ref="AZ4302:AZ4365" si="431">IF(AY4302&gt;10,"Yes","No")</f>
        <v>No</v>
      </c>
      <c r="BA4302" s="68" t="str">
        <f t="shared" ref="BA4302:BA4327" si="432">IF(AY4302&lt;-10,"Yes","No")</f>
        <v>No</v>
      </c>
    </row>
    <row r="4303" spans="1:53" hidden="1">
      <c r="A4303" t="s">
        <v>1217</v>
      </c>
      <c r="B4303" t="str">
        <f t="shared" si="424"/>
        <v>4303_Ross</v>
      </c>
      <c r="C4303" t="s">
        <v>1230</v>
      </c>
      <c r="F4303" t="s">
        <v>1241</v>
      </c>
      <c r="G4303" t="s">
        <v>1214</v>
      </c>
      <c r="K4303" t="s">
        <v>72</v>
      </c>
      <c r="M4303" s="25" t="s">
        <v>36</v>
      </c>
      <c r="N4303" t="s">
        <v>36</v>
      </c>
      <c r="P4303" t="s">
        <v>60</v>
      </c>
      <c r="Q4303" t="s">
        <v>900</v>
      </c>
      <c r="R4303" t="s">
        <v>1741</v>
      </c>
      <c r="S4303" t="s">
        <v>1007</v>
      </c>
      <c r="V4303" t="s">
        <v>905</v>
      </c>
      <c r="Z4303">
        <v>3</v>
      </c>
      <c r="AA4303">
        <v>3</v>
      </c>
      <c r="AG4303" t="str">
        <f t="shared" si="425"/>
        <v>5YESB_Saccostrea_glomerata_D0_CO2NA_TNA_control_outcome81.55</v>
      </c>
      <c r="AK4303" t="s">
        <v>40</v>
      </c>
      <c r="AM4303"/>
      <c r="AN4303">
        <v>81.554943467109794</v>
      </c>
      <c r="AO4303">
        <v>1.5898353148258899</v>
      </c>
      <c r="AP4303">
        <v>80.768179026839604</v>
      </c>
      <c r="AQ4303">
        <v>2.04407397620471</v>
      </c>
      <c r="AS4303">
        <f t="shared" si="427"/>
        <v>-9.6938820456653474E-3</v>
      </c>
      <c r="AT4303">
        <f t="shared" si="426"/>
        <v>3.4016933454449814E-4</v>
      </c>
      <c r="AW4303" s="28">
        <f t="shared" si="428"/>
        <v>-0.42966892442365451</v>
      </c>
      <c r="AX4303">
        <f t="shared" si="429"/>
        <v>0.8</v>
      </c>
      <c r="AY4303" s="62">
        <f t="shared" si="430"/>
        <v>-0.34373513953892365</v>
      </c>
      <c r="AZ4303" s="68" t="str">
        <f t="shared" si="431"/>
        <v>No</v>
      </c>
      <c r="BA4303" s="68" t="str">
        <f t="shared" si="432"/>
        <v>No</v>
      </c>
    </row>
    <row r="4304" spans="1:53" hidden="1">
      <c r="A4304" t="s">
        <v>1217</v>
      </c>
      <c r="B4304" t="str">
        <f t="shared" si="424"/>
        <v>4304_Ross</v>
      </c>
      <c r="C4304" t="s">
        <v>1230</v>
      </c>
      <c r="F4304" t="s">
        <v>1241</v>
      </c>
      <c r="G4304" t="s">
        <v>1214</v>
      </c>
      <c r="K4304" t="s">
        <v>72</v>
      </c>
      <c r="M4304" s="25" t="s">
        <v>36</v>
      </c>
      <c r="N4304" t="s">
        <v>36</v>
      </c>
      <c r="P4304" t="s">
        <v>60</v>
      </c>
      <c r="Q4304" t="s">
        <v>900</v>
      </c>
      <c r="R4304" t="s">
        <v>1741</v>
      </c>
      <c r="S4304" t="s">
        <v>1007</v>
      </c>
      <c r="V4304" t="s">
        <v>905</v>
      </c>
      <c r="Z4304">
        <v>3</v>
      </c>
      <c r="AA4304">
        <v>3</v>
      </c>
      <c r="AG4304" t="str">
        <f t="shared" si="425"/>
        <v>5YESB_Saccostrea_glomerata_D0_CO2NA_TNA_control_outcome93.49</v>
      </c>
      <c r="AK4304" t="s">
        <v>40</v>
      </c>
      <c r="AM4304"/>
      <c r="AN4304">
        <v>93.487537477874497</v>
      </c>
      <c r="AO4304">
        <v>3.6339092910306001</v>
      </c>
      <c r="AP4304">
        <v>85.095383448325705</v>
      </c>
      <c r="AQ4304">
        <v>2.49831263758356</v>
      </c>
      <c r="AS4304">
        <f t="shared" si="427"/>
        <v>-9.4055352847174589E-2</v>
      </c>
      <c r="AT4304">
        <f t="shared" si="426"/>
        <v>7.909554684394413E-4</v>
      </c>
      <c r="AW4304" s="28">
        <f t="shared" si="428"/>
        <v>-2.6913096545995425</v>
      </c>
      <c r="AX4304">
        <f t="shared" si="429"/>
        <v>0.8</v>
      </c>
      <c r="AY4304" s="62">
        <f t="shared" si="430"/>
        <v>-2.1530477236796339</v>
      </c>
      <c r="AZ4304" s="68" t="str">
        <f t="shared" si="431"/>
        <v>No</v>
      </c>
      <c r="BA4304" s="68" t="str">
        <f t="shared" si="432"/>
        <v>No</v>
      </c>
    </row>
    <row r="4305" spans="1:53" hidden="1">
      <c r="A4305" t="s">
        <v>1217</v>
      </c>
      <c r="B4305" t="str">
        <f t="shared" si="424"/>
        <v>4305_Ross</v>
      </c>
      <c r="C4305" t="s">
        <v>1230</v>
      </c>
      <c r="F4305" t="s">
        <v>1241</v>
      </c>
      <c r="G4305" t="s">
        <v>1214</v>
      </c>
      <c r="K4305" t="s">
        <v>72</v>
      </c>
      <c r="M4305" s="25" t="s">
        <v>36</v>
      </c>
      <c r="N4305" t="s">
        <v>36</v>
      </c>
      <c r="P4305" t="s">
        <v>60</v>
      </c>
      <c r="Q4305" t="s">
        <v>900</v>
      </c>
      <c r="R4305" t="s">
        <v>1741</v>
      </c>
      <c r="S4305" t="s">
        <v>1007</v>
      </c>
      <c r="V4305" t="s">
        <v>905</v>
      </c>
      <c r="Z4305">
        <v>3</v>
      </c>
      <c r="AA4305">
        <v>3</v>
      </c>
      <c r="AG4305" t="str">
        <f t="shared" si="425"/>
        <v>5YESB_Saccostrea_glomerata_D0_CO2NA_TNA_control_outcome114.47</v>
      </c>
      <c r="AK4305" t="s">
        <v>40</v>
      </c>
      <c r="AM4305"/>
      <c r="AN4305">
        <v>114.46792255174699</v>
      </c>
      <c r="AO4305">
        <v>13.4000405106753</v>
      </c>
      <c r="AP4305">
        <v>102.666455947694</v>
      </c>
      <c r="AQ4305">
        <v>12.7186825186071</v>
      </c>
      <c r="AS4305">
        <f t="shared" si="427"/>
        <v>-0.1088091895119625</v>
      </c>
      <c r="AT4305">
        <f t="shared" si="426"/>
        <v>9.6836805935458757E-3</v>
      </c>
      <c r="AW4305" s="28">
        <f t="shared" si="428"/>
        <v>-0.90337134915204975</v>
      </c>
      <c r="AX4305">
        <f t="shared" si="429"/>
        <v>0.8</v>
      </c>
      <c r="AY4305" s="62">
        <f t="shared" si="430"/>
        <v>-0.72269707932163985</v>
      </c>
      <c r="AZ4305" s="68" t="str">
        <f t="shared" si="431"/>
        <v>No</v>
      </c>
      <c r="BA4305" s="68" t="str">
        <f t="shared" si="432"/>
        <v>No</v>
      </c>
    </row>
    <row r="4306" spans="1:53" hidden="1">
      <c r="A4306" t="s">
        <v>1217</v>
      </c>
      <c r="B4306" t="str">
        <f t="shared" si="424"/>
        <v>4306_Ross</v>
      </c>
      <c r="C4306" t="s">
        <v>1231</v>
      </c>
      <c r="F4306" t="s">
        <v>1241</v>
      </c>
      <c r="G4306" t="s">
        <v>1215</v>
      </c>
      <c r="K4306" t="s">
        <v>72</v>
      </c>
      <c r="M4306" s="25" t="s">
        <v>36</v>
      </c>
      <c r="N4306" t="s">
        <v>36</v>
      </c>
      <c r="P4306" t="s">
        <v>60</v>
      </c>
      <c r="Q4306" t="s">
        <v>900</v>
      </c>
      <c r="R4306" t="s">
        <v>1741</v>
      </c>
      <c r="S4306" t="s">
        <v>1007</v>
      </c>
      <c r="V4306" t="s">
        <v>905</v>
      </c>
      <c r="Z4306">
        <v>3</v>
      </c>
      <c r="AA4306">
        <v>3</v>
      </c>
      <c r="AG4306" t="str">
        <f t="shared" si="425"/>
        <v>6YESB_Saccostrea_glomerata_D0_CO2NA_TNA_control_outcome103.64</v>
      </c>
      <c r="AK4306" t="s">
        <v>40</v>
      </c>
      <c r="AM4306"/>
      <c r="AN4306">
        <v>103.640693169329</v>
      </c>
      <c r="AO4306">
        <v>2.1247084696362206</v>
      </c>
      <c r="AP4306">
        <v>87.787941695622706</v>
      </c>
      <c r="AQ4306">
        <v>17.814863322334475</v>
      </c>
      <c r="AS4306">
        <f t="shared" si="427"/>
        <v>-0.16600589102219665</v>
      </c>
      <c r="AT4306">
        <f t="shared" si="426"/>
        <v>1.3867041542721227E-2</v>
      </c>
      <c r="AW4306" s="28">
        <f t="shared" si="428"/>
        <v>-1.2495974455533996</v>
      </c>
      <c r="AX4306">
        <f t="shared" si="429"/>
        <v>0.8</v>
      </c>
      <c r="AY4306" s="62">
        <f t="shared" si="430"/>
        <v>-0.99967795644271973</v>
      </c>
      <c r="AZ4306" s="68" t="str">
        <f t="shared" si="431"/>
        <v>No</v>
      </c>
      <c r="BA4306" s="68" t="str">
        <f t="shared" si="432"/>
        <v>No</v>
      </c>
    </row>
    <row r="4307" spans="1:53" hidden="1">
      <c r="A4307" t="s">
        <v>1217</v>
      </c>
      <c r="B4307" t="str">
        <f t="shared" si="424"/>
        <v>4307_Ross</v>
      </c>
      <c r="C4307" t="s">
        <v>1231</v>
      </c>
      <c r="F4307" t="s">
        <v>1241</v>
      </c>
      <c r="G4307" t="s">
        <v>1215</v>
      </c>
      <c r="K4307" t="s">
        <v>72</v>
      </c>
      <c r="M4307" s="25" t="s">
        <v>36</v>
      </c>
      <c r="N4307" t="s">
        <v>36</v>
      </c>
      <c r="P4307" t="s">
        <v>60</v>
      </c>
      <c r="Q4307" t="s">
        <v>900</v>
      </c>
      <c r="R4307" t="s">
        <v>1741</v>
      </c>
      <c r="S4307" t="s">
        <v>1007</v>
      </c>
      <c r="V4307" t="s">
        <v>905</v>
      </c>
      <c r="Z4307">
        <v>3</v>
      </c>
      <c r="AA4307">
        <v>3</v>
      </c>
      <c r="AG4307" t="str">
        <f t="shared" si="425"/>
        <v>6YESB_Saccostrea_glomerata_D0_CO2NA_TNA_control_outcome87.98</v>
      </c>
      <c r="AK4307" t="s">
        <v>40</v>
      </c>
      <c r="AM4307"/>
      <c r="AN4307">
        <v>87.976664927452603</v>
      </c>
      <c r="AO4307">
        <v>1.4709520174404742</v>
      </c>
      <c r="AP4307">
        <v>88.259749775197307</v>
      </c>
      <c r="AQ4307">
        <v>1.797830243538338</v>
      </c>
      <c r="AS4307">
        <f t="shared" si="427"/>
        <v>3.2125607149700031E-3</v>
      </c>
      <c r="AT4307">
        <f t="shared" si="426"/>
        <v>2.3149296603990126E-4</v>
      </c>
      <c r="AW4307" s="28">
        <f t="shared" si="428"/>
        <v>0.17234549688639431</v>
      </c>
      <c r="AX4307">
        <f t="shared" si="429"/>
        <v>0.8</v>
      </c>
      <c r="AY4307" s="62">
        <f t="shared" si="430"/>
        <v>0.13787639750911546</v>
      </c>
      <c r="AZ4307" s="68" t="str">
        <f t="shared" si="431"/>
        <v>No</v>
      </c>
      <c r="BA4307" s="68" t="str">
        <f t="shared" si="432"/>
        <v>No</v>
      </c>
    </row>
    <row r="4308" spans="1:53" hidden="1">
      <c r="A4308" t="s">
        <v>1217</v>
      </c>
      <c r="B4308" t="str">
        <f t="shared" si="424"/>
        <v>4308_Ross</v>
      </c>
      <c r="C4308" t="s">
        <v>1232</v>
      </c>
      <c r="F4308" t="s">
        <v>1241</v>
      </c>
      <c r="G4308" t="s">
        <v>1216</v>
      </c>
      <c r="K4308" t="s">
        <v>72</v>
      </c>
      <c r="M4308" s="25" t="s">
        <v>36</v>
      </c>
      <c r="N4308" t="s">
        <v>36</v>
      </c>
      <c r="P4308" t="s">
        <v>60</v>
      </c>
      <c r="Q4308" t="s">
        <v>900</v>
      </c>
      <c r="R4308" t="s">
        <v>1741</v>
      </c>
      <c r="S4308" t="s">
        <v>1007</v>
      </c>
      <c r="V4308" t="s">
        <v>905</v>
      </c>
      <c r="Z4308">
        <v>3</v>
      </c>
      <c r="AA4308">
        <v>3</v>
      </c>
      <c r="AG4308" t="str">
        <f t="shared" si="425"/>
        <v>7YESB_Saccostrea_glomerata_D0_CO2NA_TNA_control_outcome70.63</v>
      </c>
      <c r="AK4308" t="s">
        <v>40</v>
      </c>
      <c r="AM4308"/>
      <c r="AN4308">
        <v>70.625000000000099</v>
      </c>
      <c r="AO4308">
        <v>1.0825317547305</v>
      </c>
      <c r="AP4308">
        <v>65.625000000000099</v>
      </c>
      <c r="AQ4308">
        <v>2.1650635094611501</v>
      </c>
      <c r="AS4308">
        <f t="shared" si="427"/>
        <v>-7.3427468554816855E-2</v>
      </c>
      <c r="AT4308">
        <f t="shared" si="426"/>
        <v>4.411264597206092E-4</v>
      </c>
      <c r="AW4308" s="28">
        <f t="shared" si="428"/>
        <v>-2.9211869733608542</v>
      </c>
      <c r="AX4308">
        <f t="shared" si="429"/>
        <v>0.8</v>
      </c>
      <c r="AY4308" s="62">
        <f t="shared" si="430"/>
        <v>-2.3369495786886834</v>
      </c>
      <c r="AZ4308" s="68" t="str">
        <f t="shared" si="431"/>
        <v>No</v>
      </c>
      <c r="BA4308" s="68" t="str">
        <f t="shared" si="432"/>
        <v>No</v>
      </c>
    </row>
    <row r="4309" spans="1:53" hidden="1">
      <c r="A4309" t="s">
        <v>1217</v>
      </c>
      <c r="B4309" t="str">
        <f t="shared" si="424"/>
        <v>4309_Ross</v>
      </c>
      <c r="C4309" t="s">
        <v>1232</v>
      </c>
      <c r="F4309" t="s">
        <v>1241</v>
      </c>
      <c r="G4309" t="s">
        <v>1216</v>
      </c>
      <c r="K4309" t="s">
        <v>72</v>
      </c>
      <c r="M4309" s="25" t="s">
        <v>36</v>
      </c>
      <c r="N4309" t="s">
        <v>36</v>
      </c>
      <c r="P4309" t="s">
        <v>60</v>
      </c>
      <c r="Q4309" t="s">
        <v>900</v>
      </c>
      <c r="R4309" t="s">
        <v>1741</v>
      </c>
      <c r="S4309" t="s">
        <v>1007</v>
      </c>
      <c r="V4309" t="s">
        <v>905</v>
      </c>
      <c r="Z4309">
        <v>3</v>
      </c>
      <c r="AA4309">
        <v>3</v>
      </c>
      <c r="AG4309" t="str">
        <f t="shared" si="425"/>
        <v>7YESB_Saccostrea_glomerata_D0_CO2NA_TNA_control_outcome76.25</v>
      </c>
      <c r="AK4309" t="s">
        <v>40</v>
      </c>
      <c r="AM4309"/>
      <c r="AN4309">
        <v>76.250000000000099</v>
      </c>
      <c r="AO4309">
        <v>2.70632938682642</v>
      </c>
      <c r="AP4309">
        <v>72.500000000000099</v>
      </c>
      <c r="AQ4309">
        <v>2.7063293868263698</v>
      </c>
      <c r="AS4309">
        <f t="shared" si="427"/>
        <v>-5.043085362689137E-2</v>
      </c>
      <c r="AT4309">
        <f t="shared" si="426"/>
        <v>8.8439081492996149E-4</v>
      </c>
      <c r="AW4309" s="28">
        <f t="shared" si="428"/>
        <v>-1.3856406460550896</v>
      </c>
      <c r="AX4309">
        <f t="shared" si="429"/>
        <v>0.8</v>
      </c>
      <c r="AY4309" s="62">
        <f t="shared" si="430"/>
        <v>-1.1085125168440717</v>
      </c>
      <c r="AZ4309" s="68" t="str">
        <f t="shared" si="431"/>
        <v>No</v>
      </c>
      <c r="BA4309" s="68" t="str">
        <f t="shared" si="432"/>
        <v>No</v>
      </c>
    </row>
    <row r="4310" spans="1:53" hidden="1">
      <c r="A4310" t="s">
        <v>1217</v>
      </c>
      <c r="B4310" t="str">
        <f t="shared" si="424"/>
        <v>4310_Ross</v>
      </c>
      <c r="C4310" t="s">
        <v>1232</v>
      </c>
      <c r="F4310" t="s">
        <v>1241</v>
      </c>
      <c r="G4310" t="s">
        <v>1216</v>
      </c>
      <c r="K4310" t="s">
        <v>72</v>
      </c>
      <c r="M4310" s="25" t="s">
        <v>36</v>
      </c>
      <c r="N4310" t="s">
        <v>36</v>
      </c>
      <c r="P4310" t="s">
        <v>60</v>
      </c>
      <c r="Q4310" t="s">
        <v>900</v>
      </c>
      <c r="R4310" t="s">
        <v>1741</v>
      </c>
      <c r="S4310" t="s">
        <v>1007</v>
      </c>
      <c r="V4310" t="s">
        <v>905</v>
      </c>
      <c r="Z4310">
        <v>3</v>
      </c>
      <c r="AA4310">
        <v>3</v>
      </c>
      <c r="AG4310" t="str">
        <f t="shared" si="425"/>
        <v>7YESB_Saccostrea_glomerata_D0_CO2NA_TNA_control_outcome84.06</v>
      </c>
      <c r="AK4310" t="s">
        <v>40</v>
      </c>
      <c r="AM4310"/>
      <c r="AN4310">
        <v>84.062500000000099</v>
      </c>
      <c r="AO4310">
        <v>2.7063293868263698</v>
      </c>
      <c r="AP4310">
        <v>76.562500000000099</v>
      </c>
      <c r="AQ4310">
        <v>2.7063293868263698</v>
      </c>
      <c r="AS4310">
        <f t="shared" si="427"/>
        <v>-9.345316905711254E-2</v>
      </c>
      <c r="AT4310">
        <f t="shared" si="426"/>
        <v>7.6198310174434574E-4</v>
      </c>
      <c r="AW4310" s="28">
        <f t="shared" si="428"/>
        <v>-2.7712812921102046</v>
      </c>
      <c r="AX4310">
        <f t="shared" si="429"/>
        <v>0.8</v>
      </c>
      <c r="AY4310" s="62">
        <f t="shared" si="430"/>
        <v>-2.2170250336881638</v>
      </c>
      <c r="AZ4310" s="68" t="str">
        <f t="shared" si="431"/>
        <v>No</v>
      </c>
      <c r="BA4310" s="68" t="str">
        <f t="shared" si="432"/>
        <v>No</v>
      </c>
    </row>
    <row r="4311" spans="1:53" hidden="1">
      <c r="A4311" t="s">
        <v>1217</v>
      </c>
      <c r="B4311" t="str">
        <f t="shared" si="424"/>
        <v>4311_Ross</v>
      </c>
      <c r="C4311" t="s">
        <v>1232</v>
      </c>
      <c r="F4311" t="s">
        <v>1241</v>
      </c>
      <c r="G4311" t="s">
        <v>1216</v>
      </c>
      <c r="K4311" t="s">
        <v>72</v>
      </c>
      <c r="M4311" s="25" t="s">
        <v>36</v>
      </c>
      <c r="N4311" t="s">
        <v>36</v>
      </c>
      <c r="P4311" t="s">
        <v>60</v>
      </c>
      <c r="Q4311" t="s">
        <v>900</v>
      </c>
      <c r="R4311" t="s">
        <v>1741</v>
      </c>
      <c r="S4311" t="s">
        <v>1007</v>
      </c>
      <c r="V4311" t="s">
        <v>905</v>
      </c>
      <c r="Z4311">
        <v>3</v>
      </c>
      <c r="AA4311">
        <v>3</v>
      </c>
      <c r="AG4311" t="str">
        <f t="shared" si="425"/>
        <v>7YESB_Saccostrea_glomerata_D0_CO2NA_TNA_control_outcome95.00</v>
      </c>
      <c r="AK4311" t="s">
        <v>40</v>
      </c>
      <c r="AM4311"/>
      <c r="AN4311">
        <v>95.000000000000099</v>
      </c>
      <c r="AO4311">
        <v>3.7888611415569202</v>
      </c>
      <c r="AP4311">
        <v>85.937500000000099</v>
      </c>
      <c r="AQ4311">
        <v>5.95392465101797</v>
      </c>
      <c r="AS4311">
        <f t="shared" si="427"/>
        <v>-0.10025660373965017</v>
      </c>
      <c r="AT4311">
        <f t="shared" si="426"/>
        <v>2.130211218836536E-3</v>
      </c>
      <c r="AW4311" s="28">
        <f t="shared" si="428"/>
        <v>-1.8160504441469434</v>
      </c>
      <c r="AX4311">
        <f t="shared" si="429"/>
        <v>0.8</v>
      </c>
      <c r="AY4311" s="62">
        <f t="shared" si="430"/>
        <v>-1.4528403553175548</v>
      </c>
      <c r="AZ4311" s="68" t="str">
        <f t="shared" si="431"/>
        <v>No</v>
      </c>
      <c r="BA4311" s="68" t="str">
        <f t="shared" si="432"/>
        <v>No</v>
      </c>
    </row>
    <row r="4312" spans="1:53" hidden="1">
      <c r="A4312" t="s">
        <v>1217</v>
      </c>
      <c r="B4312" t="str">
        <f t="shared" si="424"/>
        <v>4312_Ross</v>
      </c>
      <c r="C4312" t="s">
        <v>1232</v>
      </c>
      <c r="F4312" t="s">
        <v>1241</v>
      </c>
      <c r="G4312" t="s">
        <v>1216</v>
      </c>
      <c r="K4312" t="s">
        <v>72</v>
      </c>
      <c r="M4312" s="25" t="s">
        <v>36</v>
      </c>
      <c r="N4312" t="s">
        <v>36</v>
      </c>
      <c r="P4312" t="s">
        <v>60</v>
      </c>
      <c r="Q4312" t="s">
        <v>900</v>
      </c>
      <c r="R4312" t="s">
        <v>1741</v>
      </c>
      <c r="S4312" t="s">
        <v>1007</v>
      </c>
      <c r="V4312" t="s">
        <v>905</v>
      </c>
      <c r="Z4312">
        <v>3</v>
      </c>
      <c r="AA4312">
        <v>3</v>
      </c>
      <c r="AG4312" t="str">
        <f t="shared" si="425"/>
        <v>7YESB_Saccostrea_glomerata_D0_CO2NA_TNA_control_outcome103.75</v>
      </c>
      <c r="AK4312" t="s">
        <v>40</v>
      </c>
      <c r="AM4312"/>
      <c r="AN4312">
        <v>103.75</v>
      </c>
      <c r="AO4312">
        <v>2.1650635094610999</v>
      </c>
      <c r="AP4312">
        <v>88.125000000000099</v>
      </c>
      <c r="AQ4312">
        <v>17.3205080756887</v>
      </c>
      <c r="AS4312">
        <f t="shared" si="427"/>
        <v>-0.16322789797837434</v>
      </c>
      <c r="AT4312">
        <f t="shared" si="426"/>
        <v>1.3021774813442214E-2</v>
      </c>
      <c r="AW4312" s="28">
        <f t="shared" si="428"/>
        <v>-1.2659242088545803</v>
      </c>
      <c r="AX4312">
        <f t="shared" si="429"/>
        <v>0.8</v>
      </c>
      <c r="AY4312" s="62">
        <f t="shared" si="430"/>
        <v>-1.0127393670836644</v>
      </c>
      <c r="AZ4312" s="68" t="str">
        <f t="shared" si="431"/>
        <v>No</v>
      </c>
      <c r="BA4312" s="68" t="str">
        <f t="shared" si="432"/>
        <v>No</v>
      </c>
    </row>
    <row r="4313" spans="1:53" hidden="1">
      <c r="A4313" t="s">
        <v>1217</v>
      </c>
      <c r="B4313" t="str">
        <f t="shared" si="424"/>
        <v>4313_Ross</v>
      </c>
      <c r="C4313" t="s">
        <v>1232</v>
      </c>
      <c r="F4313" t="s">
        <v>1241</v>
      </c>
      <c r="G4313" t="s">
        <v>1216</v>
      </c>
      <c r="K4313" t="s">
        <v>72</v>
      </c>
      <c r="M4313" s="25" t="s">
        <v>36</v>
      </c>
      <c r="N4313" t="s">
        <v>36</v>
      </c>
      <c r="P4313" t="s">
        <v>60</v>
      </c>
      <c r="Q4313" t="s">
        <v>900</v>
      </c>
      <c r="R4313" t="s">
        <v>1741</v>
      </c>
      <c r="S4313" t="s">
        <v>1007</v>
      </c>
      <c r="V4313" t="s">
        <v>905</v>
      </c>
      <c r="Z4313">
        <v>3</v>
      </c>
      <c r="AA4313">
        <v>3</v>
      </c>
      <c r="AG4313" t="str">
        <f t="shared" si="425"/>
        <v>7YESB_Saccostrea_glomerata_D0_CO2NA_TNA_control_outcome69.69</v>
      </c>
      <c r="AK4313" t="s">
        <v>40</v>
      </c>
      <c r="AM4313"/>
      <c r="AN4313">
        <v>69.687500000000099</v>
      </c>
      <c r="AO4313">
        <v>3.78886114155687</v>
      </c>
      <c r="AP4313">
        <v>67.187500000000099</v>
      </c>
      <c r="AQ4313">
        <v>3.2475952641916002</v>
      </c>
      <c r="AS4313">
        <f t="shared" si="427"/>
        <v>-3.6533743332456403E-2</v>
      </c>
      <c r="AT4313">
        <f t="shared" si="426"/>
        <v>1.7641398967584972E-3</v>
      </c>
      <c r="AW4313" s="28">
        <f t="shared" si="428"/>
        <v>-0.70849190843208565</v>
      </c>
      <c r="AX4313">
        <f t="shared" si="429"/>
        <v>0.8</v>
      </c>
      <c r="AY4313" s="62">
        <f t="shared" si="430"/>
        <v>-0.56679352674566852</v>
      </c>
      <c r="AZ4313" s="68" t="str">
        <f t="shared" si="431"/>
        <v>No</v>
      </c>
      <c r="BA4313" s="68" t="str">
        <f t="shared" si="432"/>
        <v>No</v>
      </c>
    </row>
    <row r="4314" spans="1:53" hidden="1">
      <c r="A4314" t="s">
        <v>1217</v>
      </c>
      <c r="B4314" t="str">
        <f t="shared" si="424"/>
        <v>4314_Ross</v>
      </c>
      <c r="C4314" t="s">
        <v>1232</v>
      </c>
      <c r="F4314" t="s">
        <v>1241</v>
      </c>
      <c r="G4314" t="s">
        <v>1216</v>
      </c>
      <c r="K4314" t="s">
        <v>72</v>
      </c>
      <c r="M4314" s="25" t="s">
        <v>36</v>
      </c>
      <c r="N4314" t="s">
        <v>36</v>
      </c>
      <c r="P4314" t="s">
        <v>60</v>
      </c>
      <c r="Q4314" t="s">
        <v>900</v>
      </c>
      <c r="R4314" t="s">
        <v>1741</v>
      </c>
      <c r="S4314" t="s">
        <v>1007</v>
      </c>
      <c r="V4314" t="s">
        <v>905</v>
      </c>
      <c r="Z4314">
        <v>3</v>
      </c>
      <c r="AA4314">
        <v>3</v>
      </c>
      <c r="AG4314" t="str">
        <f t="shared" si="425"/>
        <v>7YESB_Saccostrea_glomerata_D0_CO2NA_TNA_control_outcome78.13</v>
      </c>
      <c r="AK4314" t="s">
        <v>40</v>
      </c>
      <c r="AM4314"/>
      <c r="AN4314">
        <v>78.125000000000099</v>
      </c>
      <c r="AO4314">
        <v>1.6237976320957701</v>
      </c>
      <c r="AP4314">
        <v>73.750000000000099</v>
      </c>
      <c r="AQ4314">
        <v>2.1650635094610502</v>
      </c>
      <c r="AS4314">
        <f t="shared" si="427"/>
        <v>-5.7629112836636409E-2</v>
      </c>
      <c r="AT4314">
        <f t="shared" si="426"/>
        <v>4.3127377190460239E-4</v>
      </c>
      <c r="AW4314" s="28">
        <f t="shared" si="428"/>
        <v>-2.2861904265976909</v>
      </c>
      <c r="AX4314">
        <f t="shared" si="429"/>
        <v>0.8</v>
      </c>
      <c r="AY4314" s="62">
        <f t="shared" si="430"/>
        <v>-1.8289523412781528</v>
      </c>
      <c r="AZ4314" s="68" t="str">
        <f t="shared" si="431"/>
        <v>No</v>
      </c>
      <c r="BA4314" s="68" t="str">
        <f t="shared" si="432"/>
        <v>No</v>
      </c>
    </row>
    <row r="4315" spans="1:53" hidden="1">
      <c r="A4315" t="s">
        <v>1217</v>
      </c>
      <c r="B4315" t="str">
        <f t="shared" si="424"/>
        <v>4315_Ross</v>
      </c>
      <c r="C4315" t="s">
        <v>1232</v>
      </c>
      <c r="F4315" t="s">
        <v>1241</v>
      </c>
      <c r="G4315" t="s">
        <v>1216</v>
      </c>
      <c r="K4315" t="s">
        <v>72</v>
      </c>
      <c r="M4315" s="25" t="s">
        <v>36</v>
      </c>
      <c r="N4315" t="s">
        <v>36</v>
      </c>
      <c r="P4315" t="s">
        <v>60</v>
      </c>
      <c r="Q4315" t="s">
        <v>900</v>
      </c>
      <c r="R4315" t="s">
        <v>1741</v>
      </c>
      <c r="S4315" t="s">
        <v>1007</v>
      </c>
      <c r="V4315" t="s">
        <v>905</v>
      </c>
      <c r="Z4315">
        <v>3</v>
      </c>
      <c r="AA4315">
        <v>3</v>
      </c>
      <c r="AG4315" t="str">
        <f t="shared" si="425"/>
        <v>7YESB_Saccostrea_glomerata_D0_CO2NA_TNA_control_outcome84.06</v>
      </c>
      <c r="AK4315" t="s">
        <v>40</v>
      </c>
      <c r="AM4315"/>
      <c r="AN4315">
        <v>84.062500000000099</v>
      </c>
      <c r="AO4315">
        <v>3.7888611415569202</v>
      </c>
      <c r="AP4315">
        <v>77.187500000000099</v>
      </c>
      <c r="AQ4315">
        <v>9.20151991520971</v>
      </c>
      <c r="AS4315">
        <f t="shared" si="427"/>
        <v>-8.5323042973862506E-2</v>
      </c>
      <c r="AT4315">
        <f t="shared" si="426"/>
        <v>5.4141663643126241E-3</v>
      </c>
      <c r="AW4315" s="28">
        <f t="shared" si="428"/>
        <v>-0.97705430170551599</v>
      </c>
      <c r="AX4315">
        <f t="shared" si="429"/>
        <v>0.8</v>
      </c>
      <c r="AY4315" s="62">
        <f t="shared" si="430"/>
        <v>-0.78164344136441288</v>
      </c>
      <c r="AZ4315" s="68" t="str">
        <f t="shared" si="431"/>
        <v>No</v>
      </c>
      <c r="BA4315" s="68" t="str">
        <f t="shared" si="432"/>
        <v>No</v>
      </c>
    </row>
    <row r="4316" spans="1:53" hidden="1">
      <c r="A4316" t="s">
        <v>1217</v>
      </c>
      <c r="B4316" t="str">
        <f t="shared" si="424"/>
        <v>4316_Ross</v>
      </c>
      <c r="C4316" t="s">
        <v>1232</v>
      </c>
      <c r="F4316" t="s">
        <v>1241</v>
      </c>
      <c r="G4316" t="s">
        <v>1216</v>
      </c>
      <c r="K4316" t="s">
        <v>72</v>
      </c>
      <c r="M4316" s="25" t="s">
        <v>36</v>
      </c>
      <c r="N4316" t="s">
        <v>36</v>
      </c>
      <c r="P4316" t="s">
        <v>60</v>
      </c>
      <c r="Q4316" t="s">
        <v>900</v>
      </c>
      <c r="R4316" t="s">
        <v>1741</v>
      </c>
      <c r="S4316" t="s">
        <v>1007</v>
      </c>
      <c r="V4316" t="s">
        <v>905</v>
      </c>
      <c r="Z4316">
        <v>3</v>
      </c>
      <c r="AA4316">
        <v>3</v>
      </c>
      <c r="AG4316" t="str">
        <f t="shared" si="425"/>
        <v>7YESB_Saccostrea_glomerata_D0_CO2NA_TNA_control_outcome92.19</v>
      </c>
      <c r="AK4316" t="s">
        <v>40</v>
      </c>
      <c r="AM4316"/>
      <c r="AN4316">
        <v>92.187500000000099</v>
      </c>
      <c r="AO4316">
        <v>2.1650635094610999</v>
      </c>
      <c r="AP4316">
        <v>82.500000000000099</v>
      </c>
      <c r="AQ4316">
        <v>10.284051669940199</v>
      </c>
      <c r="AS4316">
        <f t="shared" si="427"/>
        <v>-0.11102625319350334</v>
      </c>
      <c r="AT4316">
        <f t="shared" si="426"/>
        <v>5.3634924959289464E-3</v>
      </c>
      <c r="AW4316" s="28">
        <f t="shared" si="428"/>
        <v>-1.3036031139466593</v>
      </c>
      <c r="AX4316">
        <f t="shared" si="429"/>
        <v>0.8</v>
      </c>
      <c r="AY4316" s="62">
        <f t="shared" si="430"/>
        <v>-1.0428824911573276</v>
      </c>
      <c r="AZ4316" s="68" t="str">
        <f t="shared" si="431"/>
        <v>No</v>
      </c>
      <c r="BA4316" s="68" t="str">
        <f t="shared" si="432"/>
        <v>No</v>
      </c>
    </row>
    <row r="4317" spans="1:53" hidden="1">
      <c r="A4317" t="s">
        <v>1217</v>
      </c>
      <c r="B4317" t="str">
        <f t="shared" si="424"/>
        <v>4317_Ross</v>
      </c>
      <c r="C4317" t="s">
        <v>1232</v>
      </c>
      <c r="F4317" t="s">
        <v>1241</v>
      </c>
      <c r="G4317" t="s">
        <v>1216</v>
      </c>
      <c r="K4317" t="s">
        <v>72</v>
      </c>
      <c r="M4317" s="25" t="s">
        <v>36</v>
      </c>
      <c r="N4317" t="s">
        <v>36</v>
      </c>
      <c r="P4317" t="s">
        <v>60</v>
      </c>
      <c r="Q4317" t="s">
        <v>900</v>
      </c>
      <c r="R4317" t="s">
        <v>1741</v>
      </c>
      <c r="S4317" t="s">
        <v>1007</v>
      </c>
      <c r="V4317" t="s">
        <v>905</v>
      </c>
      <c r="Z4317">
        <v>3</v>
      </c>
      <c r="AA4317">
        <v>3</v>
      </c>
      <c r="AG4317" t="str">
        <f t="shared" si="425"/>
        <v>7YESB_Saccostrea_glomerata_D0_CO2NA_TNA_control_outcome99.38</v>
      </c>
      <c r="AK4317" t="s">
        <v>40</v>
      </c>
      <c r="AM4317"/>
      <c r="AN4317">
        <v>99.375000000000099</v>
      </c>
      <c r="AO4317">
        <v>4.3301270189221404</v>
      </c>
      <c r="AP4317">
        <v>88.125000000000099</v>
      </c>
      <c r="AQ4317">
        <v>15.696710443592901</v>
      </c>
      <c r="AS4317">
        <f t="shared" si="427"/>
        <v>-0.12014431184206309</v>
      </c>
      <c r="AT4317">
        <f t="shared" si="426"/>
        <v>1.1208310128783421E-2</v>
      </c>
      <c r="AW4317" s="28">
        <f t="shared" si="428"/>
        <v>-0.9770855298266844</v>
      </c>
      <c r="AX4317">
        <f t="shared" si="429"/>
        <v>0.8</v>
      </c>
      <c r="AY4317" s="62">
        <f t="shared" si="430"/>
        <v>-0.78166842386134761</v>
      </c>
      <c r="AZ4317" s="68" t="str">
        <f t="shared" si="431"/>
        <v>No</v>
      </c>
      <c r="BA4317" s="68" t="str">
        <f t="shared" si="432"/>
        <v>No</v>
      </c>
    </row>
    <row r="4318" spans="1:53" hidden="1">
      <c r="A4318" t="s">
        <v>1217</v>
      </c>
      <c r="B4318" t="str">
        <f t="shared" si="424"/>
        <v>4318_Ross</v>
      </c>
      <c r="C4318" t="s">
        <v>1232</v>
      </c>
      <c r="F4318" t="s">
        <v>1241</v>
      </c>
      <c r="G4318" t="s">
        <v>1216</v>
      </c>
      <c r="K4318" t="s">
        <v>72</v>
      </c>
      <c r="M4318" s="25" t="s">
        <v>36</v>
      </c>
      <c r="N4318" t="s">
        <v>36</v>
      </c>
      <c r="P4318" t="s">
        <v>60</v>
      </c>
      <c r="Q4318" t="s">
        <v>900</v>
      </c>
      <c r="R4318" t="s">
        <v>1741</v>
      </c>
      <c r="S4318" t="s">
        <v>1007</v>
      </c>
      <c r="V4318" t="s">
        <v>905</v>
      </c>
      <c r="Z4318">
        <v>3</v>
      </c>
      <c r="AA4318">
        <v>3</v>
      </c>
      <c r="AG4318" t="str">
        <f t="shared" si="425"/>
        <v>7YESB_Saccostrea_glomerata_D0_CO2NA_TNA_control_outcome70.30</v>
      </c>
      <c r="AK4318" t="s">
        <v>40</v>
      </c>
      <c r="AM4318"/>
      <c r="AN4318">
        <v>70.303030303030297</v>
      </c>
      <c r="AO4318">
        <v>1.57459164324443</v>
      </c>
      <c r="AP4318">
        <v>66.6666666666667</v>
      </c>
      <c r="AQ4318">
        <v>1.57459164324443</v>
      </c>
      <c r="AS4318">
        <f t="shared" si="427"/>
        <v>-5.3109825313947923E-2</v>
      </c>
      <c r="AT4318">
        <f t="shared" si="426"/>
        <v>3.5316206601743112E-4</v>
      </c>
      <c r="AW4318" s="28">
        <f t="shared" si="428"/>
        <v>-2.3094010767584843</v>
      </c>
      <c r="AX4318">
        <f t="shared" si="429"/>
        <v>0.8</v>
      </c>
      <c r="AY4318" s="62">
        <f t="shared" si="430"/>
        <v>-1.8475208614067875</v>
      </c>
      <c r="AZ4318" s="68" t="str">
        <f t="shared" si="431"/>
        <v>No</v>
      </c>
      <c r="BA4318" s="68" t="str">
        <f t="shared" si="432"/>
        <v>No</v>
      </c>
    </row>
    <row r="4319" spans="1:53" hidden="1">
      <c r="A4319" t="s">
        <v>1217</v>
      </c>
      <c r="B4319" t="str">
        <f t="shared" ref="B4319:B4350" si="433">ROW()&amp;"_Ross"</f>
        <v>4319_Ross</v>
      </c>
      <c r="C4319" t="s">
        <v>1232</v>
      </c>
      <c r="F4319" t="s">
        <v>1241</v>
      </c>
      <c r="G4319" t="s">
        <v>1216</v>
      </c>
      <c r="K4319" t="s">
        <v>72</v>
      </c>
      <c r="M4319" s="25" t="s">
        <v>36</v>
      </c>
      <c r="N4319" t="s">
        <v>36</v>
      </c>
      <c r="P4319" t="s">
        <v>60</v>
      </c>
      <c r="Q4319" t="s">
        <v>900</v>
      </c>
      <c r="R4319" t="s">
        <v>1741</v>
      </c>
      <c r="S4319" t="s">
        <v>1007</v>
      </c>
      <c r="V4319" t="s">
        <v>905</v>
      </c>
      <c r="Z4319">
        <v>3</v>
      </c>
      <c r="AA4319">
        <v>3</v>
      </c>
      <c r="AG4319" t="str">
        <f t="shared" ref="AG4319:AG4350" si="434">C4319 &amp; "_" &amp;
SUBSTITUTE(TRIM(S4319)," ","_") &amp; "_" &amp;
"D" &amp; TEXT(X4319,"0") &amp; "_" &amp;
"CO2" &amp; IF(AC4319&lt;&gt;"",TEXT(AC4319,"0.00"),"NA") &amp; "_" &amp;
"T" &amp; IF(AD4319&lt;&gt;"",TEXT(AD4319,"0.00"),"NA") &amp; "_" &amp;
"control_outcome" &amp; IF(AN4319&lt;&gt;"",TEXT(AN4319,"0.00"),"NA")</f>
        <v>7YESB_Saccostrea_glomerata_D0_CO2NA_TNA_control_outcome74.55</v>
      </c>
      <c r="AK4319" t="s">
        <v>40</v>
      </c>
      <c r="AM4319"/>
      <c r="AN4319">
        <v>74.545454545454604</v>
      </c>
      <c r="AO4319">
        <v>1.57459164324443</v>
      </c>
      <c r="AP4319">
        <v>69.696969696969703</v>
      </c>
      <c r="AQ4319">
        <v>7.8729582162221998</v>
      </c>
      <c r="AS4319">
        <f t="shared" si="427"/>
        <v>-6.7252227009168664E-2</v>
      </c>
      <c r="AT4319">
        <f t="shared" ref="AT4319:AT4350" si="435">(AQ4319^2)/(AA4319*AP4319^2) + (AO4319^2)/(Z4319*AN4319^2)</f>
        <v>4.4020291279495711E-3</v>
      </c>
      <c r="AW4319" s="28">
        <f t="shared" si="428"/>
        <v>-0.85401682029380421</v>
      </c>
      <c r="AX4319">
        <f t="shared" si="429"/>
        <v>0.8</v>
      </c>
      <c r="AY4319" s="62">
        <f t="shared" si="430"/>
        <v>-0.68321345623504337</v>
      </c>
      <c r="AZ4319" s="68" t="str">
        <f t="shared" si="431"/>
        <v>No</v>
      </c>
      <c r="BA4319" s="68" t="str">
        <f t="shared" si="432"/>
        <v>No</v>
      </c>
    </row>
    <row r="4320" spans="1:53" hidden="1">
      <c r="A4320" t="s">
        <v>1217</v>
      </c>
      <c r="B4320" t="str">
        <f t="shared" si="433"/>
        <v>4320_Ross</v>
      </c>
      <c r="C4320" t="s">
        <v>1232</v>
      </c>
      <c r="F4320" t="s">
        <v>1241</v>
      </c>
      <c r="G4320" t="s">
        <v>1216</v>
      </c>
      <c r="K4320" t="s">
        <v>72</v>
      </c>
      <c r="M4320" s="25" t="s">
        <v>36</v>
      </c>
      <c r="N4320" t="s">
        <v>36</v>
      </c>
      <c r="P4320" t="s">
        <v>60</v>
      </c>
      <c r="Q4320" t="s">
        <v>900</v>
      </c>
      <c r="R4320" t="s">
        <v>1741</v>
      </c>
      <c r="S4320" t="s">
        <v>1007</v>
      </c>
      <c r="V4320" t="s">
        <v>905</v>
      </c>
      <c r="Z4320">
        <v>3</v>
      </c>
      <c r="AA4320">
        <v>3</v>
      </c>
      <c r="AG4320" t="str">
        <f t="shared" si="434"/>
        <v>7YESB_Saccostrea_glomerata_D0_CO2NA_TNA_control_outcome82.12</v>
      </c>
      <c r="AK4320" t="s">
        <v>40</v>
      </c>
      <c r="AM4320"/>
      <c r="AN4320">
        <v>82.121212121212196</v>
      </c>
      <c r="AO4320">
        <v>4.1989110486517998</v>
      </c>
      <c r="AP4320">
        <v>82.121212121212196</v>
      </c>
      <c r="AQ4320">
        <v>3.14918328648886</v>
      </c>
      <c r="AS4320">
        <f t="shared" si="427"/>
        <v>0</v>
      </c>
      <c r="AT4320">
        <f t="shared" si="435"/>
        <v>1.3616372326084735E-3</v>
      </c>
      <c r="AW4320" s="28">
        <f t="shared" si="428"/>
        <v>0</v>
      </c>
      <c r="AX4320">
        <f t="shared" si="429"/>
        <v>0.8</v>
      </c>
      <c r="AY4320" s="62">
        <f t="shared" si="430"/>
        <v>0</v>
      </c>
      <c r="AZ4320" s="68" t="str">
        <f t="shared" si="431"/>
        <v>No</v>
      </c>
      <c r="BA4320" s="68" t="str">
        <f t="shared" si="432"/>
        <v>No</v>
      </c>
    </row>
    <row r="4321" spans="1:53" hidden="1">
      <c r="A4321" t="s">
        <v>1217</v>
      </c>
      <c r="B4321" t="str">
        <f t="shared" si="433"/>
        <v>4321_Ross</v>
      </c>
      <c r="C4321" t="s">
        <v>1232</v>
      </c>
      <c r="F4321" t="s">
        <v>1241</v>
      </c>
      <c r="G4321" t="s">
        <v>1216</v>
      </c>
      <c r="K4321" t="s">
        <v>72</v>
      </c>
      <c r="M4321" s="25" t="s">
        <v>36</v>
      </c>
      <c r="N4321" t="s">
        <v>36</v>
      </c>
      <c r="P4321" t="s">
        <v>60</v>
      </c>
      <c r="Q4321" t="s">
        <v>900</v>
      </c>
      <c r="R4321" t="s">
        <v>1741</v>
      </c>
      <c r="S4321" t="s">
        <v>1007</v>
      </c>
      <c r="V4321" t="s">
        <v>905</v>
      </c>
      <c r="Z4321">
        <v>3</v>
      </c>
      <c r="AA4321">
        <v>3</v>
      </c>
      <c r="AG4321" t="str">
        <f t="shared" si="434"/>
        <v>7YESB_Saccostrea_glomerata_D0_CO2NA_TNA_control_outcome96.06</v>
      </c>
      <c r="AK4321" t="s">
        <v>40</v>
      </c>
      <c r="AM4321"/>
      <c r="AN4321">
        <v>96.060606060606105</v>
      </c>
      <c r="AO4321">
        <v>6.8232304540591597</v>
      </c>
      <c r="AP4321">
        <v>92.727272727272705</v>
      </c>
      <c r="AQ4321">
        <v>3.6740471675703499</v>
      </c>
      <c r="AS4321">
        <f t="shared" si="427"/>
        <v>-3.5316671924900511E-2</v>
      </c>
      <c r="AT4321">
        <f t="shared" si="435"/>
        <v>2.2050791179170667E-3</v>
      </c>
      <c r="AW4321" s="28">
        <f t="shared" si="428"/>
        <v>-0.60830138997027983</v>
      </c>
      <c r="AX4321">
        <f t="shared" si="429"/>
        <v>0.8</v>
      </c>
      <c r="AY4321" s="62">
        <f t="shared" si="430"/>
        <v>-0.48664111197622389</v>
      </c>
      <c r="AZ4321" s="68" t="str">
        <f t="shared" si="431"/>
        <v>No</v>
      </c>
      <c r="BA4321" s="68" t="str">
        <f t="shared" si="432"/>
        <v>No</v>
      </c>
    </row>
    <row r="4322" spans="1:53" hidden="1">
      <c r="A4322" t="s">
        <v>1217</v>
      </c>
      <c r="B4322" t="str">
        <f t="shared" si="433"/>
        <v>4322_Ross</v>
      </c>
      <c r="C4322" t="s">
        <v>1232</v>
      </c>
      <c r="F4322" t="s">
        <v>1241</v>
      </c>
      <c r="G4322" t="s">
        <v>1216</v>
      </c>
      <c r="K4322" t="s">
        <v>72</v>
      </c>
      <c r="M4322" s="25" t="s">
        <v>36</v>
      </c>
      <c r="N4322" t="s">
        <v>36</v>
      </c>
      <c r="P4322" t="s">
        <v>60</v>
      </c>
      <c r="Q4322" t="s">
        <v>900</v>
      </c>
      <c r="R4322" t="s">
        <v>1741</v>
      </c>
      <c r="S4322" t="s">
        <v>1007</v>
      </c>
      <c r="V4322" t="s">
        <v>905</v>
      </c>
      <c r="Z4322">
        <v>3</v>
      </c>
      <c r="AA4322">
        <v>3</v>
      </c>
      <c r="AG4322" t="str">
        <f t="shared" si="434"/>
        <v>7YESB_Saccostrea_glomerata_D0_CO2NA_TNA_control_outcome109.39</v>
      </c>
      <c r="AK4322" t="s">
        <v>40</v>
      </c>
      <c r="AM4322"/>
      <c r="AN4322">
        <v>109.39393939393899</v>
      </c>
      <c r="AO4322">
        <v>5.77350269189618</v>
      </c>
      <c r="AP4322">
        <v>109.69696969697</v>
      </c>
      <c r="AQ4322">
        <v>3.14918328648886</v>
      </c>
      <c r="AS4322">
        <f t="shared" si="427"/>
        <v>2.7662534928962756E-3</v>
      </c>
      <c r="AT4322">
        <f t="shared" si="435"/>
        <v>1.2031934967446684E-3</v>
      </c>
      <c r="AW4322" s="28">
        <f t="shared" si="428"/>
        <v>6.5163521245259759E-2</v>
      </c>
      <c r="AX4322">
        <f t="shared" si="429"/>
        <v>0.8</v>
      </c>
      <c r="AY4322" s="62">
        <f t="shared" si="430"/>
        <v>5.2130816996207807E-2</v>
      </c>
      <c r="AZ4322" s="68" t="str">
        <f t="shared" si="431"/>
        <v>No</v>
      </c>
      <c r="BA4322" s="68" t="str">
        <f t="shared" si="432"/>
        <v>No</v>
      </c>
    </row>
    <row r="4323" spans="1:53" hidden="1">
      <c r="A4323" t="s">
        <v>1217</v>
      </c>
      <c r="B4323" t="str">
        <f t="shared" si="433"/>
        <v>4323_Ross</v>
      </c>
      <c r="C4323" t="s">
        <v>1232</v>
      </c>
      <c r="F4323" t="s">
        <v>1241</v>
      </c>
      <c r="G4323" t="s">
        <v>1216</v>
      </c>
      <c r="K4323" t="s">
        <v>72</v>
      </c>
      <c r="M4323" s="25" t="s">
        <v>36</v>
      </c>
      <c r="N4323" t="s">
        <v>36</v>
      </c>
      <c r="P4323" t="s">
        <v>60</v>
      </c>
      <c r="Q4323" t="s">
        <v>900</v>
      </c>
      <c r="R4323" t="s">
        <v>1741</v>
      </c>
      <c r="S4323" t="s">
        <v>1007</v>
      </c>
      <c r="V4323" t="s">
        <v>905</v>
      </c>
      <c r="Z4323">
        <v>3</v>
      </c>
      <c r="AA4323">
        <v>3</v>
      </c>
      <c r="AG4323" t="str">
        <f t="shared" si="434"/>
        <v>7YESB_Saccostrea_glomerata_D0_CO2NA_TNA_control_outcome68.79</v>
      </c>
      <c r="AK4323" t="s">
        <v>40</v>
      </c>
      <c r="AM4323"/>
      <c r="AN4323">
        <v>68.787878787878796</v>
      </c>
      <c r="AO4323">
        <v>2.0994555243259199</v>
      </c>
      <c r="AP4323">
        <v>67.878787878787904</v>
      </c>
      <c r="AQ4323">
        <v>0.52486388108144399</v>
      </c>
      <c r="AS4323">
        <f t="shared" si="427"/>
        <v>-1.3303965626362491E-2</v>
      </c>
      <c r="AT4323">
        <f t="shared" si="435"/>
        <v>3.3043461124625256E-4</v>
      </c>
      <c r="AW4323" s="28">
        <f t="shared" si="428"/>
        <v>-0.59408852578599369</v>
      </c>
      <c r="AX4323">
        <f t="shared" si="429"/>
        <v>0.8</v>
      </c>
      <c r="AY4323" s="62">
        <f t="shared" si="430"/>
        <v>-0.475270820628795</v>
      </c>
      <c r="AZ4323" s="68" t="str">
        <f t="shared" si="431"/>
        <v>No</v>
      </c>
      <c r="BA4323" s="68" t="str">
        <f t="shared" si="432"/>
        <v>No</v>
      </c>
    </row>
    <row r="4324" spans="1:53" hidden="1">
      <c r="A4324" t="s">
        <v>1217</v>
      </c>
      <c r="B4324" t="str">
        <f t="shared" si="433"/>
        <v>4324_Ross</v>
      </c>
      <c r="C4324" t="s">
        <v>1232</v>
      </c>
      <c r="F4324" t="s">
        <v>1241</v>
      </c>
      <c r="G4324" t="s">
        <v>1216</v>
      </c>
      <c r="K4324" t="s">
        <v>72</v>
      </c>
      <c r="M4324" s="25" t="s">
        <v>36</v>
      </c>
      <c r="N4324" t="s">
        <v>36</v>
      </c>
      <c r="P4324" t="s">
        <v>60</v>
      </c>
      <c r="Q4324" t="s">
        <v>900</v>
      </c>
      <c r="R4324" t="s">
        <v>1741</v>
      </c>
      <c r="S4324" t="s">
        <v>1007</v>
      </c>
      <c r="V4324" t="s">
        <v>905</v>
      </c>
      <c r="Z4324">
        <v>3</v>
      </c>
      <c r="AA4324">
        <v>3</v>
      </c>
      <c r="AG4324" t="str">
        <f t="shared" si="434"/>
        <v>7YESB_Saccostrea_glomerata_D0_CO2NA_TNA_control_outcome75.15</v>
      </c>
      <c r="AK4324" t="s">
        <v>40</v>
      </c>
      <c r="AM4324"/>
      <c r="AN4324">
        <v>75.151515151515198</v>
      </c>
      <c r="AO4324">
        <v>2.6243194054073702</v>
      </c>
      <c r="AP4324">
        <v>76.363636363636402</v>
      </c>
      <c r="AQ4324">
        <v>1.0497277621629399</v>
      </c>
      <c r="AS4324">
        <f t="shared" si="427"/>
        <v>1.6000341346440905E-2</v>
      </c>
      <c r="AT4324">
        <f t="shared" si="435"/>
        <v>4.6946578569762888E-4</v>
      </c>
      <c r="AW4324" s="28">
        <f t="shared" si="428"/>
        <v>0.60647843486312381</v>
      </c>
      <c r="AX4324">
        <f t="shared" si="429"/>
        <v>0.8</v>
      </c>
      <c r="AY4324" s="62">
        <f t="shared" si="430"/>
        <v>0.48518274789049909</v>
      </c>
      <c r="AZ4324" s="68" t="str">
        <f t="shared" si="431"/>
        <v>No</v>
      </c>
      <c r="BA4324" s="68" t="str">
        <f t="shared" si="432"/>
        <v>No</v>
      </c>
    </row>
    <row r="4325" spans="1:53" hidden="1">
      <c r="A4325" t="s">
        <v>1217</v>
      </c>
      <c r="B4325" t="str">
        <f t="shared" si="433"/>
        <v>4325_Ross</v>
      </c>
      <c r="C4325" t="s">
        <v>1232</v>
      </c>
      <c r="F4325" t="s">
        <v>1241</v>
      </c>
      <c r="G4325" t="s">
        <v>1216</v>
      </c>
      <c r="K4325" t="s">
        <v>72</v>
      </c>
      <c r="M4325" s="25" t="s">
        <v>36</v>
      </c>
      <c r="N4325" t="s">
        <v>36</v>
      </c>
      <c r="P4325" t="s">
        <v>60</v>
      </c>
      <c r="Q4325" t="s">
        <v>900</v>
      </c>
      <c r="R4325" t="s">
        <v>1741</v>
      </c>
      <c r="S4325" t="s">
        <v>1007</v>
      </c>
      <c r="V4325" t="s">
        <v>905</v>
      </c>
      <c r="Z4325">
        <v>3</v>
      </c>
      <c r="AA4325">
        <v>3</v>
      </c>
      <c r="AG4325" t="str">
        <f t="shared" si="434"/>
        <v>7YESB_Saccostrea_glomerata_D0_CO2NA_TNA_control_outcome89.09</v>
      </c>
      <c r="AK4325" t="s">
        <v>40</v>
      </c>
      <c r="AM4325"/>
      <c r="AN4325">
        <v>89.090909090909093</v>
      </c>
      <c r="AO4325">
        <v>0.52486388108149296</v>
      </c>
      <c r="AP4325">
        <v>83.3333333333334</v>
      </c>
      <c r="AQ4325">
        <v>1.5745916432443801</v>
      </c>
      <c r="AS4325">
        <f t="shared" si="427"/>
        <v>-6.6808669672108856E-2</v>
      </c>
      <c r="AT4325">
        <f t="shared" si="435"/>
        <v>1.305775180145631E-4</v>
      </c>
      <c r="AW4325" s="28">
        <f t="shared" si="428"/>
        <v>-4.9057789051961436</v>
      </c>
      <c r="AX4325">
        <f t="shared" si="429"/>
        <v>0.8</v>
      </c>
      <c r="AY4325" s="62">
        <f t="shared" si="430"/>
        <v>-3.9246231241569149</v>
      </c>
      <c r="AZ4325" s="68" t="str">
        <f t="shared" si="431"/>
        <v>No</v>
      </c>
      <c r="BA4325" s="68" t="str">
        <f t="shared" si="432"/>
        <v>No</v>
      </c>
    </row>
    <row r="4326" spans="1:53" hidden="1">
      <c r="A4326" t="s">
        <v>1217</v>
      </c>
      <c r="B4326" t="str">
        <f t="shared" si="433"/>
        <v>4326_Ross</v>
      </c>
      <c r="C4326" t="s">
        <v>1232</v>
      </c>
      <c r="F4326" t="s">
        <v>1241</v>
      </c>
      <c r="G4326" t="s">
        <v>1216</v>
      </c>
      <c r="K4326" t="s">
        <v>72</v>
      </c>
      <c r="M4326" s="25" t="s">
        <v>36</v>
      </c>
      <c r="N4326" t="s">
        <v>36</v>
      </c>
      <c r="P4326" t="s">
        <v>60</v>
      </c>
      <c r="Q4326" t="s">
        <v>900</v>
      </c>
      <c r="R4326" t="s">
        <v>1741</v>
      </c>
      <c r="S4326" t="s">
        <v>1007</v>
      </c>
      <c r="V4326" t="s">
        <v>905</v>
      </c>
      <c r="Z4326">
        <v>3</v>
      </c>
      <c r="AA4326">
        <v>3</v>
      </c>
      <c r="AG4326" t="str">
        <f t="shared" si="434"/>
        <v>7YESB_Saccostrea_glomerata_D0_CO2NA_TNA_control_outcome97.27</v>
      </c>
      <c r="AK4326" t="s">
        <v>40</v>
      </c>
      <c r="AM4326"/>
      <c r="AN4326">
        <v>97.272727272727295</v>
      </c>
      <c r="AO4326">
        <v>1.57459164324448</v>
      </c>
      <c r="AP4326">
        <v>91.515151515151501</v>
      </c>
      <c r="AQ4326">
        <v>3.14918328648886</v>
      </c>
      <c r="AS4326">
        <f t="shared" si="427"/>
        <v>-6.1014105755146986E-2</v>
      </c>
      <c r="AT4326">
        <f t="shared" si="435"/>
        <v>4.8206340267250669E-4</v>
      </c>
      <c r="AW4326" s="28">
        <f t="shared" si="428"/>
        <v>-2.3126063539107067</v>
      </c>
      <c r="AX4326">
        <f t="shared" si="429"/>
        <v>0.8</v>
      </c>
      <c r="AY4326" s="62">
        <f t="shared" si="430"/>
        <v>-1.8500850831285653</v>
      </c>
      <c r="AZ4326" s="68" t="str">
        <f t="shared" si="431"/>
        <v>No</v>
      </c>
      <c r="BA4326" s="68" t="str">
        <f t="shared" si="432"/>
        <v>No</v>
      </c>
    </row>
    <row r="4327" spans="1:53" hidden="1">
      <c r="A4327" t="s">
        <v>1217</v>
      </c>
      <c r="B4327" t="str">
        <f t="shared" si="433"/>
        <v>4327_Ross</v>
      </c>
      <c r="C4327" t="s">
        <v>1232</v>
      </c>
      <c r="F4327" t="s">
        <v>1241</v>
      </c>
      <c r="G4327" t="s">
        <v>1216</v>
      </c>
      <c r="K4327" t="s">
        <v>72</v>
      </c>
      <c r="M4327" s="25" t="s">
        <v>36</v>
      </c>
      <c r="N4327" t="s">
        <v>36</v>
      </c>
      <c r="P4327" t="s">
        <v>60</v>
      </c>
      <c r="Q4327" t="s">
        <v>900</v>
      </c>
      <c r="R4327" t="s">
        <v>1741</v>
      </c>
      <c r="S4327" t="s">
        <v>1007</v>
      </c>
      <c r="V4327" t="s">
        <v>905</v>
      </c>
      <c r="Z4327">
        <v>3</v>
      </c>
      <c r="AA4327">
        <v>3</v>
      </c>
      <c r="AG4327" t="str">
        <f t="shared" si="434"/>
        <v>7YESB_Saccostrea_glomerata_D0_CO2NA_TNA_control_outcome116.36</v>
      </c>
      <c r="AK4327" t="s">
        <v>40</v>
      </c>
      <c r="AM4327"/>
      <c r="AN4327">
        <v>116.363636363636</v>
      </c>
      <c r="AO4327">
        <v>4.19891104865175</v>
      </c>
      <c r="AP4327">
        <v>104.545454545455</v>
      </c>
      <c r="AQ4327">
        <v>2.6243194054073702</v>
      </c>
      <c r="AS4327">
        <f t="shared" si="427"/>
        <v>-0.10709813555635961</v>
      </c>
      <c r="AT4327">
        <f t="shared" si="435"/>
        <v>6.44067685360201E-4</v>
      </c>
      <c r="AW4327" s="28">
        <f t="shared" si="428"/>
        <v>-3.3753901147815575</v>
      </c>
      <c r="AX4327">
        <f t="shared" si="429"/>
        <v>0.8</v>
      </c>
      <c r="AY4327" s="62">
        <f t="shared" si="430"/>
        <v>-2.7003120918252463</v>
      </c>
      <c r="AZ4327" s="68" t="str">
        <f t="shared" si="431"/>
        <v>No</v>
      </c>
      <c r="BA4327" s="68" t="str">
        <f t="shared" si="432"/>
        <v>No</v>
      </c>
    </row>
    <row r="4328" spans="1:53" hidden="1">
      <c r="A4328" t="s">
        <v>1217</v>
      </c>
      <c r="B4328" t="str">
        <f t="shared" si="433"/>
        <v>4328_Ross</v>
      </c>
      <c r="C4328" t="s">
        <v>1239</v>
      </c>
      <c r="F4328" t="s">
        <v>914</v>
      </c>
      <c r="G4328" t="s">
        <v>1214</v>
      </c>
      <c r="K4328" t="s">
        <v>72</v>
      </c>
      <c r="M4328" s="25" t="s">
        <v>36</v>
      </c>
      <c r="N4328" t="s">
        <v>36</v>
      </c>
      <c r="P4328" t="s">
        <v>60</v>
      </c>
      <c r="Q4328" t="s">
        <v>900</v>
      </c>
      <c r="R4328" t="s">
        <v>1315</v>
      </c>
      <c r="S4328" t="s">
        <v>1007</v>
      </c>
      <c r="V4328" t="s">
        <v>907</v>
      </c>
      <c r="Z4328">
        <v>3</v>
      </c>
      <c r="AA4328">
        <v>3</v>
      </c>
      <c r="AG4328" t="str">
        <f t="shared" si="434"/>
        <v>1YEHO_Saccostrea_glomerata_D0_CO2NA_TNA_control_outcome0.00</v>
      </c>
      <c r="AK4328" t="s">
        <v>69</v>
      </c>
      <c r="AM4328"/>
      <c r="AN4328">
        <v>0</v>
      </c>
      <c r="AO4328">
        <v>0</v>
      </c>
      <c r="AP4328">
        <v>0</v>
      </c>
      <c r="AQ4328">
        <v>0</v>
      </c>
      <c r="AS4328" t="e">
        <f t="shared" ref="AS4328:AS4364" si="436">(LN(AP4328)-LN(AN4328))*-1</f>
        <v>#NUM!</v>
      </c>
      <c r="AT4328" t="e">
        <f t="shared" si="435"/>
        <v>#DIV/0!</v>
      </c>
      <c r="AU4328" t="s">
        <v>1225</v>
      </c>
      <c r="AZ4328"/>
      <c r="BA4328"/>
    </row>
    <row r="4329" spans="1:53" hidden="1">
      <c r="A4329" t="s">
        <v>1217</v>
      </c>
      <c r="B4329" t="str">
        <f t="shared" si="433"/>
        <v>4329_Ross</v>
      </c>
      <c r="C4329" t="s">
        <v>1239</v>
      </c>
      <c r="F4329" t="s">
        <v>1241</v>
      </c>
      <c r="G4329" t="s">
        <v>1214</v>
      </c>
      <c r="K4329" t="s">
        <v>72</v>
      </c>
      <c r="M4329" s="25" t="s">
        <v>36</v>
      </c>
      <c r="N4329" t="s">
        <v>36</v>
      </c>
      <c r="P4329" t="s">
        <v>60</v>
      </c>
      <c r="Q4329" t="s">
        <v>900</v>
      </c>
      <c r="R4329" t="s">
        <v>1741</v>
      </c>
      <c r="S4329" t="s">
        <v>1007</v>
      </c>
      <c r="V4329" t="s">
        <v>907</v>
      </c>
      <c r="Z4329">
        <v>3</v>
      </c>
      <c r="AA4329">
        <v>3</v>
      </c>
      <c r="AG4329" t="str">
        <f t="shared" si="434"/>
        <v>1YEHO_Saccostrea_glomerata_D0_CO2NA_TNA_control_outcome20.63</v>
      </c>
      <c r="AK4329" t="s">
        <v>69</v>
      </c>
      <c r="AM4329"/>
      <c r="AN4329">
        <v>20.6349206349207</v>
      </c>
      <c r="AO4329">
        <v>10.9971479845643</v>
      </c>
      <c r="AP4329">
        <v>47.761194029850699</v>
      </c>
      <c r="AQ4329">
        <v>12.0640354756042</v>
      </c>
      <c r="AS4329">
        <f t="shared" si="436"/>
        <v>-0.83922865233875221</v>
      </c>
      <c r="AT4329">
        <f t="shared" si="435"/>
        <v>0.11594191732412859</v>
      </c>
      <c r="AU4329" t="s">
        <v>1225</v>
      </c>
      <c r="AW4329" s="28">
        <f>(AP4329-$AN4329)/SQRT(((AA4329-1)*AQ4329*AQ4329+($Z4329-1)*$AO4329*$AO4329)/(AA4329+$Z4329-2))</f>
        <v>2.3500347078682902</v>
      </c>
      <c r="AX4329">
        <f>1-(3/(4*(AA4329+$Z4329-2)-1))</f>
        <v>0.8</v>
      </c>
      <c r="AY4329" s="62">
        <f>AX4329*AW4329</f>
        <v>1.8800277662946323</v>
      </c>
      <c r="AZ4329" s="68" t="str">
        <f>IF(AY4329&gt;10,"Yes","No")</f>
        <v>No</v>
      </c>
      <c r="BA4329" s="68" t="str">
        <f>IF(AY4329&lt;-10,"Yes","No")</f>
        <v>No</v>
      </c>
    </row>
    <row r="4330" spans="1:53" hidden="1">
      <c r="A4330" t="s">
        <v>1217</v>
      </c>
      <c r="B4330" t="str">
        <f t="shared" si="433"/>
        <v>4330_Ross</v>
      </c>
      <c r="C4330" t="s">
        <v>1239</v>
      </c>
      <c r="F4330" t="s">
        <v>1241</v>
      </c>
      <c r="G4330" t="s">
        <v>1214</v>
      </c>
      <c r="K4330" t="s">
        <v>72</v>
      </c>
      <c r="M4330" s="25" t="s">
        <v>36</v>
      </c>
      <c r="N4330" t="s">
        <v>36</v>
      </c>
      <c r="P4330" t="s">
        <v>60</v>
      </c>
      <c r="Q4330" t="s">
        <v>900</v>
      </c>
      <c r="R4330" t="s">
        <v>1741</v>
      </c>
      <c r="S4330" t="s">
        <v>1007</v>
      </c>
      <c r="V4330" t="s">
        <v>907</v>
      </c>
      <c r="Z4330">
        <v>3</v>
      </c>
      <c r="AA4330">
        <v>3</v>
      </c>
      <c r="AG4330" t="str">
        <f t="shared" si="434"/>
        <v>1YEHO_Saccostrea_glomerata_D0_CO2NA_TNA_control_outcome38.10</v>
      </c>
      <c r="AK4330" t="s">
        <v>69</v>
      </c>
      <c r="AM4330"/>
      <c r="AN4330">
        <v>38.095238095238201</v>
      </c>
      <c r="AO4330">
        <v>11.913576983277901</v>
      </c>
      <c r="AP4330">
        <v>85.572139303482501</v>
      </c>
      <c r="AQ4330">
        <v>3.4468672787440999</v>
      </c>
      <c r="AS4330">
        <f t="shared" si="436"/>
        <v>-0.80927046479796072</v>
      </c>
      <c r="AT4330">
        <f t="shared" si="435"/>
        <v>3.3141141524613914E-2</v>
      </c>
      <c r="AU4330" t="s">
        <v>1225</v>
      </c>
      <c r="AW4330" s="28">
        <f>(AP4330-$AN4330)/SQRT(((AA4330-1)*AQ4330*AQ4330+($Z4330-1)*$AO4330*$AO4330)/(AA4330+$Z4330-2))</f>
        <v>5.4137616640332187</v>
      </c>
      <c r="AX4330">
        <f>1-(3/(4*(AA4330+$Z4330-2)-1))</f>
        <v>0.8</v>
      </c>
      <c r="AY4330" s="62">
        <f>AX4330*AW4330</f>
        <v>4.3310093312265749</v>
      </c>
      <c r="AZ4330" s="68" t="str">
        <f>IF(AY4330&gt;10,"Yes","No")</f>
        <v>No</v>
      </c>
      <c r="BA4330" s="68" t="str">
        <f>IF(AY4330&lt;-10,"Yes","No")</f>
        <v>No</v>
      </c>
    </row>
    <row r="4331" spans="1:53" hidden="1">
      <c r="A4331" t="s">
        <v>1217</v>
      </c>
      <c r="B4331" t="str">
        <f t="shared" si="433"/>
        <v>4331_Ross</v>
      </c>
      <c r="C4331" t="s">
        <v>1239</v>
      </c>
      <c r="F4331" t="s">
        <v>1241</v>
      </c>
      <c r="G4331" t="s">
        <v>1214</v>
      </c>
      <c r="K4331" t="s">
        <v>72</v>
      </c>
      <c r="M4331" s="25" t="s">
        <v>36</v>
      </c>
      <c r="N4331" t="s">
        <v>36</v>
      </c>
      <c r="P4331" t="s">
        <v>60</v>
      </c>
      <c r="Q4331" t="s">
        <v>900</v>
      </c>
      <c r="R4331" t="s">
        <v>1741</v>
      </c>
      <c r="S4331" t="s">
        <v>1007</v>
      </c>
      <c r="V4331" t="s">
        <v>907</v>
      </c>
      <c r="Z4331">
        <v>3</v>
      </c>
      <c r="AA4331">
        <v>3</v>
      </c>
      <c r="AG4331" t="str">
        <f t="shared" si="434"/>
        <v>1YEHO_Saccostrea_glomerata_D0_CO2NA_TNA_control_outcome58.73</v>
      </c>
      <c r="AK4331" t="s">
        <v>69</v>
      </c>
      <c r="AM4331"/>
      <c r="AN4331">
        <v>58.730158730158799</v>
      </c>
      <c r="AO4331">
        <v>10.9971479845643</v>
      </c>
      <c r="AP4331">
        <v>72.139303482586996</v>
      </c>
      <c r="AQ4331">
        <v>6.8937345574881101</v>
      </c>
      <c r="AS4331">
        <f t="shared" si="436"/>
        <v>-0.20564564810880537</v>
      </c>
      <c r="AT4331">
        <f t="shared" si="435"/>
        <v>1.4731358282471834E-2</v>
      </c>
      <c r="AU4331" t="s">
        <v>1225</v>
      </c>
      <c r="AW4331" s="28">
        <f>(AP4331-$AN4331)/SQRT(((AA4331-1)*AQ4331*AQ4331+($Z4331-1)*$AO4331*$AO4331)/(AA4331+$Z4331-2))</f>
        <v>1.4610551048120508</v>
      </c>
      <c r="AX4331">
        <f>1-(3/(4*(AA4331+$Z4331-2)-1))</f>
        <v>0.8</v>
      </c>
      <c r="AY4331" s="62">
        <f>AX4331*AW4331</f>
        <v>1.1688440838496408</v>
      </c>
      <c r="AZ4331" s="68" t="str">
        <f>IF(AY4331&gt;10,"Yes","No")</f>
        <v>No</v>
      </c>
      <c r="BA4331" s="68" t="str">
        <f>IF(AY4331&lt;-10,"Yes","No")</f>
        <v>No</v>
      </c>
    </row>
    <row r="4332" spans="1:53" hidden="1">
      <c r="A4332" t="s">
        <v>1217</v>
      </c>
      <c r="B4332" t="str">
        <f t="shared" si="433"/>
        <v>4332_Ross</v>
      </c>
      <c r="C4332" t="s">
        <v>1239</v>
      </c>
      <c r="F4332" t="s">
        <v>1241</v>
      </c>
      <c r="G4332" t="s">
        <v>1214</v>
      </c>
      <c r="K4332" t="s">
        <v>72</v>
      </c>
      <c r="M4332" s="25" t="s">
        <v>36</v>
      </c>
      <c r="N4332" t="s">
        <v>36</v>
      </c>
      <c r="P4332" t="s">
        <v>60</v>
      </c>
      <c r="Q4332" t="s">
        <v>900</v>
      </c>
      <c r="R4332" t="s">
        <v>1741</v>
      </c>
      <c r="S4332" t="s">
        <v>1007</v>
      </c>
      <c r="V4332" t="s">
        <v>907</v>
      </c>
      <c r="Z4332">
        <v>3</v>
      </c>
      <c r="AA4332">
        <v>3</v>
      </c>
      <c r="AG4332" t="str">
        <f t="shared" si="434"/>
        <v>1YEHO_Saccostrea_glomerata_D0_CO2NA_TNA_control_outcome79.37</v>
      </c>
      <c r="AK4332" t="s">
        <v>69</v>
      </c>
      <c r="AM4332"/>
      <c r="AN4332">
        <v>79.365079365079509</v>
      </c>
      <c r="AO4332">
        <v>12.830005981991699</v>
      </c>
      <c r="AP4332">
        <v>89.552238805970191</v>
      </c>
      <c r="AQ4332">
        <v>8.6171681968600105</v>
      </c>
      <c r="AS4332">
        <f t="shared" si="436"/>
        <v>-0.12076366379451997</v>
      </c>
      <c r="AT4332">
        <f t="shared" si="435"/>
        <v>1.1797530864197462E-2</v>
      </c>
      <c r="AU4332" t="s">
        <v>1225</v>
      </c>
      <c r="AW4332" s="28">
        <f>(AP4332-$AN4332)/SQRT(((AA4332-1)*AQ4332*AQ4332+($Z4332-1)*$AO4332*$AO4332)/(AA4332+$Z4332-2))</f>
        <v>0.93216365964809167</v>
      </c>
      <c r="AX4332">
        <f>1-(3/(4*(AA4332+$Z4332-2)-1))</f>
        <v>0.8</v>
      </c>
      <c r="AY4332" s="62">
        <f>AX4332*AW4332</f>
        <v>0.74573092771847338</v>
      </c>
      <c r="AZ4332" s="68" t="str">
        <f>IF(AY4332&gt;10,"Yes","No")</f>
        <v>No</v>
      </c>
      <c r="BA4332" s="68" t="str">
        <f>IF(AY4332&lt;-10,"Yes","No")</f>
        <v>No</v>
      </c>
    </row>
    <row r="4333" spans="1:53" hidden="1">
      <c r="A4333" t="s">
        <v>1217</v>
      </c>
      <c r="B4333" t="str">
        <f t="shared" si="433"/>
        <v>4333_Ross</v>
      </c>
      <c r="C4333" t="s">
        <v>1239</v>
      </c>
      <c r="F4333" t="s">
        <v>914</v>
      </c>
      <c r="G4333" t="s">
        <v>1214</v>
      </c>
      <c r="K4333" t="s">
        <v>72</v>
      </c>
      <c r="M4333" s="25" t="s">
        <v>36</v>
      </c>
      <c r="N4333" t="s">
        <v>36</v>
      </c>
      <c r="P4333" t="s">
        <v>60</v>
      </c>
      <c r="Q4333" t="s">
        <v>900</v>
      </c>
      <c r="R4333" t="s">
        <v>1315</v>
      </c>
      <c r="S4333" t="s">
        <v>1007</v>
      </c>
      <c r="V4333" t="s">
        <v>907</v>
      </c>
      <c r="Z4333">
        <v>3</v>
      </c>
      <c r="AA4333">
        <v>3</v>
      </c>
      <c r="AG4333" t="str">
        <f t="shared" si="434"/>
        <v>1YEHO_Saccostrea_glomerata_D0_CO2NA_TNA_control_outcome0.00</v>
      </c>
      <c r="AK4333" t="s">
        <v>69</v>
      </c>
      <c r="AM4333"/>
      <c r="AN4333">
        <v>0</v>
      </c>
      <c r="AO4333">
        <v>0</v>
      </c>
      <c r="AP4333">
        <v>0</v>
      </c>
      <c r="AQ4333">
        <v>0</v>
      </c>
      <c r="AS4333" t="e">
        <f t="shared" si="436"/>
        <v>#NUM!</v>
      </c>
      <c r="AT4333" t="e">
        <f t="shared" si="435"/>
        <v>#DIV/0!</v>
      </c>
      <c r="AU4333" t="s">
        <v>1225</v>
      </c>
      <c r="AZ4333"/>
      <c r="BA4333"/>
    </row>
    <row r="4334" spans="1:53" hidden="1">
      <c r="A4334" t="s">
        <v>1217</v>
      </c>
      <c r="B4334" t="str">
        <f t="shared" si="433"/>
        <v>4334_Ross</v>
      </c>
      <c r="C4334" t="s">
        <v>1239</v>
      </c>
      <c r="F4334" t="s">
        <v>1241</v>
      </c>
      <c r="G4334" t="s">
        <v>1214</v>
      </c>
      <c r="K4334" t="s">
        <v>72</v>
      </c>
      <c r="M4334" s="25" t="s">
        <v>36</v>
      </c>
      <c r="N4334" t="s">
        <v>36</v>
      </c>
      <c r="P4334" t="s">
        <v>60</v>
      </c>
      <c r="Q4334" t="s">
        <v>900</v>
      </c>
      <c r="R4334" t="s">
        <v>1741</v>
      </c>
      <c r="S4334" t="s">
        <v>1007</v>
      </c>
      <c r="V4334" t="s">
        <v>907</v>
      </c>
      <c r="Z4334">
        <v>3</v>
      </c>
      <c r="AA4334">
        <v>3</v>
      </c>
      <c r="AG4334" t="str">
        <f t="shared" si="434"/>
        <v>1YEHO_Saccostrea_glomerata_D0_CO2NA_TNA_control_outcome5.82</v>
      </c>
      <c r="AK4334" t="s">
        <v>69</v>
      </c>
      <c r="AM4334"/>
      <c r="AN4334">
        <v>5.8201058201059004</v>
      </c>
      <c r="AO4334">
        <v>7.3314319897095306</v>
      </c>
      <c r="AP4334">
        <f>0.227513227513228*100</f>
        <v>22.7513227513228</v>
      </c>
      <c r="AQ4334">
        <v>8.2478609884232696</v>
      </c>
      <c r="AS4334">
        <f t="shared" si="436"/>
        <v>-1.3633048428951802</v>
      </c>
      <c r="AT4334">
        <f t="shared" si="435"/>
        <v>0.57273308332847639</v>
      </c>
      <c r="AU4334" t="s">
        <v>1225</v>
      </c>
      <c r="AW4334" s="28">
        <f>(AP4334-$AN4334)/SQRT(((AA4334-1)*AQ4334*AQ4334+($Z4334-1)*$AO4334*$AO4334)/(AA4334+$Z4334-2))</f>
        <v>2.1698032115865828</v>
      </c>
      <c r="AX4334">
        <f>1-(3/(4*(AA4334+$Z4334-2)-1))</f>
        <v>0.8</v>
      </c>
      <c r="AY4334" s="62">
        <f>AX4334*AW4334</f>
        <v>1.7358425692692663</v>
      </c>
      <c r="AZ4334" s="68" t="str">
        <f>IF(AY4334&gt;10,"Yes","No")</f>
        <v>No</v>
      </c>
      <c r="BA4334" s="68" t="str">
        <f>IF(AY4334&lt;-10,"Yes","No")</f>
        <v>No</v>
      </c>
    </row>
    <row r="4335" spans="1:53" hidden="1">
      <c r="A4335" t="s">
        <v>1217</v>
      </c>
      <c r="B4335" t="str">
        <f t="shared" si="433"/>
        <v>4335_Ross</v>
      </c>
      <c r="C4335" t="s">
        <v>1239</v>
      </c>
      <c r="F4335" t="s">
        <v>1241</v>
      </c>
      <c r="G4335" t="s">
        <v>1214</v>
      </c>
      <c r="K4335" t="s">
        <v>72</v>
      </c>
      <c r="M4335" s="25" t="s">
        <v>36</v>
      </c>
      <c r="N4335" t="s">
        <v>36</v>
      </c>
      <c r="P4335" t="s">
        <v>60</v>
      </c>
      <c r="Q4335" t="s">
        <v>900</v>
      </c>
      <c r="R4335" t="s">
        <v>1741</v>
      </c>
      <c r="S4335" t="s">
        <v>1007</v>
      </c>
      <c r="V4335" t="s">
        <v>907</v>
      </c>
      <c r="Z4335">
        <v>3</v>
      </c>
      <c r="AA4335">
        <v>3</v>
      </c>
      <c r="AG4335" t="str">
        <f t="shared" si="434"/>
        <v>1YEHO_Saccostrea_glomerata_D0_CO2NA_TNA_control_outcome19.58</v>
      </c>
      <c r="AK4335" t="s">
        <v>69</v>
      </c>
      <c r="AM4335"/>
      <c r="AN4335">
        <v>19.5767195767197</v>
      </c>
      <c r="AO4335">
        <v>2.7492869961410702</v>
      </c>
      <c r="AP4335">
        <v>41.269841269841301</v>
      </c>
      <c r="AQ4335">
        <v>5.4985739922820898</v>
      </c>
      <c r="AS4335">
        <f t="shared" si="436"/>
        <v>-0.74579091404536157</v>
      </c>
      <c r="AT4335">
        <f t="shared" si="435"/>
        <v>1.2491301472590206E-2</v>
      </c>
      <c r="AU4335" t="s">
        <v>1225</v>
      </c>
      <c r="AW4335" s="28">
        <f>(AP4335-$AN4335)/SQRT(((AA4335-1)*AQ4335*AQ4335+($Z4335-1)*$AO4335*$AO4335)/(AA4335+$Z4335-2))</f>
        <v>4.9903610794915378</v>
      </c>
      <c r="AX4335">
        <f>1-(3/(4*(AA4335+$Z4335-2)-1))</f>
        <v>0.8</v>
      </c>
      <c r="AY4335" s="62">
        <f>AX4335*AW4335</f>
        <v>3.9922888635932305</v>
      </c>
      <c r="AZ4335" s="68" t="str">
        <f>IF(AY4335&gt;10,"Yes","No")</f>
        <v>No</v>
      </c>
      <c r="BA4335" s="68" t="str">
        <f>IF(AY4335&lt;-10,"Yes","No")</f>
        <v>No</v>
      </c>
    </row>
    <row r="4336" spans="1:53" hidden="1">
      <c r="A4336" t="s">
        <v>1217</v>
      </c>
      <c r="B4336" t="str">
        <f t="shared" si="433"/>
        <v>4336_Ross</v>
      </c>
      <c r="C4336" t="s">
        <v>1239</v>
      </c>
      <c r="F4336" t="s">
        <v>1241</v>
      </c>
      <c r="G4336" t="s">
        <v>1214</v>
      </c>
      <c r="K4336" t="s">
        <v>72</v>
      </c>
      <c r="M4336" s="25" t="s">
        <v>36</v>
      </c>
      <c r="N4336" t="s">
        <v>36</v>
      </c>
      <c r="P4336" t="s">
        <v>60</v>
      </c>
      <c r="Q4336" t="s">
        <v>900</v>
      </c>
      <c r="R4336" t="s">
        <v>1741</v>
      </c>
      <c r="S4336" t="s">
        <v>1007</v>
      </c>
      <c r="V4336" t="s">
        <v>907</v>
      </c>
      <c r="Z4336">
        <v>3</v>
      </c>
      <c r="AA4336">
        <v>3</v>
      </c>
      <c r="AG4336" t="str">
        <f t="shared" si="434"/>
        <v>1YEHO_Saccostrea_glomerata_D0_CO2NA_TNA_control_outcome40.21</v>
      </c>
      <c r="AK4336" t="s">
        <v>69</v>
      </c>
      <c r="AM4336"/>
      <c r="AN4336">
        <v>40.211640211640301</v>
      </c>
      <c r="AO4336">
        <v>4.5821449935685399</v>
      </c>
      <c r="AP4336">
        <v>67.195767195767203</v>
      </c>
      <c r="AQ4336">
        <v>10.9971479845643</v>
      </c>
      <c r="AS4336">
        <f t="shared" si="436"/>
        <v>-0.51345374617225792</v>
      </c>
      <c r="AT4336">
        <f t="shared" si="435"/>
        <v>1.3256272703681272E-2</v>
      </c>
      <c r="AU4336" t="s">
        <v>1225</v>
      </c>
      <c r="AW4336" s="28">
        <f>(AP4336-$AN4336)/SQRT(((AA4336-1)*AQ4336*AQ4336+($Z4336-1)*$AO4336*$AO4336)/(AA4336+$Z4336-2))</f>
        <v>3.2031788944087531</v>
      </c>
      <c r="AX4336">
        <f>1-(3/(4*(AA4336+$Z4336-2)-1))</f>
        <v>0.8</v>
      </c>
      <c r="AY4336" s="62">
        <f>AX4336*AW4336</f>
        <v>2.5625431155270029</v>
      </c>
      <c r="AZ4336" s="68" t="str">
        <f>IF(AY4336&gt;10,"Yes","No")</f>
        <v>No</v>
      </c>
      <c r="BA4336" s="68" t="str">
        <f>IF(AY4336&lt;-10,"Yes","No")</f>
        <v>No</v>
      </c>
    </row>
    <row r="4337" spans="1:53" hidden="1">
      <c r="A4337" t="s">
        <v>1217</v>
      </c>
      <c r="B4337" t="str">
        <f t="shared" si="433"/>
        <v>4337_Ross</v>
      </c>
      <c r="C4337" t="s">
        <v>1239</v>
      </c>
      <c r="F4337" t="s">
        <v>1241</v>
      </c>
      <c r="G4337" t="s">
        <v>1214</v>
      </c>
      <c r="K4337" t="s">
        <v>72</v>
      </c>
      <c r="M4337" s="25" t="s">
        <v>36</v>
      </c>
      <c r="N4337" t="s">
        <v>36</v>
      </c>
      <c r="P4337" t="s">
        <v>60</v>
      </c>
      <c r="Q4337" t="s">
        <v>900</v>
      </c>
      <c r="R4337" t="s">
        <v>1741</v>
      </c>
      <c r="S4337" t="s">
        <v>1007</v>
      </c>
      <c r="V4337" t="s">
        <v>907</v>
      </c>
      <c r="Z4337">
        <v>3</v>
      </c>
      <c r="AA4337">
        <v>3</v>
      </c>
      <c r="AG4337" t="str">
        <f t="shared" si="434"/>
        <v>1YEHO_Saccostrea_glomerata_D0_CO2NA_TNA_control_outcome72.49</v>
      </c>
      <c r="AK4337" t="s">
        <v>69</v>
      </c>
      <c r="AM4337"/>
      <c r="AN4337">
        <v>72.486772486772594</v>
      </c>
      <c r="AO4337">
        <v>10.0807189858507</v>
      </c>
      <c r="AP4337">
        <v>88.359788359788411</v>
      </c>
      <c r="AQ4337">
        <v>7.3314319897094595</v>
      </c>
      <c r="AS4337">
        <f t="shared" si="436"/>
        <v>-0.19801288658862948</v>
      </c>
      <c r="AT4337">
        <f t="shared" si="435"/>
        <v>8.7416121498728374E-3</v>
      </c>
      <c r="AU4337" t="s">
        <v>1225</v>
      </c>
      <c r="AW4337" s="28">
        <f>(AP4337-$AN4337)/SQRT(((AA4337-1)*AQ4337*AQ4337+($Z4337-1)*$AO4337*$AO4337)/(AA4337+$Z4337-2))</f>
        <v>1.8009006755629819</v>
      </c>
      <c r="AX4337">
        <f>1-(3/(4*(AA4337+$Z4337-2)-1))</f>
        <v>0.8</v>
      </c>
      <c r="AY4337" s="62">
        <f>AX4337*AW4337</f>
        <v>1.4407205404503856</v>
      </c>
      <c r="AZ4337" s="68" t="str">
        <f>IF(AY4337&gt;10,"Yes","No")</f>
        <v>No</v>
      </c>
      <c r="BA4337" s="68" t="str">
        <f>IF(AY4337&lt;-10,"Yes","No")</f>
        <v>No</v>
      </c>
    </row>
    <row r="4338" spans="1:53" hidden="1">
      <c r="A4338" t="s">
        <v>1217</v>
      </c>
      <c r="B4338" t="str">
        <f t="shared" si="433"/>
        <v>4338_Ross</v>
      </c>
      <c r="C4338" t="s">
        <v>1239</v>
      </c>
      <c r="F4338" t="s">
        <v>914</v>
      </c>
      <c r="G4338" t="s">
        <v>1214</v>
      </c>
      <c r="K4338" t="s">
        <v>72</v>
      </c>
      <c r="M4338" s="25" t="s">
        <v>36</v>
      </c>
      <c r="N4338" t="s">
        <v>36</v>
      </c>
      <c r="P4338" t="s">
        <v>60</v>
      </c>
      <c r="Q4338" t="s">
        <v>900</v>
      </c>
      <c r="R4338" t="s">
        <v>1315</v>
      </c>
      <c r="S4338" t="s">
        <v>1007</v>
      </c>
      <c r="V4338" t="s">
        <v>907</v>
      </c>
      <c r="Z4338">
        <v>3</v>
      </c>
      <c r="AA4338">
        <v>3</v>
      </c>
      <c r="AG4338" t="str">
        <f t="shared" si="434"/>
        <v>1YEHO_Saccostrea_glomerata_D0_CO2NA_TNA_control_outcome0.00</v>
      </c>
      <c r="AK4338" t="s">
        <v>69</v>
      </c>
      <c r="AM4338"/>
      <c r="AN4338">
        <v>0</v>
      </c>
      <c r="AO4338">
        <v>0</v>
      </c>
      <c r="AP4338">
        <v>0</v>
      </c>
      <c r="AQ4338">
        <v>0</v>
      </c>
      <c r="AS4338" t="e">
        <f t="shared" si="436"/>
        <v>#NUM!</v>
      </c>
      <c r="AT4338" t="e">
        <f t="shared" si="435"/>
        <v>#DIV/0!</v>
      </c>
      <c r="AU4338" t="s">
        <v>1225</v>
      </c>
      <c r="AZ4338"/>
      <c r="BA4338"/>
    </row>
    <row r="4339" spans="1:53" hidden="1">
      <c r="A4339" t="s">
        <v>1217</v>
      </c>
      <c r="B4339" t="str">
        <f t="shared" si="433"/>
        <v>4339_Ross</v>
      </c>
      <c r="C4339" t="s">
        <v>1239</v>
      </c>
      <c r="F4339" t="s">
        <v>1241</v>
      </c>
      <c r="G4339" t="s">
        <v>1214</v>
      </c>
      <c r="K4339" t="s">
        <v>72</v>
      </c>
      <c r="M4339" s="25" t="s">
        <v>36</v>
      </c>
      <c r="N4339" t="s">
        <v>36</v>
      </c>
      <c r="P4339" t="s">
        <v>60</v>
      </c>
      <c r="Q4339" t="s">
        <v>900</v>
      </c>
      <c r="R4339" t="s">
        <v>1741</v>
      </c>
      <c r="S4339" t="s">
        <v>1007</v>
      </c>
      <c r="V4339" t="s">
        <v>907</v>
      </c>
      <c r="Z4339">
        <v>3</v>
      </c>
      <c r="AA4339">
        <v>3</v>
      </c>
      <c r="AG4339" t="str">
        <f t="shared" si="434"/>
        <v>1YEHO_Saccostrea_glomerata_D0_CO2NA_TNA_control_outcome3.17</v>
      </c>
      <c r="AK4339" t="s">
        <v>69</v>
      </c>
      <c r="AM4339"/>
      <c r="AN4339">
        <v>3.1746031746032499</v>
      </c>
      <c r="AO4339">
        <v>3.6657159948547999</v>
      </c>
      <c r="AP4339">
        <v>49.735449735449698</v>
      </c>
      <c r="AQ4339">
        <v>15.5792929781328</v>
      </c>
      <c r="AS4339">
        <f t="shared" si="436"/>
        <v>-2.7515353130419244</v>
      </c>
      <c r="AT4339">
        <f t="shared" si="435"/>
        <v>0.47715155173279739</v>
      </c>
      <c r="AU4339" t="s">
        <v>1225</v>
      </c>
      <c r="AW4339" s="28">
        <f>(AP4339-$AN4339)/SQRT(((AA4339-1)*AQ4339*AQ4339+($Z4339-1)*$AO4339*$AO4339)/(AA4339+$Z4339-2))</f>
        <v>4.1142163234672005</v>
      </c>
      <c r="AX4339">
        <f>1-(3/(4*(AA4339+$Z4339-2)-1))</f>
        <v>0.8</v>
      </c>
      <c r="AY4339" s="62">
        <f>AX4339*AW4339</f>
        <v>3.2913730587737606</v>
      </c>
      <c r="AZ4339" s="68" t="str">
        <f>IF(AY4339&gt;10,"Yes","No")</f>
        <v>No</v>
      </c>
      <c r="BA4339" s="68" t="str">
        <f>IF(AY4339&lt;-10,"Yes","No")</f>
        <v>No</v>
      </c>
    </row>
    <row r="4340" spans="1:53" hidden="1">
      <c r="A4340" t="s">
        <v>1217</v>
      </c>
      <c r="B4340" t="str">
        <f t="shared" si="433"/>
        <v>4340_Ross</v>
      </c>
      <c r="C4340" t="s">
        <v>1239</v>
      </c>
      <c r="F4340" t="s">
        <v>1241</v>
      </c>
      <c r="G4340" t="s">
        <v>1214</v>
      </c>
      <c r="K4340" t="s">
        <v>72</v>
      </c>
      <c r="M4340" s="25" t="s">
        <v>36</v>
      </c>
      <c r="N4340" t="s">
        <v>36</v>
      </c>
      <c r="P4340" t="s">
        <v>60</v>
      </c>
      <c r="Q4340" t="s">
        <v>900</v>
      </c>
      <c r="R4340" t="s">
        <v>1741</v>
      </c>
      <c r="S4340" t="s">
        <v>1007</v>
      </c>
      <c r="V4340" t="s">
        <v>907</v>
      </c>
      <c r="Z4340">
        <v>3</v>
      </c>
      <c r="AA4340">
        <v>3</v>
      </c>
      <c r="AG4340" t="str">
        <f t="shared" si="434"/>
        <v>1YEHO_Saccostrea_glomerata_D0_CO2NA_TNA_control_outcome14.81</v>
      </c>
      <c r="AK4340" t="s">
        <v>69</v>
      </c>
      <c r="AM4340"/>
      <c r="AN4340">
        <v>14.8148148148149</v>
      </c>
      <c r="AO4340">
        <v>7.3314319897094595</v>
      </c>
      <c r="AP4340">
        <v>82.539682539682602</v>
      </c>
      <c r="AQ4340">
        <v>9.1642899871369394</v>
      </c>
      <c r="AS4340">
        <f t="shared" si="436"/>
        <v>-1.7176514970743284</v>
      </c>
      <c r="AT4340">
        <f t="shared" si="435"/>
        <v>8.5741791785745258E-2</v>
      </c>
      <c r="AU4340" t="s">
        <v>1225</v>
      </c>
      <c r="AW4340" s="28">
        <f>(AP4340-$AN4340)/SQRT(((AA4340-1)*AQ4340*AQ4340+($Z4340-1)*$AO4340*$AO4340)/(AA4340+$Z4340-2))</f>
        <v>8.1609819272107487</v>
      </c>
      <c r="AX4340">
        <f>1-(3/(4*(AA4340+$Z4340-2)-1))</f>
        <v>0.8</v>
      </c>
      <c r="AY4340" s="62">
        <f>AX4340*AW4340</f>
        <v>6.5287855417685989</v>
      </c>
      <c r="AZ4340" s="68" t="str">
        <f>IF(AY4340&gt;10,"Yes","No")</f>
        <v>No</v>
      </c>
      <c r="BA4340" s="68" t="str">
        <f>IF(AY4340&lt;-10,"Yes","No")</f>
        <v>No</v>
      </c>
    </row>
    <row r="4341" spans="1:53" hidden="1">
      <c r="A4341" t="s">
        <v>1217</v>
      </c>
      <c r="B4341" t="str">
        <f t="shared" si="433"/>
        <v>4341_Ross</v>
      </c>
      <c r="C4341" t="s">
        <v>1239</v>
      </c>
      <c r="F4341" t="s">
        <v>1241</v>
      </c>
      <c r="G4341" t="s">
        <v>1214</v>
      </c>
      <c r="K4341" t="s">
        <v>72</v>
      </c>
      <c r="M4341" s="25" t="s">
        <v>36</v>
      </c>
      <c r="N4341" t="s">
        <v>36</v>
      </c>
      <c r="P4341" t="s">
        <v>60</v>
      </c>
      <c r="Q4341" t="s">
        <v>900</v>
      </c>
      <c r="R4341" t="s">
        <v>1741</v>
      </c>
      <c r="S4341" t="s">
        <v>1007</v>
      </c>
      <c r="V4341" t="s">
        <v>907</v>
      </c>
      <c r="Z4341">
        <v>3</v>
      </c>
      <c r="AA4341">
        <v>3</v>
      </c>
      <c r="AG4341" t="str">
        <f t="shared" si="434"/>
        <v>1YEHO_Saccostrea_glomerata_D0_CO2NA_TNA_control_outcome30.69</v>
      </c>
      <c r="AK4341" t="s">
        <v>69</v>
      </c>
      <c r="AM4341"/>
      <c r="AN4341">
        <v>30.687830687830697</v>
      </c>
      <c r="AO4341">
        <v>12.8300059819918</v>
      </c>
      <c r="AP4341">
        <v>84.656084656084701</v>
      </c>
      <c r="AQ4341">
        <v>6.4150029909958706</v>
      </c>
      <c r="AS4341">
        <f t="shared" si="436"/>
        <v>-1.014730804687408</v>
      </c>
      <c r="AT4341">
        <f t="shared" si="435"/>
        <v>6.0178033962545611E-2</v>
      </c>
      <c r="AU4341" t="s">
        <v>1225</v>
      </c>
      <c r="AW4341" s="28">
        <f>(AP4341-$AN4341)/SQRT(((AA4341-1)*AQ4341*AQ4341+($Z4341-1)*$AO4341*$AO4341)/(AA4341+$Z4341-2))</f>
        <v>5.3207334157644306</v>
      </c>
      <c r="AX4341">
        <f>1-(3/(4*(AA4341+$Z4341-2)-1))</f>
        <v>0.8</v>
      </c>
      <c r="AY4341" s="62">
        <f>AX4341*AW4341</f>
        <v>4.2565867326115443</v>
      </c>
      <c r="AZ4341" s="68" t="str">
        <f>IF(AY4341&gt;10,"Yes","No")</f>
        <v>No</v>
      </c>
      <c r="BA4341" s="68" t="str">
        <f>IF(AY4341&lt;-10,"Yes","No")</f>
        <v>No</v>
      </c>
    </row>
    <row r="4342" spans="1:53" hidden="1">
      <c r="A4342" t="s">
        <v>1217</v>
      </c>
      <c r="B4342" t="str">
        <f t="shared" si="433"/>
        <v>4342_Ross</v>
      </c>
      <c r="C4342" t="s">
        <v>1239</v>
      </c>
      <c r="F4342" t="s">
        <v>1241</v>
      </c>
      <c r="G4342" t="s">
        <v>1214</v>
      </c>
      <c r="K4342" t="s">
        <v>72</v>
      </c>
      <c r="M4342" s="25" t="s">
        <v>36</v>
      </c>
      <c r="N4342" t="s">
        <v>36</v>
      </c>
      <c r="P4342" t="s">
        <v>60</v>
      </c>
      <c r="Q4342" t="s">
        <v>900</v>
      </c>
      <c r="R4342" t="s">
        <v>1741</v>
      </c>
      <c r="S4342" t="s">
        <v>1007</v>
      </c>
      <c r="V4342" t="s">
        <v>907</v>
      </c>
      <c r="Z4342">
        <v>3</v>
      </c>
      <c r="AA4342">
        <v>3</v>
      </c>
      <c r="AG4342" t="str">
        <f t="shared" si="434"/>
        <v>1YEHO_Saccostrea_glomerata_D0_CO2NA_TNA_control_outcome44.44</v>
      </c>
      <c r="AK4342" t="s">
        <v>69</v>
      </c>
      <c r="AM4342"/>
      <c r="AN4342">
        <v>44.4444444444445</v>
      </c>
      <c r="AO4342">
        <v>12.8300059819918</v>
      </c>
      <c r="AP4342">
        <v>93.121693121693099</v>
      </c>
      <c r="AQ4342">
        <v>3.6657159948547999</v>
      </c>
      <c r="AS4342">
        <f t="shared" si="436"/>
        <v>-0.73966719619483667</v>
      </c>
      <c r="AT4342">
        <f t="shared" si="435"/>
        <v>2.8294306703398053E-2</v>
      </c>
      <c r="AU4342" t="s">
        <v>1225</v>
      </c>
      <c r="AW4342" s="28">
        <f>(AP4342-$AN4342)/SQRT(((AA4342-1)*AQ4342*AQ4342+($Z4342-1)*$AO4342*$AO4342)/(AA4342+$Z4342-2))</f>
        <v>5.159103817646753</v>
      </c>
      <c r="AX4342">
        <f>1-(3/(4*(AA4342+$Z4342-2)-1))</f>
        <v>0.8</v>
      </c>
      <c r="AY4342" s="62">
        <f>AX4342*AW4342</f>
        <v>4.1272830541174024</v>
      </c>
      <c r="AZ4342" s="68" t="str">
        <f>IF(AY4342&gt;10,"Yes","No")</f>
        <v>No</v>
      </c>
      <c r="BA4342" s="68" t="str">
        <f>IF(AY4342&lt;-10,"Yes","No")</f>
        <v>No</v>
      </c>
    </row>
    <row r="4343" spans="1:53" hidden="1">
      <c r="A4343" t="s">
        <v>1217</v>
      </c>
      <c r="B4343" t="str">
        <f t="shared" si="433"/>
        <v>4343_Ross</v>
      </c>
      <c r="C4343" t="s">
        <v>1239</v>
      </c>
      <c r="F4343" t="s">
        <v>914</v>
      </c>
      <c r="G4343" t="s">
        <v>1214</v>
      </c>
      <c r="K4343" t="s">
        <v>72</v>
      </c>
      <c r="M4343" s="25" t="s">
        <v>36</v>
      </c>
      <c r="N4343" t="s">
        <v>36</v>
      </c>
      <c r="P4343" t="s">
        <v>60</v>
      </c>
      <c r="Q4343" t="s">
        <v>900</v>
      </c>
      <c r="R4343" t="s">
        <v>1315</v>
      </c>
      <c r="S4343" t="s">
        <v>1007</v>
      </c>
      <c r="V4343" t="s">
        <v>907</v>
      </c>
      <c r="Z4343">
        <v>3</v>
      </c>
      <c r="AA4343">
        <v>3</v>
      </c>
      <c r="AG4343" t="str">
        <f t="shared" si="434"/>
        <v>1YEHO_Saccostrea_glomerata_D0_CO2NA_TNA_control_outcome0.00</v>
      </c>
      <c r="AK4343" t="s">
        <v>69</v>
      </c>
      <c r="AM4343"/>
      <c r="AN4343">
        <v>0</v>
      </c>
      <c r="AO4343">
        <v>0</v>
      </c>
      <c r="AP4343">
        <v>0</v>
      </c>
      <c r="AQ4343">
        <v>0</v>
      </c>
      <c r="AS4343" t="e">
        <f t="shared" si="436"/>
        <v>#NUM!</v>
      </c>
      <c r="AT4343" t="e">
        <f t="shared" si="435"/>
        <v>#DIV/0!</v>
      </c>
      <c r="AU4343" t="s">
        <v>1225</v>
      </c>
      <c r="AZ4343"/>
      <c r="BA4343"/>
    </row>
    <row r="4344" spans="1:53" hidden="1">
      <c r="A4344" t="s">
        <v>1217</v>
      </c>
      <c r="B4344" t="str">
        <f t="shared" si="433"/>
        <v>4344_Ross</v>
      </c>
      <c r="C4344" t="s">
        <v>1239</v>
      </c>
      <c r="F4344" t="s">
        <v>1241</v>
      </c>
      <c r="G4344" t="s">
        <v>1214</v>
      </c>
      <c r="K4344" t="s">
        <v>72</v>
      </c>
      <c r="M4344" s="25" t="s">
        <v>36</v>
      </c>
      <c r="N4344" t="s">
        <v>36</v>
      </c>
      <c r="P4344" t="s">
        <v>60</v>
      </c>
      <c r="Q4344" t="s">
        <v>900</v>
      </c>
      <c r="R4344" t="s">
        <v>1741</v>
      </c>
      <c r="S4344" t="s">
        <v>1007</v>
      </c>
      <c r="V4344" t="s">
        <v>907</v>
      </c>
      <c r="Z4344">
        <v>3</v>
      </c>
      <c r="AA4344">
        <v>3</v>
      </c>
      <c r="AG4344" t="str">
        <f t="shared" si="434"/>
        <v>1YEHO_Saccostrea_glomerata_D0_CO2NA_TNA_control_outcome4.84</v>
      </c>
      <c r="AK4344" t="s">
        <v>69</v>
      </c>
      <c r="AM4344"/>
      <c r="AN4344">
        <v>4.8387096774193905</v>
      </c>
      <c r="AO4344">
        <v>6.5184707811731899</v>
      </c>
      <c r="AP4344">
        <v>58.730158730158799</v>
      </c>
      <c r="AQ4344">
        <v>20.161437971701197</v>
      </c>
      <c r="AS4344">
        <f t="shared" si="436"/>
        <v>-2.4963052826296672</v>
      </c>
      <c r="AT4344">
        <f t="shared" si="435"/>
        <v>0.64422079737394056</v>
      </c>
      <c r="AU4344" t="s">
        <v>1225</v>
      </c>
      <c r="AW4344" s="28">
        <f>(AP4344-$AN4344)/SQRT(((AA4344-1)*AQ4344*AQ4344+($Z4344-1)*$AO4344*$AO4344)/(AA4344+$Z4344-2))</f>
        <v>3.5968658674903509</v>
      </c>
      <c r="AX4344">
        <f>1-(3/(4*(AA4344+$Z4344-2)-1))</f>
        <v>0.8</v>
      </c>
      <c r="AY4344" s="62">
        <f>AX4344*AW4344</f>
        <v>2.8774926939922807</v>
      </c>
      <c r="AZ4344" s="68" t="str">
        <f>IF(AY4344&gt;10,"Yes","No")</f>
        <v>No</v>
      </c>
      <c r="BA4344" s="68" t="str">
        <f>IF(AY4344&lt;-10,"Yes","No")</f>
        <v>No</v>
      </c>
    </row>
    <row r="4345" spans="1:53" hidden="1">
      <c r="A4345" t="s">
        <v>1217</v>
      </c>
      <c r="B4345" t="str">
        <f t="shared" si="433"/>
        <v>4345_Ross</v>
      </c>
      <c r="C4345" t="s">
        <v>1239</v>
      </c>
      <c r="F4345" t="s">
        <v>1241</v>
      </c>
      <c r="G4345" t="s">
        <v>1214</v>
      </c>
      <c r="K4345" t="s">
        <v>72</v>
      </c>
      <c r="M4345" s="25" t="s">
        <v>36</v>
      </c>
      <c r="N4345" t="s">
        <v>36</v>
      </c>
      <c r="P4345" t="s">
        <v>60</v>
      </c>
      <c r="Q4345" t="s">
        <v>900</v>
      </c>
      <c r="R4345" t="s">
        <v>1741</v>
      </c>
      <c r="S4345" t="s">
        <v>1007</v>
      </c>
      <c r="V4345" t="s">
        <v>907</v>
      </c>
      <c r="Z4345">
        <v>3</v>
      </c>
      <c r="AA4345">
        <v>3</v>
      </c>
      <c r="AG4345" t="str">
        <f t="shared" si="434"/>
        <v>1YEHO_Saccostrea_glomerata_D0_CO2NA_TNA_control_outcome18.82</v>
      </c>
      <c r="AK4345" t="s">
        <v>69</v>
      </c>
      <c r="AM4345"/>
      <c r="AN4345">
        <v>18.8172043010753</v>
      </c>
      <c r="AO4345">
        <v>13.968151673942501</v>
      </c>
      <c r="AP4345">
        <v>72.486772486772495</v>
      </c>
      <c r="AQ4345">
        <v>4.5821449935684697</v>
      </c>
      <c r="AS4345">
        <f t="shared" si="436"/>
        <v>-1.3486325229922689</v>
      </c>
      <c r="AT4345">
        <f t="shared" si="435"/>
        <v>0.18500545297771509</v>
      </c>
      <c r="AU4345" t="s">
        <v>1225</v>
      </c>
      <c r="AW4345" s="28">
        <f>(AP4345-$AN4345)/SQRT(((AA4345-1)*AQ4345*AQ4345+($Z4345-1)*$AO4345*$AO4345)/(AA4345+$Z4345-2))</f>
        <v>5.1630980883087636</v>
      </c>
      <c r="AX4345">
        <f>1-(3/(4*(AA4345+$Z4345-2)-1))</f>
        <v>0.8</v>
      </c>
      <c r="AY4345" s="62">
        <f>AX4345*AW4345</f>
        <v>4.1304784706470112</v>
      </c>
      <c r="AZ4345" s="68" t="str">
        <f>IF(AY4345&gt;10,"Yes","No")</f>
        <v>No</v>
      </c>
      <c r="BA4345" s="68" t="str">
        <f>IF(AY4345&lt;-10,"Yes","No")</f>
        <v>No</v>
      </c>
    </row>
    <row r="4346" spans="1:53" hidden="1">
      <c r="A4346" t="s">
        <v>1217</v>
      </c>
      <c r="B4346" t="str">
        <f t="shared" si="433"/>
        <v>4346_Ross</v>
      </c>
      <c r="C4346" t="s">
        <v>1239</v>
      </c>
      <c r="F4346" t="s">
        <v>1241</v>
      </c>
      <c r="G4346" t="s">
        <v>1214</v>
      </c>
      <c r="K4346" t="s">
        <v>72</v>
      </c>
      <c r="M4346" s="25" t="s">
        <v>36</v>
      </c>
      <c r="N4346" t="s">
        <v>36</v>
      </c>
      <c r="P4346" t="s">
        <v>60</v>
      </c>
      <c r="Q4346" t="s">
        <v>900</v>
      </c>
      <c r="R4346" t="s">
        <v>1741</v>
      </c>
      <c r="S4346" t="s">
        <v>1007</v>
      </c>
      <c r="V4346" t="s">
        <v>907</v>
      </c>
      <c r="Z4346">
        <v>3</v>
      </c>
      <c r="AA4346">
        <v>3</v>
      </c>
      <c r="AG4346" t="str">
        <f t="shared" si="434"/>
        <v>1YEHO_Saccostrea_glomerata_D0_CO2NA_TNA_control_outcome30.65</v>
      </c>
      <c r="AK4346" t="s">
        <v>69</v>
      </c>
      <c r="AM4346"/>
      <c r="AN4346">
        <v>30.645161290322598</v>
      </c>
      <c r="AO4346">
        <v>11.174521339154001</v>
      </c>
      <c r="AP4346">
        <v>85.18518518518519</v>
      </c>
      <c r="AQ4346">
        <v>5.4985739922822106</v>
      </c>
      <c r="AS4346">
        <f t="shared" si="436"/>
        <v>-1.0223527558034715</v>
      </c>
      <c r="AT4346">
        <f t="shared" si="435"/>
        <v>4.5710164947168626E-2</v>
      </c>
      <c r="AU4346" t="s">
        <v>1225</v>
      </c>
      <c r="AW4346" s="28">
        <f>(AP4346-$AN4346)/SQRT(((AA4346-1)*AQ4346*AQ4346+($Z4346-1)*$AO4346*$AO4346)/(AA4346+$Z4346-2))</f>
        <v>6.1932481605497998</v>
      </c>
      <c r="AX4346">
        <f>1-(3/(4*(AA4346+$Z4346-2)-1))</f>
        <v>0.8</v>
      </c>
      <c r="AY4346" s="62">
        <f>AX4346*AW4346</f>
        <v>4.9545985284398402</v>
      </c>
      <c r="AZ4346" s="68" t="str">
        <f>IF(AY4346&gt;10,"Yes","No")</f>
        <v>No</v>
      </c>
      <c r="BA4346" s="68" t="str">
        <f>IF(AY4346&lt;-10,"Yes","No")</f>
        <v>No</v>
      </c>
    </row>
    <row r="4347" spans="1:53" hidden="1">
      <c r="A4347" t="s">
        <v>1217</v>
      </c>
      <c r="B4347" t="str">
        <f t="shared" si="433"/>
        <v>4347_Ross</v>
      </c>
      <c r="C4347" t="s">
        <v>1239</v>
      </c>
      <c r="F4347" t="s">
        <v>1241</v>
      </c>
      <c r="G4347" t="s">
        <v>1214</v>
      </c>
      <c r="K4347" t="s">
        <v>72</v>
      </c>
      <c r="M4347" s="25" t="s">
        <v>36</v>
      </c>
      <c r="N4347" t="s">
        <v>36</v>
      </c>
      <c r="P4347" t="s">
        <v>60</v>
      </c>
      <c r="Q4347" t="s">
        <v>900</v>
      </c>
      <c r="R4347" t="s">
        <v>1741</v>
      </c>
      <c r="S4347" t="s">
        <v>1007</v>
      </c>
      <c r="V4347" t="s">
        <v>907</v>
      </c>
      <c r="Z4347">
        <v>3</v>
      </c>
      <c r="AA4347">
        <v>3</v>
      </c>
      <c r="AG4347" t="str">
        <f t="shared" si="434"/>
        <v>1YEHO_Saccostrea_glomerata_D0_CO2NA_TNA_control_outcome40.86</v>
      </c>
      <c r="AK4347" t="s">
        <v>69</v>
      </c>
      <c r="AM4347"/>
      <c r="AN4347">
        <v>40.860215053763397</v>
      </c>
      <c r="AO4347">
        <v>11.174521339154001</v>
      </c>
      <c r="AP4347">
        <v>94.179894179894191</v>
      </c>
      <c r="AQ4347">
        <v>4.5821449935684697</v>
      </c>
      <c r="AS4347">
        <f t="shared" si="436"/>
        <v>-0.83504986865931397</v>
      </c>
      <c r="AT4347">
        <f t="shared" si="435"/>
        <v>2.5719789710090604E-2</v>
      </c>
      <c r="AU4347" t="s">
        <v>1225</v>
      </c>
      <c r="AW4347" s="28">
        <f>(AP4347-$AN4347)/SQRT(((AA4347-1)*AQ4347*AQ4347+($Z4347-1)*$AO4347*$AO4347)/(AA4347+$Z4347-2))</f>
        <v>6.2434626513796028</v>
      </c>
      <c r="AX4347">
        <f>1-(3/(4*(AA4347+$Z4347-2)-1))</f>
        <v>0.8</v>
      </c>
      <c r="AY4347" s="62">
        <f>AX4347*AW4347</f>
        <v>4.9947701211036826</v>
      </c>
      <c r="AZ4347" s="68" t="str">
        <f>IF(AY4347&gt;10,"Yes","No")</f>
        <v>No</v>
      </c>
      <c r="BA4347" s="68" t="str">
        <f>IF(AY4347&lt;-10,"Yes","No")</f>
        <v>No</v>
      </c>
    </row>
    <row r="4348" spans="1:53" hidden="1">
      <c r="A4348" t="s">
        <v>1217</v>
      </c>
      <c r="B4348" t="str">
        <f t="shared" si="433"/>
        <v>4348_Ross</v>
      </c>
      <c r="C4348" t="s">
        <v>1240</v>
      </c>
      <c r="F4348" t="s">
        <v>914</v>
      </c>
      <c r="G4348" t="s">
        <v>1216</v>
      </c>
      <c r="K4348" t="s">
        <v>72</v>
      </c>
      <c r="M4348" s="25" t="s">
        <v>36</v>
      </c>
      <c r="N4348" t="s">
        <v>36</v>
      </c>
      <c r="P4348" t="s">
        <v>60</v>
      </c>
      <c r="Q4348" t="s">
        <v>900</v>
      </c>
      <c r="R4348" t="s">
        <v>1315</v>
      </c>
      <c r="S4348" t="s">
        <v>1007</v>
      </c>
      <c r="V4348" t="s">
        <v>907</v>
      </c>
      <c r="Z4348">
        <v>3</v>
      </c>
      <c r="AA4348">
        <v>3</v>
      </c>
      <c r="AG4348" t="str">
        <f t="shared" si="434"/>
        <v>2YEHO_Saccostrea_glomerata_D0_CO2NA_TNA_control_outcome0.00</v>
      </c>
      <c r="AK4348" t="s">
        <v>69</v>
      </c>
      <c r="AM4348"/>
      <c r="AN4348">
        <v>0</v>
      </c>
      <c r="AO4348">
        <v>0</v>
      </c>
      <c r="AP4348">
        <v>0</v>
      </c>
      <c r="AQ4348">
        <v>0</v>
      </c>
      <c r="AS4348" t="e">
        <f t="shared" si="436"/>
        <v>#NUM!</v>
      </c>
      <c r="AT4348" t="e">
        <f t="shared" si="435"/>
        <v>#DIV/0!</v>
      </c>
      <c r="AU4348" t="s">
        <v>1225</v>
      </c>
      <c r="AZ4348"/>
      <c r="BA4348"/>
    </row>
    <row r="4349" spans="1:53" hidden="1">
      <c r="A4349" t="s">
        <v>1217</v>
      </c>
      <c r="B4349" t="str">
        <f t="shared" si="433"/>
        <v>4349_Ross</v>
      </c>
      <c r="C4349" t="s">
        <v>1240</v>
      </c>
      <c r="F4349" t="s">
        <v>1241</v>
      </c>
      <c r="G4349" t="s">
        <v>1216</v>
      </c>
      <c r="K4349" t="s">
        <v>72</v>
      </c>
      <c r="M4349" s="25" t="s">
        <v>36</v>
      </c>
      <c r="N4349" t="s">
        <v>36</v>
      </c>
      <c r="P4349" t="s">
        <v>60</v>
      </c>
      <c r="Q4349" t="s">
        <v>900</v>
      </c>
      <c r="R4349" t="s">
        <v>1741</v>
      </c>
      <c r="S4349" t="s">
        <v>1007</v>
      </c>
      <c r="V4349" t="s">
        <v>907</v>
      </c>
      <c r="Z4349">
        <v>3</v>
      </c>
      <c r="AA4349">
        <v>3</v>
      </c>
      <c r="AG4349" t="str">
        <f t="shared" si="434"/>
        <v>2YEHO_Saccostrea_glomerata_D0_CO2NA_TNA_control_outcome20.48</v>
      </c>
      <c r="AK4349" t="s">
        <v>69</v>
      </c>
      <c r="AM4349"/>
      <c r="AN4349">
        <v>20.481927710843401</v>
      </c>
      <c r="AO4349">
        <v>8.6950341745425508</v>
      </c>
      <c r="AP4349">
        <v>36.345381526104397</v>
      </c>
      <c r="AQ4349">
        <v>3.1302123028353201</v>
      </c>
      <c r="AS4349">
        <f t="shared" si="436"/>
        <v>-0.57352421798155273</v>
      </c>
      <c r="AT4349">
        <f t="shared" si="435"/>
        <v>6.2545500828228517E-2</v>
      </c>
      <c r="AU4349" t="s">
        <v>1225</v>
      </c>
      <c r="AW4349" s="28">
        <f>(AP4349-$AN4349)/SQRT(((AA4349-1)*AQ4349*AQ4349+($Z4349-1)*$AO4349*$AO4349)/(AA4349+$Z4349-2))</f>
        <v>2.4276110812588523</v>
      </c>
      <c r="AX4349">
        <f>1-(3/(4*(AA4349+$Z4349-2)-1))</f>
        <v>0.8</v>
      </c>
      <c r="AY4349" s="62">
        <f>AX4349*AW4349</f>
        <v>1.942088865007082</v>
      </c>
      <c r="AZ4349" s="68" t="str">
        <f>IF(AY4349&gt;10,"Yes","No")</f>
        <v>No</v>
      </c>
      <c r="BA4349" s="68" t="str">
        <f>IF(AY4349&lt;-10,"Yes","No")</f>
        <v>No</v>
      </c>
    </row>
    <row r="4350" spans="1:53" hidden="1">
      <c r="A4350" t="s">
        <v>1217</v>
      </c>
      <c r="B4350" t="str">
        <f t="shared" si="433"/>
        <v>4350_Ross</v>
      </c>
      <c r="C4350" t="s">
        <v>1240</v>
      </c>
      <c r="F4350" t="s">
        <v>1241</v>
      </c>
      <c r="G4350" t="s">
        <v>1216</v>
      </c>
      <c r="K4350" t="s">
        <v>72</v>
      </c>
      <c r="M4350" s="25" t="s">
        <v>36</v>
      </c>
      <c r="N4350" t="s">
        <v>36</v>
      </c>
      <c r="P4350" t="s">
        <v>60</v>
      </c>
      <c r="Q4350" t="s">
        <v>900</v>
      </c>
      <c r="R4350" t="s">
        <v>1741</v>
      </c>
      <c r="S4350" t="s">
        <v>1007</v>
      </c>
      <c r="V4350" t="s">
        <v>907</v>
      </c>
      <c r="Z4350">
        <v>3</v>
      </c>
      <c r="AA4350">
        <v>3</v>
      </c>
      <c r="AG4350" t="str">
        <f t="shared" si="434"/>
        <v>2YEHO_Saccostrea_glomerata_D0_CO2NA_TNA_control_outcome45.58</v>
      </c>
      <c r="AK4350" t="s">
        <v>69</v>
      </c>
      <c r="AM4350"/>
      <c r="AN4350">
        <v>45.5823293172691</v>
      </c>
      <c r="AO4350">
        <v>10.781842376432801</v>
      </c>
      <c r="AP4350">
        <v>66.465863453815203</v>
      </c>
      <c r="AQ4350">
        <v>2.0868082018902001</v>
      </c>
      <c r="AS4350">
        <f t="shared" si="436"/>
        <v>-0.37716835789565861</v>
      </c>
      <c r="AT4350">
        <f t="shared" si="435"/>
        <v>1.8978276482668505E-2</v>
      </c>
      <c r="AU4350" t="s">
        <v>1225</v>
      </c>
      <c r="AW4350" s="28">
        <f>(AP4350-$AN4350)/SQRT(((AA4350-1)*AQ4350*AQ4350+($Z4350-1)*$AO4350*$AO4350)/(AA4350+$Z4350-2))</f>
        <v>2.6893054415481328</v>
      </c>
      <c r="AX4350">
        <f>1-(3/(4*(AA4350+$Z4350-2)-1))</f>
        <v>0.8</v>
      </c>
      <c r="AY4350" s="62">
        <f>AX4350*AW4350</f>
        <v>2.1514443532385061</v>
      </c>
      <c r="AZ4350" s="68" t="str">
        <f>IF(AY4350&gt;10,"Yes","No")</f>
        <v>No</v>
      </c>
      <c r="BA4350" s="68" t="str">
        <f>IF(AY4350&lt;-10,"Yes","No")</f>
        <v>No</v>
      </c>
    </row>
    <row r="4351" spans="1:53" hidden="1">
      <c r="A4351" t="s">
        <v>1217</v>
      </c>
      <c r="B4351" t="str">
        <f t="shared" ref="B4351:B4383" si="437">ROW()&amp;"_Ross"</f>
        <v>4351_Ross</v>
      </c>
      <c r="C4351" t="s">
        <v>1240</v>
      </c>
      <c r="F4351" t="s">
        <v>1241</v>
      </c>
      <c r="G4351" t="s">
        <v>1216</v>
      </c>
      <c r="K4351" t="s">
        <v>72</v>
      </c>
      <c r="M4351" s="25" t="s">
        <v>36</v>
      </c>
      <c r="N4351" t="s">
        <v>36</v>
      </c>
      <c r="P4351" t="s">
        <v>60</v>
      </c>
      <c r="Q4351" t="s">
        <v>900</v>
      </c>
      <c r="R4351" t="s">
        <v>1741</v>
      </c>
      <c r="S4351" t="s">
        <v>1007</v>
      </c>
      <c r="V4351" t="s">
        <v>907</v>
      </c>
      <c r="Z4351">
        <v>3</v>
      </c>
      <c r="AA4351">
        <v>3</v>
      </c>
      <c r="AG4351" t="str">
        <f t="shared" ref="AG4351:AG4383" si="438">C4351 &amp; "_" &amp;
SUBSTITUTE(TRIM(S4351)," ","_") &amp; "_" &amp;
"D" &amp; TEXT(X4351,"0") &amp; "_" &amp;
"CO2" &amp; IF(AC4351&lt;&gt;"",TEXT(AC4351,"0.00"),"NA") &amp; "_" &amp;
"T" &amp; IF(AD4351&lt;&gt;"",TEXT(AD4351,"0.00"),"NA") &amp; "_" &amp;
"control_outcome" &amp; IF(AN4351&lt;&gt;"",TEXT(AN4351,"0.00"),"NA")</f>
        <v>2YEHO_Saccostrea_glomerata_D0_CO2NA_TNA_control_outcome65.26</v>
      </c>
      <c r="AK4351" t="s">
        <v>69</v>
      </c>
      <c r="AM4351"/>
      <c r="AN4351">
        <v>65.26104417670679</v>
      </c>
      <c r="AO4351">
        <v>14.6076574132315</v>
      </c>
      <c r="AP4351">
        <v>88.955823293172699</v>
      </c>
      <c r="AQ4351">
        <v>9.9999999999999991E-5</v>
      </c>
      <c r="AS4351">
        <f t="shared" si="436"/>
        <v>-0.30974458771539837</v>
      </c>
      <c r="AT4351">
        <f t="shared" ref="AT4351:AT4383" si="439">(AQ4351^2)/(AA4351*AP4351^2) + (AO4351^2)/(Z4351*AN4351^2)</f>
        <v>1.6700591716397602E-2</v>
      </c>
      <c r="AU4351" t="s">
        <v>1225</v>
      </c>
      <c r="AW4351" s="28">
        <f>(AP4351-$AN4351)/SQRT(((AA4351-1)*AQ4351*AQ4351+($Z4351-1)*$AO4351*$AO4351)/(AA4351+$Z4351-2))</f>
        <v>2.2939665844574817</v>
      </c>
      <c r="AX4351">
        <f>1-(3/(4*(AA4351+$Z4351-2)-1))</f>
        <v>0.8</v>
      </c>
      <c r="AY4351" s="62">
        <f>AX4351*AW4351</f>
        <v>1.8351732675659855</v>
      </c>
      <c r="AZ4351" s="68" t="str">
        <f>IF(AY4351&gt;10,"Yes","No")</f>
        <v>No</v>
      </c>
      <c r="BA4351" s="68" t="str">
        <f>IF(AY4351&lt;-10,"Yes","No")</f>
        <v>No</v>
      </c>
    </row>
    <row r="4352" spans="1:53" hidden="1">
      <c r="A4352" t="s">
        <v>1217</v>
      </c>
      <c r="B4352" t="str">
        <f t="shared" si="437"/>
        <v>4352_Ross</v>
      </c>
      <c r="C4352" t="s">
        <v>1240</v>
      </c>
      <c r="F4352" t="s">
        <v>1241</v>
      </c>
      <c r="G4352" t="s">
        <v>1216</v>
      </c>
      <c r="K4352" t="s">
        <v>72</v>
      </c>
      <c r="M4352" s="25" t="s">
        <v>36</v>
      </c>
      <c r="N4352" t="s">
        <v>36</v>
      </c>
      <c r="P4352" t="s">
        <v>60</v>
      </c>
      <c r="Q4352" t="s">
        <v>900</v>
      </c>
      <c r="R4352" t="s">
        <v>1741</v>
      </c>
      <c r="S4352" t="s">
        <v>1007</v>
      </c>
      <c r="V4352" t="s">
        <v>907</v>
      </c>
      <c r="Z4352">
        <v>3</v>
      </c>
      <c r="AA4352">
        <v>3</v>
      </c>
      <c r="AG4352" t="str">
        <f t="shared" si="438"/>
        <v>2YEHO_Saccostrea_glomerata_D0_CO2NA_TNA_control_outcome85.14</v>
      </c>
      <c r="AK4352" t="s">
        <v>69</v>
      </c>
      <c r="AM4352"/>
      <c r="AN4352">
        <v>85.140562248996005</v>
      </c>
      <c r="AO4352">
        <v>9.7384382754877095</v>
      </c>
      <c r="AP4352">
        <v>97.991967871485897</v>
      </c>
      <c r="AQ4352">
        <v>1.39120546792683</v>
      </c>
      <c r="AS4352">
        <f t="shared" si="436"/>
        <v>-0.14058195062118806</v>
      </c>
      <c r="AT4352">
        <f t="shared" si="439"/>
        <v>4.4281687963278115E-3</v>
      </c>
      <c r="AU4352" t="s">
        <v>1225</v>
      </c>
      <c r="AW4352" s="28">
        <f>(AP4352-$AN4352)/SQRT(((AA4352-1)*AQ4352*AQ4352+($Z4352-1)*$AO4352*$AO4352)/(AA4352+$Z4352-2))</f>
        <v>1.8475208614067835</v>
      </c>
      <c r="AX4352">
        <f>1-(3/(4*(AA4352+$Z4352-2)-1))</f>
        <v>0.8</v>
      </c>
      <c r="AY4352" s="62">
        <f>AX4352*AW4352</f>
        <v>1.4780166891254269</v>
      </c>
      <c r="AZ4352" s="68" t="str">
        <f>IF(AY4352&gt;10,"Yes","No")</f>
        <v>No</v>
      </c>
      <c r="BA4352" s="68" t="str">
        <f>IF(AY4352&lt;-10,"Yes","No")</f>
        <v>No</v>
      </c>
    </row>
    <row r="4353" spans="1:55" s="56" customFormat="1" ht="15" hidden="1">
      <c r="A4353" t="s">
        <v>1217</v>
      </c>
      <c r="B4353" t="str">
        <f t="shared" si="437"/>
        <v>4353_Ross</v>
      </c>
      <c r="C4353" t="s">
        <v>1240</v>
      </c>
      <c r="D4353" s="25"/>
      <c r="E4353" s="25"/>
      <c r="F4353" t="s">
        <v>1241</v>
      </c>
      <c r="G4353" t="s">
        <v>1216</v>
      </c>
      <c r="H4353"/>
      <c r="I4353"/>
      <c r="J4353"/>
      <c r="K4353" t="s">
        <v>72</v>
      </c>
      <c r="L4353"/>
      <c r="M4353" s="25" t="s">
        <v>36</v>
      </c>
      <c r="N4353" t="s">
        <v>36</v>
      </c>
      <c r="O4353"/>
      <c r="P4353" t="s">
        <v>60</v>
      </c>
      <c r="Q4353" t="s">
        <v>900</v>
      </c>
      <c r="R4353" t="s">
        <v>1741</v>
      </c>
      <c r="S4353" t="s">
        <v>1007</v>
      </c>
      <c r="T4353"/>
      <c r="U4353"/>
      <c r="V4353" t="s">
        <v>907</v>
      </c>
      <c r="W4353" s="25"/>
      <c r="X4353"/>
      <c r="Y4353"/>
      <c r="Z4353">
        <v>3</v>
      </c>
      <c r="AA4353">
        <v>3</v>
      </c>
      <c r="AB4353"/>
      <c r="AC4353"/>
      <c r="AD4353"/>
      <c r="AE4353"/>
      <c r="AF4353"/>
      <c r="AG4353" t="str">
        <f t="shared" si="438"/>
        <v>2YEHO_Saccostrea_glomerata_D0_CO2NA_TNA_control_outcome92.17</v>
      </c>
      <c r="AH4353"/>
      <c r="AI4353"/>
      <c r="AJ4353"/>
      <c r="AK4353" t="s">
        <v>69</v>
      </c>
      <c r="AL4353" s="25"/>
      <c r="AM4353"/>
      <c r="AN4353">
        <v>92.168674698795201</v>
      </c>
      <c r="AO4353">
        <v>7.3038287066157199</v>
      </c>
      <c r="AP4353">
        <v>100</v>
      </c>
      <c r="AQ4353">
        <v>1E-3</v>
      </c>
      <c r="AR4353"/>
      <c r="AS4353">
        <f t="shared" si="436"/>
        <v>-8.1549866964108375E-2</v>
      </c>
      <c r="AT4353">
        <f t="shared" si="439"/>
        <v>2.0932120458071516E-3</v>
      </c>
      <c r="AU4353" t="s">
        <v>1225</v>
      </c>
      <c r="AV4353"/>
      <c r="AW4353" s="28">
        <f>(AP4353-$AN4353)/SQRT(((AA4353-1)*AQ4353*AQ4353+($Z4353-1)*$AO4353*$AO4353)/(AA4353+$Z4353-2))</f>
        <v>1.5163507789390571</v>
      </c>
      <c r="AX4353">
        <f>1-(3/(4*(AA4353+$Z4353-2)-1))</f>
        <v>0.8</v>
      </c>
      <c r="AY4353" s="62">
        <f>AX4353*AW4353</f>
        <v>1.2130806231512459</v>
      </c>
      <c r="AZ4353" s="68" t="str">
        <f>IF(AY4353&gt;10,"Yes","No")</f>
        <v>No</v>
      </c>
      <c r="BA4353" s="68" t="str">
        <f>IF(AY4353&lt;-10,"Yes","No")</f>
        <v>No</v>
      </c>
      <c r="BB4353"/>
      <c r="BC4353"/>
    </row>
    <row r="4354" spans="1:55" s="56" customFormat="1" ht="15" hidden="1">
      <c r="A4354" t="s">
        <v>1217</v>
      </c>
      <c r="B4354" t="str">
        <f t="shared" si="437"/>
        <v>4354_Ross</v>
      </c>
      <c r="C4354" t="s">
        <v>1240</v>
      </c>
      <c r="D4354" s="25"/>
      <c r="E4354" s="25"/>
      <c r="F4354" t="s">
        <v>914</v>
      </c>
      <c r="G4354" t="s">
        <v>1216</v>
      </c>
      <c r="H4354"/>
      <c r="I4354"/>
      <c r="J4354"/>
      <c r="K4354" t="s">
        <v>72</v>
      </c>
      <c r="L4354"/>
      <c r="M4354" s="25" t="s">
        <v>36</v>
      </c>
      <c r="N4354" t="s">
        <v>36</v>
      </c>
      <c r="O4354"/>
      <c r="P4354" t="s">
        <v>60</v>
      </c>
      <c r="Q4354" t="s">
        <v>900</v>
      </c>
      <c r="R4354" t="s">
        <v>1315</v>
      </c>
      <c r="S4354" t="s">
        <v>1007</v>
      </c>
      <c r="T4354"/>
      <c r="U4354"/>
      <c r="V4354" t="s">
        <v>907</v>
      </c>
      <c r="W4354" s="25"/>
      <c r="X4354"/>
      <c r="Y4354"/>
      <c r="Z4354">
        <v>3</v>
      </c>
      <c r="AA4354">
        <v>3</v>
      </c>
      <c r="AB4354"/>
      <c r="AC4354"/>
      <c r="AD4354"/>
      <c r="AE4354"/>
      <c r="AF4354"/>
      <c r="AG4354" t="str">
        <f t="shared" si="438"/>
        <v>2YEHO_Saccostrea_glomerata_D0_CO2NA_TNA_control_outcome0.00</v>
      </c>
      <c r="AH4354"/>
      <c r="AI4354"/>
      <c r="AJ4354"/>
      <c r="AK4354" t="s">
        <v>69</v>
      </c>
      <c r="AL4354" s="25"/>
      <c r="AM4354"/>
      <c r="AN4354" s="28">
        <v>0</v>
      </c>
      <c r="AO4354">
        <v>0</v>
      </c>
      <c r="AP4354">
        <v>0</v>
      </c>
      <c r="AQ4354" s="29">
        <v>0</v>
      </c>
      <c r="AR4354"/>
      <c r="AS4354" t="e">
        <f t="shared" si="436"/>
        <v>#NUM!</v>
      </c>
      <c r="AT4354" t="e">
        <f t="shared" si="439"/>
        <v>#DIV/0!</v>
      </c>
      <c r="AU4354" t="s">
        <v>1225</v>
      </c>
      <c r="AV4354"/>
      <c r="AW4354"/>
      <c r="AX4354"/>
      <c r="AY4354"/>
      <c r="AZ4354"/>
      <c r="BA4354"/>
      <c r="BB4354"/>
      <c r="BC4354"/>
    </row>
    <row r="4355" spans="1:55" s="56" customFormat="1" ht="15" hidden="1">
      <c r="A4355" t="s">
        <v>1217</v>
      </c>
      <c r="B4355" t="str">
        <f t="shared" si="437"/>
        <v>4355_Ross</v>
      </c>
      <c r="C4355" t="s">
        <v>1240</v>
      </c>
      <c r="D4355" s="25"/>
      <c r="E4355" s="25"/>
      <c r="F4355" t="s">
        <v>1241</v>
      </c>
      <c r="G4355" t="s">
        <v>1216</v>
      </c>
      <c r="H4355"/>
      <c r="I4355"/>
      <c r="J4355"/>
      <c r="K4355" t="s">
        <v>72</v>
      </c>
      <c r="L4355"/>
      <c r="M4355" s="25" t="s">
        <v>36</v>
      </c>
      <c r="N4355" t="s">
        <v>36</v>
      </c>
      <c r="O4355"/>
      <c r="P4355" t="s">
        <v>60</v>
      </c>
      <c r="Q4355" t="s">
        <v>900</v>
      </c>
      <c r="R4355" t="s">
        <v>1741</v>
      </c>
      <c r="S4355" t="s">
        <v>1007</v>
      </c>
      <c r="T4355"/>
      <c r="U4355"/>
      <c r="V4355" t="s">
        <v>907</v>
      </c>
      <c r="W4355" s="25"/>
      <c r="X4355"/>
      <c r="Y4355"/>
      <c r="Z4355">
        <v>3</v>
      </c>
      <c r="AA4355">
        <v>3</v>
      </c>
      <c r="AB4355"/>
      <c r="AC4355"/>
      <c r="AD4355"/>
      <c r="AE4355"/>
      <c r="AF4355"/>
      <c r="AG4355" t="str">
        <f t="shared" si="438"/>
        <v>2YEHO_Saccostrea_glomerata_D0_CO2NA_TNA_control_outcome30.12</v>
      </c>
      <c r="AH4355"/>
      <c r="AI4355"/>
      <c r="AJ4355"/>
      <c r="AK4355" t="s">
        <v>69</v>
      </c>
      <c r="AL4355" s="25"/>
      <c r="AM4355"/>
      <c r="AN4355">
        <v>30.120481927710802</v>
      </c>
      <c r="AO4355">
        <v>9.7384382754876508</v>
      </c>
      <c r="AP4355">
        <v>67.871485943775099</v>
      </c>
      <c r="AQ4355">
        <v>10.781842376432801</v>
      </c>
      <c r="AR4355"/>
      <c r="AS4355">
        <f t="shared" si="436"/>
        <v>-0.81241060138676424</v>
      </c>
      <c r="AT4355">
        <f t="shared" si="439"/>
        <v>4.3256264758859256E-2</v>
      </c>
      <c r="AU4355" t="s">
        <v>1225</v>
      </c>
      <c r="AV4355"/>
      <c r="AW4355" s="28">
        <f>(AP4355-$AN4355)/SQRT(((AA4355-1)*AQ4355*AQ4355+($Z4355-1)*$AO4355*$AO4355)/(AA4355+$Z4355-2))</f>
        <v>3.6746375114420009</v>
      </c>
      <c r="AX4355">
        <f>1-(3/(4*(AA4355+$Z4355-2)-1))</f>
        <v>0.8</v>
      </c>
      <c r="AY4355" s="62">
        <f>AX4355*AW4355</f>
        <v>2.9397100091536008</v>
      </c>
      <c r="AZ4355" s="68" t="str">
        <f>IF(AY4355&gt;10,"Yes","No")</f>
        <v>No</v>
      </c>
      <c r="BA4355" s="68" t="str">
        <f>IF(AY4355&lt;-10,"Yes","No")</f>
        <v>No</v>
      </c>
      <c r="BB4355"/>
      <c r="BC4355"/>
    </row>
    <row r="4356" spans="1:55" s="56" customFormat="1" ht="15" hidden="1">
      <c r="A4356" t="s">
        <v>1217</v>
      </c>
      <c r="B4356" t="str">
        <f t="shared" si="437"/>
        <v>4356_Ross</v>
      </c>
      <c r="C4356" t="s">
        <v>1240</v>
      </c>
      <c r="D4356" s="25"/>
      <c r="E4356" s="25"/>
      <c r="F4356" t="s">
        <v>1241</v>
      </c>
      <c r="G4356" t="s">
        <v>1216</v>
      </c>
      <c r="H4356"/>
      <c r="I4356"/>
      <c r="J4356"/>
      <c r="K4356" t="s">
        <v>72</v>
      </c>
      <c r="L4356"/>
      <c r="M4356" s="25" t="s">
        <v>36</v>
      </c>
      <c r="N4356" t="s">
        <v>36</v>
      </c>
      <c r="O4356"/>
      <c r="P4356" t="s">
        <v>60</v>
      </c>
      <c r="Q4356" t="s">
        <v>900</v>
      </c>
      <c r="R4356" t="s">
        <v>1741</v>
      </c>
      <c r="S4356" t="s">
        <v>1007</v>
      </c>
      <c r="T4356"/>
      <c r="U4356"/>
      <c r="V4356" t="s">
        <v>907</v>
      </c>
      <c r="W4356" s="25"/>
      <c r="X4356"/>
      <c r="Y4356"/>
      <c r="Z4356">
        <v>3</v>
      </c>
      <c r="AA4356">
        <v>3</v>
      </c>
      <c r="AB4356"/>
      <c r="AC4356"/>
      <c r="AD4356"/>
      <c r="AE4356"/>
      <c r="AF4356"/>
      <c r="AG4356" t="str">
        <f t="shared" si="438"/>
        <v>2YEHO_Saccostrea_glomerata_D0_CO2NA_TNA_control_outcome60.04</v>
      </c>
      <c r="AH4356"/>
      <c r="AI4356"/>
      <c r="AJ4356"/>
      <c r="AK4356" t="s">
        <v>69</v>
      </c>
      <c r="AL4356" s="25"/>
      <c r="AM4356"/>
      <c r="AN4356">
        <v>60.040160642570292</v>
      </c>
      <c r="AO4356">
        <v>14.6076574132315</v>
      </c>
      <c r="AP4356">
        <v>90.361445783132496</v>
      </c>
      <c r="AQ4356">
        <v>3.8258150367987298</v>
      </c>
      <c r="AR4356"/>
      <c r="AS4356">
        <f t="shared" si="436"/>
        <v>-0.40880400937367867</v>
      </c>
      <c r="AT4356">
        <f t="shared" si="439"/>
        <v>2.0328853780048593E-2</v>
      </c>
      <c r="AU4356" t="s">
        <v>1225</v>
      </c>
      <c r="AV4356"/>
      <c r="AW4356" s="28">
        <f>(AP4356-$AN4356)/SQRT(((AA4356-1)*AQ4356*AQ4356+($Z4356-1)*$AO4356*$AO4356)/(AA4356+$Z4356-2))</f>
        <v>2.8397207867628005</v>
      </c>
      <c r="AX4356">
        <f>1-(3/(4*(AA4356+$Z4356-2)-1))</f>
        <v>0.8</v>
      </c>
      <c r="AY4356" s="62">
        <f>AX4356*AW4356</f>
        <v>2.2717766294102404</v>
      </c>
      <c r="AZ4356" s="68" t="str">
        <f>IF(AY4356&gt;10,"Yes","No")</f>
        <v>No</v>
      </c>
      <c r="BA4356" s="68" t="str">
        <f>IF(AY4356&lt;-10,"Yes","No")</f>
        <v>No</v>
      </c>
      <c r="BB4356"/>
      <c r="BC4356"/>
    </row>
    <row r="4357" spans="1:55" s="56" customFormat="1" ht="15" hidden="1">
      <c r="A4357" t="s">
        <v>1217</v>
      </c>
      <c r="B4357" t="str">
        <f t="shared" si="437"/>
        <v>4357_Ross</v>
      </c>
      <c r="C4357" t="s">
        <v>1240</v>
      </c>
      <c r="D4357" s="25"/>
      <c r="E4357" s="25"/>
      <c r="F4357" t="s">
        <v>1241</v>
      </c>
      <c r="G4357" t="s">
        <v>1216</v>
      </c>
      <c r="H4357"/>
      <c r="I4357"/>
      <c r="J4357"/>
      <c r="K4357" t="s">
        <v>72</v>
      </c>
      <c r="L4357"/>
      <c r="M4357" s="25" t="s">
        <v>36</v>
      </c>
      <c r="N4357" t="s">
        <v>36</v>
      </c>
      <c r="O4357"/>
      <c r="P4357" t="s">
        <v>60</v>
      </c>
      <c r="Q4357" t="s">
        <v>900</v>
      </c>
      <c r="R4357" t="s">
        <v>1741</v>
      </c>
      <c r="S4357" t="s">
        <v>1007</v>
      </c>
      <c r="T4357"/>
      <c r="U4357"/>
      <c r="V4357" t="s">
        <v>907</v>
      </c>
      <c r="W4357" s="25"/>
      <c r="X4357"/>
      <c r="Y4357"/>
      <c r="Z4357">
        <v>3</v>
      </c>
      <c r="AA4357">
        <v>3</v>
      </c>
      <c r="AB4357"/>
      <c r="AC4357"/>
      <c r="AD4357"/>
      <c r="AE4357"/>
      <c r="AF4357"/>
      <c r="AG4357" t="str">
        <f t="shared" si="438"/>
        <v>2YEHO_Saccostrea_glomerata_D0_CO2NA_TNA_control_outcome81.93</v>
      </c>
      <c r="AH4357"/>
      <c r="AI4357"/>
      <c r="AJ4357"/>
      <c r="AK4357" t="s">
        <v>69</v>
      </c>
      <c r="AL4357" s="25"/>
      <c r="AM4357"/>
      <c r="AN4357">
        <v>81.927710843373504</v>
      </c>
      <c r="AO4357">
        <v>9.39063690850592</v>
      </c>
      <c r="AP4357">
        <v>98.393574297188707</v>
      </c>
      <c r="AQ4357">
        <v>1.7390068349085301</v>
      </c>
      <c r="AR4357"/>
      <c r="AS4357">
        <f t="shared" si="436"/>
        <v>-0.18313821670050956</v>
      </c>
      <c r="AT4357">
        <f t="shared" si="439"/>
        <v>4.4834485414813824E-3</v>
      </c>
      <c r="AU4357" t="s">
        <v>1225</v>
      </c>
      <c r="AV4357"/>
      <c r="AW4357" s="28">
        <f>(AP4357-$AN4357)/SQRT(((AA4357-1)*AQ4357*AQ4357+($Z4357-1)*$AO4357*$AO4357)/(AA4357+$Z4357-2))</f>
        <v>2.4382742371452162</v>
      </c>
      <c r="AX4357">
        <f>1-(3/(4*(AA4357+$Z4357-2)-1))</f>
        <v>0.8</v>
      </c>
      <c r="AY4357" s="62">
        <f>AX4357*AW4357</f>
        <v>1.950619389716173</v>
      </c>
      <c r="AZ4357" s="68" t="str">
        <f>IF(AY4357&gt;10,"Yes","No")</f>
        <v>No</v>
      </c>
      <c r="BA4357" s="68" t="str">
        <f>IF(AY4357&lt;-10,"Yes","No")</f>
        <v>No</v>
      </c>
      <c r="BB4357"/>
      <c r="BC4357"/>
    </row>
    <row r="4358" spans="1:55" s="56" customFormat="1" ht="15" hidden="1">
      <c r="A4358" t="s">
        <v>1217</v>
      </c>
      <c r="B4358" t="str">
        <f t="shared" si="437"/>
        <v>4358_Ross</v>
      </c>
      <c r="C4358" t="s">
        <v>1240</v>
      </c>
      <c r="D4358" s="25"/>
      <c r="E4358" s="25"/>
      <c r="F4358" t="s">
        <v>1241</v>
      </c>
      <c r="G4358" t="s">
        <v>1216</v>
      </c>
      <c r="H4358"/>
      <c r="I4358"/>
      <c r="J4358"/>
      <c r="K4358" t="s">
        <v>72</v>
      </c>
      <c r="L4358"/>
      <c r="M4358" s="25" t="s">
        <v>36</v>
      </c>
      <c r="N4358" t="s">
        <v>36</v>
      </c>
      <c r="O4358"/>
      <c r="P4358" t="s">
        <v>60</v>
      </c>
      <c r="Q4358" t="s">
        <v>900</v>
      </c>
      <c r="R4358" t="s">
        <v>1741</v>
      </c>
      <c r="S4358" t="s">
        <v>1007</v>
      </c>
      <c r="T4358"/>
      <c r="U4358"/>
      <c r="V4358" t="s">
        <v>907</v>
      </c>
      <c r="W4358" s="25"/>
      <c r="X4358"/>
      <c r="Y4358"/>
      <c r="Z4358">
        <v>3</v>
      </c>
      <c r="AA4358">
        <v>3</v>
      </c>
      <c r="AB4358"/>
      <c r="AC4358"/>
      <c r="AD4358"/>
      <c r="AE4358"/>
      <c r="AF4358"/>
      <c r="AG4358" t="str">
        <f t="shared" si="438"/>
        <v>2YEHO_Saccostrea_glomerata_D0_CO2NA_TNA_control_outcome95.58</v>
      </c>
      <c r="AH4358"/>
      <c r="AI4358"/>
      <c r="AJ4358"/>
      <c r="AK4358" t="s">
        <v>69</v>
      </c>
      <c r="AL4358" s="25"/>
      <c r="AM4358"/>
      <c r="AN4358">
        <v>95.582329317269</v>
      </c>
      <c r="AO4358">
        <v>4.1736164037804402</v>
      </c>
      <c r="AP4358">
        <v>100</v>
      </c>
      <c r="AQ4358">
        <v>1E-3</v>
      </c>
      <c r="AR4358"/>
      <c r="AS4358">
        <f t="shared" si="436"/>
        <v>-4.5182222793234139E-2</v>
      </c>
      <c r="AT4358">
        <f t="shared" si="439"/>
        <v>6.3554837031518986E-4</v>
      </c>
      <c r="AU4358" t="s">
        <v>1225</v>
      </c>
      <c r="AV4358"/>
      <c r="AW4358" s="28">
        <f>(AP4358-$AN4358)/SQRT(((AA4358-1)*AQ4358*AQ4358+($Z4358-1)*$AO4358*$AO4358)/(AA4358+$Z4358-2))</f>
        <v>1.4969103553999552</v>
      </c>
      <c r="AX4358">
        <f>1-(3/(4*(AA4358+$Z4358-2)-1))</f>
        <v>0.8</v>
      </c>
      <c r="AY4358" s="62">
        <f>AX4358*AW4358</f>
        <v>1.1975282843199642</v>
      </c>
      <c r="AZ4358" s="68" t="str">
        <f>IF(AY4358&gt;10,"Yes","No")</f>
        <v>No</v>
      </c>
      <c r="BA4358" s="68" t="str">
        <f>IF(AY4358&lt;-10,"Yes","No")</f>
        <v>No</v>
      </c>
      <c r="BB4358"/>
      <c r="BC4358"/>
    </row>
    <row r="4359" spans="1:55" s="56" customFormat="1" ht="15" hidden="1">
      <c r="A4359" t="s">
        <v>1217</v>
      </c>
      <c r="B4359" t="str">
        <f t="shared" si="437"/>
        <v>4359_Ross</v>
      </c>
      <c r="C4359" t="s">
        <v>1240</v>
      </c>
      <c r="D4359" s="25"/>
      <c r="E4359" s="25"/>
      <c r="F4359" t="s">
        <v>914</v>
      </c>
      <c r="G4359" t="s">
        <v>1216</v>
      </c>
      <c r="H4359"/>
      <c r="I4359"/>
      <c r="J4359"/>
      <c r="K4359" t="s">
        <v>72</v>
      </c>
      <c r="L4359"/>
      <c r="M4359" s="25" t="s">
        <v>36</v>
      </c>
      <c r="N4359" t="s">
        <v>36</v>
      </c>
      <c r="O4359"/>
      <c r="P4359" t="s">
        <v>60</v>
      </c>
      <c r="Q4359" t="s">
        <v>900</v>
      </c>
      <c r="R4359" t="s">
        <v>1315</v>
      </c>
      <c r="S4359" t="s">
        <v>1007</v>
      </c>
      <c r="T4359"/>
      <c r="U4359"/>
      <c r="V4359" t="s">
        <v>907</v>
      </c>
      <c r="W4359" s="25"/>
      <c r="X4359"/>
      <c r="Y4359"/>
      <c r="Z4359">
        <v>3</v>
      </c>
      <c r="AA4359">
        <v>3</v>
      </c>
      <c r="AB4359"/>
      <c r="AC4359"/>
      <c r="AD4359"/>
      <c r="AE4359"/>
      <c r="AF4359"/>
      <c r="AG4359" t="str">
        <f t="shared" si="438"/>
        <v>2YEHO_Saccostrea_glomerata_D0_CO2NA_TNA_control_outcome0.00</v>
      </c>
      <c r="AH4359"/>
      <c r="AI4359"/>
      <c r="AJ4359"/>
      <c r="AK4359" t="s">
        <v>69</v>
      </c>
      <c r="AL4359" s="25"/>
      <c r="AM4359"/>
      <c r="AN4359">
        <v>0</v>
      </c>
      <c r="AO4359">
        <v>0</v>
      </c>
      <c r="AP4359">
        <v>0</v>
      </c>
      <c r="AQ4359">
        <v>0</v>
      </c>
      <c r="AR4359"/>
      <c r="AS4359" t="e">
        <f t="shared" si="436"/>
        <v>#NUM!</v>
      </c>
      <c r="AT4359" t="e">
        <f t="shared" si="439"/>
        <v>#DIV/0!</v>
      </c>
      <c r="AU4359" t="s">
        <v>1225</v>
      </c>
      <c r="AV4359"/>
      <c r="AW4359"/>
      <c r="AX4359"/>
      <c r="AY4359"/>
      <c r="AZ4359"/>
      <c r="BA4359"/>
      <c r="BB4359"/>
      <c r="BC4359"/>
    </row>
    <row r="4360" spans="1:55" s="56" customFormat="1" ht="15" hidden="1">
      <c r="A4360" t="s">
        <v>1217</v>
      </c>
      <c r="B4360" t="str">
        <f t="shared" si="437"/>
        <v>4360_Ross</v>
      </c>
      <c r="C4360" t="s">
        <v>1240</v>
      </c>
      <c r="D4360" s="25"/>
      <c r="E4360" s="25"/>
      <c r="F4360" t="s">
        <v>1241</v>
      </c>
      <c r="G4360" t="s">
        <v>1216</v>
      </c>
      <c r="H4360"/>
      <c r="I4360"/>
      <c r="J4360"/>
      <c r="K4360" t="s">
        <v>72</v>
      </c>
      <c r="L4360"/>
      <c r="M4360" s="25" t="s">
        <v>36</v>
      </c>
      <c r="N4360" t="s">
        <v>36</v>
      </c>
      <c r="O4360"/>
      <c r="P4360" t="s">
        <v>60</v>
      </c>
      <c r="Q4360" t="s">
        <v>900</v>
      </c>
      <c r="R4360" t="s">
        <v>1741</v>
      </c>
      <c r="S4360" t="s">
        <v>1007</v>
      </c>
      <c r="T4360"/>
      <c r="U4360"/>
      <c r="V4360" t="s">
        <v>907</v>
      </c>
      <c r="W4360" s="25"/>
      <c r="X4360"/>
      <c r="Y4360"/>
      <c r="Z4360">
        <v>3</v>
      </c>
      <c r="AA4360">
        <v>3</v>
      </c>
      <c r="AB4360"/>
      <c r="AC4360"/>
      <c r="AD4360"/>
      <c r="AE4360"/>
      <c r="AF4360"/>
      <c r="AG4360" t="str">
        <f t="shared" si="438"/>
        <v>2YEHO_Saccostrea_glomerata_D0_CO2NA_TNA_control_outcome13.65</v>
      </c>
      <c r="AH4360"/>
      <c r="AI4360"/>
      <c r="AJ4360"/>
      <c r="AK4360" t="s">
        <v>69</v>
      </c>
      <c r="AL4360" s="25"/>
      <c r="AM4360"/>
      <c r="AN4360">
        <v>13.654618473895599</v>
      </c>
      <c r="AO4360">
        <v>5.9126232386889503</v>
      </c>
      <c r="AP4360">
        <v>87.148594377510008</v>
      </c>
      <c r="AQ4360">
        <v>6.6082259726523098</v>
      </c>
      <c r="AR4360"/>
      <c r="AS4360">
        <f t="shared" si="436"/>
        <v>-1.8535368289242968</v>
      </c>
      <c r="AT4360">
        <f t="shared" si="439"/>
        <v>6.4416583490836579E-2</v>
      </c>
      <c r="AU4360" t="s">
        <v>1225</v>
      </c>
      <c r="AV4360"/>
      <c r="AW4360" s="28">
        <f t="shared" ref="AW4360:AW4383" si="440">(AP4360-$AN4360)/SQRT(((AA4360-1)*AQ4360*AQ4360+($Z4360-1)*$AO4360*$AO4360)/(AA4360+$Z4360-2))</f>
        <v>11.721380858532394</v>
      </c>
      <c r="AX4360">
        <f t="shared" ref="AX4360:AX4383" si="441">1-(3/(4*(AA4360+$Z4360-2)-1))</f>
        <v>0.8</v>
      </c>
      <c r="AY4360" s="62">
        <f t="shared" ref="AY4360:AY4383" si="442">AX4360*AW4360</f>
        <v>9.3771046868259145</v>
      </c>
      <c r="AZ4360" s="68" t="str">
        <f t="shared" ref="AZ4360:AZ4383" si="443">IF(AY4360&gt;10,"Yes","No")</f>
        <v>No</v>
      </c>
      <c r="BA4360" s="68" t="str">
        <f t="shared" ref="BA4360:BA4383" si="444">IF(AY4360&lt;-10,"Yes","No")</f>
        <v>No</v>
      </c>
      <c r="BB4360"/>
      <c r="BC4360"/>
    </row>
    <row r="4361" spans="1:55" s="56" customFormat="1" ht="15" hidden="1">
      <c r="A4361" t="s">
        <v>1217</v>
      </c>
      <c r="B4361" t="str">
        <f t="shared" si="437"/>
        <v>4361_Ross</v>
      </c>
      <c r="C4361" t="s">
        <v>1240</v>
      </c>
      <c r="D4361" s="25"/>
      <c r="E4361" s="25"/>
      <c r="F4361" t="s">
        <v>1241</v>
      </c>
      <c r="G4361" t="s">
        <v>1216</v>
      </c>
      <c r="H4361"/>
      <c r="I4361"/>
      <c r="J4361"/>
      <c r="K4361" t="s">
        <v>72</v>
      </c>
      <c r="L4361"/>
      <c r="M4361" s="25" t="s">
        <v>36</v>
      </c>
      <c r="N4361" t="s">
        <v>36</v>
      </c>
      <c r="O4361"/>
      <c r="P4361" t="s">
        <v>60</v>
      </c>
      <c r="Q4361" t="s">
        <v>900</v>
      </c>
      <c r="R4361" t="s">
        <v>1741</v>
      </c>
      <c r="S4361" t="s">
        <v>1007</v>
      </c>
      <c r="T4361"/>
      <c r="U4361"/>
      <c r="V4361" t="s">
        <v>907</v>
      </c>
      <c r="W4361" s="25"/>
      <c r="X4361"/>
      <c r="Y4361"/>
      <c r="Z4361">
        <v>3</v>
      </c>
      <c r="AA4361">
        <v>3</v>
      </c>
      <c r="AB4361"/>
      <c r="AC4361"/>
      <c r="AD4361"/>
      <c r="AE4361"/>
      <c r="AF4361"/>
      <c r="AG4361" t="str">
        <f t="shared" si="438"/>
        <v>2YEHO_Saccostrea_glomerata_D0_CO2NA_TNA_control_outcome34.14</v>
      </c>
      <c r="AH4361"/>
      <c r="AI4361"/>
      <c r="AJ4361"/>
      <c r="AK4361" t="s">
        <v>69</v>
      </c>
      <c r="AL4361" s="25"/>
      <c r="AM4361"/>
      <c r="AN4361">
        <v>34.136546184738997</v>
      </c>
      <c r="AO4361">
        <v>11.129643743414499</v>
      </c>
      <c r="AP4361">
        <v>98.995983935742998</v>
      </c>
      <c r="AQ4361">
        <v>1.0434041009450798</v>
      </c>
      <c r="AR4361"/>
      <c r="AS4361">
        <f t="shared" si="436"/>
        <v>-1.0647107369924274</v>
      </c>
      <c r="AT4361">
        <f t="shared" si="439"/>
        <v>3.5469555521726162E-2</v>
      </c>
      <c r="AU4361" t="s">
        <v>1225</v>
      </c>
      <c r="AV4361"/>
      <c r="AW4361" s="28">
        <f t="shared" si="440"/>
        <v>8.2055317838295476</v>
      </c>
      <c r="AX4361">
        <f t="shared" si="441"/>
        <v>0.8</v>
      </c>
      <c r="AY4361" s="62">
        <f t="shared" si="442"/>
        <v>6.5644254270636386</v>
      </c>
      <c r="AZ4361" s="68" t="str">
        <f t="shared" si="443"/>
        <v>No</v>
      </c>
      <c r="BA4361" s="68" t="str">
        <f t="shared" si="444"/>
        <v>No</v>
      </c>
      <c r="BB4361"/>
      <c r="BC4361"/>
    </row>
    <row r="4362" spans="1:55" s="56" customFormat="1" ht="15" hidden="1">
      <c r="A4362" t="s">
        <v>1217</v>
      </c>
      <c r="B4362" t="str">
        <f t="shared" si="437"/>
        <v>4362_Ross</v>
      </c>
      <c r="C4362" t="s">
        <v>1240</v>
      </c>
      <c r="D4362" s="25"/>
      <c r="E4362" s="25"/>
      <c r="F4362" t="s">
        <v>1241</v>
      </c>
      <c r="G4362" t="s">
        <v>1216</v>
      </c>
      <c r="H4362"/>
      <c r="I4362"/>
      <c r="J4362"/>
      <c r="K4362" t="s">
        <v>72</v>
      </c>
      <c r="L4362"/>
      <c r="M4362" s="25" t="s">
        <v>36</v>
      </c>
      <c r="N4362" t="s">
        <v>36</v>
      </c>
      <c r="O4362"/>
      <c r="P4362" t="s">
        <v>60</v>
      </c>
      <c r="Q4362" t="s">
        <v>900</v>
      </c>
      <c r="R4362" t="s">
        <v>1741</v>
      </c>
      <c r="S4362" t="s">
        <v>1007</v>
      </c>
      <c r="T4362"/>
      <c r="U4362"/>
      <c r="V4362" t="s">
        <v>907</v>
      </c>
      <c r="W4362" s="25"/>
      <c r="X4362"/>
      <c r="Y4362"/>
      <c r="Z4362">
        <v>3</v>
      </c>
      <c r="AA4362">
        <v>3</v>
      </c>
      <c r="AB4362"/>
      <c r="AC4362"/>
      <c r="AD4362"/>
      <c r="AE4362"/>
      <c r="AF4362"/>
      <c r="AG4362" t="str">
        <f t="shared" si="438"/>
        <v>2YEHO_Saccostrea_glomerata_D0_CO2NA_TNA_control_outcome52.81</v>
      </c>
      <c r="AH4362"/>
      <c r="AI4362"/>
      <c r="AJ4362"/>
      <c r="AK4362" t="s">
        <v>69</v>
      </c>
      <c r="AL4362" s="25"/>
      <c r="AM4362"/>
      <c r="AN4362">
        <v>52.811244979919699</v>
      </c>
      <c r="AO4362">
        <v>15.3032601471949</v>
      </c>
      <c r="AP4362">
        <v>100</v>
      </c>
      <c r="AQ4362">
        <v>1E-3</v>
      </c>
      <c r="AR4362"/>
      <c r="AS4362">
        <f t="shared" si="436"/>
        <v>-0.63844604484688849</v>
      </c>
      <c r="AT4362">
        <f t="shared" si="439"/>
        <v>2.7989417257812482E-2</v>
      </c>
      <c r="AU4362" t="s">
        <v>1225</v>
      </c>
      <c r="AV4362"/>
      <c r="AW4362" s="28">
        <f t="shared" si="440"/>
        <v>4.3608340024626093</v>
      </c>
      <c r="AX4362">
        <f t="shared" si="441"/>
        <v>0.8</v>
      </c>
      <c r="AY4362" s="62">
        <f t="shared" si="442"/>
        <v>3.4886672019700877</v>
      </c>
      <c r="AZ4362" s="68" t="str">
        <f t="shared" si="443"/>
        <v>No</v>
      </c>
      <c r="BA4362" s="68" t="str">
        <f t="shared" si="444"/>
        <v>No</v>
      </c>
      <c r="BB4362"/>
      <c r="BC4362"/>
    </row>
    <row r="4363" spans="1:55" s="56" customFormat="1" ht="15" hidden="1">
      <c r="A4363" t="s">
        <v>1217</v>
      </c>
      <c r="B4363" t="str">
        <f t="shared" si="437"/>
        <v>4363_Ross</v>
      </c>
      <c r="C4363" t="s">
        <v>1240</v>
      </c>
      <c r="D4363" s="25"/>
      <c r="E4363" s="25"/>
      <c r="F4363" t="s">
        <v>1241</v>
      </c>
      <c r="G4363" t="s">
        <v>1216</v>
      </c>
      <c r="H4363"/>
      <c r="I4363"/>
      <c r="J4363"/>
      <c r="K4363" t="s">
        <v>72</v>
      </c>
      <c r="L4363"/>
      <c r="M4363" s="25" t="s">
        <v>36</v>
      </c>
      <c r="N4363" t="s">
        <v>36</v>
      </c>
      <c r="O4363"/>
      <c r="P4363" t="s">
        <v>60</v>
      </c>
      <c r="Q4363" t="s">
        <v>900</v>
      </c>
      <c r="R4363" t="s">
        <v>1741</v>
      </c>
      <c r="S4363" t="s">
        <v>1007</v>
      </c>
      <c r="T4363"/>
      <c r="U4363"/>
      <c r="V4363" t="s">
        <v>907</v>
      </c>
      <c r="W4363" s="25"/>
      <c r="X4363"/>
      <c r="Y4363"/>
      <c r="Z4363">
        <v>3</v>
      </c>
      <c r="AA4363">
        <v>3</v>
      </c>
      <c r="AB4363"/>
      <c r="AC4363"/>
      <c r="AD4363"/>
      <c r="AE4363"/>
      <c r="AF4363"/>
      <c r="AG4363" t="str">
        <f t="shared" si="438"/>
        <v>2YEHO_Saccostrea_glomerata_D0_CO2NA_TNA_control_outcome68.07</v>
      </c>
      <c r="AH4363"/>
      <c r="AI4363"/>
      <c r="AJ4363"/>
      <c r="AK4363" t="s">
        <v>69</v>
      </c>
      <c r="AL4363" s="25"/>
      <c r="AM4363"/>
      <c r="AN4363">
        <v>68.072289156626496</v>
      </c>
      <c r="AO4363">
        <v>16.6944656151217</v>
      </c>
      <c r="AP4363">
        <v>100</v>
      </c>
      <c r="AQ4363">
        <v>1E-3</v>
      </c>
      <c r="AR4363"/>
      <c r="AS4363">
        <f t="shared" si="436"/>
        <v>-0.38459996964420284</v>
      </c>
      <c r="AT4363">
        <f t="shared" si="439"/>
        <v>2.0048555127702497E-2</v>
      </c>
      <c r="AU4363" t="s">
        <v>1225</v>
      </c>
      <c r="AV4363"/>
      <c r="AW4363" s="28">
        <f t="shared" si="440"/>
        <v>2.7046449194709332</v>
      </c>
      <c r="AX4363">
        <f t="shared" si="441"/>
        <v>0.8</v>
      </c>
      <c r="AY4363" s="62">
        <f t="shared" si="442"/>
        <v>2.1637159355767466</v>
      </c>
      <c r="AZ4363" s="68" t="str">
        <f t="shared" si="443"/>
        <v>No</v>
      </c>
      <c r="BA4363" s="68" t="str">
        <f t="shared" si="444"/>
        <v>No</v>
      </c>
      <c r="BB4363"/>
      <c r="BC4363"/>
    </row>
    <row r="4364" spans="1:55" s="56" customFormat="1" ht="15" hidden="1">
      <c r="A4364" t="s">
        <v>1217</v>
      </c>
      <c r="B4364" t="str">
        <f t="shared" si="437"/>
        <v>4364_Ross</v>
      </c>
      <c r="C4364" t="s">
        <v>1240</v>
      </c>
      <c r="D4364" s="25"/>
      <c r="E4364" s="25"/>
      <c r="F4364" t="s">
        <v>1241</v>
      </c>
      <c r="G4364" t="s">
        <v>1216</v>
      </c>
      <c r="H4364"/>
      <c r="I4364"/>
      <c r="J4364"/>
      <c r="K4364" t="s">
        <v>72</v>
      </c>
      <c r="L4364"/>
      <c r="M4364" s="25" t="s">
        <v>36</v>
      </c>
      <c r="N4364" t="s">
        <v>36</v>
      </c>
      <c r="O4364"/>
      <c r="P4364" t="s">
        <v>60</v>
      </c>
      <c r="Q4364" t="s">
        <v>900</v>
      </c>
      <c r="R4364" t="s">
        <v>1741</v>
      </c>
      <c r="S4364" t="s">
        <v>1007</v>
      </c>
      <c r="T4364"/>
      <c r="U4364"/>
      <c r="V4364" t="s">
        <v>907</v>
      </c>
      <c r="W4364" s="25"/>
      <c r="X4364"/>
      <c r="Y4364"/>
      <c r="Z4364">
        <v>3</v>
      </c>
      <c r="AA4364">
        <v>3</v>
      </c>
      <c r="AB4364"/>
      <c r="AC4364"/>
      <c r="AD4364"/>
      <c r="AE4364"/>
      <c r="AF4364"/>
      <c r="AG4364" t="str">
        <f t="shared" si="438"/>
        <v>2YEHO_Saccostrea_glomerata_D0_CO2NA_TNA_control_outcome78.31</v>
      </c>
      <c r="AH4364"/>
      <c r="AI4364"/>
      <c r="AJ4364"/>
      <c r="AK4364" t="s">
        <v>69</v>
      </c>
      <c r="AL4364" s="25"/>
      <c r="AM4364"/>
      <c r="AN4364">
        <v>78.313253012048207</v>
      </c>
      <c r="AO4364">
        <v>13.2164519453047</v>
      </c>
      <c r="AP4364">
        <v>100</v>
      </c>
      <c r="AQ4364">
        <v>1E-3</v>
      </c>
      <c r="AR4364"/>
      <c r="AS4364">
        <f t="shared" si="436"/>
        <v>-0.24445333790096146</v>
      </c>
      <c r="AT4364">
        <f t="shared" si="439"/>
        <v>9.4937541424720742E-3</v>
      </c>
      <c r="AU4364" t="s">
        <v>1225</v>
      </c>
      <c r="AV4364"/>
      <c r="AW4364" s="28">
        <f t="shared" si="440"/>
        <v>2.320569223362563</v>
      </c>
      <c r="AX4364">
        <f t="shared" si="441"/>
        <v>0.8</v>
      </c>
      <c r="AY4364" s="62">
        <f t="shared" si="442"/>
        <v>1.8564553786900504</v>
      </c>
      <c r="AZ4364" s="68" t="str">
        <f t="shared" si="443"/>
        <v>No</v>
      </c>
      <c r="BA4364" s="68" t="str">
        <f t="shared" si="444"/>
        <v>No</v>
      </c>
      <c r="BB4364"/>
      <c r="BC4364"/>
    </row>
    <row r="4365" spans="1:55" hidden="1">
      <c r="A4365" t="s">
        <v>1217</v>
      </c>
      <c r="B4365" t="str">
        <f t="shared" si="437"/>
        <v>4365_Ross</v>
      </c>
      <c r="C4365" t="s">
        <v>1236</v>
      </c>
      <c r="F4365" t="s">
        <v>1241</v>
      </c>
      <c r="G4365" t="s">
        <v>1233</v>
      </c>
      <c r="K4365" t="s">
        <v>72</v>
      </c>
      <c r="M4365" s="25" t="s">
        <v>36</v>
      </c>
      <c r="N4365" t="s">
        <v>36</v>
      </c>
      <c r="P4365" t="s">
        <v>60</v>
      </c>
      <c r="Q4365" t="s">
        <v>900</v>
      </c>
      <c r="R4365" t="s">
        <v>1741</v>
      </c>
      <c r="S4365" t="s">
        <v>1007</v>
      </c>
      <c r="V4365" t="s">
        <v>907</v>
      </c>
      <c r="Z4365">
        <v>5</v>
      </c>
      <c r="AA4365">
        <v>5</v>
      </c>
      <c r="AG4365" t="str">
        <f t="shared" si="438"/>
        <v>1NO_Saccostrea_glomerata_D0_CO2NA_TNA_control_outcome71.13</v>
      </c>
      <c r="AK4365" t="s">
        <v>40</v>
      </c>
      <c r="AM4365"/>
      <c r="AN4365">
        <v>71.130434782608702</v>
      </c>
      <c r="AO4365">
        <v>0.77776277478255407</v>
      </c>
      <c r="AP4365">
        <v>67.304347826086897</v>
      </c>
      <c r="AQ4365">
        <v>1.9444069369563561</v>
      </c>
      <c r="AS4365">
        <f t="shared" ref="AS4365:AS4383" si="445">(LN(AP4365)-LN(AN4365))</f>
        <v>-5.5290463013020208E-2</v>
      </c>
      <c r="AT4365">
        <f t="shared" si="439"/>
        <v>1.908355900904473E-4</v>
      </c>
      <c r="AW4365" s="28">
        <f t="shared" si="440"/>
        <v>-2.5837689658647123</v>
      </c>
      <c r="AX4365">
        <f t="shared" si="441"/>
        <v>0.90322580645161288</v>
      </c>
      <c r="AY4365" s="62">
        <f t="shared" si="442"/>
        <v>-2.3337268078778046</v>
      </c>
      <c r="AZ4365" s="68" t="str">
        <f t="shared" si="443"/>
        <v>No</v>
      </c>
      <c r="BA4365" s="68" t="str">
        <f t="shared" si="444"/>
        <v>No</v>
      </c>
    </row>
    <row r="4366" spans="1:55" hidden="1">
      <c r="A4366" t="s">
        <v>1217</v>
      </c>
      <c r="B4366" t="str">
        <f t="shared" si="437"/>
        <v>4366_Ross</v>
      </c>
      <c r="C4366" t="s">
        <v>1236</v>
      </c>
      <c r="F4366" t="s">
        <v>1241</v>
      </c>
      <c r="G4366" t="s">
        <v>1233</v>
      </c>
      <c r="K4366" t="s">
        <v>72</v>
      </c>
      <c r="M4366" s="25" t="s">
        <v>36</v>
      </c>
      <c r="N4366" t="s">
        <v>36</v>
      </c>
      <c r="P4366" t="s">
        <v>60</v>
      </c>
      <c r="Q4366" t="s">
        <v>900</v>
      </c>
      <c r="R4366" t="s">
        <v>1741</v>
      </c>
      <c r="S4366" t="s">
        <v>1007</v>
      </c>
      <c r="V4366" t="s">
        <v>907</v>
      </c>
      <c r="Z4366">
        <v>5</v>
      </c>
      <c r="AA4366">
        <v>5</v>
      </c>
      <c r="AG4366" t="str">
        <f t="shared" si="438"/>
        <v>1NO_Saccostrea_glomerata_D0_CO2NA_TNA_control_outcome76.23</v>
      </c>
      <c r="AK4366" t="s">
        <v>40</v>
      </c>
      <c r="AM4366"/>
      <c r="AN4366">
        <v>76.229508196721298</v>
      </c>
      <c r="AO4366">
        <v>0.36656852090165587</v>
      </c>
      <c r="AP4366">
        <v>72.786885245901601</v>
      </c>
      <c r="AQ4366">
        <v>1.4662740836064021</v>
      </c>
      <c r="AS4366">
        <f t="shared" si="445"/>
        <v>-4.6212843155132077E-2</v>
      </c>
      <c r="AT4366">
        <f t="shared" si="439"/>
        <v>8.5787055441412675E-5</v>
      </c>
      <c r="AW4366" s="28">
        <f t="shared" si="440"/>
        <v>-3.2212529531589884</v>
      </c>
      <c r="AX4366">
        <f t="shared" si="441"/>
        <v>0.90322580645161288</v>
      </c>
      <c r="AY4366" s="62">
        <f t="shared" si="442"/>
        <v>-2.9095187964016667</v>
      </c>
      <c r="AZ4366" s="68" t="str">
        <f t="shared" si="443"/>
        <v>No</v>
      </c>
      <c r="BA4366" s="68" t="str">
        <f t="shared" si="444"/>
        <v>No</v>
      </c>
    </row>
    <row r="4367" spans="1:55" hidden="1">
      <c r="A4367" t="s">
        <v>1217</v>
      </c>
      <c r="B4367" t="str">
        <f t="shared" si="437"/>
        <v>4367_Ross</v>
      </c>
      <c r="C4367" t="s">
        <v>1236</v>
      </c>
      <c r="F4367" t="s">
        <v>1241</v>
      </c>
      <c r="G4367" t="s">
        <v>1233</v>
      </c>
      <c r="K4367" t="s">
        <v>72</v>
      </c>
      <c r="M4367" s="25" t="s">
        <v>36</v>
      </c>
      <c r="N4367" t="s">
        <v>36</v>
      </c>
      <c r="P4367" t="s">
        <v>60</v>
      </c>
      <c r="Q4367" t="s">
        <v>900</v>
      </c>
      <c r="R4367" t="s">
        <v>1741</v>
      </c>
      <c r="S4367" t="s">
        <v>1007</v>
      </c>
      <c r="V4367" t="s">
        <v>907</v>
      </c>
      <c r="Z4367">
        <v>5</v>
      </c>
      <c r="AA4367">
        <v>5</v>
      </c>
      <c r="AG4367" t="str">
        <f t="shared" si="438"/>
        <v>1NO_Saccostrea_glomerata_D0_CO2NA_TNA_control_outcome67.13</v>
      </c>
      <c r="AK4367" t="s">
        <v>40</v>
      </c>
      <c r="AM4367"/>
      <c r="AN4367">
        <v>67.130434782608702</v>
      </c>
      <c r="AO4367">
        <v>1.5555255495650455</v>
      </c>
      <c r="AP4367">
        <v>58.7826086956522</v>
      </c>
      <c r="AQ4367">
        <v>3.4999324865213479</v>
      </c>
      <c r="AS4367">
        <f t="shared" si="445"/>
        <v>-0.13279147398181212</v>
      </c>
      <c r="AT4367">
        <f t="shared" si="439"/>
        <v>8.163942213736576E-4</v>
      </c>
      <c r="AW4367" s="28">
        <f t="shared" si="440"/>
        <v>-3.082374235526137</v>
      </c>
      <c r="AX4367">
        <f t="shared" si="441"/>
        <v>0.90322580645161288</v>
      </c>
      <c r="AY4367" s="62">
        <f t="shared" si="442"/>
        <v>-2.7840799546687687</v>
      </c>
      <c r="AZ4367" s="68" t="str">
        <f t="shared" si="443"/>
        <v>No</v>
      </c>
      <c r="BA4367" s="68" t="str">
        <f t="shared" si="444"/>
        <v>No</v>
      </c>
    </row>
    <row r="4368" spans="1:55" hidden="1">
      <c r="A4368" t="s">
        <v>1217</v>
      </c>
      <c r="B4368" t="str">
        <f t="shared" si="437"/>
        <v>4368_Ross</v>
      </c>
      <c r="C4368" t="s">
        <v>1236</v>
      </c>
      <c r="F4368" t="s">
        <v>1241</v>
      </c>
      <c r="G4368" t="s">
        <v>1233</v>
      </c>
      <c r="K4368" t="s">
        <v>72</v>
      </c>
      <c r="M4368" s="25" t="s">
        <v>36</v>
      </c>
      <c r="N4368" t="s">
        <v>36</v>
      </c>
      <c r="P4368" t="s">
        <v>60</v>
      </c>
      <c r="Q4368" t="s">
        <v>900</v>
      </c>
      <c r="R4368" t="s">
        <v>1741</v>
      </c>
      <c r="S4368" t="s">
        <v>1007</v>
      </c>
      <c r="V4368" t="s">
        <v>907</v>
      </c>
      <c r="Z4368">
        <v>5</v>
      </c>
      <c r="AA4368">
        <v>5</v>
      </c>
      <c r="AG4368" t="str">
        <f t="shared" si="438"/>
        <v>1NO_Saccostrea_glomerata_D0_CO2NA_TNA_control_outcome73.77</v>
      </c>
      <c r="AK4368" t="s">
        <v>40</v>
      </c>
      <c r="AM4368"/>
      <c r="AN4368">
        <v>73.770491803278603</v>
      </c>
      <c r="AO4368">
        <v>1.0997055627048715</v>
      </c>
      <c r="AP4368">
        <v>70.491803278688494</v>
      </c>
      <c r="AQ4368">
        <v>2.5659796463112401</v>
      </c>
      <c r="AS4368">
        <f t="shared" si="445"/>
        <v>-4.5462374076755907E-2</v>
      </c>
      <c r="AT4368">
        <f t="shared" si="439"/>
        <v>3.0945255693769024E-4</v>
      </c>
      <c r="AW4368" s="28">
        <f t="shared" si="440"/>
        <v>-1.6609095970747549</v>
      </c>
      <c r="AX4368">
        <f t="shared" si="441"/>
        <v>0.90322580645161288</v>
      </c>
      <c r="AY4368" s="62">
        <f t="shared" si="442"/>
        <v>-1.5001764102610688</v>
      </c>
      <c r="AZ4368" s="68" t="str">
        <f t="shared" si="443"/>
        <v>No</v>
      </c>
      <c r="BA4368" s="68" t="str">
        <f t="shared" si="444"/>
        <v>No</v>
      </c>
    </row>
    <row r="4369" spans="1:55" hidden="1">
      <c r="A4369" t="s">
        <v>1217</v>
      </c>
      <c r="B4369" t="str">
        <f t="shared" si="437"/>
        <v>4369_Ross</v>
      </c>
      <c r="C4369" t="s">
        <v>1236</v>
      </c>
      <c r="F4369" t="s">
        <v>1241</v>
      </c>
      <c r="G4369" t="s">
        <v>1233</v>
      </c>
      <c r="K4369" t="s">
        <v>72</v>
      </c>
      <c r="M4369" s="25" t="s">
        <v>36</v>
      </c>
      <c r="N4369" t="s">
        <v>36</v>
      </c>
      <c r="P4369" t="s">
        <v>60</v>
      </c>
      <c r="Q4369" t="s">
        <v>900</v>
      </c>
      <c r="R4369" t="s">
        <v>1741</v>
      </c>
      <c r="S4369" t="s">
        <v>1007</v>
      </c>
      <c r="V4369" t="s">
        <v>907</v>
      </c>
      <c r="Z4369">
        <v>5</v>
      </c>
      <c r="AA4369">
        <v>5</v>
      </c>
      <c r="AG4369" t="str">
        <f t="shared" si="438"/>
        <v>1NO_Saccostrea_glomerata_D0_CO2NA_TNA_control_outcome70.78</v>
      </c>
      <c r="AK4369" t="s">
        <v>40</v>
      </c>
      <c r="AM4369"/>
      <c r="AN4369">
        <v>70.782608695652101</v>
      </c>
      <c r="AO4369">
        <v>0.7777627747826189</v>
      </c>
      <c r="AP4369">
        <v>65.391304347826093</v>
      </c>
      <c r="AQ4369">
        <v>1.9444069369563561</v>
      </c>
      <c r="AS4369">
        <f t="shared" si="445"/>
        <v>-7.9224042052699062E-2</v>
      </c>
      <c r="AT4369">
        <f t="shared" si="439"/>
        <v>2.0098085307712716E-4</v>
      </c>
      <c r="AW4369" s="28">
        <f t="shared" si="440"/>
        <v>-3.6407653609910269</v>
      </c>
      <c r="AX4369">
        <f t="shared" si="441"/>
        <v>0.90322580645161288</v>
      </c>
      <c r="AY4369" s="62">
        <f t="shared" si="442"/>
        <v>-3.2884332292822176</v>
      </c>
      <c r="AZ4369" s="68" t="str">
        <f t="shared" si="443"/>
        <v>No</v>
      </c>
      <c r="BA4369" s="68" t="str">
        <f t="shared" si="444"/>
        <v>No</v>
      </c>
    </row>
    <row r="4370" spans="1:55" hidden="1">
      <c r="A4370" t="s">
        <v>1217</v>
      </c>
      <c r="B4370" t="str">
        <f t="shared" si="437"/>
        <v>4370_Ross</v>
      </c>
      <c r="C4370" t="s">
        <v>1236</v>
      </c>
      <c r="F4370" t="s">
        <v>1241</v>
      </c>
      <c r="G4370" t="s">
        <v>1233</v>
      </c>
      <c r="K4370" t="s">
        <v>72</v>
      </c>
      <c r="M4370" s="25" t="s">
        <v>36</v>
      </c>
      <c r="N4370" t="s">
        <v>36</v>
      </c>
      <c r="P4370" t="s">
        <v>60</v>
      </c>
      <c r="Q4370" t="s">
        <v>900</v>
      </c>
      <c r="R4370" t="s">
        <v>1741</v>
      </c>
      <c r="S4370" t="s">
        <v>1007</v>
      </c>
      <c r="V4370" t="s">
        <v>907</v>
      </c>
      <c r="Z4370">
        <v>5</v>
      </c>
      <c r="AA4370">
        <v>5</v>
      </c>
      <c r="AG4370" t="str">
        <f t="shared" si="438"/>
        <v>1NO_Saccostrea_glomerata_D0_CO2NA_TNA_control_outcome77.54</v>
      </c>
      <c r="AK4370" t="s">
        <v>40</v>
      </c>
      <c r="AM4370"/>
      <c r="AN4370">
        <v>77.540983606557305</v>
      </c>
      <c r="AO4370">
        <v>1.8328426045080244</v>
      </c>
      <c r="AP4370">
        <v>72.459016393442596</v>
      </c>
      <c r="AQ4370">
        <v>1.4662740836064021</v>
      </c>
      <c r="AS4370">
        <f t="shared" si="445"/>
        <v>-6.7785506414233865E-2</v>
      </c>
      <c r="AT4370">
        <f t="shared" si="439"/>
        <v>1.9364073615237535E-4</v>
      </c>
      <c r="AW4370" s="28">
        <f t="shared" si="440"/>
        <v>-3.0619617496137148</v>
      </c>
      <c r="AX4370">
        <f t="shared" si="441"/>
        <v>0.90322580645161288</v>
      </c>
      <c r="AY4370" s="62">
        <f t="shared" si="442"/>
        <v>-2.765642870618839</v>
      </c>
      <c r="AZ4370" s="68" t="str">
        <f t="shared" si="443"/>
        <v>No</v>
      </c>
      <c r="BA4370" s="68" t="str">
        <f t="shared" si="444"/>
        <v>No</v>
      </c>
    </row>
    <row r="4371" spans="1:55" hidden="1">
      <c r="A4371" t="s">
        <v>1217</v>
      </c>
      <c r="B4371" t="str">
        <f t="shared" si="437"/>
        <v>4371_Ross</v>
      </c>
      <c r="C4371" t="s">
        <v>1236</v>
      </c>
      <c r="F4371" t="s">
        <v>1241</v>
      </c>
      <c r="G4371" t="s">
        <v>1233</v>
      </c>
      <c r="K4371" t="s">
        <v>72</v>
      </c>
      <c r="M4371" s="25" t="s">
        <v>36</v>
      </c>
      <c r="N4371" t="s">
        <v>36</v>
      </c>
      <c r="P4371" t="s">
        <v>60</v>
      </c>
      <c r="Q4371" t="s">
        <v>900</v>
      </c>
      <c r="R4371" t="s">
        <v>1741</v>
      </c>
      <c r="S4371" t="s">
        <v>1007</v>
      </c>
      <c r="V4371" t="s">
        <v>907</v>
      </c>
      <c r="Z4371">
        <v>5</v>
      </c>
      <c r="AA4371">
        <v>5</v>
      </c>
      <c r="AG4371" t="str">
        <f t="shared" si="438"/>
        <v>1NO_Saccostrea_glomerata_D0_CO2NA_TNA_control_outcome68.52</v>
      </c>
      <c r="AK4371" t="s">
        <v>40</v>
      </c>
      <c r="AM4371"/>
      <c r="AN4371">
        <v>68.521739130434796</v>
      </c>
      <c r="AO4371">
        <v>1.5555255495651104</v>
      </c>
      <c r="AP4371">
        <v>63.478260869565197</v>
      </c>
      <c r="AQ4371">
        <v>3.1110510991301492</v>
      </c>
      <c r="AS4371">
        <f t="shared" si="445"/>
        <v>-7.6453555715443322E-2</v>
      </c>
      <c r="AT4371">
        <f t="shared" si="439"/>
        <v>5.8345919290891544E-4</v>
      </c>
      <c r="AW4371" s="28">
        <f t="shared" si="440"/>
        <v>-2.0506096654409873</v>
      </c>
      <c r="AX4371">
        <f t="shared" si="441"/>
        <v>0.90322580645161288</v>
      </c>
      <c r="AY4371" s="62">
        <f t="shared" si="442"/>
        <v>-1.8521635687854079</v>
      </c>
      <c r="AZ4371" s="68" t="str">
        <f t="shared" si="443"/>
        <v>No</v>
      </c>
      <c r="BA4371" s="68" t="str">
        <f t="shared" si="444"/>
        <v>No</v>
      </c>
    </row>
    <row r="4372" spans="1:55" s="56" customFormat="1" ht="15" hidden="1">
      <c r="A4372" t="s">
        <v>1217</v>
      </c>
      <c r="B4372" t="str">
        <f t="shared" si="437"/>
        <v>4372_Ross</v>
      </c>
      <c r="C4372" t="s">
        <v>1236</v>
      </c>
      <c r="D4372" s="25"/>
      <c r="E4372" s="25"/>
      <c r="F4372" t="s">
        <v>1241</v>
      </c>
      <c r="G4372" t="s">
        <v>1233</v>
      </c>
      <c r="H4372"/>
      <c r="I4372"/>
      <c r="J4372"/>
      <c r="K4372" t="s">
        <v>72</v>
      </c>
      <c r="L4372"/>
      <c r="M4372" s="25" t="s">
        <v>36</v>
      </c>
      <c r="N4372" t="s">
        <v>36</v>
      </c>
      <c r="O4372"/>
      <c r="P4372" t="s">
        <v>60</v>
      </c>
      <c r="Q4372" t="s">
        <v>900</v>
      </c>
      <c r="R4372" t="s">
        <v>1741</v>
      </c>
      <c r="S4372" t="s">
        <v>1007</v>
      </c>
      <c r="T4372"/>
      <c r="U4372"/>
      <c r="V4372" t="s">
        <v>907</v>
      </c>
      <c r="W4372" s="25"/>
      <c r="X4372"/>
      <c r="Y4372"/>
      <c r="Z4372">
        <v>5</v>
      </c>
      <c r="AA4372">
        <v>5</v>
      </c>
      <c r="AB4372"/>
      <c r="AC4372"/>
      <c r="AD4372"/>
      <c r="AE4372"/>
      <c r="AF4372"/>
      <c r="AG4372" t="str">
        <f t="shared" si="438"/>
        <v>1NO_Saccostrea_glomerata_D0_CO2NA_TNA_control_outcome75.08</v>
      </c>
      <c r="AH4372"/>
      <c r="AI4372"/>
      <c r="AJ4372"/>
      <c r="AK4372" t="s">
        <v>40</v>
      </c>
      <c r="AL4372" s="25"/>
      <c r="AM4372"/>
      <c r="AN4372">
        <v>75.081967213114694</v>
      </c>
      <c r="AO4372">
        <v>1.4662740836064649</v>
      </c>
      <c r="AP4372">
        <v>70.491803278688494</v>
      </c>
      <c r="AQ4372">
        <v>2.5659796463112401</v>
      </c>
      <c r="AR4372"/>
      <c r="AS4372">
        <f t="shared" si="445"/>
        <v>-6.3083975426576622E-2</v>
      </c>
      <c r="AT4372">
        <f t="shared" si="439"/>
        <v>3.4128430859934613E-4</v>
      </c>
      <c r="AU4372"/>
      <c r="AV4372"/>
      <c r="AW4372" s="28">
        <f t="shared" si="440"/>
        <v>-2.1965007135476267</v>
      </c>
      <c r="AX4372">
        <f t="shared" si="441"/>
        <v>0.90322580645161288</v>
      </c>
      <c r="AY4372" s="62">
        <f t="shared" si="442"/>
        <v>-1.9839361283655983</v>
      </c>
      <c r="AZ4372" s="68" t="str">
        <f t="shared" si="443"/>
        <v>No</v>
      </c>
      <c r="BA4372" s="68" t="str">
        <f t="shared" si="444"/>
        <v>No</v>
      </c>
      <c r="BB4372"/>
      <c r="BC4372"/>
    </row>
    <row r="4373" spans="1:55" s="56" customFormat="1" ht="15" hidden="1">
      <c r="A4373" t="s">
        <v>1217</v>
      </c>
      <c r="B4373" t="str">
        <f t="shared" si="437"/>
        <v>4373_Ross</v>
      </c>
      <c r="C4373" t="s">
        <v>1236</v>
      </c>
      <c r="D4373" s="25"/>
      <c r="E4373" s="25"/>
      <c r="F4373" t="s">
        <v>1241</v>
      </c>
      <c r="G4373" t="s">
        <v>1233</v>
      </c>
      <c r="H4373"/>
      <c r="I4373"/>
      <c r="J4373"/>
      <c r="K4373" t="s">
        <v>72</v>
      </c>
      <c r="L4373"/>
      <c r="M4373" s="25" t="s">
        <v>36</v>
      </c>
      <c r="N4373" t="s">
        <v>36</v>
      </c>
      <c r="O4373"/>
      <c r="P4373" t="s">
        <v>60</v>
      </c>
      <c r="Q4373" t="s">
        <v>900</v>
      </c>
      <c r="R4373" t="s">
        <v>1741</v>
      </c>
      <c r="S4373" t="s">
        <v>1007</v>
      </c>
      <c r="T4373"/>
      <c r="U4373"/>
      <c r="V4373" t="s">
        <v>907</v>
      </c>
      <c r="W4373" s="25"/>
      <c r="X4373"/>
      <c r="Y4373"/>
      <c r="Z4373">
        <v>5</v>
      </c>
      <c r="AA4373">
        <v>5</v>
      </c>
      <c r="AB4373"/>
      <c r="AC4373"/>
      <c r="AD4373"/>
      <c r="AE4373"/>
      <c r="AF4373"/>
      <c r="AG4373" t="str">
        <f t="shared" si="438"/>
        <v>1NO_Saccostrea_glomerata_D0_CO2NA_TNA_control_outcome68.35</v>
      </c>
      <c r="AH4373"/>
      <c r="AI4373"/>
      <c r="AJ4373"/>
      <c r="AK4373" t="s">
        <v>40</v>
      </c>
      <c r="AL4373" s="25"/>
      <c r="AM4373"/>
      <c r="AN4373">
        <v>68.347826086956502</v>
      </c>
      <c r="AO4373">
        <v>0.77776277478255407</v>
      </c>
      <c r="AP4373">
        <v>61.913043478260803</v>
      </c>
      <c r="AQ4373">
        <v>1.9444069369563872</v>
      </c>
      <c r="AR4373"/>
      <c r="AS4373">
        <f t="shared" si="445"/>
        <v>-9.8878881017231635E-2</v>
      </c>
      <c r="AT4373">
        <f t="shared" si="439"/>
        <v>2.2315896357573815E-4</v>
      </c>
      <c r="AU4373"/>
      <c r="AV4373"/>
      <c r="AW4373" s="28">
        <f t="shared" si="440"/>
        <v>-4.3454296244087294</v>
      </c>
      <c r="AX4373">
        <f t="shared" si="441"/>
        <v>0.90322580645161288</v>
      </c>
      <c r="AY4373" s="62">
        <f t="shared" si="442"/>
        <v>-3.9249041768853039</v>
      </c>
      <c r="AZ4373" s="68" t="str">
        <f t="shared" si="443"/>
        <v>No</v>
      </c>
      <c r="BA4373" s="68" t="str">
        <f t="shared" si="444"/>
        <v>No</v>
      </c>
      <c r="BB4373"/>
      <c r="BC4373"/>
    </row>
    <row r="4374" spans="1:55" s="56" customFormat="1" ht="15" hidden="1">
      <c r="A4374" t="s">
        <v>1217</v>
      </c>
      <c r="B4374" t="str">
        <f t="shared" si="437"/>
        <v>4374_Ross</v>
      </c>
      <c r="C4374" t="s">
        <v>1236</v>
      </c>
      <c r="D4374" s="25"/>
      <c r="E4374" s="25"/>
      <c r="F4374" t="s">
        <v>1241</v>
      </c>
      <c r="G4374" t="s">
        <v>1233</v>
      </c>
      <c r="H4374"/>
      <c r="I4374"/>
      <c r="J4374"/>
      <c r="K4374" t="s">
        <v>72</v>
      </c>
      <c r="L4374"/>
      <c r="M4374" s="25" t="s">
        <v>36</v>
      </c>
      <c r="N4374" t="s">
        <v>36</v>
      </c>
      <c r="O4374"/>
      <c r="P4374" t="s">
        <v>60</v>
      </c>
      <c r="Q4374" t="s">
        <v>900</v>
      </c>
      <c r="R4374" t="s">
        <v>1741</v>
      </c>
      <c r="S4374" t="s">
        <v>1007</v>
      </c>
      <c r="T4374"/>
      <c r="U4374"/>
      <c r="V4374" t="s">
        <v>907</v>
      </c>
      <c r="W4374" s="25"/>
      <c r="X4374"/>
      <c r="Y4374"/>
      <c r="Z4374">
        <v>5</v>
      </c>
      <c r="AA4374">
        <v>5</v>
      </c>
      <c r="AB4374"/>
      <c r="AC4374"/>
      <c r="AD4374"/>
      <c r="AE4374"/>
      <c r="AF4374"/>
      <c r="AG4374" t="str">
        <f t="shared" si="438"/>
        <v>1NO_Saccostrea_glomerata_D0_CO2NA_TNA_control_outcome74.59</v>
      </c>
      <c r="AH4374"/>
      <c r="AI4374"/>
      <c r="AJ4374"/>
      <c r="AK4374" t="s">
        <v>40</v>
      </c>
      <c r="AL4374" s="25"/>
      <c r="AM4374"/>
      <c r="AN4374">
        <v>74.590163934426201</v>
      </c>
      <c r="AO4374">
        <v>1.4662740836064021</v>
      </c>
      <c r="AP4374">
        <v>64.590163934426201</v>
      </c>
      <c r="AQ4374">
        <v>4.0322537299176755</v>
      </c>
      <c r="AR4374"/>
      <c r="AS4374">
        <f t="shared" si="445"/>
        <v>-0.14394650965301725</v>
      </c>
      <c r="AT4374">
        <f t="shared" si="439"/>
        <v>8.5674372506843008E-4</v>
      </c>
      <c r="AU4374"/>
      <c r="AV4374"/>
      <c r="AW4374" s="28">
        <f t="shared" si="440"/>
        <v>-3.2960936844456139</v>
      </c>
      <c r="AX4374">
        <f t="shared" si="441"/>
        <v>0.90322580645161288</v>
      </c>
      <c r="AY4374" s="62">
        <f t="shared" si="442"/>
        <v>-2.9771168762734574</v>
      </c>
      <c r="AZ4374" s="68" t="str">
        <f t="shared" si="443"/>
        <v>No</v>
      </c>
      <c r="BA4374" s="68" t="str">
        <f t="shared" si="444"/>
        <v>No</v>
      </c>
      <c r="BB4374"/>
      <c r="BC4374"/>
    </row>
    <row r="4375" spans="1:55" s="56" customFormat="1" ht="15" hidden="1">
      <c r="A4375" t="s">
        <v>1217</v>
      </c>
      <c r="B4375" t="str">
        <f t="shared" si="437"/>
        <v>4375_Ross</v>
      </c>
      <c r="C4375" t="s">
        <v>1236</v>
      </c>
      <c r="D4375" s="25"/>
      <c r="E4375" s="25"/>
      <c r="F4375" t="s">
        <v>1241</v>
      </c>
      <c r="G4375" t="s">
        <v>1233</v>
      </c>
      <c r="H4375"/>
      <c r="I4375"/>
      <c r="J4375"/>
      <c r="K4375" t="s">
        <v>72</v>
      </c>
      <c r="L4375"/>
      <c r="M4375" s="25" t="s">
        <v>36</v>
      </c>
      <c r="N4375" t="s">
        <v>36</v>
      </c>
      <c r="O4375"/>
      <c r="P4375" t="s">
        <v>60</v>
      </c>
      <c r="Q4375" t="s">
        <v>900</v>
      </c>
      <c r="R4375" t="s">
        <v>1741</v>
      </c>
      <c r="S4375" t="s">
        <v>1007</v>
      </c>
      <c r="T4375"/>
      <c r="U4375"/>
      <c r="V4375" t="s">
        <v>907</v>
      </c>
      <c r="W4375" s="25"/>
      <c r="X4375"/>
      <c r="Y4375"/>
      <c r="Z4375">
        <v>5</v>
      </c>
      <c r="AA4375">
        <v>5</v>
      </c>
      <c r="AB4375"/>
      <c r="AC4375"/>
      <c r="AD4375"/>
      <c r="AE4375"/>
      <c r="AF4375"/>
      <c r="AG4375" t="str">
        <f t="shared" si="438"/>
        <v>1NO_Saccostrea_glomerata_D0_CO2NA_TNA_control_outcome67.65</v>
      </c>
      <c r="AH4375"/>
      <c r="AI4375"/>
      <c r="AJ4375"/>
      <c r="AK4375" t="s">
        <v>40</v>
      </c>
      <c r="AL4375" s="25"/>
      <c r="AM4375"/>
      <c r="AN4375">
        <v>67.652173913043399</v>
      </c>
      <c r="AO4375">
        <v>1.1666441621738646</v>
      </c>
      <c r="AP4375">
        <v>63.130434782608702</v>
      </c>
      <c r="AQ4375">
        <v>2.3332883243476177</v>
      </c>
      <c r="AR4375"/>
      <c r="AS4375">
        <f t="shared" si="445"/>
        <v>-6.917650935359454E-2</v>
      </c>
      <c r="AT4375">
        <f t="shared" si="439"/>
        <v>3.3268159496514359E-4</v>
      </c>
      <c r="AU4375"/>
      <c r="AV4375"/>
      <c r="AW4375" s="28">
        <f t="shared" si="440"/>
        <v>-2.4513035081132832</v>
      </c>
      <c r="AX4375">
        <f t="shared" si="441"/>
        <v>0.90322580645161288</v>
      </c>
      <c r="AY4375" s="62">
        <f t="shared" si="442"/>
        <v>-2.2140805879732879</v>
      </c>
      <c r="AZ4375" s="68" t="str">
        <f t="shared" si="443"/>
        <v>No</v>
      </c>
      <c r="BA4375" s="68" t="str">
        <f t="shared" si="444"/>
        <v>No</v>
      </c>
      <c r="BB4375"/>
      <c r="BC4375"/>
    </row>
    <row r="4376" spans="1:55" s="56" customFormat="1" ht="15" hidden="1">
      <c r="A4376" t="s">
        <v>1217</v>
      </c>
      <c r="B4376" t="str">
        <f t="shared" si="437"/>
        <v>4376_Ross</v>
      </c>
      <c r="C4376" t="s">
        <v>1236</v>
      </c>
      <c r="D4376" s="25"/>
      <c r="E4376" s="25"/>
      <c r="F4376" t="s">
        <v>1241</v>
      </c>
      <c r="G4376" t="s">
        <v>1233</v>
      </c>
      <c r="H4376"/>
      <c r="I4376"/>
      <c r="J4376"/>
      <c r="K4376" t="s">
        <v>72</v>
      </c>
      <c r="L4376"/>
      <c r="M4376" s="25" t="s">
        <v>36</v>
      </c>
      <c r="N4376" t="s">
        <v>36</v>
      </c>
      <c r="O4376"/>
      <c r="P4376" t="s">
        <v>60</v>
      </c>
      <c r="Q4376" t="s">
        <v>900</v>
      </c>
      <c r="R4376" t="s">
        <v>1741</v>
      </c>
      <c r="S4376" t="s">
        <v>1007</v>
      </c>
      <c r="T4376"/>
      <c r="U4376"/>
      <c r="V4376" t="s">
        <v>907</v>
      </c>
      <c r="W4376" s="25"/>
      <c r="X4376"/>
      <c r="Y4376"/>
      <c r="Z4376">
        <v>5</v>
      </c>
      <c r="AA4376">
        <v>5</v>
      </c>
      <c r="AB4376"/>
      <c r="AC4376"/>
      <c r="AD4376"/>
      <c r="AE4376"/>
      <c r="AF4376"/>
      <c r="AG4376" t="str">
        <f t="shared" si="438"/>
        <v>1NO_Saccostrea_glomerata_D0_CO2NA_TNA_control_outcome72.79</v>
      </c>
      <c r="AH4376"/>
      <c r="AI4376"/>
      <c r="AJ4376"/>
      <c r="AK4376" t="s">
        <v>40</v>
      </c>
      <c r="AL4376" s="25"/>
      <c r="AM4376"/>
      <c r="AN4376">
        <v>72.786885245901601</v>
      </c>
      <c r="AO4376">
        <v>1.4662740836064021</v>
      </c>
      <c r="AP4376">
        <v>66.885245901639294</v>
      </c>
      <c r="AQ4376">
        <v>2.1994111254096178</v>
      </c>
      <c r="AR4376"/>
      <c r="AS4376">
        <f t="shared" si="445"/>
        <v>-8.455738802806323E-2</v>
      </c>
      <c r="AT4376">
        <f t="shared" si="439"/>
        <v>2.9742521910294844E-4</v>
      </c>
      <c r="AU4376"/>
      <c r="AV4376"/>
      <c r="AW4376" s="28">
        <f t="shared" si="440"/>
        <v>-3.1574088695053342</v>
      </c>
      <c r="AX4376">
        <f t="shared" si="441"/>
        <v>0.90322580645161288</v>
      </c>
      <c r="AY4376" s="62">
        <f t="shared" si="442"/>
        <v>-2.8518531724564307</v>
      </c>
      <c r="AZ4376" s="68" t="str">
        <f t="shared" si="443"/>
        <v>No</v>
      </c>
      <c r="BA4376" s="68" t="str">
        <f t="shared" si="444"/>
        <v>No</v>
      </c>
      <c r="BB4376"/>
      <c r="BC4376"/>
    </row>
    <row r="4377" spans="1:55" s="56" customFormat="1" ht="15" hidden="1">
      <c r="A4377" t="s">
        <v>1217</v>
      </c>
      <c r="B4377" t="str">
        <f t="shared" si="437"/>
        <v>4377_Ross</v>
      </c>
      <c r="C4377" t="s">
        <v>1237</v>
      </c>
      <c r="D4377" s="25"/>
      <c r="E4377" s="25"/>
      <c r="F4377" t="s">
        <v>1241</v>
      </c>
      <c r="G4377" t="s">
        <v>1234</v>
      </c>
      <c r="H4377"/>
      <c r="I4377"/>
      <c r="J4377"/>
      <c r="K4377" t="s">
        <v>72</v>
      </c>
      <c r="L4377"/>
      <c r="M4377" s="25" t="s">
        <v>36</v>
      </c>
      <c r="N4377" t="s">
        <v>36</v>
      </c>
      <c r="O4377"/>
      <c r="P4377" t="s">
        <v>60</v>
      </c>
      <c r="Q4377" t="s">
        <v>900</v>
      </c>
      <c r="R4377" t="s">
        <v>1741</v>
      </c>
      <c r="S4377" t="s">
        <v>1007</v>
      </c>
      <c r="T4377"/>
      <c r="U4377"/>
      <c r="V4377" t="s">
        <v>907</v>
      </c>
      <c r="W4377" s="25"/>
      <c r="X4377"/>
      <c r="Y4377"/>
      <c r="Z4377">
        <v>3</v>
      </c>
      <c r="AA4377">
        <v>3</v>
      </c>
      <c r="AB4377"/>
      <c r="AC4377"/>
      <c r="AD4377"/>
      <c r="AE4377"/>
      <c r="AF4377"/>
      <c r="AG4377" t="str">
        <f t="shared" si="438"/>
        <v>2NO_Saccostrea_glomerata_D0_CO2NA_TNA_control_outcome75.60</v>
      </c>
      <c r="AH4377"/>
      <c r="AI4377"/>
      <c r="AJ4377"/>
      <c r="AK4377" t="s">
        <v>40</v>
      </c>
      <c r="AL4377" s="25"/>
      <c r="AM4377"/>
      <c r="AN4377">
        <v>75.598792260402902</v>
      </c>
      <c r="AO4377">
        <v>0.75630344467396515</v>
      </c>
      <c r="AP4377">
        <v>71.668924284058903</v>
      </c>
      <c r="AQ4377">
        <v>1.2605057411232687</v>
      </c>
      <c r="AR4377"/>
      <c r="AS4377">
        <f t="shared" si="445"/>
        <v>-5.3383067064965317E-2</v>
      </c>
      <c r="AT4377">
        <f t="shared" si="439"/>
        <v>1.364725505598321E-4</v>
      </c>
      <c r="AU4377"/>
      <c r="AV4377"/>
      <c r="AW4377" s="28">
        <f t="shared" si="440"/>
        <v>-3.7807562268756443</v>
      </c>
      <c r="AX4377">
        <f t="shared" si="441"/>
        <v>0.8</v>
      </c>
      <c r="AY4377" s="62">
        <f t="shared" si="442"/>
        <v>-3.0246049815005156</v>
      </c>
      <c r="AZ4377" s="68" t="str">
        <f t="shared" si="443"/>
        <v>No</v>
      </c>
      <c r="BA4377" s="68" t="str">
        <f t="shared" si="444"/>
        <v>No</v>
      </c>
      <c r="BB4377"/>
      <c r="BC4377"/>
    </row>
    <row r="4378" spans="1:55" s="56" customFormat="1" ht="15" hidden="1">
      <c r="A4378" t="s">
        <v>1217</v>
      </c>
      <c r="B4378" t="str">
        <f t="shared" si="437"/>
        <v>4378_Ross</v>
      </c>
      <c r="C4378" t="s">
        <v>1237</v>
      </c>
      <c r="D4378" s="25"/>
      <c r="E4378" s="25"/>
      <c r="F4378" t="s">
        <v>1241</v>
      </c>
      <c r="G4378" t="s">
        <v>1234</v>
      </c>
      <c r="H4378"/>
      <c r="I4378"/>
      <c r="J4378"/>
      <c r="K4378" t="s">
        <v>72</v>
      </c>
      <c r="L4378"/>
      <c r="M4378" s="25" t="s">
        <v>36</v>
      </c>
      <c r="N4378" t="s">
        <v>36</v>
      </c>
      <c r="O4378"/>
      <c r="P4378" t="s">
        <v>60</v>
      </c>
      <c r="Q4378" t="s">
        <v>900</v>
      </c>
      <c r="R4378" t="s">
        <v>1741</v>
      </c>
      <c r="S4378" t="s">
        <v>1007</v>
      </c>
      <c r="T4378"/>
      <c r="U4378"/>
      <c r="V4378" t="s">
        <v>907</v>
      </c>
      <c r="W4378" s="25"/>
      <c r="X4378"/>
      <c r="Y4378"/>
      <c r="Z4378">
        <v>3</v>
      </c>
      <c r="AA4378">
        <v>3</v>
      </c>
      <c r="AB4378"/>
      <c r="AC4378"/>
      <c r="AD4378"/>
      <c r="AE4378"/>
      <c r="AF4378"/>
      <c r="AG4378" t="str">
        <f t="shared" si="438"/>
        <v>2NO_Saccostrea_glomerata_D0_CO2NA_TNA_control_outcome70.21</v>
      </c>
      <c r="AH4378"/>
      <c r="AI4378"/>
      <c r="AJ4378"/>
      <c r="AK4378" t="s">
        <v>40</v>
      </c>
      <c r="AL4378" s="25"/>
      <c r="AM4378"/>
      <c r="AN4378">
        <v>70.213417626153699</v>
      </c>
      <c r="AO4378">
        <v>1.5126068893479319</v>
      </c>
      <c r="AP4378">
        <v>69.922316294572695</v>
      </c>
      <c r="AQ4378">
        <v>1.5126068893479319</v>
      </c>
      <c r="AR4378"/>
      <c r="AS4378">
        <f t="shared" si="445"/>
        <v>-4.1545684622734669E-3</v>
      </c>
      <c r="AT4378">
        <f t="shared" si="439"/>
        <v>3.1069103213588432E-4</v>
      </c>
      <c r="AU4378"/>
      <c r="AV4378"/>
      <c r="AW4378" s="28">
        <f t="shared" si="440"/>
        <v>-0.19245008972985334</v>
      </c>
      <c r="AX4378">
        <f t="shared" si="441"/>
        <v>0.8</v>
      </c>
      <c r="AY4378" s="62">
        <f t="shared" si="442"/>
        <v>-0.15396007178388268</v>
      </c>
      <c r="AZ4378" s="68" t="str">
        <f t="shared" si="443"/>
        <v>No</v>
      </c>
      <c r="BA4378" s="68" t="str">
        <f t="shared" si="444"/>
        <v>No</v>
      </c>
      <c r="BB4378"/>
      <c r="BC4378"/>
    </row>
    <row r="4379" spans="1:55" s="56" customFormat="1" ht="15" hidden="1">
      <c r="A4379" t="s">
        <v>1217</v>
      </c>
      <c r="B4379" t="str">
        <f t="shared" si="437"/>
        <v>4379_Ross</v>
      </c>
      <c r="C4379" t="s">
        <v>1237</v>
      </c>
      <c r="D4379" s="25"/>
      <c r="E4379" s="25"/>
      <c r="F4379" t="s">
        <v>1241</v>
      </c>
      <c r="G4379" t="s">
        <v>1234</v>
      </c>
      <c r="H4379"/>
      <c r="I4379"/>
      <c r="J4379"/>
      <c r="K4379" t="s">
        <v>72</v>
      </c>
      <c r="L4379"/>
      <c r="M4379" s="25" t="s">
        <v>36</v>
      </c>
      <c r="N4379" t="s">
        <v>36</v>
      </c>
      <c r="O4379"/>
      <c r="P4379" t="s">
        <v>60</v>
      </c>
      <c r="Q4379" t="s">
        <v>900</v>
      </c>
      <c r="R4379" t="s">
        <v>1741</v>
      </c>
      <c r="S4379" t="s">
        <v>1007</v>
      </c>
      <c r="T4379"/>
      <c r="U4379"/>
      <c r="V4379" t="s">
        <v>907</v>
      </c>
      <c r="W4379" s="25"/>
      <c r="X4379"/>
      <c r="Y4379"/>
      <c r="Z4379">
        <v>3</v>
      </c>
      <c r="AA4379">
        <v>3</v>
      </c>
      <c r="AB4379"/>
      <c r="AC4379"/>
      <c r="AD4379"/>
      <c r="AE4379"/>
      <c r="AF4379"/>
      <c r="AG4379" t="str">
        <f t="shared" si="438"/>
        <v>2NO_Saccostrea_glomerata_D0_CO2NA_TNA_control_outcome67.45</v>
      </c>
      <c r="AH4379"/>
      <c r="AI4379"/>
      <c r="AJ4379"/>
      <c r="AK4379" t="s">
        <v>40</v>
      </c>
      <c r="AL4379" s="25"/>
      <c r="AM4379"/>
      <c r="AN4379">
        <v>67.4479549761339</v>
      </c>
      <c r="AO4379">
        <v>1.0084045928986041</v>
      </c>
      <c r="AP4379">
        <v>67.4479549761339</v>
      </c>
      <c r="AQ4379">
        <v>1.260505741123243</v>
      </c>
      <c r="AR4379"/>
      <c r="AS4379">
        <f t="shared" si="445"/>
        <v>0</v>
      </c>
      <c r="AT4379">
        <f t="shared" si="439"/>
        <v>1.9093022162895197E-4</v>
      </c>
      <c r="AU4379"/>
      <c r="AV4379"/>
      <c r="AW4379" s="28">
        <f t="shared" si="440"/>
        <v>0</v>
      </c>
      <c r="AX4379">
        <f t="shared" si="441"/>
        <v>0.8</v>
      </c>
      <c r="AY4379" s="62">
        <f t="shared" si="442"/>
        <v>0</v>
      </c>
      <c r="AZ4379" s="68" t="str">
        <f t="shared" si="443"/>
        <v>No</v>
      </c>
      <c r="BA4379" s="68" t="str">
        <f t="shared" si="444"/>
        <v>No</v>
      </c>
      <c r="BB4379"/>
      <c r="BC4379"/>
    </row>
    <row r="4380" spans="1:55" s="56" customFormat="1" ht="15" hidden="1">
      <c r="A4380" t="s">
        <v>1217</v>
      </c>
      <c r="B4380" t="str">
        <f t="shared" si="437"/>
        <v>4380_Ross</v>
      </c>
      <c r="C4380" t="s">
        <v>1237</v>
      </c>
      <c r="D4380" s="25"/>
      <c r="E4380" s="25"/>
      <c r="F4380" t="s">
        <v>1241</v>
      </c>
      <c r="G4380" t="s">
        <v>1234</v>
      </c>
      <c r="H4380"/>
      <c r="I4380"/>
      <c r="J4380"/>
      <c r="K4380" t="s">
        <v>72</v>
      </c>
      <c r="L4380"/>
      <c r="M4380" s="25" t="s">
        <v>36</v>
      </c>
      <c r="N4380" t="s">
        <v>36</v>
      </c>
      <c r="O4380"/>
      <c r="P4380" t="s">
        <v>60</v>
      </c>
      <c r="Q4380" t="s">
        <v>900</v>
      </c>
      <c r="R4380" t="s">
        <v>1741</v>
      </c>
      <c r="S4380" t="s">
        <v>1007</v>
      </c>
      <c r="T4380"/>
      <c r="U4380"/>
      <c r="V4380" t="s">
        <v>907</v>
      </c>
      <c r="W4380" s="25"/>
      <c r="X4380"/>
      <c r="Y4380"/>
      <c r="Z4380">
        <v>3</v>
      </c>
      <c r="AA4380">
        <v>3</v>
      </c>
      <c r="AB4380"/>
      <c r="AC4380"/>
      <c r="AD4380"/>
      <c r="AE4380"/>
      <c r="AF4380"/>
      <c r="AG4380" t="str">
        <f t="shared" si="438"/>
        <v>2NO_Saccostrea_glomerata_D0_CO2NA_TNA_control_outcome64.68</v>
      </c>
      <c r="AH4380"/>
      <c r="AI4380"/>
      <c r="AJ4380"/>
      <c r="AK4380" t="s">
        <v>40</v>
      </c>
      <c r="AL4380" s="25"/>
      <c r="AM4380"/>
      <c r="AN4380">
        <v>64.682492326114001</v>
      </c>
      <c r="AO4380">
        <v>2.0168091857972286</v>
      </c>
      <c r="AP4380">
        <v>64.536941660323507</v>
      </c>
      <c r="AQ4380">
        <v>0.75630344467394084</v>
      </c>
      <c r="AR4380"/>
      <c r="AS4380">
        <f t="shared" si="445"/>
        <v>-2.2527683778763574E-3</v>
      </c>
      <c r="AT4380">
        <f t="shared" si="439"/>
        <v>3.6984476786480042E-4</v>
      </c>
      <c r="AU4380"/>
      <c r="AV4380"/>
      <c r="AW4380" s="28">
        <f t="shared" si="440"/>
        <v>-9.5563696513484744E-2</v>
      </c>
      <c r="AX4380">
        <f t="shared" si="441"/>
        <v>0.8</v>
      </c>
      <c r="AY4380" s="62">
        <f t="shared" si="442"/>
        <v>-7.6450957210787804E-2</v>
      </c>
      <c r="AZ4380" s="68" t="str">
        <f t="shared" si="443"/>
        <v>No</v>
      </c>
      <c r="BA4380" s="68" t="str">
        <f t="shared" si="444"/>
        <v>No</v>
      </c>
      <c r="BB4380"/>
      <c r="BC4380"/>
    </row>
    <row r="4381" spans="1:55" s="56" customFormat="1" ht="15" hidden="1">
      <c r="A4381" t="s">
        <v>1217</v>
      </c>
      <c r="B4381" t="str">
        <f t="shared" si="437"/>
        <v>4381_Ross</v>
      </c>
      <c r="C4381" t="s">
        <v>1237</v>
      </c>
      <c r="D4381" s="25"/>
      <c r="E4381" s="25"/>
      <c r="F4381" t="s">
        <v>1241</v>
      </c>
      <c r="G4381" t="s">
        <v>1234</v>
      </c>
      <c r="H4381"/>
      <c r="I4381"/>
      <c r="J4381"/>
      <c r="K4381" t="s">
        <v>72</v>
      </c>
      <c r="L4381"/>
      <c r="M4381" s="25" t="s">
        <v>36</v>
      </c>
      <c r="N4381" t="s">
        <v>36</v>
      </c>
      <c r="O4381"/>
      <c r="P4381" t="s">
        <v>60</v>
      </c>
      <c r="Q4381" t="s">
        <v>900</v>
      </c>
      <c r="R4381" t="s">
        <v>1741</v>
      </c>
      <c r="S4381" t="s">
        <v>1007</v>
      </c>
      <c r="T4381"/>
      <c r="U4381"/>
      <c r="V4381" t="s">
        <v>907</v>
      </c>
      <c r="W4381" s="25"/>
      <c r="X4381"/>
      <c r="Y4381"/>
      <c r="Z4381">
        <v>3</v>
      </c>
      <c r="AA4381">
        <v>3</v>
      </c>
      <c r="AB4381"/>
      <c r="AC4381"/>
      <c r="AD4381"/>
      <c r="AE4381"/>
      <c r="AF4381"/>
      <c r="AG4381" t="str">
        <f t="shared" si="438"/>
        <v>2NO_Saccostrea_glomerata_D0_CO2NA_TNA_control_outcome74.37</v>
      </c>
      <c r="AH4381"/>
      <c r="AI4381"/>
      <c r="AJ4381"/>
      <c r="AK4381" t="s">
        <v>40</v>
      </c>
      <c r="AL4381" s="25"/>
      <c r="AM4381"/>
      <c r="AN4381">
        <v>74.370370370370395</v>
      </c>
      <c r="AO4381">
        <v>1.5396007178389968</v>
      </c>
      <c r="AP4381">
        <v>71.259259259259295</v>
      </c>
      <c r="AQ4381">
        <v>1.5396007178389968</v>
      </c>
      <c r="AR4381"/>
      <c r="AS4381">
        <f t="shared" si="445"/>
        <v>-4.2732849585967791E-2</v>
      </c>
      <c r="AT4381">
        <f t="shared" si="439"/>
        <v>2.984558625212559E-4</v>
      </c>
      <c r="AU4381"/>
      <c r="AV4381"/>
      <c r="AW4381" s="28">
        <f t="shared" si="440"/>
        <v>-2.0207259421636898</v>
      </c>
      <c r="AX4381">
        <f t="shared" si="441"/>
        <v>0.8</v>
      </c>
      <c r="AY4381" s="62">
        <f t="shared" si="442"/>
        <v>-1.616580753730952</v>
      </c>
      <c r="AZ4381" s="68" t="str">
        <f t="shared" si="443"/>
        <v>No</v>
      </c>
      <c r="BA4381" s="68" t="str">
        <f t="shared" si="444"/>
        <v>No</v>
      </c>
      <c r="BB4381"/>
      <c r="BC4381"/>
    </row>
    <row r="4382" spans="1:55" s="56" customFormat="1" ht="15" hidden="1">
      <c r="A4382" t="s">
        <v>1217</v>
      </c>
      <c r="B4382" t="str">
        <f t="shared" si="437"/>
        <v>4382_Ross</v>
      </c>
      <c r="C4382" t="s">
        <v>1237</v>
      </c>
      <c r="D4382" s="25"/>
      <c r="E4382" s="25"/>
      <c r="F4382" t="s">
        <v>1241</v>
      </c>
      <c r="G4382" t="s">
        <v>1234</v>
      </c>
      <c r="H4382"/>
      <c r="I4382"/>
      <c r="J4382"/>
      <c r="K4382" t="s">
        <v>72</v>
      </c>
      <c r="L4382"/>
      <c r="M4382" s="25" t="s">
        <v>36</v>
      </c>
      <c r="N4382" t="s">
        <v>36</v>
      </c>
      <c r="O4382"/>
      <c r="P4382" t="s">
        <v>60</v>
      </c>
      <c r="Q4382" t="s">
        <v>900</v>
      </c>
      <c r="R4382" t="s">
        <v>1741</v>
      </c>
      <c r="S4382" t="s">
        <v>1007</v>
      </c>
      <c r="T4382"/>
      <c r="U4382"/>
      <c r="V4382" t="s">
        <v>907</v>
      </c>
      <c r="W4382" s="25"/>
      <c r="X4382"/>
      <c r="Y4382"/>
      <c r="Z4382">
        <v>3</v>
      </c>
      <c r="AA4382">
        <v>3</v>
      </c>
      <c r="AB4382"/>
      <c r="AC4382"/>
      <c r="AD4382"/>
      <c r="AE4382"/>
      <c r="AF4382"/>
      <c r="AG4382" t="str">
        <f t="shared" si="438"/>
        <v>2NO_Saccostrea_glomerata_D0_CO2NA_TNA_control_outcome67.85</v>
      </c>
      <c r="AH4382"/>
      <c r="AI4382"/>
      <c r="AJ4382"/>
      <c r="AK4382" t="s">
        <v>40</v>
      </c>
      <c r="AL4382" s="25"/>
      <c r="AM4382"/>
      <c r="AN4382">
        <v>67.851851851851904</v>
      </c>
      <c r="AO4382">
        <v>1.283000598199155</v>
      </c>
      <c r="AP4382">
        <v>68.8888888888889</v>
      </c>
      <c r="AQ4382">
        <v>1.283000598199155</v>
      </c>
      <c r="AR4382"/>
      <c r="AS4382">
        <f t="shared" si="445"/>
        <v>1.5168221473171428E-2</v>
      </c>
      <c r="AT4382">
        <f t="shared" si="439"/>
        <v>2.348018593409701E-4</v>
      </c>
      <c r="AU4382"/>
      <c r="AV4382"/>
      <c r="AW4382" s="28">
        <f t="shared" si="440"/>
        <v>0.80829037686545202</v>
      </c>
      <c r="AX4382">
        <f t="shared" si="441"/>
        <v>0.8</v>
      </c>
      <c r="AY4382" s="62">
        <f t="shared" si="442"/>
        <v>0.64663230149236162</v>
      </c>
      <c r="AZ4382" s="68" t="str">
        <f t="shared" si="443"/>
        <v>No</v>
      </c>
      <c r="BA4382" s="68" t="str">
        <f t="shared" si="444"/>
        <v>No</v>
      </c>
      <c r="BB4382"/>
      <c r="BC4382"/>
    </row>
    <row r="4383" spans="1:55" s="56" customFormat="1" ht="15" hidden="1">
      <c r="A4383" t="s">
        <v>1217</v>
      </c>
      <c r="B4383" t="str">
        <f t="shared" si="437"/>
        <v>4383_Ross</v>
      </c>
      <c r="C4383" t="s">
        <v>1238</v>
      </c>
      <c r="D4383" s="25"/>
      <c r="E4383" s="25"/>
      <c r="F4383" t="s">
        <v>1241</v>
      </c>
      <c r="G4383" t="s">
        <v>1235</v>
      </c>
      <c r="H4383"/>
      <c r="I4383"/>
      <c r="J4383"/>
      <c r="K4383" t="s">
        <v>72</v>
      </c>
      <c r="L4383"/>
      <c r="M4383" s="25" t="s">
        <v>36</v>
      </c>
      <c r="N4383" t="s">
        <v>36</v>
      </c>
      <c r="O4383"/>
      <c r="P4383" t="s">
        <v>60</v>
      </c>
      <c r="Q4383" t="s">
        <v>900</v>
      </c>
      <c r="R4383" t="s">
        <v>1741</v>
      </c>
      <c r="S4383" t="s">
        <v>1007</v>
      </c>
      <c r="T4383"/>
      <c r="U4383"/>
      <c r="V4383" t="s">
        <v>907</v>
      </c>
      <c r="W4383" s="25"/>
      <c r="X4383"/>
      <c r="Y4383"/>
      <c r="Z4383">
        <v>3</v>
      </c>
      <c r="AA4383">
        <v>3</v>
      </c>
      <c r="AB4383"/>
      <c r="AC4383"/>
      <c r="AD4383"/>
      <c r="AE4383"/>
      <c r="AF4383"/>
      <c r="AG4383" t="str">
        <f t="shared" si="438"/>
        <v>3NO_Saccostrea_glomerata_D0_CO2NA_TNA_control_outcome138.17</v>
      </c>
      <c r="AH4383"/>
      <c r="AI4383"/>
      <c r="AJ4383"/>
      <c r="AK4383" t="s">
        <v>40</v>
      </c>
      <c r="AL4383" s="25"/>
      <c r="AM4383"/>
      <c r="AN4383">
        <v>138.16666666666666</v>
      </c>
      <c r="AO4383">
        <v>3.3197640478403483</v>
      </c>
      <c r="AP4383">
        <v>125.91666666666667</v>
      </c>
      <c r="AQ4383">
        <v>2.1842237370135265</v>
      </c>
      <c r="AR4383"/>
      <c r="AS4383">
        <f t="shared" si="445"/>
        <v>-9.2840373422500733E-2</v>
      </c>
      <c r="AT4383">
        <f t="shared" si="439"/>
        <v>2.9273743039444908E-4</v>
      </c>
      <c r="AU4383"/>
      <c r="AV4383"/>
      <c r="AW4383" s="28">
        <f t="shared" si="440"/>
        <v>-4.3595042200753555</v>
      </c>
      <c r="AX4383">
        <f t="shared" si="441"/>
        <v>0.8</v>
      </c>
      <c r="AY4383" s="62">
        <f t="shared" si="442"/>
        <v>-3.4876033760602847</v>
      </c>
      <c r="AZ4383" s="68" t="str">
        <f t="shared" si="443"/>
        <v>No</v>
      </c>
      <c r="BA4383" s="68" t="str">
        <f t="shared" si="444"/>
        <v>No</v>
      </c>
      <c r="BB4383"/>
      <c r="BC4383"/>
    </row>
    <row r="4384" spans="1:55" hidden="1">
      <c r="A4384" t="s">
        <v>1182</v>
      </c>
      <c r="B4384" s="25"/>
      <c r="C4384">
        <v>18.100000000000001</v>
      </c>
      <c r="F4384" t="s">
        <v>914</v>
      </c>
      <c r="G4384" s="26" t="s">
        <v>1183</v>
      </c>
      <c r="M4384" s="25" t="s">
        <v>36</v>
      </c>
      <c r="N4384" t="s">
        <v>36</v>
      </c>
      <c r="P4384" t="s">
        <v>60</v>
      </c>
      <c r="Q4384" t="s">
        <v>900</v>
      </c>
      <c r="R4384" t="s">
        <v>1741</v>
      </c>
      <c r="S4384" t="s">
        <v>1194</v>
      </c>
      <c r="V4384" t="s">
        <v>1200</v>
      </c>
      <c r="AJ4384" t="s">
        <v>1202</v>
      </c>
      <c r="AK4384" t="s">
        <v>770</v>
      </c>
      <c r="AM4384"/>
      <c r="AS4384">
        <v>-2.7399E-2</v>
      </c>
      <c r="AT4384">
        <v>5.7003999999999999E-2</v>
      </c>
      <c r="AU4384" t="s">
        <v>1201</v>
      </c>
      <c r="AZ4384"/>
      <c r="BA4384"/>
    </row>
    <row r="4385" spans="1:53" hidden="1">
      <c r="A4385" t="s">
        <v>1182</v>
      </c>
      <c r="B4385" s="25"/>
      <c r="C4385">
        <v>18.100000000000001</v>
      </c>
      <c r="F4385" t="s">
        <v>914</v>
      </c>
      <c r="G4385" s="26" t="s">
        <v>1183</v>
      </c>
      <c r="M4385" s="25" t="s">
        <v>36</v>
      </c>
      <c r="N4385" t="s">
        <v>36</v>
      </c>
      <c r="P4385" t="s">
        <v>60</v>
      </c>
      <c r="Q4385" t="s">
        <v>900</v>
      </c>
      <c r="R4385" t="s">
        <v>1741</v>
      </c>
      <c r="S4385" t="s">
        <v>1194</v>
      </c>
      <c r="V4385" t="s">
        <v>1200</v>
      </c>
      <c r="AJ4385" t="s">
        <v>69</v>
      </c>
      <c r="AK4385" t="s">
        <v>69</v>
      </c>
      <c r="AM4385"/>
      <c r="AS4385">
        <v>0.173569</v>
      </c>
      <c r="AT4385">
        <v>5.0564999999999999E-2</v>
      </c>
      <c r="AU4385" t="s">
        <v>1201</v>
      </c>
      <c r="AZ4385"/>
      <c r="BA4385"/>
    </row>
    <row r="4386" spans="1:53" hidden="1">
      <c r="A4386" t="s">
        <v>1182</v>
      </c>
      <c r="B4386" s="25"/>
      <c r="C4386">
        <v>18.100000000000001</v>
      </c>
      <c r="F4386" t="s">
        <v>914</v>
      </c>
      <c r="G4386" s="26" t="s">
        <v>1183</v>
      </c>
      <c r="M4386" s="25" t="s">
        <v>36</v>
      </c>
      <c r="N4386" t="s">
        <v>36</v>
      </c>
      <c r="P4386" t="s">
        <v>60</v>
      </c>
      <c r="Q4386" t="s">
        <v>900</v>
      </c>
      <c r="R4386" t="s">
        <v>1741</v>
      </c>
      <c r="S4386" t="s">
        <v>1194</v>
      </c>
      <c r="V4386" t="s">
        <v>1200</v>
      </c>
      <c r="AJ4386" t="s">
        <v>1203</v>
      </c>
      <c r="AK4386" t="s">
        <v>40</v>
      </c>
      <c r="AM4386"/>
      <c r="AS4386">
        <v>-0.110693</v>
      </c>
      <c r="AT4386">
        <v>1.4339999999999999E-3</v>
      </c>
      <c r="AU4386" t="s">
        <v>1201</v>
      </c>
      <c r="AZ4386"/>
      <c r="BA4386"/>
    </row>
    <row r="4387" spans="1:53" hidden="1">
      <c r="A4387" t="s">
        <v>1182</v>
      </c>
      <c r="B4387" s="25"/>
      <c r="C4387">
        <v>18.100000000000001</v>
      </c>
      <c r="F4387" t="s">
        <v>914</v>
      </c>
      <c r="G4387" s="26" t="s">
        <v>1183</v>
      </c>
      <c r="M4387" s="25" t="s">
        <v>36</v>
      </c>
      <c r="N4387" t="s">
        <v>36</v>
      </c>
      <c r="P4387" t="s">
        <v>60</v>
      </c>
      <c r="Q4387" t="s">
        <v>900</v>
      </c>
      <c r="R4387" t="s">
        <v>1741</v>
      </c>
      <c r="S4387" t="s">
        <v>1194</v>
      </c>
      <c r="V4387" t="s">
        <v>1200</v>
      </c>
      <c r="AJ4387" t="s">
        <v>1204</v>
      </c>
      <c r="AK4387" t="s">
        <v>904</v>
      </c>
      <c r="AM4387"/>
      <c r="AS4387">
        <v>0.28768199999999999</v>
      </c>
      <c r="AT4387">
        <v>9.1260000000000004E-3</v>
      </c>
      <c r="AU4387" t="s">
        <v>1201</v>
      </c>
      <c r="AZ4387"/>
      <c r="BA4387"/>
    </row>
    <row r="4388" spans="1:53" hidden="1">
      <c r="A4388" t="s">
        <v>1182</v>
      </c>
      <c r="B4388" s="25"/>
      <c r="C4388">
        <v>18.2</v>
      </c>
      <c r="F4388" t="s">
        <v>914</v>
      </c>
      <c r="G4388" s="26" t="s">
        <v>1183</v>
      </c>
      <c r="M4388" s="25" t="s">
        <v>36</v>
      </c>
      <c r="N4388" t="s">
        <v>36</v>
      </c>
      <c r="P4388" t="s">
        <v>60</v>
      </c>
      <c r="Q4388" t="s">
        <v>900</v>
      </c>
      <c r="R4388" t="s">
        <v>1741</v>
      </c>
      <c r="S4388" t="s">
        <v>1195</v>
      </c>
      <c r="V4388" t="s">
        <v>1200</v>
      </c>
      <c r="AJ4388" t="s">
        <v>1202</v>
      </c>
      <c r="AK4388" t="s">
        <v>770</v>
      </c>
      <c r="AM4388"/>
      <c r="AS4388">
        <v>9.4655000000000003E-2</v>
      </c>
      <c r="AT4388">
        <v>0.37679699999999999</v>
      </c>
      <c r="AU4388" t="s">
        <v>1201</v>
      </c>
      <c r="AZ4388"/>
      <c r="BA4388"/>
    </row>
    <row r="4389" spans="1:53" hidden="1">
      <c r="A4389" t="s">
        <v>1182</v>
      </c>
      <c r="B4389" s="25"/>
      <c r="C4389">
        <v>18.2</v>
      </c>
      <c r="F4389" t="s">
        <v>914</v>
      </c>
      <c r="G4389" s="26" t="s">
        <v>1183</v>
      </c>
      <c r="M4389" s="25" t="s">
        <v>36</v>
      </c>
      <c r="N4389" t="s">
        <v>36</v>
      </c>
      <c r="P4389" t="s">
        <v>60</v>
      </c>
      <c r="Q4389" t="s">
        <v>900</v>
      </c>
      <c r="R4389" t="s">
        <v>1741</v>
      </c>
      <c r="S4389" t="s">
        <v>1195</v>
      </c>
      <c r="V4389" t="s">
        <v>1200</v>
      </c>
      <c r="AJ4389" t="s">
        <v>69</v>
      </c>
      <c r="AK4389" t="s">
        <v>69</v>
      </c>
      <c r="AM4389"/>
      <c r="AS4389">
        <v>0.21754799999999999</v>
      </c>
      <c r="AT4389">
        <v>3.1016999999999999E-2</v>
      </c>
      <c r="AU4389" t="s">
        <v>1201</v>
      </c>
      <c r="AZ4389"/>
      <c r="BA4389"/>
    </row>
    <row r="4390" spans="1:53" hidden="1">
      <c r="A4390" t="s">
        <v>1182</v>
      </c>
      <c r="B4390" s="25"/>
      <c r="C4390">
        <v>18.2</v>
      </c>
      <c r="F4390" t="s">
        <v>914</v>
      </c>
      <c r="G4390" s="26" t="s">
        <v>1183</v>
      </c>
      <c r="M4390" s="25" t="s">
        <v>36</v>
      </c>
      <c r="N4390" t="s">
        <v>36</v>
      </c>
      <c r="P4390" t="s">
        <v>60</v>
      </c>
      <c r="Q4390" t="s">
        <v>900</v>
      </c>
      <c r="R4390" t="s">
        <v>1741</v>
      </c>
      <c r="S4390" t="s">
        <v>1195</v>
      </c>
      <c r="V4390" t="s">
        <v>1200</v>
      </c>
      <c r="AJ4390" t="s">
        <v>1203</v>
      </c>
      <c r="AK4390" t="s">
        <v>40</v>
      </c>
      <c r="AM4390"/>
      <c r="AS4390">
        <v>-0.36930299999999999</v>
      </c>
      <c r="AT4390">
        <v>3.8699999999999997E-4</v>
      </c>
      <c r="AU4390" t="s">
        <v>1201</v>
      </c>
      <c r="AZ4390"/>
      <c r="BA4390"/>
    </row>
    <row r="4391" spans="1:53" hidden="1">
      <c r="A4391" t="s">
        <v>1182</v>
      </c>
      <c r="B4391" s="25"/>
      <c r="C4391">
        <v>18.2</v>
      </c>
      <c r="F4391" t="s">
        <v>914</v>
      </c>
      <c r="G4391" s="26" t="s">
        <v>1183</v>
      </c>
      <c r="M4391" s="25" t="s">
        <v>36</v>
      </c>
      <c r="N4391" t="s">
        <v>36</v>
      </c>
      <c r="P4391" t="s">
        <v>60</v>
      </c>
      <c r="Q4391" t="s">
        <v>900</v>
      </c>
      <c r="R4391" t="s">
        <v>1741</v>
      </c>
      <c r="S4391" t="s">
        <v>1195</v>
      </c>
      <c r="V4391" t="s">
        <v>1200</v>
      </c>
      <c r="AJ4391" t="s">
        <v>1204</v>
      </c>
      <c r="AK4391" t="s">
        <v>904</v>
      </c>
      <c r="AM4391"/>
      <c r="AS4391">
        <v>-0.162519</v>
      </c>
      <c r="AT4391">
        <v>7.0500000000000001E-4</v>
      </c>
      <c r="AU4391" t="s">
        <v>1201</v>
      </c>
      <c r="AZ4391"/>
      <c r="BA4391"/>
    </row>
    <row r="4392" spans="1:53" hidden="1">
      <c r="A4392" t="s">
        <v>1182</v>
      </c>
      <c r="B4392" s="25"/>
      <c r="C4392" t="s">
        <v>3455</v>
      </c>
      <c r="F4392" t="s">
        <v>914</v>
      </c>
      <c r="G4392" s="26" t="s">
        <v>1184</v>
      </c>
      <c r="I4392" s="26">
        <v>2017</v>
      </c>
      <c r="K4392" s="26" t="s">
        <v>49</v>
      </c>
      <c r="M4392" s="25" t="s">
        <v>36</v>
      </c>
      <c r="N4392" t="s">
        <v>36</v>
      </c>
      <c r="P4392" t="s">
        <v>60</v>
      </c>
      <c r="Q4392" t="s">
        <v>900</v>
      </c>
      <c r="R4392" t="s">
        <v>1741</v>
      </c>
      <c r="S4392" t="s">
        <v>1196</v>
      </c>
      <c r="V4392" s="26" t="s">
        <v>3461</v>
      </c>
      <c r="X4392" s="26">
        <v>2</v>
      </c>
      <c r="Z4392" s="26">
        <v>4</v>
      </c>
      <c r="AA4392" s="26">
        <v>4</v>
      </c>
      <c r="AJ4392" t="s">
        <v>69</v>
      </c>
      <c r="AK4392" t="s">
        <v>69</v>
      </c>
      <c r="AM4392"/>
      <c r="AN4392" s="26">
        <v>37.810949999999998</v>
      </c>
      <c r="AO4392" s="26">
        <v>33.810949999999998</v>
      </c>
      <c r="AP4392" s="26">
        <v>12.935320000000001</v>
      </c>
      <c r="AQ4392" s="26">
        <v>8.9353200000000008</v>
      </c>
      <c r="AS4392">
        <v>-0.86499700000000002</v>
      </c>
      <c r="AT4392">
        <v>0.34005999999999997</v>
      </c>
      <c r="AU4392" t="s">
        <v>1201</v>
      </c>
      <c r="AZ4392"/>
      <c r="BA4392"/>
    </row>
    <row r="4393" spans="1:53" hidden="1">
      <c r="A4393" t="s">
        <v>1182</v>
      </c>
      <c r="B4393" s="25"/>
      <c r="C4393" t="s">
        <v>3455</v>
      </c>
      <c r="F4393" t="s">
        <v>914</v>
      </c>
      <c r="G4393" s="26" t="s">
        <v>1184</v>
      </c>
      <c r="I4393" s="26">
        <v>2017</v>
      </c>
      <c r="K4393" s="26" t="s">
        <v>49</v>
      </c>
      <c r="M4393" s="25" t="s">
        <v>36</v>
      </c>
      <c r="N4393" t="s">
        <v>36</v>
      </c>
      <c r="P4393" t="s">
        <v>60</v>
      </c>
      <c r="Q4393" t="s">
        <v>900</v>
      </c>
      <c r="R4393" t="s">
        <v>1741</v>
      </c>
      <c r="S4393" t="s">
        <v>1196</v>
      </c>
      <c r="V4393" s="26" t="s">
        <v>3461</v>
      </c>
      <c r="X4393" s="26">
        <v>2</v>
      </c>
      <c r="Z4393" s="26">
        <v>4</v>
      </c>
      <c r="AA4393" s="26">
        <v>4</v>
      </c>
      <c r="AJ4393" t="s">
        <v>1202</v>
      </c>
      <c r="AK4393" t="s">
        <v>770</v>
      </c>
      <c r="AM4393"/>
      <c r="AN4393" s="26">
        <v>88.832490000000007</v>
      </c>
      <c r="AO4393" s="26">
        <v>1.522839999999988</v>
      </c>
      <c r="AP4393" s="26">
        <v>15.736039999999999</v>
      </c>
      <c r="AQ4393" s="26">
        <v>9.6446700000000014</v>
      </c>
      <c r="AS4393">
        <v>-0.65392700000000004</v>
      </c>
      <c r="AT4393">
        <v>1.0972000000000001E-2</v>
      </c>
      <c r="AU4393" t="s">
        <v>1201</v>
      </c>
      <c r="AZ4393"/>
      <c r="BA4393"/>
    </row>
    <row r="4394" spans="1:53" hidden="1">
      <c r="A4394" t="s">
        <v>1182</v>
      </c>
      <c r="B4394" s="25"/>
      <c r="C4394" t="s">
        <v>3455</v>
      </c>
      <c r="F4394" t="s">
        <v>914</v>
      </c>
      <c r="G4394" s="26" t="s">
        <v>1184</v>
      </c>
      <c r="I4394" s="26">
        <v>2017</v>
      </c>
      <c r="K4394" s="26" t="s">
        <v>49</v>
      </c>
      <c r="M4394" s="25" t="s">
        <v>36</v>
      </c>
      <c r="N4394" t="s">
        <v>36</v>
      </c>
      <c r="P4394" t="s">
        <v>60</v>
      </c>
      <c r="Q4394" t="s">
        <v>900</v>
      </c>
      <c r="R4394" t="s">
        <v>1741</v>
      </c>
      <c r="S4394" t="s">
        <v>1196</v>
      </c>
      <c r="V4394" s="26" t="s">
        <v>3461</v>
      </c>
      <c r="X4394" s="26">
        <v>2</v>
      </c>
      <c r="Z4394" s="26">
        <v>4</v>
      </c>
      <c r="AA4394" s="26">
        <v>4</v>
      </c>
      <c r="AJ4394" t="s">
        <v>1205</v>
      </c>
      <c r="AK4394" t="s">
        <v>40</v>
      </c>
      <c r="AM4394"/>
      <c r="AN4394" s="26">
        <v>223.27044000000001</v>
      </c>
      <c r="AO4394" s="26">
        <v>5.6603800000000035</v>
      </c>
      <c r="AP4394" s="26">
        <v>157.23269999999999</v>
      </c>
      <c r="AQ4394" s="26">
        <v>8.8050400000000195</v>
      </c>
      <c r="AS4394">
        <v>-0.25171700000000002</v>
      </c>
      <c r="AT4394">
        <v>6.3299999999999999E-4</v>
      </c>
      <c r="AU4394" t="s">
        <v>1201</v>
      </c>
      <c r="AZ4394"/>
      <c r="BA4394"/>
    </row>
    <row r="4395" spans="1:53" hidden="1">
      <c r="A4395" t="s">
        <v>1182</v>
      </c>
      <c r="B4395" s="25"/>
      <c r="C4395" t="s">
        <v>1198</v>
      </c>
      <c r="F4395" t="s">
        <v>914</v>
      </c>
      <c r="G4395" s="26" t="s">
        <v>1184</v>
      </c>
      <c r="I4395" s="26">
        <v>2017</v>
      </c>
      <c r="K4395" s="26" t="s">
        <v>49</v>
      </c>
      <c r="M4395" s="25" t="s">
        <v>36</v>
      </c>
      <c r="N4395" t="s">
        <v>36</v>
      </c>
      <c r="P4395" t="s">
        <v>60</v>
      </c>
      <c r="Q4395" t="s">
        <v>900</v>
      </c>
      <c r="R4395" t="s">
        <v>1741</v>
      </c>
      <c r="S4395" t="s">
        <v>1196</v>
      </c>
      <c r="V4395" t="s">
        <v>1200</v>
      </c>
      <c r="X4395" s="26">
        <v>9</v>
      </c>
      <c r="Z4395" s="26">
        <v>6</v>
      </c>
      <c r="AA4395" s="26">
        <v>6</v>
      </c>
      <c r="AJ4395" t="s">
        <v>69</v>
      </c>
      <c r="AK4395" t="s">
        <v>69</v>
      </c>
      <c r="AM4395"/>
      <c r="AN4395" s="26">
        <v>86.353470000000002</v>
      </c>
      <c r="AO4395" s="26">
        <v>8.5011200000000002</v>
      </c>
      <c r="AP4395" s="26">
        <v>18.120809999999999</v>
      </c>
      <c r="AQ4395" s="26">
        <v>9.8434000000000026</v>
      </c>
      <c r="AS4395">
        <v>-1.378927</v>
      </c>
      <c r="AT4395">
        <v>5.5960999999999997E-2</v>
      </c>
      <c r="AU4395" t="s">
        <v>1201</v>
      </c>
      <c r="AZ4395"/>
      <c r="BA4395"/>
    </row>
    <row r="4396" spans="1:53" hidden="1">
      <c r="A4396" t="s">
        <v>1182</v>
      </c>
      <c r="B4396" s="25"/>
      <c r="C4396" t="s">
        <v>1199</v>
      </c>
      <c r="F4396" t="s">
        <v>914</v>
      </c>
      <c r="G4396" s="26" t="s">
        <v>1184</v>
      </c>
      <c r="I4396" s="26">
        <v>2017</v>
      </c>
      <c r="K4396" s="26" t="s">
        <v>49</v>
      </c>
      <c r="M4396" s="25" t="s">
        <v>36</v>
      </c>
      <c r="N4396" t="s">
        <v>36</v>
      </c>
      <c r="P4396" t="s">
        <v>60</v>
      </c>
      <c r="Q4396" t="s">
        <v>900</v>
      </c>
      <c r="R4396" t="s">
        <v>1741</v>
      </c>
      <c r="S4396" t="s">
        <v>1196</v>
      </c>
      <c r="V4396" t="s">
        <v>1200</v>
      </c>
      <c r="X4396" s="26">
        <v>9</v>
      </c>
      <c r="Z4396" s="26">
        <v>6</v>
      </c>
      <c r="AA4396" s="26">
        <v>6</v>
      </c>
      <c r="AJ4396" t="s">
        <v>69</v>
      </c>
      <c r="AK4396" t="s">
        <v>69</v>
      </c>
      <c r="AM4396"/>
      <c r="AN4396" s="26">
        <v>93.512299999999996</v>
      </c>
      <c r="AO4396" s="26">
        <v>7.8299800000000062</v>
      </c>
      <c r="AP4396" s="26">
        <v>32.214770000000001</v>
      </c>
      <c r="AQ4396" s="26">
        <v>9.1722499999999982</v>
      </c>
      <c r="AS4396">
        <v>-0.25353799999999999</v>
      </c>
      <c r="AT4396">
        <v>1.7415E-2</v>
      </c>
      <c r="AU4396" t="s">
        <v>1201</v>
      </c>
      <c r="AZ4396"/>
      <c r="BA4396"/>
    </row>
    <row r="4397" spans="1:53" hidden="1">
      <c r="A4397" t="s">
        <v>1182</v>
      </c>
      <c r="B4397" t="s">
        <v>3464</v>
      </c>
      <c r="C4397" t="s">
        <v>3456</v>
      </c>
      <c r="F4397" t="s">
        <v>1241</v>
      </c>
      <c r="G4397" s="26" t="s">
        <v>1184</v>
      </c>
      <c r="I4397" s="26">
        <v>2017</v>
      </c>
      <c r="K4397" s="26" t="s">
        <v>49</v>
      </c>
      <c r="M4397" s="25" t="s">
        <v>36</v>
      </c>
      <c r="N4397" t="s">
        <v>36</v>
      </c>
      <c r="P4397" t="s">
        <v>60</v>
      </c>
      <c r="Q4397" t="s">
        <v>900</v>
      </c>
      <c r="R4397" t="s">
        <v>1741</v>
      </c>
      <c r="S4397" t="s">
        <v>1196</v>
      </c>
      <c r="V4397" t="s">
        <v>1015</v>
      </c>
      <c r="X4397" s="26">
        <v>9</v>
      </c>
      <c r="Z4397" s="26">
        <v>6</v>
      </c>
      <c r="AA4397" s="26">
        <v>6</v>
      </c>
      <c r="AG4397" t="str">
        <f>C4397 &amp; "_" &amp;
SUBSTITUTE(TRIM(S4397)," ","_") &amp; "_" &amp;
"D" &amp; TEXT(X4397,"0") &amp; "_" &amp;
"CO2" &amp; IF(AC4397&lt;&gt;"",TEXT(AC4397,"0.00"),"NA") &amp; "_" &amp;
"T" &amp; IF(AD4397&lt;&gt;"",TEXT(AD4397,"0.00"),"NA")</f>
        <v>24.3.1_Rynkowski_Mercenaria.mercenaria_D9_CO2NA_TNA</v>
      </c>
      <c r="AJ4397" t="s">
        <v>69</v>
      </c>
      <c r="AK4397" t="s">
        <v>69</v>
      </c>
      <c r="AM4397"/>
      <c r="AN4397" s="26">
        <v>88.157889999999995</v>
      </c>
      <c r="AO4397" s="26">
        <v>9.2105300000000057</v>
      </c>
      <c r="AP4397" s="26">
        <v>63.157890000000002</v>
      </c>
      <c r="AQ4397" s="26">
        <v>11.403510000000004</v>
      </c>
      <c r="AS4397">
        <v>-5.0722999999999997E-2</v>
      </c>
      <c r="AT4397" s="27">
        <v>1.1164E-2</v>
      </c>
      <c r="AU4397" t="s">
        <v>3462</v>
      </c>
      <c r="AW4397" s="28">
        <f>(AP4397-$AN4397)/SQRT(((AA4397-1)*AQ4397*AQ4397+($Z4397-1)*$AO4397*$AO4397)/(AA4397+$Z4397-2))</f>
        <v>-2.4119215066384303</v>
      </c>
      <c r="AX4397">
        <f>1-(3/(4*(AA4397+$Z4397-2)-1))</f>
        <v>0.92307692307692313</v>
      </c>
      <c r="AY4397" s="62">
        <f>AX4397*AW4397</f>
        <v>-2.2263890830508588</v>
      </c>
      <c r="AZ4397" s="68" t="str">
        <f>IF(AY4397&gt;10,"Yes","No")</f>
        <v>No</v>
      </c>
      <c r="BA4397" s="68" t="str">
        <f>IF(AY4397&lt;-10,"Yes","No")</f>
        <v>No</v>
      </c>
    </row>
    <row r="4398" spans="1:53" hidden="1">
      <c r="A4398" t="s">
        <v>1182</v>
      </c>
      <c r="B4398" t="s">
        <v>3465</v>
      </c>
      <c r="C4398" t="s">
        <v>3456</v>
      </c>
      <c r="F4398" t="s">
        <v>1241</v>
      </c>
      <c r="G4398" s="26" t="s">
        <v>1184</v>
      </c>
      <c r="I4398" s="26">
        <v>2017</v>
      </c>
      <c r="K4398" s="26" t="s">
        <v>49</v>
      </c>
      <c r="M4398" s="25" t="s">
        <v>36</v>
      </c>
      <c r="N4398" t="s">
        <v>36</v>
      </c>
      <c r="P4398" t="s">
        <v>60</v>
      </c>
      <c r="Q4398" t="s">
        <v>900</v>
      </c>
      <c r="R4398" t="s">
        <v>1741</v>
      </c>
      <c r="S4398" t="s">
        <v>1196</v>
      </c>
      <c r="V4398" t="s">
        <v>1015</v>
      </c>
      <c r="X4398" s="26">
        <v>9</v>
      </c>
      <c r="Z4398" s="26">
        <v>6</v>
      </c>
      <c r="AA4398" s="26">
        <v>6</v>
      </c>
      <c r="AG4398" t="str">
        <f>C4398 &amp; "_" &amp;
SUBSTITUTE(TRIM(S4398)," ","_") &amp; "_" &amp;
"D" &amp; TEXT(X4398,"0") &amp; "_" &amp;
"CO2" &amp; IF(AC4398&lt;&gt;"",TEXT(AC4398,"0.00"),"NA") &amp; "_" &amp;
"T" &amp; IF(AD4398&lt;&gt;"",TEXT(AD4398,"0.00"),"NA")</f>
        <v>24.3.1_Rynkowski_Mercenaria.mercenaria_D9_CO2NA_TNA</v>
      </c>
      <c r="AJ4398" t="s">
        <v>69</v>
      </c>
      <c r="AK4398" t="s">
        <v>69</v>
      </c>
      <c r="AM4398"/>
      <c r="AN4398" s="26">
        <v>92.982460000000003</v>
      </c>
      <c r="AO4398" s="26">
        <v>12.719290000000001</v>
      </c>
      <c r="AP4398" s="26">
        <v>3.0701800000000001</v>
      </c>
      <c r="AQ4398" s="26">
        <v>4.82456</v>
      </c>
      <c r="AS4398" s="27">
        <v>-1.891713</v>
      </c>
      <c r="AT4398" s="27">
        <v>0.56405700000000003</v>
      </c>
      <c r="AU4398" t="s">
        <v>3462</v>
      </c>
      <c r="AW4398" s="28">
        <f>(AP4398-$AN4398)/SQRT(((AA4398-1)*AQ4398*AQ4398+($Z4398-1)*$AO4398*$AO4398)/(AA4398+$Z4398-2))</f>
        <v>-9.3472009945042132</v>
      </c>
      <c r="AX4398">
        <f>1-(3/(4*(AA4398+$Z4398-2)-1))</f>
        <v>0.92307692307692313</v>
      </c>
      <c r="AY4398" s="62">
        <f>AX4398*AW4398</f>
        <v>-8.6281855333885051</v>
      </c>
      <c r="AZ4398" s="68" t="str">
        <f>IF(AY4398&gt;10,"Yes","No")</f>
        <v>No</v>
      </c>
      <c r="BA4398" s="68" t="str">
        <f>IF(AY4398&lt;-10,"Yes","No")</f>
        <v>No</v>
      </c>
    </row>
    <row r="4399" spans="1:53" hidden="1">
      <c r="A4399" t="s">
        <v>1182</v>
      </c>
      <c r="B4399" s="25"/>
      <c r="C4399" t="s">
        <v>3457</v>
      </c>
      <c r="F4399" t="s">
        <v>914</v>
      </c>
      <c r="G4399" s="26" t="s">
        <v>1184</v>
      </c>
      <c r="I4399" s="26">
        <v>2017</v>
      </c>
      <c r="K4399" s="26" t="s">
        <v>49</v>
      </c>
      <c r="M4399" s="25" t="s">
        <v>36</v>
      </c>
      <c r="N4399" t="s">
        <v>36</v>
      </c>
      <c r="P4399" t="s">
        <v>60</v>
      </c>
      <c r="Q4399" t="s">
        <v>900</v>
      </c>
      <c r="R4399" t="s">
        <v>1741</v>
      </c>
      <c r="S4399" t="s">
        <v>1195</v>
      </c>
      <c r="V4399" s="26" t="s">
        <v>3461</v>
      </c>
      <c r="X4399" s="26">
        <v>2</v>
      </c>
      <c r="Z4399" s="26">
        <v>4</v>
      </c>
      <c r="AA4399" s="26">
        <v>4</v>
      </c>
      <c r="AJ4399" t="s">
        <v>69</v>
      </c>
      <c r="AK4399" t="s">
        <v>69</v>
      </c>
      <c r="AM4399"/>
      <c r="AN4399" s="26">
        <v>3.8914</v>
      </c>
      <c r="AO4399" s="26">
        <v>2.6244399999999999</v>
      </c>
      <c r="AP4399" s="26">
        <v>0.72397999999999996</v>
      </c>
      <c r="AQ4399" s="26">
        <v>0.54298999999999997</v>
      </c>
      <c r="AS4399">
        <v>-1.969433</v>
      </c>
      <c r="AT4399">
        <v>0.28732099999999999</v>
      </c>
      <c r="AU4399" t="s">
        <v>1201</v>
      </c>
      <c r="AZ4399"/>
      <c r="BA4399"/>
    </row>
    <row r="4400" spans="1:53" hidden="1">
      <c r="A4400" t="s">
        <v>1182</v>
      </c>
      <c r="B4400" s="25"/>
      <c r="C4400" t="s">
        <v>3457</v>
      </c>
      <c r="F4400" t="s">
        <v>914</v>
      </c>
      <c r="G4400" s="26" t="s">
        <v>1184</v>
      </c>
      <c r="I4400" s="26">
        <v>2017</v>
      </c>
      <c r="K4400" s="26" t="s">
        <v>49</v>
      </c>
      <c r="M4400" s="25" t="s">
        <v>36</v>
      </c>
      <c r="N4400" t="s">
        <v>36</v>
      </c>
      <c r="P4400" t="s">
        <v>60</v>
      </c>
      <c r="Q4400" t="s">
        <v>900</v>
      </c>
      <c r="R4400" t="s">
        <v>1741</v>
      </c>
      <c r="S4400" t="s">
        <v>1195</v>
      </c>
      <c r="V4400" s="26" t="s">
        <v>3461</v>
      </c>
      <c r="X4400" s="26">
        <v>2</v>
      </c>
      <c r="Z4400" s="26">
        <v>4</v>
      </c>
      <c r="AA4400" s="26">
        <v>4</v>
      </c>
      <c r="AJ4400" t="s">
        <v>1202</v>
      </c>
      <c r="AK4400" t="s">
        <v>770</v>
      </c>
      <c r="AM4400"/>
      <c r="AN4400" s="26">
        <v>57.5</v>
      </c>
      <c r="AO4400" s="26">
        <v>17.5</v>
      </c>
      <c r="AP4400" s="26">
        <v>87</v>
      </c>
      <c r="AQ4400" s="26">
        <v>12.5</v>
      </c>
      <c r="AS4400">
        <v>0.39086599999999999</v>
      </c>
      <c r="AT4400">
        <v>2.5371000000000001E-2</v>
      </c>
      <c r="AU4400" t="s">
        <v>1201</v>
      </c>
      <c r="AZ4400"/>
      <c r="BA4400"/>
    </row>
    <row r="4401" spans="1:53" hidden="1">
      <c r="A4401" t="s">
        <v>1182</v>
      </c>
      <c r="B4401" s="25"/>
      <c r="C4401" t="s">
        <v>3457</v>
      </c>
      <c r="F4401" t="s">
        <v>914</v>
      </c>
      <c r="G4401" s="26" t="s">
        <v>1184</v>
      </c>
      <c r="I4401" s="26">
        <v>2017</v>
      </c>
      <c r="K4401" s="26" t="s">
        <v>49</v>
      </c>
      <c r="M4401" s="25" t="s">
        <v>36</v>
      </c>
      <c r="N4401" t="s">
        <v>36</v>
      </c>
      <c r="P4401" t="s">
        <v>60</v>
      </c>
      <c r="Q4401" t="s">
        <v>900</v>
      </c>
      <c r="R4401" t="s">
        <v>1741</v>
      </c>
      <c r="S4401" t="s">
        <v>1195</v>
      </c>
      <c r="V4401" s="26" t="s">
        <v>3461</v>
      </c>
      <c r="X4401" s="26">
        <v>2</v>
      </c>
      <c r="Z4401" s="26">
        <v>4</v>
      </c>
      <c r="AA4401" s="26">
        <v>4</v>
      </c>
      <c r="AJ4401" t="s">
        <v>1205</v>
      </c>
      <c r="AK4401" t="s">
        <v>40</v>
      </c>
      <c r="AM4401"/>
      <c r="AN4401" s="26">
        <v>340.38461999999998</v>
      </c>
      <c r="AO4401" s="26">
        <v>32.692299999999989</v>
      </c>
      <c r="AP4401" s="26">
        <v>276.92308000000003</v>
      </c>
      <c r="AQ4401" s="26">
        <v>19.23076999999995</v>
      </c>
      <c r="AS4401">
        <v>-0.23450699999999999</v>
      </c>
      <c r="AT4401">
        <v>3.339E-3</v>
      </c>
      <c r="AU4401" t="s">
        <v>1201</v>
      </c>
      <c r="AZ4401"/>
      <c r="BA4401"/>
    </row>
    <row r="4402" spans="1:53" hidden="1">
      <c r="A4402" t="s">
        <v>1182</v>
      </c>
      <c r="B4402" s="25"/>
      <c r="C4402">
        <v>24.5</v>
      </c>
      <c r="F4402" t="s">
        <v>914</v>
      </c>
      <c r="G4402" s="26" t="s">
        <v>1184</v>
      </c>
      <c r="I4402" s="26">
        <v>2017</v>
      </c>
      <c r="K4402" s="26" t="s">
        <v>49</v>
      </c>
      <c r="M4402" s="25" t="s">
        <v>36</v>
      </c>
      <c r="N4402" t="s">
        <v>36</v>
      </c>
      <c r="P4402" t="s">
        <v>60</v>
      </c>
      <c r="Q4402" t="s">
        <v>900</v>
      </c>
      <c r="R4402" t="s">
        <v>1741</v>
      </c>
      <c r="S4402" t="s">
        <v>1195</v>
      </c>
      <c r="V4402" t="s">
        <v>1200</v>
      </c>
      <c r="X4402" s="26">
        <v>9</v>
      </c>
      <c r="Z4402" s="26">
        <v>6</v>
      </c>
      <c r="AA4402" s="26">
        <v>6</v>
      </c>
      <c r="AJ4402" t="s">
        <v>69</v>
      </c>
      <c r="AK4402" t="s">
        <v>69</v>
      </c>
      <c r="AM4402"/>
      <c r="AN4402" s="26">
        <v>74.236639999999994</v>
      </c>
      <c r="AO4402" s="26">
        <v>13.740459999999999</v>
      </c>
      <c r="AP4402" s="26">
        <v>29.961829999999999</v>
      </c>
      <c r="AQ4402" s="26">
        <v>10.687020000000004</v>
      </c>
      <c r="AS4402">
        <v>-0.56894999999999996</v>
      </c>
      <c r="AT4402">
        <v>3.8868E-2</v>
      </c>
      <c r="AU4402" t="s">
        <v>1201</v>
      </c>
      <c r="AZ4402"/>
      <c r="BA4402"/>
    </row>
    <row r="4403" spans="1:53" hidden="1">
      <c r="A4403" t="s">
        <v>1182</v>
      </c>
      <c r="B4403" t="s">
        <v>3466</v>
      </c>
      <c r="C4403" t="s">
        <v>3458</v>
      </c>
      <c r="F4403" t="s">
        <v>1241</v>
      </c>
      <c r="G4403" s="26" t="s">
        <v>1184</v>
      </c>
      <c r="I4403" s="26">
        <v>2017</v>
      </c>
      <c r="K4403" s="26" t="s">
        <v>49</v>
      </c>
      <c r="M4403" s="25" t="s">
        <v>36</v>
      </c>
      <c r="N4403" t="s">
        <v>36</v>
      </c>
      <c r="P4403" t="s">
        <v>60</v>
      </c>
      <c r="Q4403" t="s">
        <v>900</v>
      </c>
      <c r="R4403" t="s">
        <v>1741</v>
      </c>
      <c r="S4403" t="s">
        <v>1195</v>
      </c>
      <c r="V4403" t="s">
        <v>1015</v>
      </c>
      <c r="X4403" s="26">
        <v>9</v>
      </c>
      <c r="Z4403" s="26">
        <v>6</v>
      </c>
      <c r="AA4403" s="26">
        <v>6</v>
      </c>
      <c r="AG4403" t="str">
        <f>C4403 &amp; "_" &amp;
SUBSTITUTE(TRIM(S4403)," ","_") &amp; "_" &amp;
"D" &amp; TEXT(X4403,"0") &amp; "_" &amp;
"CO2" &amp; IF(AC4403&lt;&gt;"",TEXT(AC4403,"0.00"),"NA") &amp; "_" &amp;
"T" &amp; IF(AD4403&lt;&gt;"",TEXT(AD4403,"0.00"),"NA")</f>
        <v>24.6.1_Rynkowski_Argopecten.irradians_D9_CO2NA_TNA</v>
      </c>
      <c r="AJ4403" t="s">
        <v>69</v>
      </c>
      <c r="AK4403" t="s">
        <v>69</v>
      </c>
      <c r="AM4403"/>
      <c r="AN4403" s="26">
        <v>80</v>
      </c>
      <c r="AO4403" s="26">
        <v>6.3157900000000069</v>
      </c>
      <c r="AP4403" s="26">
        <v>16.421050000000001</v>
      </c>
      <c r="AQ4403" s="26">
        <v>13.473689999999998</v>
      </c>
      <c r="AS4403" s="27">
        <v>-1.1609449999999999</v>
      </c>
      <c r="AT4403" s="27">
        <v>0.121306</v>
      </c>
      <c r="AU4403" t="s">
        <v>3462</v>
      </c>
      <c r="AW4403" s="28">
        <f>(AP4403-$AN4403)/SQRT(((AA4403-1)*AQ4403*AQ4403+($Z4403-1)*$AO4403*$AO4403)/(AA4403+$Z4403-2))</f>
        <v>-6.0424154813251274</v>
      </c>
      <c r="AX4403">
        <f>1-(3/(4*(AA4403+$Z4403-2)-1))</f>
        <v>0.92307692307692313</v>
      </c>
      <c r="AY4403" s="62">
        <f>AX4403*AW4403</f>
        <v>-5.5776142904539645</v>
      </c>
      <c r="AZ4403" s="68" t="str">
        <f>IF(AY4403&gt;10,"Yes","No")</f>
        <v>No</v>
      </c>
      <c r="BA4403" s="68" t="str">
        <f>IF(AY4403&lt;-10,"Yes","No")</f>
        <v>No</v>
      </c>
    </row>
    <row r="4404" spans="1:53" hidden="1">
      <c r="A4404" t="s">
        <v>1182</v>
      </c>
      <c r="B4404" t="s">
        <v>3467</v>
      </c>
      <c r="C4404" t="s">
        <v>3459</v>
      </c>
      <c r="F4404" t="s">
        <v>1241</v>
      </c>
      <c r="G4404" s="26" t="s">
        <v>1184</v>
      </c>
      <c r="I4404" s="26">
        <v>2017</v>
      </c>
      <c r="K4404" s="26" t="s">
        <v>49</v>
      </c>
      <c r="M4404" s="25" t="s">
        <v>36</v>
      </c>
      <c r="N4404" t="s">
        <v>36</v>
      </c>
      <c r="P4404" t="s">
        <v>60</v>
      </c>
      <c r="Q4404" t="s">
        <v>900</v>
      </c>
      <c r="R4404" t="s">
        <v>1741</v>
      </c>
      <c r="S4404" t="s">
        <v>1195</v>
      </c>
      <c r="V4404" t="s">
        <v>1015</v>
      </c>
      <c r="X4404" s="26">
        <v>9</v>
      </c>
      <c r="Z4404" s="26">
        <v>6</v>
      </c>
      <c r="AA4404" s="26">
        <v>6</v>
      </c>
      <c r="AG4404" t="str">
        <f>C4404 &amp; "_" &amp;
SUBSTITUTE(TRIM(S4404)," ","_") &amp; "_" &amp;
"D" &amp; TEXT(X4404,"0") &amp; "_" &amp;
"CO2" &amp; IF(AC4404&lt;&gt;"",TEXT(AC4404,"0.00"),"NA") &amp; "_" &amp;
"T" &amp; IF(AD4404&lt;&gt;"",TEXT(AD4404,"0.00"),"NA")</f>
        <v>24.6.2_Rynkowski_Argopecten.irradians_D9_CO2NA_TNA</v>
      </c>
      <c r="AJ4404" t="s">
        <v>69</v>
      </c>
      <c r="AK4404" t="s">
        <v>69</v>
      </c>
      <c r="AM4404"/>
      <c r="AN4404" s="26">
        <v>53.263159999999999</v>
      </c>
      <c r="AO4404" s="26">
        <v>9.8947300000000027</v>
      </c>
      <c r="AP4404" s="26">
        <v>14.736840000000001</v>
      </c>
      <c r="AQ4404" s="26">
        <v>13.68421</v>
      </c>
      <c r="AS4404" s="27">
        <v>-0.66098699999999999</v>
      </c>
      <c r="AT4404" s="27">
        <v>0.221022</v>
      </c>
      <c r="AU4404" t="s">
        <v>3462</v>
      </c>
      <c r="AW4404" s="28">
        <f>(AP4404-$AN4404)/SQRT(((AA4404-1)*AQ4404*AQ4404+($Z4404-1)*$AO4404*$AO4404)/(AA4404+$Z4404-2))</f>
        <v>-3.2264558062379178</v>
      </c>
      <c r="AX4404">
        <f>1-(3/(4*(AA4404+$Z4404-2)-1))</f>
        <v>0.92307692307692313</v>
      </c>
      <c r="AY4404" s="62">
        <f>AX4404*AW4404</f>
        <v>-2.9782668980657703</v>
      </c>
      <c r="AZ4404" s="68" t="str">
        <f>IF(AY4404&gt;10,"Yes","No")</f>
        <v>No</v>
      </c>
      <c r="BA4404" s="68" t="str">
        <f>IF(AY4404&lt;-10,"Yes","No")</f>
        <v>No</v>
      </c>
    </row>
    <row r="4405" spans="1:53" hidden="1">
      <c r="A4405" t="s">
        <v>1182</v>
      </c>
      <c r="B4405" s="25"/>
      <c r="C4405">
        <v>25.1</v>
      </c>
      <c r="F4405" t="s">
        <v>914</v>
      </c>
      <c r="G4405" s="26" t="s">
        <v>1185</v>
      </c>
      <c r="M4405" s="25" t="s">
        <v>36</v>
      </c>
      <c r="N4405" t="s">
        <v>36</v>
      </c>
      <c r="P4405" t="s">
        <v>60</v>
      </c>
      <c r="Q4405" t="s">
        <v>900</v>
      </c>
      <c r="R4405" t="s">
        <v>1741</v>
      </c>
      <c r="S4405" t="s">
        <v>1197</v>
      </c>
      <c r="V4405" t="s">
        <v>1087</v>
      </c>
      <c r="AJ4405" t="s">
        <v>1206</v>
      </c>
      <c r="AK4405" t="s">
        <v>59</v>
      </c>
      <c r="AM4405"/>
      <c r="AS4405">
        <v>-9.2513999999999999E-2</v>
      </c>
      <c r="AT4405">
        <v>2.6499999999999999E-4</v>
      </c>
      <c r="AU4405" t="s">
        <v>1201</v>
      </c>
      <c r="AZ4405"/>
      <c r="BA4405"/>
    </row>
    <row r="4406" spans="1:53" hidden="1">
      <c r="A4406" t="s">
        <v>1182</v>
      </c>
      <c r="B4406" s="25"/>
      <c r="C4406">
        <v>25.1</v>
      </c>
      <c r="F4406" t="s">
        <v>914</v>
      </c>
      <c r="G4406" s="26" t="s">
        <v>1185</v>
      </c>
      <c r="M4406" s="25" t="s">
        <v>36</v>
      </c>
      <c r="N4406" t="s">
        <v>36</v>
      </c>
      <c r="P4406" t="s">
        <v>60</v>
      </c>
      <c r="Q4406" t="s">
        <v>900</v>
      </c>
      <c r="R4406" t="s">
        <v>1741</v>
      </c>
      <c r="S4406" t="s">
        <v>1197</v>
      </c>
      <c r="V4406" t="s">
        <v>1087</v>
      </c>
      <c r="AJ4406" t="s">
        <v>1207</v>
      </c>
      <c r="AK4406" t="s">
        <v>770</v>
      </c>
      <c r="AM4406"/>
      <c r="AS4406">
        <v>0.52442900000000003</v>
      </c>
      <c r="AT4406">
        <v>2.3549999999999999E-3</v>
      </c>
      <c r="AU4406" t="s">
        <v>1201</v>
      </c>
      <c r="AZ4406"/>
      <c r="BA4406"/>
    </row>
    <row r="4407" spans="1:53" hidden="1">
      <c r="A4407" t="s">
        <v>1182</v>
      </c>
      <c r="B4407" s="25"/>
      <c r="C4407">
        <v>25.1</v>
      </c>
      <c r="F4407" t="s">
        <v>914</v>
      </c>
      <c r="G4407" s="26" t="s">
        <v>1185</v>
      </c>
      <c r="M4407" s="25" t="s">
        <v>36</v>
      </c>
      <c r="N4407" t="s">
        <v>36</v>
      </c>
      <c r="P4407" t="s">
        <v>60</v>
      </c>
      <c r="Q4407" t="s">
        <v>900</v>
      </c>
      <c r="R4407" t="s">
        <v>1741</v>
      </c>
      <c r="S4407" t="s">
        <v>1197</v>
      </c>
      <c r="V4407" t="s">
        <v>1087</v>
      </c>
      <c r="AJ4407" t="s">
        <v>1208</v>
      </c>
      <c r="AK4407" t="s">
        <v>770</v>
      </c>
      <c r="AM4407"/>
      <c r="AS4407">
        <v>-3.8358000000000003E-2</v>
      </c>
      <c r="AT4407">
        <v>4.8200000000000001E-4</v>
      </c>
      <c r="AU4407" t="s">
        <v>1201</v>
      </c>
      <c r="AZ4407"/>
      <c r="BA4407"/>
    </row>
    <row r="4408" spans="1:53" hidden="1">
      <c r="A4408" t="s">
        <v>1182</v>
      </c>
      <c r="B4408" s="25"/>
      <c r="C4408">
        <v>25.1</v>
      </c>
      <c r="F4408" t="s">
        <v>914</v>
      </c>
      <c r="G4408" s="26" t="s">
        <v>1185</v>
      </c>
      <c r="M4408" s="25" t="s">
        <v>36</v>
      </c>
      <c r="N4408" t="s">
        <v>36</v>
      </c>
      <c r="P4408" t="s">
        <v>60</v>
      </c>
      <c r="Q4408" t="s">
        <v>900</v>
      </c>
      <c r="R4408" t="s">
        <v>1741</v>
      </c>
      <c r="S4408" t="s">
        <v>1197</v>
      </c>
      <c r="V4408" t="s">
        <v>1087</v>
      </c>
      <c r="AJ4408" t="s">
        <v>1205</v>
      </c>
      <c r="AK4408" t="s">
        <v>40</v>
      </c>
      <c r="AM4408"/>
      <c r="AS4408">
        <v>-5.9480999999999999E-2</v>
      </c>
      <c r="AT4408">
        <v>1.74E-4</v>
      </c>
      <c r="AU4408" t="s">
        <v>1201</v>
      </c>
      <c r="AZ4408"/>
      <c r="BA4408"/>
    </row>
    <row r="4409" spans="1:53" hidden="1">
      <c r="A4409" t="s">
        <v>1182</v>
      </c>
      <c r="B4409" s="25"/>
      <c r="C4409">
        <v>25.1</v>
      </c>
      <c r="F4409" t="s">
        <v>914</v>
      </c>
      <c r="G4409" s="26" t="s">
        <v>1185</v>
      </c>
      <c r="M4409" s="25" t="s">
        <v>36</v>
      </c>
      <c r="N4409" t="s">
        <v>36</v>
      </c>
      <c r="P4409" t="s">
        <v>60</v>
      </c>
      <c r="Q4409" t="s">
        <v>900</v>
      </c>
      <c r="R4409" t="s">
        <v>1741</v>
      </c>
      <c r="S4409" t="s">
        <v>1197</v>
      </c>
      <c r="V4409" t="s">
        <v>1087</v>
      </c>
      <c r="AJ4409" t="s">
        <v>1209</v>
      </c>
      <c r="AK4409" t="s">
        <v>40</v>
      </c>
      <c r="AM4409"/>
      <c r="AS4409">
        <v>3.2530999999999997E-2</v>
      </c>
      <c r="AT4409">
        <v>1.3799999999999999E-4</v>
      </c>
      <c r="AU4409" t="s">
        <v>1201</v>
      </c>
      <c r="AZ4409"/>
      <c r="BA4409"/>
    </row>
  </sheetData>
  <autoFilter ref="A1:BC4409" xr:uid="{872551A0-C23E-4C51-A48E-C7435919FA64}">
    <filterColumn colId="0">
      <filters>
        <filter val="Leung et al. 2022"/>
      </filters>
    </filterColumn>
    <filterColumn colId="30">
      <filters>
        <filter val="5203.4"/>
        <filter val="5361.71"/>
        <filter val="5362.74"/>
        <filter val="5806"/>
        <filter val="6237.613"/>
        <filter val="6451.499"/>
        <filter val="6783.8"/>
        <filter val="6945.3"/>
        <filter val="6957.144"/>
      </filters>
    </filterColumn>
    <sortState xmlns:xlrd2="http://schemas.microsoft.com/office/spreadsheetml/2017/richdata2" ref="A2180:BC4222">
      <sortCondition ref="G1:G4409"/>
    </sortState>
  </autoFilter>
  <sortState xmlns:xlrd2="http://schemas.microsoft.com/office/spreadsheetml/2017/richdata2" ref="A2:BC4409">
    <sortCondition ref="A1:A4409"/>
  </sortState>
  <phoneticPr fontId="19" type="noConversion"/>
  <hyperlinks>
    <hyperlink ref="H1599" r:id="rId1" xr:uid="{4DF60AF6-AB2E-4B85-9EF8-C80BB15AA9B5}"/>
    <hyperlink ref="H1604" r:id="rId2" xr:uid="{15F4540A-B1B0-4005-8ECA-7ABCDDAF1C58}"/>
    <hyperlink ref="H1607" r:id="rId3" xr:uid="{E6B08ACB-14A6-4076-8850-959FF104E865}"/>
    <hyperlink ref="H1608" r:id="rId4" xr:uid="{9FCBE467-FCEB-4F3D-A915-EA81AA667010}"/>
    <hyperlink ref="H1613" r:id="rId5" xr:uid="{C3D9FA1A-2D62-4B07-8DBA-91B76A5042A5}"/>
    <hyperlink ref="H1614" r:id="rId6" xr:uid="{A1C23CD8-659A-4B81-ABB1-2F463BF8B99B}"/>
    <hyperlink ref="H1615" r:id="rId7" xr:uid="{7EE762AC-5D81-41BA-9187-A69E6120B7F0}"/>
    <hyperlink ref="H1616" r:id="rId8" xr:uid="{0E1B5361-46C0-4122-8752-BDB54A7DFB04}"/>
    <hyperlink ref="H1617" r:id="rId9" xr:uid="{C772EE96-9E43-4877-ACB1-FD94E6C8B22D}"/>
    <hyperlink ref="H1956" r:id="rId10" xr:uid="{5152361C-E652-4701-AF80-8FE3DA25C920}"/>
    <hyperlink ref="H370:H378" r:id="rId11" display="https://www.sciencedirect.com/science/article/abs/pii/S0025326X04001663" xr:uid="{5FFEA3B4-3821-4E8C-A65F-9CDB7A9136D8}"/>
    <hyperlink ref="H379:H382" r:id="rId12" display="https://www.sciencedirect.com/science/article/abs/pii/S0025326X04001663" xr:uid="{BF9479BF-A649-4F96-BB97-BC29A1CE1F8F}"/>
    <hyperlink ref="H383:H388" r:id="rId13" display="https://www.sciencedirect.com/science/article/abs/pii/S0025326X04001663" xr:uid="{021BB43D-F545-44A0-B968-F2C18C519575}"/>
    <hyperlink ref="H389:H394" r:id="rId14" display="https://www.sciencedirect.com/science/article/abs/pii/S0025326X04001663" xr:uid="{15BA3406-66B6-4F4C-B78F-9051D3DFB9FE}"/>
    <hyperlink ref="H1990" r:id="rId15" xr:uid="{B98B7FF6-AF8B-4B0B-B03E-0BA55A8EC587}"/>
    <hyperlink ref="H1991" r:id="rId16" xr:uid="{8A2D31B2-2FFC-4A26-86C6-DBF3792695AA}"/>
    <hyperlink ref="H1944" r:id="rId17" xr:uid="{71841315-12F3-46C9-8D36-A8A96870EFBE}"/>
    <hyperlink ref="H358:H368" r:id="rId18" display="https://link.springer.com/article/10.1007/s10872-004-5766-x " xr:uid="{5AEF443D-A164-4666-AF19-6A8B61C04E1D}"/>
    <hyperlink ref="H1921" r:id="rId19" xr:uid="{9F61202F-3A73-456C-9B9A-0103EB4E60D1}"/>
    <hyperlink ref="H1922" r:id="rId20" xr:uid="{FDF9A70A-3C51-41EF-93CF-E31BB302342B}"/>
    <hyperlink ref="H336:H352" r:id="rId21" display="https://www.sciencedirect.com/science/article/abs/pii/S0025326X08001781 " xr:uid="{149EA0A4-D9DA-4820-8644-5993EBDC9297}"/>
    <hyperlink ref="H353:H355" r:id="rId22" display="https://www.sciencedirect.com/science/article/abs/pii/S0025326X08001781 " xr:uid="{3AE0D61C-4FD3-4A23-93B1-3CA76D892E86}"/>
    <hyperlink ref="H1943" r:id="rId23" xr:uid="{2678AD2A-E245-4633-9FC5-95F8B1D85A1E}"/>
    <hyperlink ref="H1637" r:id="rId24" xr:uid="{C85EB0EF-1783-426A-925B-4D030F2BEF09}"/>
    <hyperlink ref="H1638" r:id="rId25" xr:uid="{2E1EEDD5-615B-4594-AE67-717FA792FBB8}"/>
    <hyperlink ref="H1639" r:id="rId26" xr:uid="{198F1F23-F617-452B-8979-472FD035C7FB}"/>
    <hyperlink ref="H1643" r:id="rId27" xr:uid="{22390DD8-5E02-44AE-94A8-17DBA9A76C37}"/>
    <hyperlink ref="H1644" r:id="rId28" xr:uid="{CC3CBFED-64D2-45BD-A21D-97D3C74B37B6}"/>
    <hyperlink ref="H1650" r:id="rId29" xr:uid="{5DE2F803-D453-437E-8905-1DEEBC4DE44D}"/>
    <hyperlink ref="H1668" r:id="rId30" xr:uid="{F1B051A8-B326-40F9-9DA7-DAC621436864}"/>
    <hyperlink ref="H3:H7" r:id="rId31" display="https://www.frontiersin.org/journals/marine-science/articles/10.3389/fmars.2019.00075/full " xr:uid="{145A46F1-22F3-4A74-8D2A-3CD2511998DD}"/>
    <hyperlink ref="H1674" r:id="rId32" xr:uid="{C17CF0E0-9B3C-48F3-A054-43CBC672D2A6}"/>
    <hyperlink ref="H9:H15" r:id="rId33" display="https://pubmed.ncbi.nlm.nih.gov/29191863/" xr:uid="{1CF290FF-613A-4473-AA0F-31D2AEFB073D}"/>
    <hyperlink ref="H1682" r:id="rId34" xr:uid="{0E62C67F-62C8-4F5C-9C25-A7D8D7A2A1A7}"/>
    <hyperlink ref="H17:H19" r:id="rId35" display="https://pubmed.ncbi.nlm.nih.gov/28850765/ " xr:uid="{2F5EDF32-E134-4BFB-ADDC-C113C99D06D8}"/>
    <hyperlink ref="H1713" r:id="rId36" xr:uid="{1DBB055E-CFCA-42DD-B699-F4BD4A497C47}"/>
    <hyperlink ref="H48:H53" r:id="rId37" display="https://journals.plos.org/plosone/article?id=10.1371/journal.pone.0190625 " xr:uid="{DF4F1A16-7986-4C58-A667-E4B6EE655B5A}"/>
    <hyperlink ref="H54:H63" r:id="rId38" display="https://journals.plos.org/plosone/article?id=10.1371/journal.pone.0190625 " xr:uid="{8AFA8AD7-B0BC-4BBB-A884-03A978800994}"/>
    <hyperlink ref="H1730" r:id="rId39" xr:uid="{BBAC5EC9-140B-498B-AC7E-A0743AD974C3}"/>
    <hyperlink ref="H1913" r:id="rId40" xr:uid="{1E7BE009-C70D-43BF-8597-187CD4C8673B}"/>
    <hyperlink ref="H327:H333" r:id="rId41" display="https://www.pnas.org/doi/10.1073/pnas.1315162110 " xr:uid="{FFC6C7EB-7606-4359-BB99-B68BB7A512BC}"/>
    <hyperlink ref="H1906" r:id="rId42" xr:uid="{F91F92AC-E833-45B0-96E0-A557F6FC6EFC}"/>
    <hyperlink ref="H320:H321" r:id="rId43" display="https://bg.copernicus.org/articles/10/1391/2013/ " xr:uid="{FE72DBFA-9B50-4656-BFDD-3DDED858EF35}"/>
    <hyperlink ref="H322:H325" r:id="rId44" display="https://bg.copernicus.org/articles/10/1391/2013/ " xr:uid="{21586D94-DA1F-46D4-B585-626A03CED19B}"/>
    <hyperlink ref="H1763" r:id="rId45" xr:uid="{226212BE-90AA-4CE4-AADB-ADBDC44A9BEC}"/>
    <hyperlink ref="H125:H141" r:id="rId46" display="https://bg.copernicus.org/articles/13/6625/ " xr:uid="{AB8B3AC6-95D9-448F-9EC0-752587CB8633}"/>
    <hyperlink ref="H142:H143" r:id="rId47" display="https://bg.copernicus.org/articles/13/6625/ " xr:uid="{E01CD120-4572-49F7-816C-12F69826C1A0}"/>
    <hyperlink ref="H1751" r:id="rId48" xr:uid="{992C817F-1EAC-4431-9307-52C84799D8F6}"/>
    <hyperlink ref="H113:H118" r:id="rId49" display="https://journals.plos.org/plosone/article?id=10.1371/journal.pone.0165800 " xr:uid="{62ECDC6C-B743-4A82-A188-5952432A818E}"/>
    <hyperlink ref="H119:H123" r:id="rId50" display="https://journals.plos.org/plosone/article?id=10.1371/journal.pone.0165800 " xr:uid="{5159412D-30CF-404E-ADC5-BC0E48519AA9}"/>
    <hyperlink ref="H1866" r:id="rId51" xr:uid="{BE942C72-F959-48B5-9700-73C316F53D4D}"/>
    <hyperlink ref="H205:H212" r:id="rId52" display="https://pubmed.ncbi.nlm.nih.gov/24754390/ " xr:uid="{D2D11636-8259-4A9E-813A-A81CF4D38FB7}"/>
    <hyperlink ref="H1887" r:id="rId53" xr:uid="{97152DE0-B41D-431F-85E4-94362370F6F7}"/>
    <hyperlink ref="H301:H312" r:id="rId54" display="https://link.springer.com/article/10.1007/s00227-012-2137-9 " xr:uid="{8BEBD816-6F43-47B7-9AE7-1AB64C66A175}"/>
    <hyperlink ref="H1900" r:id="rId55" xr:uid="{9CBDB5DA-C3C0-4CBC-ABC5-695D2E70FC68}"/>
    <hyperlink ref="H314:H318" r:id="rId56" display="https://link.springer.com/article/10.1007/s00227-012-2121-4 " xr:uid="{61F17D79-60CF-4266-9117-5E755D4F7CEA}"/>
    <hyperlink ref="H1790" r:id="rId57" xr:uid="{A7EE4590-B1A7-4D48-895B-EDD0BBCD53B8}"/>
    <hyperlink ref="H152:H162" r:id="rId58" display="https://bg.copernicus.org/articles/13/1037/2016/ " xr:uid="{F3911A97-F016-47BC-A8D7-02B74723E099}"/>
    <hyperlink ref="H163:H170" r:id="rId59" display="https://bg.copernicus.org/articles/13/1037/2016/ " xr:uid="{A006F60D-1DCE-43B0-998B-F79231C1A2E7}"/>
    <hyperlink ref="H1813" r:id="rId60" xr:uid="{B64A139D-F21A-4CE9-B2CE-9A11D4F15EB2}"/>
    <hyperlink ref="H1814" r:id="rId61" xr:uid="{96863B64-15EF-438C-867B-5D0049BFA0BE}"/>
    <hyperlink ref="H173:H180" r:id="rId62" display="https://www.int-res.com/abstracts/meps/v554/meps11803 " xr:uid="{61F11367-288A-4A6B-BCAC-7BD3F62724F7}"/>
    <hyperlink ref="H1823" r:id="rId63" xr:uid="{1C64A4DB-D46F-4BA0-82FA-CFBF5680A28B}"/>
    <hyperlink ref="H182:H184" r:id="rId64" display="https://aslopubs.onlinelibrary.wiley.com/doi/10.1002/lno.10256 " xr:uid="{9F7A4603-9AB1-47F6-B9DC-3AA4F6333213}"/>
    <hyperlink ref="H185:H190" r:id="rId65" display="https://aslopubs.onlinelibrary.wiley.com/doi/10.1002/lno.10256 " xr:uid="{59A42F36-85D4-4A3E-95DB-126622474BA2}"/>
    <hyperlink ref="H1833" r:id="rId66" xr:uid="{81A8A8C0-4DF3-4F57-938A-ABD4B506B7D4}"/>
    <hyperlink ref="H192:H199" r:id="rId67" display="https://academic.oup.com/icesjms/article/73/3/772/2458875 " xr:uid="{895B4EE3-0C47-4336-B848-62586DDAB60A}"/>
    <hyperlink ref="H1740" r:id="rId68" xr:uid="{A8A77E3B-98BA-4799-A416-0A0D05A12FD5}"/>
    <hyperlink ref="H75:H79" r:id="rId69" display="https://bg.copernicus.org/articles/13/6171/2016/ " xr:uid="{CE74CE7B-01A6-4775-AAAF-6797AB8F26FF}"/>
    <hyperlink ref="H107:H109" r:id="rId70" display="https://bg.copernicus.org/articles/13/6171/2016/ " xr:uid="{430B389B-3DA6-403E-8A78-ABF92D34EA18}"/>
    <hyperlink ref="H1749" r:id="rId71" xr:uid="{C9A3A91B-8AB1-4586-AF3A-2F4E2CA1134F}"/>
    <hyperlink ref="H1783" r:id="rId72" xr:uid="{B9F069A8-E807-4860-B0B6-3ECC5826F6EA}"/>
    <hyperlink ref="H145:H147" r:id="rId73" display="https://www.nature.com/articles/srep27749 " xr:uid="{3A246096-C8AD-4D1D-A859-F70C084BF04B}"/>
    <hyperlink ref="H148:H150" r:id="rId74" display="https://www.nature.com/articles/srep27749 " xr:uid="{21DEA846-9DB6-42BC-B5FD-CB612304EC80}"/>
    <hyperlink ref="H1862" r:id="rId75" xr:uid="{051FC73E-1690-4B2E-8557-B706273EFE4A}"/>
    <hyperlink ref="H201:H203" r:id="rId76" display="https://journals.plos.org/plosone/article?id=10.1371/journal.pone.0155952 " xr:uid="{B5E1612B-9EAF-493D-A747-79AD94693D7C}"/>
    <hyperlink ref="H1733" r:id="rId77" xr:uid="{21C80C2F-905B-4F93-89A1-31F99712B725}"/>
    <hyperlink ref="H1734" r:id="rId78" xr:uid="{D24A4564-3ABE-4C39-8A9C-9480B73EA708}"/>
    <hyperlink ref="H69:H70" r:id="rId79" display="https://journals.plos.org/plosone/article?id=10.1371/journal.pone.0175851 " xr:uid="{D653E13A-2B2E-4184-83C7-29065CF4C912}"/>
    <hyperlink ref="H1731" r:id="rId80" xr:uid="{07CF0E89-D4F8-4ADF-9562-80A16C51C85D}"/>
    <hyperlink ref="H1732" r:id="rId81" xr:uid="{6D11AB8D-6ADB-4D94-9BF8-C5A0CE6FC47C}"/>
    <hyperlink ref="H1737" r:id="rId82" xr:uid="{9775F86C-0175-44A9-B3ED-D9DEA4D79EDE}"/>
    <hyperlink ref="H1738" r:id="rId83" xr:uid="{408BFFEA-8E90-467C-8CAA-BDA8DC05B5D5}"/>
    <hyperlink ref="H1739" r:id="rId84" xr:uid="{A949A2E0-205F-4361-9595-CD955AC6BA1A}"/>
    <hyperlink ref="H81:H87" r:id="rId85" display="https://www.sciencedirect.com/science/article/abs/pii/S0044848622005907 " xr:uid="{7258E480-560D-45B1-9D05-3B22CBE60706}"/>
    <hyperlink ref="H1808" r:id="rId86" xr:uid="{50431D98-4EEB-4470-B301-3769466D2C15}"/>
    <hyperlink ref="H222:H299" r:id="rId87" display="https://onlinelibrary.wiley.com/doi/10.1002/tox.10139 " xr:uid="{85C16FB2-CAD1-43E3-A969-BADDECE6B5B2}"/>
    <hyperlink ref="H395:H402" r:id="rId88" display="https://onlinelibrary.wiley.com/doi/10.1002/tox.10139 " xr:uid="{AED39EA3-E30D-4699-81EF-5D5C74B51EEC}"/>
    <hyperlink ref="H1609" r:id="rId89" xr:uid="{164F6545-2FED-4FC6-A69E-F991AD1BF583}"/>
    <hyperlink ref="H1778" r:id="rId90" xr:uid="{CA7A5685-FCE2-47C3-A512-AD98B1FA5C76}"/>
  </hyperlinks>
  <pageMargins left="0.7" right="0.7" top="0.75" bottom="0.75" header="0.3" footer="0.3"/>
  <pageSetup orientation="portrait" r:id="rId91"/>
  <legacyDrawing r:id="rId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B601-5227-401E-9DF7-A0704AB43F26}">
  <sheetPr codeName="Sheet2"/>
  <dimension ref="A1:E12"/>
  <sheetViews>
    <sheetView workbookViewId="0">
      <selection activeCell="B38" sqref="B38"/>
    </sheetView>
  </sheetViews>
  <sheetFormatPr defaultColWidth="8.7265625" defaultRowHeight="14"/>
  <cols>
    <col min="1" max="1" width="5.36328125" style="21" customWidth="1"/>
    <col min="2" max="2" width="16.08984375" style="21" customWidth="1"/>
    <col min="3" max="3" width="6.36328125" style="21" customWidth="1"/>
    <col min="4" max="4" width="29" style="21" customWidth="1"/>
    <col min="5" max="5" width="11.81640625" style="21" customWidth="1"/>
    <col min="6" max="16384" width="8.7265625" style="21"/>
  </cols>
  <sheetData>
    <row r="1" spans="1:5">
      <c r="B1" s="22" t="s">
        <v>1616</v>
      </c>
    </row>
    <row r="2" spans="1:5">
      <c r="B2" s="22" t="s">
        <v>4</v>
      </c>
      <c r="C2" s="22" t="s">
        <v>5</v>
      </c>
      <c r="D2" s="22" t="s">
        <v>795</v>
      </c>
      <c r="E2" s="22" t="s">
        <v>1617</v>
      </c>
    </row>
    <row r="3" spans="1:5">
      <c r="A3" s="21">
        <v>1</v>
      </c>
      <c r="B3" s="21" t="s">
        <v>1620</v>
      </c>
      <c r="C3" s="21">
        <v>2025</v>
      </c>
      <c r="D3" s="21" t="s">
        <v>1619</v>
      </c>
      <c r="E3" s="21" t="s">
        <v>1618</v>
      </c>
    </row>
    <row r="4" spans="1:5">
      <c r="A4" s="21">
        <v>2</v>
      </c>
      <c r="B4" s="21" t="s">
        <v>1621</v>
      </c>
      <c r="C4" s="21">
        <v>2024</v>
      </c>
      <c r="D4" s="21" t="s">
        <v>1623</v>
      </c>
      <c r="E4" s="21" t="s">
        <v>1622</v>
      </c>
    </row>
    <row r="5" spans="1:5">
      <c r="A5" s="21">
        <v>3</v>
      </c>
      <c r="B5" s="21" t="s">
        <v>1624</v>
      </c>
      <c r="C5" s="21">
        <v>2025</v>
      </c>
      <c r="D5" s="38" t="s">
        <v>3454</v>
      </c>
      <c r="E5" s="21" t="s">
        <v>1625</v>
      </c>
    </row>
    <row r="6" spans="1:5">
      <c r="A6" s="21">
        <v>4</v>
      </c>
      <c r="B6" s="21" t="s">
        <v>1626</v>
      </c>
      <c r="C6" s="21">
        <v>2023</v>
      </c>
      <c r="D6" s="38" t="s">
        <v>1628</v>
      </c>
      <c r="E6" s="21" t="s">
        <v>1627</v>
      </c>
    </row>
    <row r="7" spans="1:5">
      <c r="A7" s="21">
        <v>5</v>
      </c>
      <c r="B7" s="21" t="s">
        <v>1630</v>
      </c>
      <c r="C7" s="21">
        <v>2024</v>
      </c>
      <c r="D7" s="38" t="s">
        <v>3468</v>
      </c>
      <c r="E7" s="21" t="s">
        <v>1629</v>
      </c>
    </row>
    <row r="8" spans="1:5" ht="14.5">
      <c r="A8" s="21">
        <v>6</v>
      </c>
      <c r="B8" s="21" t="s">
        <v>1632</v>
      </c>
      <c r="C8" s="21">
        <v>2024</v>
      </c>
      <c r="D8" s="38" t="s">
        <v>1631</v>
      </c>
      <c r="E8" s="21" t="s">
        <v>1965</v>
      </c>
    </row>
    <row r="9" spans="1:5">
      <c r="A9" s="21">
        <v>7</v>
      </c>
      <c r="B9" s="21" t="s">
        <v>1636</v>
      </c>
      <c r="C9" s="21">
        <v>2022</v>
      </c>
      <c r="D9" s="38" t="s">
        <v>1638</v>
      </c>
      <c r="E9" s="21" t="s">
        <v>1637</v>
      </c>
    </row>
    <row r="10" spans="1:5" ht="14.5">
      <c r="A10" s="21">
        <v>8</v>
      </c>
      <c r="B10" s="21" t="s">
        <v>1633</v>
      </c>
      <c r="C10" s="21">
        <v>2021</v>
      </c>
      <c r="D10" s="38" t="s">
        <v>1639</v>
      </c>
      <c r="E10" s="21" t="s">
        <v>1966</v>
      </c>
    </row>
    <row r="11" spans="1:5" ht="14.5">
      <c r="A11" s="21">
        <v>9</v>
      </c>
      <c r="B11" s="21" t="s">
        <v>1634</v>
      </c>
      <c r="C11" s="21">
        <v>2022</v>
      </c>
      <c r="D11" s="38" t="s">
        <v>1640</v>
      </c>
      <c r="E11" s="21" t="s">
        <v>1967</v>
      </c>
    </row>
    <row r="12" spans="1:5" ht="14.5">
      <c r="A12" s="21">
        <v>10</v>
      </c>
      <c r="B12" s="21" t="s">
        <v>1635</v>
      </c>
      <c r="C12" s="21">
        <v>2024</v>
      </c>
      <c r="D12" s="38" t="s">
        <v>1641</v>
      </c>
      <c r="E12" s="21" t="s">
        <v>1968</v>
      </c>
    </row>
  </sheetData>
  <phoneticPr fontId="36" type="noConversion"/>
  <hyperlinks>
    <hyperlink ref="D6" r:id="rId1" xr:uid="{914ED303-2F68-4C71-8BB8-1EF8230F5A2F}"/>
    <hyperlink ref="D5" r:id="rId2" xr:uid="{293B1E29-1C2E-4385-9901-DBDA6805CB54}"/>
    <hyperlink ref="D7" r:id="rId3" xr:uid="{BECA3F7C-A058-4F7C-A733-B4CA1362FD54}"/>
    <hyperlink ref="D8" r:id="rId4" xr:uid="{3A103593-9708-4EBC-9840-E2080E4A61E2}"/>
    <hyperlink ref="D9" r:id="rId5" xr:uid="{26AE02AE-7B81-4B78-8785-787EF9E0DC20}"/>
    <hyperlink ref="D10" r:id="rId6" xr:uid="{2F7B96F0-2249-4B00-A125-C116F735C044}"/>
    <hyperlink ref="D11" r:id="rId7" xr:uid="{139B19B4-EE1A-43BB-A824-FEBA138F08BA}"/>
    <hyperlink ref="D12" r:id="rId8" xr:uid="{316D8694-2AFC-4A5F-A4C8-5288486F832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779E-6E02-4C80-BD7D-9A35CD0CF14B}">
  <sheetPr codeName="Sheet3"/>
  <dimension ref="A1:P50"/>
  <sheetViews>
    <sheetView topLeftCell="A22" workbookViewId="0">
      <selection activeCell="C49" sqref="C49"/>
    </sheetView>
  </sheetViews>
  <sheetFormatPr defaultRowHeight="14.5"/>
  <cols>
    <col min="1" max="1" width="23.36328125" customWidth="1"/>
    <col min="2" max="2" width="14" customWidth="1"/>
    <col min="16" max="16" width="57.36328125" customWidth="1"/>
  </cols>
  <sheetData>
    <row r="1" spans="1:16">
      <c r="A1" s="21" t="s">
        <v>3589</v>
      </c>
    </row>
    <row r="3" spans="1:16">
      <c r="A3" s="23" t="s">
        <v>1649</v>
      </c>
      <c r="B3" s="23" t="s">
        <v>1650</v>
      </c>
      <c r="C3" s="23" t="s">
        <v>1651</v>
      </c>
      <c r="O3" s="44" t="s">
        <v>897</v>
      </c>
      <c r="P3" s="45"/>
    </row>
    <row r="4" spans="1:16" ht="28.5">
      <c r="A4" s="30" t="s">
        <v>2054</v>
      </c>
      <c r="B4" s="24" t="s">
        <v>1652</v>
      </c>
      <c r="C4" s="24" t="s">
        <v>2055</v>
      </c>
      <c r="O4" s="39" t="s">
        <v>3590</v>
      </c>
      <c r="P4" s="42" t="s">
        <v>3593</v>
      </c>
    </row>
    <row r="5" spans="1:16" ht="28.5">
      <c r="A5" s="32" t="s">
        <v>1</v>
      </c>
      <c r="B5" s="24" t="s">
        <v>1652</v>
      </c>
      <c r="C5" s="24" t="s">
        <v>1653</v>
      </c>
      <c r="O5" s="40" t="s">
        <v>3591</v>
      </c>
      <c r="P5" s="42" t="s">
        <v>3594</v>
      </c>
    </row>
    <row r="6" spans="1:16">
      <c r="A6" s="32" t="s">
        <v>0</v>
      </c>
      <c r="B6" s="24" t="s">
        <v>1652</v>
      </c>
      <c r="C6" s="24" t="s">
        <v>1654</v>
      </c>
      <c r="O6" s="41" t="s">
        <v>3592</v>
      </c>
      <c r="P6" s="43" t="s">
        <v>3885</v>
      </c>
    </row>
    <row r="7" spans="1:16">
      <c r="A7" s="34" t="s">
        <v>2</v>
      </c>
      <c r="B7" s="34" t="s">
        <v>1652</v>
      </c>
      <c r="C7" s="34" t="s">
        <v>1655</v>
      </c>
    </row>
    <row r="8" spans="1:16">
      <c r="A8" s="34" t="s">
        <v>3</v>
      </c>
      <c r="B8" s="34" t="s">
        <v>1652</v>
      </c>
      <c r="C8" s="34" t="s">
        <v>1656</v>
      </c>
    </row>
    <row r="9" spans="1:16">
      <c r="A9" s="30" t="s">
        <v>896</v>
      </c>
      <c r="B9" s="24" t="s">
        <v>1652</v>
      </c>
      <c r="C9" s="24" t="s">
        <v>2056</v>
      </c>
    </row>
    <row r="10" spans="1:16">
      <c r="A10" s="24" t="s">
        <v>4</v>
      </c>
      <c r="B10" s="24" t="s">
        <v>1652</v>
      </c>
      <c r="C10" s="24" t="s">
        <v>1657</v>
      </c>
    </row>
    <row r="11" spans="1:16">
      <c r="A11" s="24" t="s">
        <v>795</v>
      </c>
      <c r="B11" s="24" t="s">
        <v>1652</v>
      </c>
      <c r="C11" s="24" t="s">
        <v>2057</v>
      </c>
    </row>
    <row r="12" spans="1:16">
      <c r="A12" s="24" t="s">
        <v>5</v>
      </c>
      <c r="B12" s="24" t="s">
        <v>1652</v>
      </c>
      <c r="C12" s="24" t="s">
        <v>1658</v>
      </c>
    </row>
    <row r="13" spans="1:16">
      <c r="A13" s="24" t="s">
        <v>6</v>
      </c>
      <c r="B13" s="24" t="s">
        <v>1652</v>
      </c>
      <c r="C13" s="24" t="s">
        <v>1659</v>
      </c>
    </row>
    <row r="14" spans="1:16">
      <c r="A14" s="24" t="s">
        <v>7</v>
      </c>
      <c r="B14" s="24" t="s">
        <v>1652</v>
      </c>
      <c r="C14" s="24" t="s">
        <v>1660</v>
      </c>
    </row>
    <row r="15" spans="1:16">
      <c r="A15" s="24" t="s">
        <v>8</v>
      </c>
      <c r="B15" s="24" t="s">
        <v>1652</v>
      </c>
      <c r="C15" s="24" t="s">
        <v>1661</v>
      </c>
    </row>
    <row r="16" spans="1:16">
      <c r="A16" s="24" t="s">
        <v>9</v>
      </c>
      <c r="B16" s="24" t="s">
        <v>1652</v>
      </c>
      <c r="C16" s="24" t="s">
        <v>1662</v>
      </c>
    </row>
    <row r="17" spans="1:3">
      <c r="A17" s="30" t="s">
        <v>10</v>
      </c>
      <c r="B17" s="24" t="s">
        <v>1652</v>
      </c>
      <c r="C17" s="24" t="s">
        <v>1663</v>
      </c>
    </row>
    <row r="18" spans="1:3">
      <c r="A18" s="24" t="s">
        <v>11</v>
      </c>
      <c r="B18" s="24" t="s">
        <v>1652</v>
      </c>
      <c r="C18" s="24" t="s">
        <v>1664</v>
      </c>
    </row>
    <row r="19" spans="1:3">
      <c r="A19" s="30" t="s">
        <v>27</v>
      </c>
      <c r="B19" s="24" t="s">
        <v>1652</v>
      </c>
      <c r="C19" s="24" t="s">
        <v>2058</v>
      </c>
    </row>
    <row r="20" spans="1:3">
      <c r="A20" s="30" t="s">
        <v>898</v>
      </c>
      <c r="B20" s="24" t="s">
        <v>1652</v>
      </c>
      <c r="C20" s="24" t="s">
        <v>2059</v>
      </c>
    </row>
    <row r="21" spans="1:3">
      <c r="A21" s="30" t="s">
        <v>797</v>
      </c>
      <c r="B21" s="24" t="s">
        <v>1652</v>
      </c>
      <c r="C21" s="24" t="s">
        <v>2060</v>
      </c>
    </row>
    <row r="22" spans="1:3">
      <c r="A22" s="30" t="s">
        <v>798</v>
      </c>
      <c r="B22" s="24" t="s">
        <v>1652</v>
      </c>
      <c r="C22" s="24" t="s">
        <v>2061</v>
      </c>
    </row>
    <row r="23" spans="1:3">
      <c r="A23" s="24" t="s">
        <v>12</v>
      </c>
      <c r="B23" s="24" t="s">
        <v>1652</v>
      </c>
      <c r="C23" s="24" t="s">
        <v>1665</v>
      </c>
    </row>
    <row r="24" spans="1:3">
      <c r="A24" s="24" t="s">
        <v>13</v>
      </c>
      <c r="B24" s="24" t="s">
        <v>1652</v>
      </c>
      <c r="C24" s="24" t="s">
        <v>1666</v>
      </c>
    </row>
    <row r="25" spans="1:3">
      <c r="A25" s="30" t="s">
        <v>14</v>
      </c>
      <c r="B25" s="24" t="s">
        <v>1652</v>
      </c>
      <c r="C25" s="24" t="s">
        <v>2062</v>
      </c>
    </row>
    <row r="26" spans="1:3" s="35" customFormat="1">
      <c r="A26" s="34" t="s">
        <v>906</v>
      </c>
      <c r="B26" s="34" t="s">
        <v>1652</v>
      </c>
      <c r="C26" s="34" t="s">
        <v>3521</v>
      </c>
    </row>
    <row r="27" spans="1:3">
      <c r="A27" s="24" t="s">
        <v>15</v>
      </c>
      <c r="B27" s="24" t="s">
        <v>1667</v>
      </c>
      <c r="C27" s="24" t="s">
        <v>1668</v>
      </c>
    </row>
    <row r="28" spans="1:3">
      <c r="A28" s="24" t="s">
        <v>16</v>
      </c>
      <c r="B28" s="24" t="s">
        <v>1652</v>
      </c>
      <c r="C28" s="24" t="s">
        <v>1669</v>
      </c>
    </row>
    <row r="29" spans="1:3">
      <c r="A29" s="30" t="s">
        <v>17</v>
      </c>
      <c r="B29" s="24" t="s">
        <v>1670</v>
      </c>
      <c r="C29" s="24" t="s">
        <v>1671</v>
      </c>
    </row>
    <row r="30" spans="1:3">
      <c r="A30" s="30" t="s">
        <v>18</v>
      </c>
      <c r="B30" s="24" t="s">
        <v>1670</v>
      </c>
      <c r="C30" s="24" t="s">
        <v>1672</v>
      </c>
    </row>
    <row r="31" spans="1:3">
      <c r="A31" s="24" t="s">
        <v>1673</v>
      </c>
      <c r="B31" s="24" t="s">
        <v>1652</v>
      </c>
      <c r="C31" s="24" t="s">
        <v>1674</v>
      </c>
    </row>
    <row r="32" spans="1:3">
      <c r="A32" s="24" t="s">
        <v>20</v>
      </c>
      <c r="B32" s="24" t="s">
        <v>1675</v>
      </c>
      <c r="C32" s="24" t="s">
        <v>1676</v>
      </c>
    </row>
    <row r="33" spans="1:4">
      <c r="A33" s="24" t="s">
        <v>2204</v>
      </c>
      <c r="B33" s="24" t="s">
        <v>2200</v>
      </c>
      <c r="C33" s="24" t="s">
        <v>2202</v>
      </c>
    </row>
    <row r="34" spans="1:4">
      <c r="A34" s="24" t="s">
        <v>21</v>
      </c>
      <c r="B34" s="24" t="s">
        <v>1675</v>
      </c>
      <c r="C34" s="24" t="s">
        <v>1677</v>
      </c>
    </row>
    <row r="35" spans="1:4">
      <c r="A35" s="24" t="s">
        <v>2205</v>
      </c>
      <c r="B35" s="24" t="s">
        <v>2201</v>
      </c>
      <c r="C35" s="24" t="s">
        <v>2203</v>
      </c>
    </row>
    <row r="36" spans="1:4">
      <c r="A36" s="32" t="s">
        <v>22</v>
      </c>
      <c r="B36" s="24" t="s">
        <v>1652</v>
      </c>
      <c r="C36" s="24" t="s">
        <v>1678</v>
      </c>
    </row>
    <row r="37" spans="1:4">
      <c r="A37" s="24" t="s">
        <v>23</v>
      </c>
      <c r="B37" s="24" t="s">
        <v>1675</v>
      </c>
      <c r="C37" s="24" t="s">
        <v>1679</v>
      </c>
    </row>
    <row r="38" spans="1:4">
      <c r="A38" s="24" t="s">
        <v>24</v>
      </c>
      <c r="B38" s="24" t="s">
        <v>1680</v>
      </c>
      <c r="C38" s="24" t="s">
        <v>1681</v>
      </c>
    </row>
    <row r="39" spans="1:4">
      <c r="A39" s="24" t="s">
        <v>25</v>
      </c>
      <c r="B39" s="24" t="s">
        <v>1652</v>
      </c>
      <c r="C39" s="24" t="s">
        <v>1682</v>
      </c>
    </row>
    <row r="40" spans="1:4">
      <c r="A40" s="30" t="s">
        <v>26</v>
      </c>
      <c r="B40" s="24" t="s">
        <v>1652</v>
      </c>
      <c r="C40" s="24" t="s">
        <v>1683</v>
      </c>
    </row>
    <row r="41" spans="1:4" s="35" customFormat="1">
      <c r="A41" s="34" t="s">
        <v>901</v>
      </c>
      <c r="B41" s="34" t="s">
        <v>1652</v>
      </c>
      <c r="C41" s="34" t="s">
        <v>3520</v>
      </c>
    </row>
    <row r="42" spans="1:4">
      <c r="A42" s="34" t="s">
        <v>28</v>
      </c>
      <c r="B42" s="34" t="s">
        <v>1652</v>
      </c>
      <c r="C42" s="34" t="s">
        <v>1684</v>
      </c>
      <c r="D42" s="35"/>
    </row>
    <row r="43" spans="1:4">
      <c r="A43" s="30" t="s">
        <v>29</v>
      </c>
      <c r="B43" s="24" t="s">
        <v>1675</v>
      </c>
      <c r="C43" s="24" t="s">
        <v>1685</v>
      </c>
    </row>
    <row r="44" spans="1:4">
      <c r="A44" s="30" t="s">
        <v>30</v>
      </c>
      <c r="B44" s="24" t="s">
        <v>1675</v>
      </c>
      <c r="C44" s="24" t="s">
        <v>1686</v>
      </c>
    </row>
    <row r="45" spans="1:4">
      <c r="A45" s="30" t="s">
        <v>31</v>
      </c>
      <c r="B45" s="24" t="s">
        <v>1675</v>
      </c>
      <c r="C45" s="24" t="s">
        <v>1687</v>
      </c>
    </row>
    <row r="46" spans="1:4">
      <c r="A46" s="30" t="s">
        <v>32</v>
      </c>
      <c r="B46" s="24" t="s">
        <v>1675</v>
      </c>
      <c r="C46" s="24" t="s">
        <v>1688</v>
      </c>
    </row>
    <row r="47" spans="1:4">
      <c r="A47" s="24" t="s">
        <v>33</v>
      </c>
      <c r="B47" s="24" t="s">
        <v>1652</v>
      </c>
      <c r="C47" s="24" t="s">
        <v>1689</v>
      </c>
    </row>
    <row r="48" spans="1:4">
      <c r="A48" s="31" t="s">
        <v>902</v>
      </c>
      <c r="B48" s="21" t="s">
        <v>1652</v>
      </c>
      <c r="C48" s="21" t="s">
        <v>2065</v>
      </c>
    </row>
    <row r="49" spans="1:3">
      <c r="A49" s="31" t="s">
        <v>903</v>
      </c>
      <c r="B49" s="21" t="s">
        <v>1652</v>
      </c>
      <c r="C49" s="21" t="s">
        <v>2063</v>
      </c>
    </row>
    <row r="50" spans="1:3">
      <c r="A50" s="21" t="s">
        <v>897</v>
      </c>
      <c r="B50" s="24" t="s">
        <v>1652</v>
      </c>
      <c r="C50" s="24" t="s">
        <v>2064</v>
      </c>
    </row>
  </sheetData>
  <phoneticPr fontId="3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6749-E009-4AB3-8A1B-39D2036CDE1A}">
  <sheetPr codeName="Sheet4"/>
  <dimension ref="A1:F144"/>
  <sheetViews>
    <sheetView topLeftCell="A3" zoomScale="77" zoomScaleNormal="115" workbookViewId="0">
      <selection activeCell="B9" sqref="B9"/>
    </sheetView>
  </sheetViews>
  <sheetFormatPr defaultColWidth="8.7265625" defaultRowHeight="14.5"/>
  <cols>
    <col min="1" max="1" width="32.81640625" style="14" customWidth="1"/>
    <col min="2" max="2" width="80.36328125" style="14" customWidth="1"/>
    <col min="3" max="3" width="8.7265625" style="14"/>
    <col min="4" max="4" width="30.08984375" style="14" customWidth="1"/>
    <col min="5" max="5" width="51.36328125" style="14" customWidth="1"/>
    <col min="6" max="6" width="48" style="14" customWidth="1"/>
    <col min="7" max="16384" width="8.7265625" style="14"/>
  </cols>
  <sheetData>
    <row r="1" spans="1:6" ht="84.5">
      <c r="A1" s="19" t="s">
        <v>1964</v>
      </c>
    </row>
    <row r="4" spans="1:6" ht="15" thickBot="1">
      <c r="A4" s="15" t="s">
        <v>1816</v>
      </c>
      <c r="B4" s="15" t="s">
        <v>1817</v>
      </c>
      <c r="E4" s="17" t="s">
        <v>1963</v>
      </c>
      <c r="F4"/>
    </row>
    <row r="5" spans="1:6" ht="15" thickBot="1">
      <c r="A5" s="15" t="s">
        <v>1818</v>
      </c>
      <c r="B5" s="16" t="s">
        <v>1820</v>
      </c>
      <c r="D5" s="8" t="s">
        <v>26</v>
      </c>
      <c r="E5" s="8" t="s">
        <v>1826</v>
      </c>
      <c r="F5" s="8" t="s">
        <v>1962</v>
      </c>
    </row>
    <row r="6" spans="1:6" ht="28">
      <c r="A6" s="15" t="s">
        <v>1819</v>
      </c>
      <c r="B6" s="16" t="s">
        <v>1824</v>
      </c>
      <c r="D6" s="86" t="s">
        <v>1279</v>
      </c>
      <c r="E6" s="9" t="s">
        <v>1844</v>
      </c>
      <c r="F6" s="9" t="s">
        <v>1279</v>
      </c>
    </row>
    <row r="7" spans="1:6" ht="28">
      <c r="A7" s="15" t="s">
        <v>4697</v>
      </c>
      <c r="B7" s="16" t="s">
        <v>1821</v>
      </c>
      <c r="D7" s="87"/>
      <c r="E7" s="11" t="s">
        <v>1845</v>
      </c>
      <c r="F7" s="11" t="s">
        <v>1279</v>
      </c>
    </row>
    <row r="8" spans="1:6" ht="43.5">
      <c r="A8" s="15" t="s">
        <v>4649</v>
      </c>
      <c r="B8" s="16" t="s">
        <v>1822</v>
      </c>
      <c r="D8" s="87"/>
      <c r="E8" s="11" t="s">
        <v>1846</v>
      </c>
      <c r="F8" s="11" t="s">
        <v>1279</v>
      </c>
    </row>
    <row r="9" spans="1:6" ht="29.5" thickBot="1">
      <c r="A9" s="15" t="s">
        <v>4720</v>
      </c>
      <c r="B9" s="16" t="s">
        <v>1823</v>
      </c>
      <c r="D9" s="88"/>
      <c r="E9" s="20" t="s">
        <v>1847</v>
      </c>
      <c r="F9" s="20" t="s">
        <v>1279</v>
      </c>
    </row>
    <row r="10" spans="1:6">
      <c r="A10" s="15" t="s">
        <v>69</v>
      </c>
      <c r="B10" s="16" t="s">
        <v>1825</v>
      </c>
      <c r="D10" s="86" t="s">
        <v>4629</v>
      </c>
      <c r="E10" s="9" t="s">
        <v>1848</v>
      </c>
      <c r="F10" s="9" t="s">
        <v>904</v>
      </c>
    </row>
    <row r="11" spans="1:6">
      <c r="D11" s="87"/>
      <c r="E11" s="11" t="s">
        <v>1849</v>
      </c>
      <c r="F11" s="11" t="s">
        <v>904</v>
      </c>
    </row>
    <row r="12" spans="1:6" ht="15" thickBot="1">
      <c r="A12" s="17" t="s">
        <v>908</v>
      </c>
      <c r="B12"/>
      <c r="D12" s="87"/>
      <c r="E12" s="11" t="s">
        <v>1850</v>
      </c>
      <c r="F12" s="11" t="s">
        <v>904</v>
      </c>
    </row>
    <row r="13" spans="1:6" ht="15" thickBot="1">
      <c r="A13" s="5" t="s">
        <v>26</v>
      </c>
      <c r="B13" s="5" t="s">
        <v>1826</v>
      </c>
      <c r="D13" s="88"/>
      <c r="E13" s="20" t="s">
        <v>1851</v>
      </c>
      <c r="F13" s="20" t="s">
        <v>904</v>
      </c>
    </row>
    <row r="14" spans="1:6">
      <c r="A14" s="89" t="s">
        <v>4641</v>
      </c>
      <c r="B14" s="6" t="s">
        <v>93</v>
      </c>
      <c r="D14" s="86" t="s">
        <v>4620</v>
      </c>
      <c r="E14" s="9" t="s">
        <v>1852</v>
      </c>
      <c r="F14" s="9" t="s">
        <v>770</v>
      </c>
    </row>
    <row r="15" spans="1:6">
      <c r="A15" s="90"/>
      <c r="B15" s="7" t="s">
        <v>91</v>
      </c>
      <c r="D15" s="87"/>
      <c r="E15" s="11" t="s">
        <v>1853</v>
      </c>
      <c r="F15" s="11" t="s">
        <v>770</v>
      </c>
    </row>
    <row r="16" spans="1:6">
      <c r="A16" s="90"/>
      <c r="B16" s="7" t="s">
        <v>1827</v>
      </c>
      <c r="D16" s="87"/>
      <c r="E16" s="11" t="s">
        <v>1854</v>
      </c>
      <c r="F16" s="11" t="s">
        <v>770</v>
      </c>
    </row>
    <row r="17" spans="1:6">
      <c r="A17" s="90"/>
      <c r="B17" s="7" t="s">
        <v>671</v>
      </c>
      <c r="D17" s="87"/>
      <c r="E17" s="11" t="s">
        <v>1855</v>
      </c>
      <c r="F17" s="11" t="s">
        <v>904</v>
      </c>
    </row>
    <row r="18" spans="1:6">
      <c r="A18" s="90"/>
      <c r="B18" s="7" t="s">
        <v>726</v>
      </c>
      <c r="D18" s="87"/>
      <c r="E18" s="11" t="s">
        <v>1856</v>
      </c>
      <c r="F18" s="11" t="s">
        <v>770</v>
      </c>
    </row>
    <row r="19" spans="1:6">
      <c r="A19" s="90"/>
      <c r="B19" s="7" t="s">
        <v>50</v>
      </c>
      <c r="D19" s="87"/>
      <c r="E19" s="11" t="s">
        <v>1857</v>
      </c>
      <c r="F19" s="11" t="s">
        <v>770</v>
      </c>
    </row>
    <row r="20" spans="1:6">
      <c r="A20" s="90"/>
      <c r="B20" s="7" t="s">
        <v>1205</v>
      </c>
      <c r="D20" s="87"/>
      <c r="E20" s="11" t="s">
        <v>1858</v>
      </c>
      <c r="F20" s="11" t="s">
        <v>770</v>
      </c>
    </row>
    <row r="21" spans="1:6">
      <c r="A21" s="90"/>
      <c r="B21" s="7" t="s">
        <v>1828</v>
      </c>
      <c r="D21" s="87"/>
      <c r="E21" s="11" t="s">
        <v>1859</v>
      </c>
      <c r="F21" s="11" t="s">
        <v>770</v>
      </c>
    </row>
    <row r="22" spans="1:6" ht="15" thickBot="1">
      <c r="A22" s="91"/>
      <c r="B22" s="18" t="s">
        <v>133</v>
      </c>
      <c r="D22" s="87"/>
      <c r="E22" s="11" t="s">
        <v>1860</v>
      </c>
      <c r="F22" s="11" t="s">
        <v>770</v>
      </c>
    </row>
    <row r="23" spans="1:6">
      <c r="A23" s="89" t="s">
        <v>42</v>
      </c>
      <c r="B23" s="6" t="s">
        <v>108</v>
      </c>
      <c r="D23" s="87"/>
      <c r="E23" s="11" t="s">
        <v>1861</v>
      </c>
      <c r="F23" s="11" t="s">
        <v>770</v>
      </c>
    </row>
    <row r="24" spans="1:6">
      <c r="A24" s="90"/>
      <c r="B24" s="7" t="s">
        <v>1829</v>
      </c>
      <c r="D24" s="87"/>
      <c r="E24" s="11" t="s">
        <v>1862</v>
      </c>
      <c r="F24" s="11" t="s">
        <v>770</v>
      </c>
    </row>
    <row r="25" spans="1:6">
      <c r="A25" s="90"/>
      <c r="B25" s="7" t="s">
        <v>1830</v>
      </c>
      <c r="D25" s="87"/>
      <c r="E25" s="11" t="s">
        <v>1863</v>
      </c>
      <c r="F25" s="11" t="s">
        <v>770</v>
      </c>
    </row>
    <row r="26" spans="1:6">
      <c r="A26" s="90"/>
      <c r="B26" s="7" t="s">
        <v>1831</v>
      </c>
      <c r="D26" s="87"/>
      <c r="E26" s="11" t="s">
        <v>1864</v>
      </c>
      <c r="F26" s="11" t="s">
        <v>770</v>
      </c>
    </row>
    <row r="27" spans="1:6">
      <c r="A27" s="90"/>
      <c r="B27" s="7" t="s">
        <v>1832</v>
      </c>
      <c r="D27" s="87"/>
      <c r="E27" s="11" t="s">
        <v>1865</v>
      </c>
      <c r="F27" s="11" t="s">
        <v>770</v>
      </c>
    </row>
    <row r="28" spans="1:6" ht="15" thickBot="1">
      <c r="A28" s="91"/>
      <c r="B28" s="18" t="s">
        <v>1833</v>
      </c>
      <c r="D28" s="87"/>
      <c r="E28" s="11" t="s">
        <v>1866</v>
      </c>
      <c r="F28" s="11" t="s">
        <v>770</v>
      </c>
    </row>
    <row r="29" spans="1:6">
      <c r="A29" s="89" t="s">
        <v>59</v>
      </c>
      <c r="B29" s="6" t="s">
        <v>1834</v>
      </c>
      <c r="D29" s="87"/>
      <c r="E29" s="11" t="s">
        <v>1867</v>
      </c>
      <c r="F29" s="11" t="s">
        <v>770</v>
      </c>
    </row>
    <row r="30" spans="1:6">
      <c r="A30" s="90"/>
      <c r="B30" s="7" t="s">
        <v>622</v>
      </c>
      <c r="D30" s="87"/>
      <c r="E30" s="11" t="s">
        <v>4666</v>
      </c>
      <c r="F30" s="11" t="s">
        <v>770</v>
      </c>
    </row>
    <row r="31" spans="1:6">
      <c r="A31" s="90"/>
      <c r="B31" s="7" t="s">
        <v>1835</v>
      </c>
      <c r="D31" s="87"/>
      <c r="E31" s="11" t="s">
        <v>1868</v>
      </c>
      <c r="F31" s="11" t="s">
        <v>770</v>
      </c>
    </row>
    <row r="32" spans="1:6" ht="15" thickBot="1">
      <c r="A32" s="90"/>
      <c r="B32" s="7" t="s">
        <v>1836</v>
      </c>
      <c r="D32" s="88"/>
      <c r="E32" s="20" t="s">
        <v>1869</v>
      </c>
      <c r="F32" s="20" t="s">
        <v>40</v>
      </c>
    </row>
    <row r="33" spans="1:6" ht="15" thickBot="1">
      <c r="A33" s="91"/>
      <c r="B33" s="18" t="s">
        <v>1837</v>
      </c>
      <c r="D33" s="86" t="s">
        <v>4641</v>
      </c>
      <c r="E33" s="9" t="s">
        <v>1870</v>
      </c>
      <c r="F33" s="9" t="s">
        <v>40</v>
      </c>
    </row>
    <row r="34" spans="1:6">
      <c r="A34" s="89" t="s">
        <v>4735</v>
      </c>
      <c r="B34" s="6" t="s">
        <v>1838</v>
      </c>
      <c r="D34" s="87"/>
      <c r="E34" s="11" t="s">
        <v>1871</v>
      </c>
      <c r="F34" s="11" t="s">
        <v>40</v>
      </c>
    </row>
    <row r="35" spans="1:6">
      <c r="A35" s="90"/>
      <c r="B35" s="7" t="s">
        <v>1839</v>
      </c>
      <c r="D35" s="87"/>
      <c r="E35" s="11" t="s">
        <v>1872</v>
      </c>
      <c r="F35" s="11" t="s">
        <v>40</v>
      </c>
    </row>
    <row r="36" spans="1:6">
      <c r="A36" s="90"/>
      <c r="B36" s="7" t="s">
        <v>1840</v>
      </c>
      <c r="D36" s="87"/>
      <c r="E36" s="11" t="s">
        <v>1873</v>
      </c>
      <c r="F36" s="11" t="s">
        <v>40</v>
      </c>
    </row>
    <row r="37" spans="1:6">
      <c r="A37" s="90"/>
      <c r="B37" s="7" t="s">
        <v>1841</v>
      </c>
      <c r="D37" s="87"/>
      <c r="E37" s="11" t="s">
        <v>1874</v>
      </c>
      <c r="F37" s="11" t="s">
        <v>40</v>
      </c>
    </row>
    <row r="38" spans="1:6" ht="15" thickBot="1">
      <c r="A38" s="91"/>
      <c r="B38" s="18" t="s">
        <v>1842</v>
      </c>
      <c r="D38" s="87"/>
      <c r="E38" s="11" t="s">
        <v>1875</v>
      </c>
      <c r="F38" s="11" t="s">
        <v>40</v>
      </c>
    </row>
    <row r="39" spans="1:6">
      <c r="D39" s="87"/>
      <c r="E39" s="11" t="s">
        <v>1876</v>
      </c>
      <c r="F39" s="11" t="s">
        <v>40</v>
      </c>
    </row>
    <row r="40" spans="1:6">
      <c r="D40" s="87"/>
      <c r="E40" s="11" t="s">
        <v>1877</v>
      </c>
      <c r="F40" s="11" t="s">
        <v>40</v>
      </c>
    </row>
    <row r="41" spans="1:6">
      <c r="D41" s="87"/>
      <c r="E41" s="11" t="s">
        <v>1878</v>
      </c>
      <c r="F41" s="11" t="s">
        <v>40</v>
      </c>
    </row>
    <row r="42" spans="1:6">
      <c r="D42" s="87"/>
      <c r="E42" s="11" t="s">
        <v>1879</v>
      </c>
      <c r="F42" s="11" t="s">
        <v>40</v>
      </c>
    </row>
    <row r="43" spans="1:6">
      <c r="D43" s="87"/>
      <c r="E43" s="11" t="s">
        <v>1880</v>
      </c>
      <c r="F43" s="11" t="s">
        <v>40</v>
      </c>
    </row>
    <row r="44" spans="1:6">
      <c r="D44" s="87"/>
      <c r="E44" s="11" t="s">
        <v>1881</v>
      </c>
      <c r="F44" s="11" t="s">
        <v>40</v>
      </c>
    </row>
    <row r="45" spans="1:6">
      <c r="D45" s="87"/>
      <c r="E45" s="11" t="s">
        <v>1882</v>
      </c>
      <c r="F45" s="11" t="s">
        <v>40</v>
      </c>
    </row>
    <row r="46" spans="1:6">
      <c r="D46" s="87"/>
      <c r="E46" s="11" t="s">
        <v>1883</v>
      </c>
      <c r="F46" s="11" t="s">
        <v>40</v>
      </c>
    </row>
    <row r="47" spans="1:6">
      <c r="D47" s="87"/>
      <c r="E47" s="11" t="s">
        <v>1884</v>
      </c>
      <c r="F47" s="11" t="s">
        <v>40</v>
      </c>
    </row>
    <row r="48" spans="1:6">
      <c r="D48" s="87"/>
      <c r="E48" s="11" t="s">
        <v>1885</v>
      </c>
      <c r="F48" s="11" t="s">
        <v>40</v>
      </c>
    </row>
    <row r="49" spans="4:6" ht="15" thickBot="1">
      <c r="D49" s="88"/>
      <c r="E49" s="20" t="s">
        <v>1886</v>
      </c>
      <c r="F49" s="20" t="s">
        <v>40</v>
      </c>
    </row>
    <row r="50" spans="4:6">
      <c r="D50" s="86" t="s">
        <v>4649</v>
      </c>
      <c r="E50" s="9" t="s">
        <v>1887</v>
      </c>
      <c r="F50" s="9" t="s">
        <v>904</v>
      </c>
    </row>
    <row r="51" spans="4:6">
      <c r="D51" s="87"/>
      <c r="E51" s="11" t="s">
        <v>1888</v>
      </c>
      <c r="F51" s="11" t="s">
        <v>904</v>
      </c>
    </row>
    <row r="52" spans="4:6">
      <c r="D52" s="87"/>
      <c r="E52" s="11" t="s">
        <v>1889</v>
      </c>
      <c r="F52" s="11" t="s">
        <v>904</v>
      </c>
    </row>
    <row r="53" spans="4:6">
      <c r="D53" s="87"/>
      <c r="E53" s="11" t="s">
        <v>1890</v>
      </c>
      <c r="F53" s="11" t="s">
        <v>904</v>
      </c>
    </row>
    <row r="54" spans="4:6">
      <c r="D54" s="87"/>
      <c r="E54" s="11" t="s">
        <v>1891</v>
      </c>
      <c r="F54" s="11" t="s">
        <v>904</v>
      </c>
    </row>
    <row r="55" spans="4:6">
      <c r="D55" s="87"/>
      <c r="E55" s="11" t="s">
        <v>1892</v>
      </c>
      <c r="F55" s="11" t="s">
        <v>904</v>
      </c>
    </row>
    <row r="56" spans="4:6">
      <c r="D56" s="87"/>
      <c r="E56" s="11" t="s">
        <v>1893</v>
      </c>
      <c r="F56" s="11" t="s">
        <v>904</v>
      </c>
    </row>
    <row r="57" spans="4:6">
      <c r="D57" s="87"/>
      <c r="E57" s="11" t="s">
        <v>1894</v>
      </c>
      <c r="F57" s="11" t="s">
        <v>904</v>
      </c>
    </row>
    <row r="58" spans="4:6">
      <c r="D58" s="87"/>
      <c r="E58" s="11" t="s">
        <v>1895</v>
      </c>
      <c r="F58" s="11" t="s">
        <v>904</v>
      </c>
    </row>
    <row r="59" spans="4:6">
      <c r="D59" s="87"/>
      <c r="E59" s="11" t="s">
        <v>1896</v>
      </c>
      <c r="F59" s="11" t="s">
        <v>904</v>
      </c>
    </row>
    <row r="60" spans="4:6">
      <c r="D60" s="87"/>
      <c r="E60" s="11" t="s">
        <v>1897</v>
      </c>
      <c r="F60" s="11" t="s">
        <v>904</v>
      </c>
    </row>
    <row r="61" spans="4:6">
      <c r="D61" s="87"/>
      <c r="E61" s="11" t="s">
        <v>1898</v>
      </c>
      <c r="F61" s="11" t="s">
        <v>904</v>
      </c>
    </row>
    <row r="62" spans="4:6">
      <c r="D62" s="87"/>
      <c r="E62" s="10"/>
      <c r="F62" s="11" t="s">
        <v>904</v>
      </c>
    </row>
    <row r="63" spans="4:6">
      <c r="D63" s="87"/>
      <c r="E63" s="10"/>
      <c r="F63" s="10"/>
    </row>
    <row r="64" spans="4:6" ht="15" thickBot="1">
      <c r="D64" s="88"/>
      <c r="E64" s="12"/>
      <c r="F64" s="20" t="s">
        <v>904</v>
      </c>
    </row>
    <row r="65" spans="4:6">
      <c r="D65" s="86" t="s">
        <v>4699</v>
      </c>
      <c r="E65" s="9" t="s">
        <v>1899</v>
      </c>
      <c r="F65" s="9" t="s">
        <v>904</v>
      </c>
    </row>
    <row r="66" spans="4:6">
      <c r="D66" s="87"/>
      <c r="E66" s="11" t="s">
        <v>1900</v>
      </c>
      <c r="F66" s="10"/>
    </row>
    <row r="67" spans="4:6">
      <c r="D67" s="87"/>
      <c r="E67" s="11" t="s">
        <v>1901</v>
      </c>
      <c r="F67" s="11" t="s">
        <v>904</v>
      </c>
    </row>
    <row r="68" spans="4:6">
      <c r="D68" s="87"/>
      <c r="E68" s="10"/>
      <c r="F68" s="10"/>
    </row>
    <row r="69" spans="4:6" ht="15" thickBot="1">
      <c r="D69" s="88"/>
      <c r="E69" s="12"/>
      <c r="F69" s="20" t="s">
        <v>904</v>
      </c>
    </row>
    <row r="70" spans="4:6">
      <c r="D70" s="86" t="s">
        <v>4735</v>
      </c>
      <c r="E70" s="9" t="s">
        <v>1902</v>
      </c>
      <c r="F70" s="9" t="s">
        <v>69</v>
      </c>
    </row>
    <row r="71" spans="4:6">
      <c r="D71" s="87"/>
      <c r="E71" s="11" t="s">
        <v>1903</v>
      </c>
      <c r="F71" s="11" t="s">
        <v>69</v>
      </c>
    </row>
    <row r="72" spans="4:6">
      <c r="D72" s="87"/>
      <c r="E72" s="11" t="s">
        <v>1904</v>
      </c>
      <c r="F72" s="11" t="s">
        <v>69</v>
      </c>
    </row>
    <row r="73" spans="4:6" ht="15" thickBot="1">
      <c r="D73" s="88"/>
      <c r="E73" s="20" t="s">
        <v>1905</v>
      </c>
      <c r="F73" s="20" t="s">
        <v>59</v>
      </c>
    </row>
    <row r="74" spans="4:6">
      <c r="D74"/>
      <c r="E74"/>
      <c r="F74"/>
    </row>
    <row r="75" spans="4:6">
      <c r="D75"/>
      <c r="E75"/>
      <c r="F75"/>
    </row>
    <row r="76" spans="4:6" ht="15" thickBot="1">
      <c r="E76" s="17" t="s">
        <v>1906</v>
      </c>
      <c r="F76"/>
    </row>
    <row r="77" spans="4:6" ht="15" thickBot="1">
      <c r="D77" s="8" t="s">
        <v>26</v>
      </c>
      <c r="E77" s="8" t="s">
        <v>1826</v>
      </c>
      <c r="F77" s="8" t="s">
        <v>1843</v>
      </c>
    </row>
    <row r="78" spans="4:6" ht="15" thickBot="1">
      <c r="D78" s="13" t="s">
        <v>1907</v>
      </c>
      <c r="E78" s="13" t="s">
        <v>1908</v>
      </c>
      <c r="F78" s="13" t="s">
        <v>904</v>
      </c>
    </row>
    <row r="79" spans="4:6">
      <c r="D79" s="86" t="s">
        <v>1279</v>
      </c>
      <c r="E79" s="9" t="s">
        <v>1909</v>
      </c>
      <c r="F79" s="9" t="s">
        <v>1279</v>
      </c>
    </row>
    <row r="80" spans="4:6" ht="15" thickBot="1">
      <c r="D80" s="88"/>
      <c r="E80" s="20" t="s">
        <v>1910</v>
      </c>
      <c r="F80" s="20" t="s">
        <v>1279</v>
      </c>
    </row>
    <row r="81" spans="4:6">
      <c r="D81" s="86" t="s">
        <v>4629</v>
      </c>
      <c r="E81" s="9" t="s">
        <v>1911</v>
      </c>
      <c r="F81" s="9" t="s">
        <v>1818</v>
      </c>
    </row>
    <row r="82" spans="4:6" ht="15" thickBot="1">
      <c r="D82" s="88"/>
      <c r="E82" s="20" t="s">
        <v>1912</v>
      </c>
      <c r="F82" s="20" t="s">
        <v>770</v>
      </c>
    </row>
    <row r="83" spans="4:6">
      <c r="D83" s="86" t="s">
        <v>4620</v>
      </c>
      <c r="E83" s="9" t="s">
        <v>1913</v>
      </c>
      <c r="F83" s="9" t="s">
        <v>40</v>
      </c>
    </row>
    <row r="84" spans="4:6">
      <c r="D84" s="87"/>
      <c r="E84" s="11" t="s">
        <v>1914</v>
      </c>
      <c r="F84" s="11" t="s">
        <v>1819</v>
      </c>
    </row>
    <row r="85" spans="4:6">
      <c r="D85" s="87"/>
      <c r="E85" s="11" t="s">
        <v>1915</v>
      </c>
      <c r="F85" s="11" t="s">
        <v>770</v>
      </c>
    </row>
    <row r="86" spans="4:6">
      <c r="D86" s="87"/>
      <c r="E86" s="10"/>
      <c r="F86" s="10"/>
    </row>
    <row r="87" spans="4:6">
      <c r="D87" s="87"/>
      <c r="E87" s="11" t="s">
        <v>1916</v>
      </c>
      <c r="F87" s="11" t="s">
        <v>40</v>
      </c>
    </row>
    <row r="88" spans="4:6">
      <c r="D88" s="87"/>
      <c r="E88" s="11" t="s">
        <v>1917</v>
      </c>
      <c r="F88" s="11" t="s">
        <v>40</v>
      </c>
    </row>
    <row r="89" spans="4:6">
      <c r="D89" s="87"/>
      <c r="E89" s="11" t="s">
        <v>1918</v>
      </c>
      <c r="F89" s="11" t="s">
        <v>40</v>
      </c>
    </row>
    <row r="90" spans="4:6">
      <c r="D90" s="87"/>
      <c r="E90" s="11" t="s">
        <v>1919</v>
      </c>
      <c r="F90" s="11" t="s">
        <v>770</v>
      </c>
    </row>
    <row r="91" spans="4:6">
      <c r="D91" s="87"/>
      <c r="E91" s="11" t="s">
        <v>1920</v>
      </c>
      <c r="F91" s="10"/>
    </row>
    <row r="92" spans="4:6">
      <c r="D92" s="87"/>
      <c r="E92" s="11" t="s">
        <v>1921</v>
      </c>
      <c r="F92" s="11" t="s">
        <v>770</v>
      </c>
    </row>
    <row r="93" spans="4:6">
      <c r="D93" s="87"/>
      <c r="E93" s="11" t="s">
        <v>4877</v>
      </c>
      <c r="F93" s="11" t="s">
        <v>770</v>
      </c>
    </row>
    <row r="94" spans="4:6">
      <c r="D94" s="87"/>
      <c r="E94" s="11" t="s">
        <v>1922</v>
      </c>
      <c r="F94" s="11" t="s">
        <v>770</v>
      </c>
    </row>
    <row r="95" spans="4:6" ht="15" thickBot="1">
      <c r="D95" s="88"/>
      <c r="E95" s="12"/>
      <c r="F95" s="20" t="s">
        <v>770</v>
      </c>
    </row>
    <row r="96" spans="4:6">
      <c r="D96" s="86" t="s">
        <v>4641</v>
      </c>
      <c r="E96" s="9" t="s">
        <v>1923</v>
      </c>
      <c r="F96" s="9" t="s">
        <v>40</v>
      </c>
    </row>
    <row r="97" spans="4:6">
      <c r="D97" s="87"/>
      <c r="E97" s="11" t="s">
        <v>1924</v>
      </c>
      <c r="F97" s="11" t="s">
        <v>40</v>
      </c>
    </row>
    <row r="98" spans="4:6">
      <c r="D98" s="87"/>
      <c r="E98" s="11" t="s">
        <v>1925</v>
      </c>
      <c r="F98" s="11" t="s">
        <v>40</v>
      </c>
    </row>
    <row r="99" spans="4:6">
      <c r="D99" s="87"/>
      <c r="E99" s="11" t="s">
        <v>1926</v>
      </c>
      <c r="F99" s="11" t="s">
        <v>40</v>
      </c>
    </row>
    <row r="100" spans="4:6">
      <c r="D100" s="87"/>
      <c r="E100" s="11" t="s">
        <v>1927</v>
      </c>
      <c r="F100" s="11" t="s">
        <v>40</v>
      </c>
    </row>
    <row r="101" spans="4:6">
      <c r="D101" s="87"/>
      <c r="E101" s="11" t="s">
        <v>1928</v>
      </c>
      <c r="F101" s="11" t="s">
        <v>40</v>
      </c>
    </row>
    <row r="102" spans="4:6">
      <c r="D102" s="87"/>
      <c r="E102" s="11" t="s">
        <v>1929</v>
      </c>
      <c r="F102" s="11" t="s">
        <v>770</v>
      </c>
    </row>
    <row r="103" spans="4:6">
      <c r="D103" s="87"/>
      <c r="E103" s="10"/>
      <c r="F103" s="10"/>
    </row>
    <row r="104" spans="4:6">
      <c r="D104" s="87"/>
      <c r="E104" s="11" t="s">
        <v>1930</v>
      </c>
      <c r="F104" s="11" t="s">
        <v>770</v>
      </c>
    </row>
    <row r="105" spans="4:6">
      <c r="D105" s="87"/>
      <c r="E105" s="11" t="s">
        <v>1931</v>
      </c>
      <c r="F105" s="11" t="s">
        <v>770</v>
      </c>
    </row>
    <row r="106" spans="4:6">
      <c r="D106" s="87"/>
      <c r="E106" s="11" t="s">
        <v>1932</v>
      </c>
      <c r="F106" s="11" t="s">
        <v>40</v>
      </c>
    </row>
    <row r="107" spans="4:6">
      <c r="D107" s="87"/>
      <c r="E107" s="11" t="s">
        <v>1933</v>
      </c>
      <c r="F107" s="11" t="s">
        <v>40</v>
      </c>
    </row>
    <row r="108" spans="4:6">
      <c r="D108" s="87"/>
      <c r="E108" s="11" t="s">
        <v>1934</v>
      </c>
      <c r="F108" s="11" t="s">
        <v>40</v>
      </c>
    </row>
    <row r="109" spans="4:6" ht="15" thickBot="1">
      <c r="D109" s="88"/>
      <c r="E109" s="20" t="s">
        <v>1935</v>
      </c>
      <c r="F109" s="20" t="s">
        <v>40</v>
      </c>
    </row>
    <row r="110" spans="4:6">
      <c r="D110" s="86" t="s">
        <v>904</v>
      </c>
      <c r="E110" s="9" t="s">
        <v>1936</v>
      </c>
      <c r="F110" s="9" t="s">
        <v>904</v>
      </c>
    </row>
    <row r="111" spans="4:6">
      <c r="D111" s="87"/>
      <c r="E111" s="11" t="s">
        <v>1937</v>
      </c>
      <c r="F111" s="11" t="s">
        <v>904</v>
      </c>
    </row>
    <row r="112" spans="4:6">
      <c r="D112" s="87"/>
      <c r="E112" s="11" t="s">
        <v>1938</v>
      </c>
      <c r="F112" s="11" t="s">
        <v>904</v>
      </c>
    </row>
    <row r="113" spans="4:6">
      <c r="D113" s="87"/>
      <c r="E113" s="11" t="s">
        <v>1939</v>
      </c>
      <c r="F113" s="11" t="s">
        <v>904</v>
      </c>
    </row>
    <row r="114" spans="4:6">
      <c r="D114" s="87"/>
      <c r="E114" s="11" t="s">
        <v>1940</v>
      </c>
      <c r="F114" s="11" t="s">
        <v>904</v>
      </c>
    </row>
    <row r="115" spans="4:6">
      <c r="D115" s="87"/>
      <c r="E115" s="11" t="s">
        <v>1941</v>
      </c>
      <c r="F115" s="11" t="s">
        <v>904</v>
      </c>
    </row>
    <row r="116" spans="4:6">
      <c r="D116" s="87"/>
      <c r="E116" s="10"/>
      <c r="F116" s="10"/>
    </row>
    <row r="117" spans="4:6">
      <c r="D117" s="87"/>
      <c r="E117" s="11" t="s">
        <v>1942</v>
      </c>
      <c r="F117" s="11" t="s">
        <v>904</v>
      </c>
    </row>
    <row r="118" spans="4:6">
      <c r="D118" s="87"/>
      <c r="E118" s="11" t="s">
        <v>1943</v>
      </c>
      <c r="F118" s="11" t="s">
        <v>904</v>
      </c>
    </row>
    <row r="119" spans="4:6">
      <c r="D119" s="87"/>
      <c r="E119" s="11" t="s">
        <v>1944</v>
      </c>
      <c r="F119" s="11" t="s">
        <v>904</v>
      </c>
    </row>
    <row r="120" spans="4:6" ht="15" thickBot="1">
      <c r="D120" s="88"/>
      <c r="E120" s="20" t="s">
        <v>1945</v>
      </c>
      <c r="F120" s="20" t="s">
        <v>904</v>
      </c>
    </row>
    <row r="121" spans="4:6" ht="15" thickBot="1">
      <c r="D121" s="13" t="s">
        <v>4720</v>
      </c>
      <c r="E121" s="13" t="s">
        <v>1946</v>
      </c>
      <c r="F121" s="13" t="s">
        <v>59</v>
      </c>
    </row>
    <row r="122" spans="4:6">
      <c r="D122" s="86" t="s">
        <v>4699</v>
      </c>
      <c r="E122" s="9" t="s">
        <v>1947</v>
      </c>
      <c r="F122" s="9" t="s">
        <v>904</v>
      </c>
    </row>
    <row r="123" spans="4:6">
      <c r="D123" s="87"/>
      <c r="E123" s="11" t="s">
        <v>1948</v>
      </c>
      <c r="F123" s="11" t="s">
        <v>904</v>
      </c>
    </row>
    <row r="124" spans="4:6">
      <c r="D124" s="87"/>
      <c r="E124" s="10"/>
      <c r="F124" s="10"/>
    </row>
    <row r="125" spans="4:6">
      <c r="D125" s="87"/>
      <c r="E125" s="11" t="s">
        <v>1949</v>
      </c>
      <c r="F125" s="10"/>
    </row>
    <row r="126" spans="4:6">
      <c r="D126" s="87"/>
      <c r="E126" s="11" t="s">
        <v>1950</v>
      </c>
      <c r="F126" s="11" t="s">
        <v>904</v>
      </c>
    </row>
    <row r="127" spans="4:6">
      <c r="D127" s="87"/>
      <c r="E127" s="11" t="s">
        <v>1951</v>
      </c>
      <c r="F127" s="10"/>
    </row>
    <row r="128" spans="4:6">
      <c r="D128" s="87"/>
      <c r="E128" s="11" t="s">
        <v>1952</v>
      </c>
      <c r="F128" s="11" t="s">
        <v>904</v>
      </c>
    </row>
    <row r="129" spans="4:6">
      <c r="D129" s="87"/>
      <c r="E129" s="10"/>
      <c r="F129" s="10"/>
    </row>
    <row r="130" spans="4:6">
      <c r="D130" s="87"/>
      <c r="E130" s="10"/>
      <c r="F130" s="11" t="s">
        <v>904</v>
      </c>
    </row>
    <row r="131" spans="4:6" ht="15" thickBot="1">
      <c r="D131" s="88"/>
      <c r="E131" s="12"/>
      <c r="F131" s="20" t="s">
        <v>904</v>
      </c>
    </row>
    <row r="132" spans="4:6">
      <c r="D132" s="86" t="s">
        <v>4735</v>
      </c>
      <c r="E132" s="9" t="s">
        <v>1953</v>
      </c>
      <c r="F132" s="9" t="s">
        <v>1961</v>
      </c>
    </row>
    <row r="133" spans="4:6">
      <c r="D133" s="87"/>
      <c r="E133" s="11" t="s">
        <v>1954</v>
      </c>
      <c r="F133" s="11" t="s">
        <v>770</v>
      </c>
    </row>
    <row r="134" spans="4:6">
      <c r="D134" s="87"/>
      <c r="E134" s="11" t="s">
        <v>1902</v>
      </c>
      <c r="F134" s="11" t="s">
        <v>69</v>
      </c>
    </row>
    <row r="135" spans="4:6">
      <c r="D135" s="87"/>
      <c r="E135" s="11" t="s">
        <v>1955</v>
      </c>
      <c r="F135" s="11" t="s">
        <v>69</v>
      </c>
    </row>
    <row r="136" spans="4:6">
      <c r="D136" s="87"/>
      <c r="E136" s="11" t="s">
        <v>1956</v>
      </c>
      <c r="F136" s="11" t="s">
        <v>69</v>
      </c>
    </row>
    <row r="137" spans="4:6">
      <c r="D137" s="87"/>
      <c r="E137" s="10"/>
      <c r="F137" s="10"/>
    </row>
    <row r="138" spans="4:6">
      <c r="D138" s="87"/>
      <c r="E138" s="11" t="s">
        <v>1902</v>
      </c>
      <c r="F138" s="11" t="s">
        <v>69</v>
      </c>
    </row>
    <row r="139" spans="4:6">
      <c r="D139" s="87"/>
      <c r="E139" s="11" t="s">
        <v>1957</v>
      </c>
      <c r="F139" s="11" t="s">
        <v>59</v>
      </c>
    </row>
    <row r="140" spans="4:6">
      <c r="D140" s="87"/>
      <c r="E140" s="11" t="s">
        <v>1958</v>
      </c>
      <c r="F140" s="11" t="s">
        <v>69</v>
      </c>
    </row>
    <row r="141" spans="4:6">
      <c r="D141" s="87"/>
      <c r="E141" s="11" t="s">
        <v>1905</v>
      </c>
      <c r="F141" s="11" t="s">
        <v>59</v>
      </c>
    </row>
    <row r="142" spans="4:6">
      <c r="D142" s="87"/>
      <c r="E142" s="11" t="s">
        <v>4882</v>
      </c>
      <c r="F142" s="11" t="s">
        <v>59</v>
      </c>
    </row>
    <row r="143" spans="4:6">
      <c r="D143" s="87"/>
      <c r="E143" s="11" t="s">
        <v>1959</v>
      </c>
      <c r="F143" s="11" t="s">
        <v>59</v>
      </c>
    </row>
    <row r="144" spans="4:6" ht="15" thickBot="1">
      <c r="D144" s="88"/>
      <c r="E144" s="20" t="s">
        <v>1960</v>
      </c>
      <c r="F144" s="20" t="s">
        <v>69</v>
      </c>
    </row>
  </sheetData>
  <mergeCells count="18">
    <mergeCell ref="D122:D131"/>
    <mergeCell ref="D132:D144"/>
    <mergeCell ref="D70:D73"/>
    <mergeCell ref="D79:D80"/>
    <mergeCell ref="D81:D82"/>
    <mergeCell ref="D83:D95"/>
    <mergeCell ref="D96:D109"/>
    <mergeCell ref="D110:D120"/>
    <mergeCell ref="D6:D9"/>
    <mergeCell ref="D10:D13"/>
    <mergeCell ref="D14:D32"/>
    <mergeCell ref="D33:D49"/>
    <mergeCell ref="D50:D64"/>
    <mergeCell ref="D65:D69"/>
    <mergeCell ref="A14:A22"/>
    <mergeCell ref="A23:A28"/>
    <mergeCell ref="A29:A33"/>
    <mergeCell ref="A34:A38"/>
  </mergeCells>
  <phoneticPr fontId="3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76D0-CF12-40D8-AD91-4A6B95CF1068}">
  <sheetPr codeName="Sheet5"/>
  <dimension ref="A1:A14"/>
  <sheetViews>
    <sheetView workbookViewId="0">
      <selection activeCell="C18" sqref="C18"/>
    </sheetView>
  </sheetViews>
  <sheetFormatPr defaultRowHeight="14.5"/>
  <sheetData>
    <row r="1" spans="1:1">
      <c r="A1" s="21" t="s">
        <v>897</v>
      </c>
    </row>
    <row r="2" spans="1:1">
      <c r="A2" s="21" t="s">
        <v>1643</v>
      </c>
    </row>
    <row r="3" spans="1:1">
      <c r="A3" s="21" t="s">
        <v>1644</v>
      </c>
    </row>
    <row r="4" spans="1:1">
      <c r="A4" s="21" t="s">
        <v>1969</v>
      </c>
    </row>
    <row r="5" spans="1:1">
      <c r="A5" s="21" t="s">
        <v>2053</v>
      </c>
    </row>
    <row r="6" spans="1:1">
      <c r="A6" s="21" t="s">
        <v>3460</v>
      </c>
    </row>
    <row r="7" spans="1:1">
      <c r="A7" s="21" t="s">
        <v>3463</v>
      </c>
    </row>
    <row r="8" spans="1:1">
      <c r="A8" s="21" t="s">
        <v>3469</v>
      </c>
    </row>
    <row r="9" spans="1:1">
      <c r="A9" s="21" t="s">
        <v>3673</v>
      </c>
    </row>
    <row r="10" spans="1:1">
      <c r="A10" s="21" t="s">
        <v>3759</v>
      </c>
    </row>
    <row r="11" spans="1:1">
      <c r="A11" s="21" t="s">
        <v>3814</v>
      </c>
    </row>
    <row r="12" spans="1:1">
      <c r="A12" s="21" t="s">
        <v>3815</v>
      </c>
    </row>
    <row r="13" spans="1:1">
      <c r="A13" s="21" t="s">
        <v>3887</v>
      </c>
    </row>
    <row r="14" spans="1:1">
      <c r="A14" s="21" t="s">
        <v>3888</v>
      </c>
    </row>
  </sheetData>
  <phoneticPr fontId="3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8777-46F4-4D0F-9C55-FBD39767BBD0}">
  <sheetPr codeName="Sheet6"/>
  <dimension ref="A1:A38"/>
  <sheetViews>
    <sheetView topLeftCell="A22" workbookViewId="0">
      <selection activeCell="I31" sqref="I31"/>
    </sheetView>
  </sheetViews>
  <sheetFormatPr defaultRowHeight="14.5"/>
  <sheetData>
    <row r="1" spans="1:1">
      <c r="A1" s="22" t="s">
        <v>1645</v>
      </c>
    </row>
    <row r="2" spans="1:1">
      <c r="A2" s="21"/>
    </row>
    <row r="3" spans="1:1">
      <c r="A3" s="47" t="s">
        <v>3889</v>
      </c>
    </row>
    <row r="4" spans="1:1">
      <c r="A4" s="48" t="s">
        <v>3890</v>
      </c>
    </row>
    <row r="6" spans="1:1">
      <c r="A6" s="47" t="s">
        <v>3891</v>
      </c>
    </row>
    <row r="7" spans="1:1">
      <c r="A7" s="48" t="s">
        <v>3892</v>
      </c>
    </row>
    <row r="9" spans="1:1">
      <c r="A9" s="47" t="s">
        <v>3893</v>
      </c>
    </row>
    <row r="10" spans="1:1">
      <c r="A10" s="48" t="s">
        <v>3894</v>
      </c>
    </row>
    <row r="11" spans="1:1">
      <c r="A11" s="49"/>
    </row>
    <row r="12" spans="1:1">
      <c r="A12" s="47" t="s">
        <v>3895</v>
      </c>
    </row>
    <row r="13" spans="1:1">
      <c r="A13" s="48" t="s">
        <v>3896</v>
      </c>
    </row>
    <row r="15" spans="1:1">
      <c r="A15" s="47" t="s">
        <v>3897</v>
      </c>
    </row>
    <row r="16" spans="1:1">
      <c r="A16" s="48" t="s">
        <v>3898</v>
      </c>
    </row>
    <row r="17" spans="1:1">
      <c r="A17" s="49"/>
    </row>
    <row r="18" spans="1:1">
      <c r="A18" s="47" t="s">
        <v>3899</v>
      </c>
    </row>
    <row r="19" spans="1:1">
      <c r="A19" s="48" t="s">
        <v>3900</v>
      </c>
    </row>
    <row r="21" spans="1:1">
      <c r="A21" s="49"/>
    </row>
    <row r="22" spans="1:1">
      <c r="A22" s="47" t="s">
        <v>3902</v>
      </c>
    </row>
    <row r="23" spans="1:1">
      <c r="A23" s="48" t="s">
        <v>3901</v>
      </c>
    </row>
    <row r="25" spans="1:1">
      <c r="A25" s="47" t="s">
        <v>3904</v>
      </c>
    </row>
    <row r="26" spans="1:1">
      <c r="A26" s="48" t="s">
        <v>3903</v>
      </c>
    </row>
    <row r="28" spans="1:1">
      <c r="A28" s="47" t="s">
        <v>3912</v>
      </c>
    </row>
    <row r="29" spans="1:1">
      <c r="A29" s="48" t="s">
        <v>3911</v>
      </c>
    </row>
    <row r="30" spans="1:1">
      <c r="A30" s="49"/>
    </row>
    <row r="31" spans="1:1">
      <c r="A31" s="47" t="s">
        <v>3910</v>
      </c>
    </row>
    <row r="32" spans="1:1">
      <c r="A32" s="48" t="s">
        <v>3909</v>
      </c>
    </row>
    <row r="33" spans="1:1">
      <c r="A33" s="49"/>
    </row>
    <row r="34" spans="1:1">
      <c r="A34" s="47" t="s">
        <v>3908</v>
      </c>
    </row>
    <row r="35" spans="1:1">
      <c r="A35" s="48" t="s">
        <v>3907</v>
      </c>
    </row>
    <row r="36" spans="1:1">
      <c r="A36" s="49"/>
    </row>
    <row r="37" spans="1:1">
      <c r="A37" s="47" t="s">
        <v>3906</v>
      </c>
    </row>
    <row r="38" spans="1:1">
      <c r="A38" s="48" t="s">
        <v>3905</v>
      </c>
    </row>
  </sheetData>
  <phoneticPr fontId="36" type="noConversion"/>
  <hyperlinks>
    <hyperlink ref="A4" r:id="rId1" tooltip="Copepod respiration increases by 7% per °C ... - ASLO - Wiley" display="https://aslopubs.onlinelibrary.wiley.com/doi/10.1002/lol2.10106?utm_source=chatgpt.com" xr:uid="{8BF60B04-B50F-4755-A8C9-AFF525CDF683}"/>
    <hyperlink ref="A7" r:id="rId2" tooltip="Effect of body size and temperature on generation time in ..." display="https://academic.oup.com/plankt/article/22/2/241/1386290?utm_source=chatgpt.com" xr:uid="{BA9511E6-06BD-41D3-95C5-F07B9352EF82}"/>
    <hyperlink ref="A10" r:id="rId3" tooltip="Warming-induced reductions in body size are greater ..." display="https://www.pnas.org/doi/10.1073/pnas.1210460109?utm_source=chatgpt.com" xr:uid="{3937DFDF-133D-4E1B-A60A-339DA93EF0EB}"/>
    <hyperlink ref="A13" r:id="rId4" tooltip="The temperature‐size rule emerges from ontogenetic ..." display="https://besjournals.onlinelibrary.wiley.com/doi/10.1111/j.1365-2435.2011.01958.x?utm_source=chatgpt.com" xr:uid="{25BB5672-AE7D-459E-AE55-F89FAFE13383}"/>
    <hyperlink ref="A16" r:id="rId5" tooltip="Temperature‐mediated changes in zooplankton body size" display="https://onlinelibrary.wiley.com/doi/10.1111/ecog.04631?utm_source=chatgpt.com" xr:uid="{226E665F-005B-4F70-A42B-1EF5CD24305D}"/>
    <hyperlink ref="A19" r:id="rId6" tooltip="Monitoring and modelling marine zooplankton in a ..." display="https://www.nature.com/articles/s41467-023-36241-5?utm_source=chatgpt.com" xr:uid="{22D5FF17-19A4-4FA3-BE8F-0EA05284B49D}"/>
    <hyperlink ref="A23" r:id="rId7" tooltip="Global warming benefits the small in aquatic ecosystems" display="https://pmc.ncbi.nlm.nih.gov/articles/PMC2722360/?utm_source=chatgpt.com" xr:uid="{7E325E01-9F8B-48C9-87C6-037D958A2425}"/>
    <hyperlink ref="A26" r:id="rId8" tooltip="Systematic Review and Meta-Analysis Toward Synthesis of ..." display="https://www.frontiersin.org/journals/marine-science/articles/10.3389/fmars.2019.00227/full?utm_source=chatgpt.com" xr:uid="{8535E321-AEDA-4114-AEFF-8F114D3C1C7D}"/>
    <hyperlink ref="A29" r:id="rId9" tooltip="Extreme Temperatures Reduce Copepod Performance and ..." display="https://pmc.ncbi.nlm.nih.gov/articles/PMC11470155/?utm_source=chatgpt.com" xr:uid="{02253CC9-D7F4-4345-9D19-5D95CC1D5A16}"/>
    <hyperlink ref="A32" r:id="rId10" tooltip="Shifts in survival and reproduction after chronic warming ..." display="https://pmc.ncbi.nlm.nih.gov/articles/PMC10539201/?utm_source=chatgpt.com" xr:uid="{3A323FD9-1B23-42E7-967A-07BDE45612A2}"/>
    <hyperlink ref="A35" r:id="rId11" tooltip="Temperature-dependent egg production and egg hatching ..." display="https://academic.oup.com/plankt/article/42/5/564/5902327?utm_source=chatgpt.com" xr:uid="{C0832BCA-7F4B-471F-A5D8-B2C4E45C3B36}"/>
    <hyperlink ref="A38" r:id="rId12" tooltip="Temperature effects on development and reproduction of ..." display="https://academic.oup.com/plankt/article/36/1/104/1525742?utm_source=chatgpt.com" xr:uid="{2CD49247-5F40-4810-96C9-33276D1F2D02}"/>
  </hyperlinks>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Database</vt:lpstr>
      <vt:lpstr>References</vt:lpstr>
      <vt:lpstr>Headers</vt:lpstr>
      <vt:lpstr>Categories</vt:lpstr>
      <vt:lpstr>Notes</vt:lpstr>
      <vt:lpstr>Useful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Esturas</cp:lastModifiedBy>
  <cp:lastPrinted>2025-09-22T01:06:34Z</cp:lastPrinted>
  <dcterms:created xsi:type="dcterms:W3CDTF">2025-09-16T04:45:39Z</dcterms:created>
  <dcterms:modified xsi:type="dcterms:W3CDTF">2026-05-13T06:50:03Z</dcterms:modified>
</cp:coreProperties>
</file>